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0490" windowHeight="792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<sst xmlns="http://schemas.openxmlformats.org/spreadsheetml/2006/main" count="787" uniqueCount="187">
  <si>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</si>
  <si>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</si>
  <si>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</si>
  <si>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</si>
  <si>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</si>
  <si>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</si>
  <si>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</si>
  <si>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</si>
  <si>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</si>
  <si>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</si>
  <si>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</si>
  <si>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</si>
  <si>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</si>
  <si>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</si>
  <si>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</si>
  <si>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</si>
  <si>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</si>
  <si>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</si>
  <si>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</si>
  <si>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</si>
  <si>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</si>
  <si>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</si>
  <si>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</si>
  <si>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</si>
  <si>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</si>
  <si>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</si>
  <si>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</si>
  <si>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</si>
  <si>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</si>
  <si>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</si>
  <si>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</si>
  <si>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</si>
  <si>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</si>
  <si>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</si>
  <si>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</si>
  <si>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</si>
  <si>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</si>
  <si>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</si>
  <si>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</si>
  <si>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</si>
  <si>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</si>
  <si>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</si>
  <si>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</si>
  <si>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</si>
  <si>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</si>
  <si>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</si>
  <si>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</si>
  <si>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</si>
  <si>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</si>
  <si>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</si>
  <si>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</si>
  <si>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</si>
  <si>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</si>
  <si>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</si>
  <si>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</si>
  <si>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</si>
  <si>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</si>
  <si>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</si>
  <si>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</si>
  <si>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</si>
  <si>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</si>
  <si>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</si>
  <si>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</si>
  <si>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</si>
  <si>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</si>
  <si>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</si>
  <si>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</si>
  <si>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</si>
  <si>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</si>
  <si>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</si>
  <si>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</si>
  <si>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</si>
  <si>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</si>
  <si>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</si>
  <si>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</si>
  <si>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</si>
  <si>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</si>
  <si>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</si>
  <si>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</si>
  <si>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</si>
  <si>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</si>
  <si>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</si>
  <si>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</si>
  <si>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</si>
  <si>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</si>
  <si>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</si>
  <si>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</si>
  <si>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</si>
  <si>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</si>
  <si>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</si>
  <si>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</si>
  <si>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</si>
  <si>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</si>
  <si>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</si>
  <si>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</si>
  <si>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</si>
  <si>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</si>
  <si>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</si>
  <si>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</si>
  <si>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</si>
  <si>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</si>
  <si>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</si>
  <si>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</si>
  <si>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</si>
  <si>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</si>
  <si>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</si>
  <si>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</si>
  <si>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</si>
  <si>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</si>
  <si>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</si>
  <si>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</si>
  <si>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</si>
  <si>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</si>
  <si>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</si>
  <si>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</si>
  <si>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</si>
  <si>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</si>
  <si>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</si>
  <si>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</si>
  <si>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</si>
  <si>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</si>
  <si>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</si>
  <si>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</si>
  <si>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</si>
  <si>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</si>
  <si>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</si>
  <si>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</si>
  <si>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</si>
  <si>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</si>
  <si>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</si>
  <si>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</si>
  <si>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</si>
  <si>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</si>
  <si>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</si>
  <si>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</si>
  <si>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</si>
  <si>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</si>
  <si>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</si>
  <si>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</si>
  <si>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</si>
  <si>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</si>
  <si>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</si>
  <si>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</si>
  <si>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</si>
  <si>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</si>
  <si>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</si>
  <si>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</si>
  <si>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</si>
  <si>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調査対象等：</t>
  </si>
  <si>
    <t>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</si>
  <si>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</si>
  <si>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</si>
  <si>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</si>
  <si>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</si>
  <si>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</si>
  <si>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</si>
  <si>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</si>
  <si>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</si>
  <si>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</si>
  <si>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</si>
  <si>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</si>
  <si>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</si>
  <si>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</si>
  <si>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</si>
  <si>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</si>
  <si>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</si>
  <si>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</si>
  <si>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</si>
  <si>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</si>
  <si>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</si>
  <si>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</si>
  <si>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</si>
  <si>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平成27年度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</si>
  <si>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</si>
  <si>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</si>
  <si>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平成28年度</t>
  </si>
  <si>
    <t>実件</t>
  </si>
  <si>
    <t>(4)　税務署別課税状況等</t>
  </si>
  <si>
    <t>(4)　税務署別課税状況等（続）</t>
  </si>
  <si>
    <t>平成29年度</t>
  </si>
  <si>
    <t>平成30年度</t>
  </si>
  <si>
    <t>令和元年度</t>
  </si>
  <si>
    <t>調査対象等：令和元年度末（令和２年３月31日現在）の届出件数を示している。</t>
  </si>
  <si>
    <t>７　消　費　税</t>
  </si>
  <si>
    <t xml:space="preserve"> 「現年分」は､平成31年４月１日から令和２年３月31日までに終了した課税期間に係る消費税の申告及び処理（更正、決定等）による課税事績(令和２年６月30日までのもの。国・地方公共団体等については令和２年９月30日までのもの。)に基づいて作成した。</t>
  </si>
  <si>
    <t xml:space="preserve"> 「既往年分」は、平成31年３月31日以前に終了した課税期間に係る消費税の申告及び処理（更正、決定等）による課税事績（令和元年７月１日から令和２年６月30日までのもの。国・地方公共団体等については令和元年10月１日から令和２年６月30日までのもの。）に基づいて作成した。</t>
  </si>
  <si>
    <t>　  （注）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</si>
</sst>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b/>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b/>
      <sz val="9"/>
      <color theme="1"/>
      <name val="ＭＳ 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hair"/>
      <right style="thin"/>
      <top style="thin">
        <color indexed="55"/>
      </top>
      <bottom style="thin">
        <color indexed="55"/>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bottom style="thin"/>
    </border>
    <border>
      <left style="hair"/>
      <right style="hair"/>
      <top style="hair">
        <color indexed="55"/>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hair"/>
      <top style="thin"/>
      <bottom style="hair"/>
    </border>
    <border>
      <left style="medium"/>
      <right style="hair"/>
      <top style="hair"/>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thin"/>
      <right style="thin"/>
      <top style="medium"/>
      <bottom style="thin"/>
    </border>
    <border>
      <left>
        <color indexed="63"/>
      </left>
      <right style="medium"/>
      <top style="medium"/>
      <bottom>
        <color indexed="63"/>
      </bottom>
    </border>
    <border>
      <left style="medium"/>
      <right style="hair"/>
      <top style="thin"/>
      <bottom>
        <color indexed="63"/>
      </bottom>
    </border>
    <border>
      <left style="medium"/>
      <right style="hair"/>
      <top>
        <color indexed="63"/>
      </top>
      <bottom style="mediu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9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2" fillId="0" borderId="40"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1" xfId="61" applyFont="1" applyFill="1" applyBorder="1" applyAlignment="1">
      <alignment horizontal="right" vertical="top"/>
      <protection/>
    </xf>
    <xf numFmtId="0" fontId="7" fillId="34" borderId="43"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6" fillId="36" borderId="47" xfId="61" applyFont="1" applyFill="1" applyBorder="1" applyAlignment="1">
      <alignment horizontal="distributed" vertical="center"/>
      <protection/>
    </xf>
    <xf numFmtId="0" fontId="8" fillId="0" borderId="48" xfId="61" applyFont="1" applyFill="1" applyBorder="1" applyAlignment="1">
      <alignment horizontal="distributed" vertical="center"/>
      <protection/>
    </xf>
    <xf numFmtId="0" fontId="8" fillId="0" borderId="49" xfId="61" applyFont="1" applyFill="1" applyBorder="1" applyAlignment="1">
      <alignment horizontal="center" vertical="center"/>
      <protection/>
    </xf>
    <xf numFmtId="0" fontId="6" fillId="0" borderId="50" xfId="61" applyFont="1" applyBorder="1" applyAlignment="1">
      <alignment horizontal="center" vertical="center"/>
      <protection/>
    </xf>
    <xf numFmtId="0" fontId="6" fillId="0" borderId="51" xfId="61" applyFont="1" applyBorder="1" applyAlignment="1">
      <alignment horizontal="center" vertical="center"/>
      <protection/>
    </xf>
    <xf numFmtId="0" fontId="6" fillId="36" borderId="52" xfId="61" applyFont="1" applyFill="1" applyBorder="1" applyAlignment="1">
      <alignment horizontal="distributed" vertical="center"/>
      <protection/>
    </xf>
    <xf numFmtId="0" fontId="2"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0" borderId="55" xfId="61" applyFont="1" applyBorder="1" applyAlignment="1">
      <alignment horizontal="distributed" vertical="center" indent="1"/>
      <protection/>
    </xf>
    <xf numFmtId="0" fontId="2" fillId="0" borderId="55" xfId="61" applyFont="1" applyBorder="1" applyAlignment="1">
      <alignment horizontal="centerContinuous" vertical="center" wrapText="1"/>
      <protection/>
    </xf>
    <xf numFmtId="0" fontId="7" fillId="33" borderId="43" xfId="61" applyFont="1" applyFill="1" applyBorder="1" applyAlignment="1">
      <alignment horizontal="right" vertical="top"/>
      <protection/>
    </xf>
    <xf numFmtId="0" fontId="8" fillId="0" borderId="56" xfId="61" applyFont="1" applyFill="1" applyBorder="1" applyAlignment="1">
      <alignment horizontal="center" vertical="center"/>
      <protection/>
    </xf>
    <xf numFmtId="0" fontId="6" fillId="0" borderId="57"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8" xfId="61" applyFont="1" applyFill="1" applyBorder="1" applyAlignment="1">
      <alignment horizontal="distributed" vertical="top"/>
      <protection/>
    </xf>
    <xf numFmtId="0" fontId="2" fillId="36" borderId="59" xfId="61" applyFont="1" applyFill="1" applyBorder="1" applyAlignment="1">
      <alignment horizontal="distributed" vertical="center"/>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12" fillId="37" borderId="59" xfId="61" applyFont="1" applyFill="1" applyBorder="1" applyAlignment="1">
      <alignment horizontal="distributed" vertical="center"/>
      <protection/>
    </xf>
    <xf numFmtId="0" fontId="7" fillId="35" borderId="62"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3" xfId="61" applyFont="1" applyFill="1" applyBorder="1" applyAlignment="1">
      <alignment horizontal="distributed" vertical="center"/>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3" fontId="2" fillId="34" borderId="66"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8" xfId="0" applyNumberFormat="1" applyFont="1" applyFill="1" applyBorder="1" applyAlignment="1">
      <alignment horizontal="right" vertical="center"/>
    </xf>
    <xf numFmtId="3" fontId="6" fillId="34" borderId="67"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4" borderId="72" xfId="0" applyNumberFormat="1" applyFont="1" applyFill="1" applyBorder="1" applyAlignment="1">
      <alignment horizontal="right" vertical="center"/>
    </xf>
    <xf numFmtId="3" fontId="2" fillId="34" borderId="72" xfId="0" applyNumberFormat="1" applyFont="1" applyFill="1" applyBorder="1" applyAlignment="1">
      <alignment vertical="center"/>
    </xf>
    <xf numFmtId="3" fontId="2" fillId="34"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6" xfId="61" applyNumberFormat="1" applyFont="1" applyFill="1" applyBorder="1" applyAlignment="1">
      <alignment horizontal="right" vertical="center"/>
      <protection/>
    </xf>
    <xf numFmtId="177" fontId="2" fillId="34" borderId="77"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78" xfId="61" applyNumberFormat="1" applyFont="1" applyFill="1" applyBorder="1" applyAlignment="1">
      <alignment horizontal="right" vertical="center"/>
      <protection/>
    </xf>
    <xf numFmtId="177" fontId="6" fillId="34" borderId="79" xfId="61" applyNumberFormat="1" applyFont="1" applyFill="1" applyBorder="1" applyAlignment="1">
      <alignment horizontal="right" vertical="center"/>
      <protection/>
    </xf>
    <xf numFmtId="177" fontId="6" fillId="33" borderId="80" xfId="61" applyNumberFormat="1" applyFont="1" applyFill="1" applyBorder="1" applyAlignment="1">
      <alignment horizontal="right" vertical="center"/>
      <protection/>
    </xf>
    <xf numFmtId="177" fontId="6" fillId="33" borderId="81" xfId="61" applyNumberFormat="1" applyFont="1" applyFill="1" applyBorder="1" applyAlignment="1">
      <alignment horizontal="right" vertical="center"/>
      <protection/>
    </xf>
    <xf numFmtId="177" fontId="2" fillId="34" borderId="82" xfId="61" applyNumberFormat="1" applyFont="1" applyFill="1" applyBorder="1" applyAlignment="1">
      <alignment horizontal="right" vertical="center"/>
      <protection/>
    </xf>
    <xf numFmtId="177" fontId="2" fillId="33" borderId="83" xfId="61" applyNumberFormat="1" applyFont="1" applyFill="1" applyBorder="1" applyAlignment="1">
      <alignment horizontal="right" vertical="center"/>
      <protection/>
    </xf>
    <xf numFmtId="177" fontId="2" fillId="33"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177" fontId="2" fillId="0" borderId="87"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4" xfId="61" applyNumberFormat="1" applyFont="1" applyFill="1" applyBorder="1" applyAlignment="1">
      <alignment horizontal="right" vertical="center"/>
      <protection/>
    </xf>
    <xf numFmtId="177" fontId="6" fillId="33" borderId="88"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89" xfId="61" applyFont="1" applyFill="1" applyBorder="1" applyAlignment="1">
      <alignment horizontal="distributed" vertical="center"/>
      <protection/>
    </xf>
    <xf numFmtId="0" fontId="8" fillId="37" borderId="90" xfId="61" applyFont="1" applyFill="1" applyBorder="1" applyAlignment="1">
      <alignment horizontal="center" vertical="center"/>
      <protection/>
    </xf>
    <xf numFmtId="177" fontId="8" fillId="28" borderId="91" xfId="61" applyNumberFormat="1" applyFont="1" applyFill="1" applyBorder="1" applyAlignment="1">
      <alignment horizontal="right" vertical="center"/>
      <protection/>
    </xf>
    <xf numFmtId="177" fontId="8" fillId="38" borderId="92" xfId="61" applyNumberFormat="1" applyFont="1" applyFill="1" applyBorder="1" applyAlignment="1">
      <alignment horizontal="right" vertical="center"/>
      <protection/>
    </xf>
    <xf numFmtId="0" fontId="6" fillId="36" borderId="93" xfId="61" applyFont="1" applyFill="1" applyBorder="1" applyAlignment="1">
      <alignment horizontal="distributed" vertical="center"/>
      <protection/>
    </xf>
    <xf numFmtId="177" fontId="6" fillId="34" borderId="94"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95" xfId="61" applyNumberFormat="1" applyFont="1" applyFill="1" applyBorder="1" applyAlignment="1">
      <alignment horizontal="right" vertical="center"/>
      <protection/>
    </xf>
    <xf numFmtId="0" fontId="6" fillId="36" borderId="96" xfId="61" applyFont="1" applyFill="1" applyBorder="1" applyAlignment="1">
      <alignment horizontal="distributed" vertical="center"/>
      <protection/>
    </xf>
    <xf numFmtId="0" fontId="8" fillId="0" borderId="97" xfId="61" applyFont="1" applyFill="1" applyBorder="1" applyAlignment="1">
      <alignment horizontal="distributed" vertical="center"/>
      <protection/>
    </xf>
    <xf numFmtId="177" fontId="8" fillId="0" borderId="98" xfId="61" applyNumberFormat="1" applyFont="1" applyFill="1" applyBorder="1" applyAlignment="1">
      <alignment horizontal="right" vertical="center"/>
      <protection/>
    </xf>
    <xf numFmtId="177" fontId="8" fillId="0" borderId="99" xfId="61" applyNumberFormat="1" applyFont="1" applyFill="1" applyBorder="1" applyAlignment="1">
      <alignment horizontal="right" vertical="center"/>
      <protection/>
    </xf>
    <xf numFmtId="177" fontId="8" fillId="0" borderId="100" xfId="61" applyNumberFormat="1" applyFont="1" applyFill="1" applyBorder="1" applyAlignment="1">
      <alignment horizontal="right" vertical="center"/>
      <protection/>
    </xf>
    <xf numFmtId="0" fontId="8" fillId="0" borderId="101" xfId="61" applyFont="1" applyFill="1" applyBorder="1" applyAlignment="1">
      <alignment horizontal="center" vertical="center"/>
      <protection/>
    </xf>
    <xf numFmtId="0" fontId="6" fillId="36" borderId="102"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03" xfId="61" applyNumberFormat="1" applyFont="1" applyFill="1" applyBorder="1" applyAlignment="1">
      <alignment horizontal="right" vertical="center"/>
      <protection/>
    </xf>
    <xf numFmtId="177" fontId="6" fillId="33" borderId="104" xfId="61" applyNumberFormat="1" applyFont="1" applyFill="1" applyBorder="1" applyAlignment="1">
      <alignment horizontal="right" vertical="center"/>
      <protection/>
    </xf>
    <xf numFmtId="0" fontId="6" fillId="36" borderId="105" xfId="61" applyFont="1" applyFill="1" applyBorder="1" applyAlignment="1">
      <alignment horizontal="distributed" vertical="center"/>
      <protection/>
    </xf>
    <xf numFmtId="0" fontId="8" fillId="37" borderId="97" xfId="61" applyFont="1" applyFill="1" applyBorder="1" applyAlignment="1">
      <alignment horizontal="distributed" vertical="center"/>
      <protection/>
    </xf>
    <xf numFmtId="177" fontId="8" fillId="28" borderId="100" xfId="61" applyNumberFormat="1" applyFont="1" applyFill="1" applyBorder="1" applyAlignment="1">
      <alignment horizontal="right" vertical="center"/>
      <protection/>
    </xf>
    <xf numFmtId="177" fontId="8" fillId="38" borderId="99" xfId="61" applyNumberFormat="1" applyFont="1" applyFill="1" applyBorder="1" applyAlignment="1">
      <alignment horizontal="right" vertical="center"/>
      <protection/>
    </xf>
    <xf numFmtId="177" fontId="8" fillId="38" borderId="106" xfId="61" applyNumberFormat="1" applyFont="1" applyFill="1" applyBorder="1" applyAlignment="1">
      <alignment horizontal="right" vertical="center"/>
      <protection/>
    </xf>
    <xf numFmtId="0" fontId="8" fillId="37" borderId="101" xfId="61" applyFont="1" applyFill="1" applyBorder="1" applyAlignment="1">
      <alignment horizontal="center" vertical="center"/>
      <protection/>
    </xf>
    <xf numFmtId="0" fontId="6" fillId="37" borderId="93" xfId="61" applyFont="1" applyFill="1" applyBorder="1" applyAlignment="1">
      <alignment horizontal="distributed" vertical="center"/>
      <protection/>
    </xf>
    <xf numFmtId="177" fontId="6" fillId="28" borderId="94" xfId="61" applyNumberFormat="1" applyFont="1" applyFill="1" applyBorder="1" applyAlignment="1">
      <alignment horizontal="right" vertical="center"/>
      <protection/>
    </xf>
    <xf numFmtId="177" fontId="6" fillId="38" borderId="70" xfId="61" applyNumberFormat="1" applyFont="1" applyFill="1" applyBorder="1" applyAlignment="1">
      <alignment horizontal="right" vertical="center"/>
      <protection/>
    </xf>
    <xf numFmtId="3" fontId="2" fillId="34" borderId="107" xfId="0" applyNumberFormat="1" applyFont="1" applyFill="1" applyBorder="1" applyAlignment="1">
      <alignment horizontal="right" vertical="center"/>
    </xf>
    <xf numFmtId="3" fontId="2" fillId="34" borderId="108" xfId="0" applyNumberFormat="1" applyFont="1" applyFill="1" applyBorder="1" applyAlignment="1">
      <alignment vertical="center"/>
    </xf>
    <xf numFmtId="3" fontId="2" fillId="34" borderId="109" xfId="0" applyNumberFormat="1" applyFont="1" applyFill="1" applyBorder="1" applyAlignment="1">
      <alignment vertical="center"/>
    </xf>
    <xf numFmtId="3" fontId="2" fillId="34" borderId="57" xfId="0" applyNumberFormat="1" applyFont="1" applyFill="1" applyBorder="1" applyAlignment="1">
      <alignment vertical="center"/>
    </xf>
    <xf numFmtId="0" fontId="2" fillId="36" borderId="105" xfId="61" applyFont="1" applyFill="1" applyBorder="1" applyAlignment="1">
      <alignment horizontal="distributed" vertical="center"/>
      <protection/>
    </xf>
    <xf numFmtId="0" fontId="2" fillId="36" borderId="110" xfId="61" applyFont="1" applyFill="1" applyBorder="1" applyAlignment="1">
      <alignment horizontal="distributed" vertical="center"/>
      <protection/>
    </xf>
    <xf numFmtId="0" fontId="8" fillId="0" borderId="111" xfId="61" applyFont="1" applyFill="1" applyBorder="1" applyAlignment="1">
      <alignment horizontal="distributed" vertical="center"/>
      <protection/>
    </xf>
    <xf numFmtId="177" fontId="8" fillId="0" borderId="85" xfId="61" applyNumberFormat="1" applyFont="1" applyFill="1" applyBorder="1" applyAlignment="1">
      <alignment horizontal="right" vertical="center"/>
      <protection/>
    </xf>
    <xf numFmtId="177" fontId="8" fillId="0" borderId="86" xfId="61" applyNumberFormat="1" applyFont="1" applyFill="1" applyBorder="1" applyAlignment="1">
      <alignment horizontal="right" vertical="center"/>
      <protection/>
    </xf>
    <xf numFmtId="177" fontId="8" fillId="0" borderId="87" xfId="61" applyNumberFormat="1" applyFont="1" applyFill="1" applyBorder="1" applyAlignment="1">
      <alignment horizontal="right" vertical="center"/>
      <protection/>
    </xf>
    <xf numFmtId="0" fontId="8" fillId="0" borderId="112" xfId="61" applyFont="1" applyFill="1" applyBorder="1" applyAlignment="1">
      <alignment horizontal="center" vertical="center"/>
      <protection/>
    </xf>
    <xf numFmtId="3" fontId="50" fillId="34" borderId="66" xfId="0" applyNumberFormat="1" applyFont="1" applyFill="1" applyBorder="1" applyAlignment="1">
      <alignment horizontal="right" vertical="center"/>
    </xf>
    <xf numFmtId="3" fontId="50" fillId="34" borderId="67" xfId="0" applyNumberFormat="1" applyFont="1" applyFill="1" applyBorder="1" applyAlignment="1">
      <alignment horizontal="right" vertical="center"/>
    </xf>
    <xf numFmtId="3" fontId="51" fillId="34" borderId="67" xfId="0" applyNumberFormat="1" applyFont="1" applyFill="1" applyBorder="1" applyAlignment="1">
      <alignment horizontal="right" vertical="center"/>
    </xf>
    <xf numFmtId="3" fontId="50" fillId="34" borderId="69" xfId="0" applyNumberFormat="1" applyFont="1" applyFill="1" applyBorder="1" applyAlignment="1">
      <alignment horizontal="right" vertical="center"/>
    </xf>
    <xf numFmtId="3" fontId="50" fillId="34" borderId="25" xfId="0" applyNumberFormat="1" applyFont="1" applyFill="1" applyBorder="1" applyAlignment="1">
      <alignment horizontal="right" vertical="center"/>
    </xf>
    <xf numFmtId="3" fontId="50" fillId="34" borderId="29" xfId="0" applyNumberFormat="1" applyFont="1" applyFill="1" applyBorder="1" applyAlignment="1">
      <alignment horizontal="right" vertical="center"/>
    </xf>
    <xf numFmtId="177" fontId="50" fillId="33" borderId="32" xfId="61" applyNumberFormat="1" applyFont="1" applyFill="1" applyBorder="1" applyAlignment="1">
      <alignment horizontal="right" vertical="center"/>
      <protection/>
    </xf>
    <xf numFmtId="177" fontId="50" fillId="33" borderId="23" xfId="61" applyNumberFormat="1" applyFont="1" applyFill="1" applyBorder="1" applyAlignment="1">
      <alignment horizontal="right" vertical="center"/>
      <protection/>
    </xf>
    <xf numFmtId="177" fontId="50" fillId="33" borderId="76" xfId="61" applyNumberFormat="1" applyFont="1" applyFill="1" applyBorder="1" applyAlignment="1">
      <alignment horizontal="right" vertical="center"/>
      <protection/>
    </xf>
    <xf numFmtId="177" fontId="50" fillId="33" borderId="78" xfId="61" applyNumberFormat="1" applyFont="1" applyFill="1" applyBorder="1" applyAlignment="1">
      <alignment horizontal="right" vertical="center"/>
      <protection/>
    </xf>
    <xf numFmtId="177" fontId="50" fillId="34" borderId="77" xfId="61" applyNumberFormat="1" applyFont="1" applyFill="1" applyBorder="1" applyAlignment="1">
      <alignment horizontal="right" vertical="center"/>
      <protection/>
    </xf>
    <xf numFmtId="177" fontId="51" fillId="34" borderId="94" xfId="61" applyNumberFormat="1" applyFont="1" applyFill="1" applyBorder="1" applyAlignment="1">
      <alignment horizontal="right" vertical="center"/>
      <protection/>
    </xf>
    <xf numFmtId="177" fontId="50" fillId="34" borderId="35" xfId="61" applyNumberFormat="1" applyFont="1" applyFill="1" applyBorder="1" applyAlignment="1">
      <alignment horizontal="right" vertical="center"/>
      <protection/>
    </xf>
    <xf numFmtId="177" fontId="51" fillId="33" borderId="80" xfId="61" applyNumberFormat="1" applyFont="1" applyFill="1" applyBorder="1" applyAlignment="1">
      <alignment horizontal="right" vertical="center"/>
      <protection/>
    </xf>
    <xf numFmtId="177" fontId="52" fillId="38" borderId="113" xfId="61" applyNumberFormat="1" applyFont="1" applyFill="1" applyBorder="1" applyAlignment="1">
      <alignment horizontal="right" vertical="center"/>
      <protection/>
    </xf>
    <xf numFmtId="177" fontId="50" fillId="33" borderId="83" xfId="61" applyNumberFormat="1" applyFont="1" applyFill="1" applyBorder="1" applyAlignment="1">
      <alignment horizontal="right" vertical="center"/>
      <protection/>
    </xf>
    <xf numFmtId="177" fontId="51" fillId="33" borderId="70" xfId="61" applyNumberFormat="1" applyFont="1" applyFill="1" applyBorder="1" applyAlignment="1">
      <alignment horizontal="right" vertical="center"/>
      <protection/>
    </xf>
    <xf numFmtId="177" fontId="51" fillId="33" borderId="81" xfId="61" applyNumberFormat="1" applyFont="1" applyFill="1" applyBorder="1" applyAlignment="1">
      <alignment horizontal="right" vertical="center"/>
      <protection/>
    </xf>
    <xf numFmtId="177" fontId="52" fillId="38" borderId="92" xfId="61" applyNumberFormat="1" applyFont="1" applyFill="1" applyBorder="1" applyAlignment="1">
      <alignment horizontal="right" vertical="center"/>
      <protection/>
    </xf>
    <xf numFmtId="177" fontId="50" fillId="33" borderId="84" xfId="61" applyNumberFormat="1" applyFont="1" applyFill="1" applyBorder="1" applyAlignment="1">
      <alignment horizontal="right" vertical="center"/>
      <protection/>
    </xf>
    <xf numFmtId="177" fontId="51" fillId="33" borderId="95" xfId="61" applyNumberFormat="1" applyFont="1" applyFill="1" applyBorder="1" applyAlignment="1">
      <alignment horizontal="right" vertical="center"/>
      <protection/>
    </xf>
    <xf numFmtId="177" fontId="52" fillId="38" borderId="106" xfId="61" applyNumberFormat="1" applyFont="1" applyFill="1" applyBorder="1" applyAlignment="1">
      <alignment horizontal="right" vertical="center"/>
      <protection/>
    </xf>
    <xf numFmtId="177" fontId="51" fillId="34" borderId="79" xfId="61" applyNumberFormat="1" applyFont="1" applyFill="1" applyBorder="1" applyAlignment="1">
      <alignment horizontal="right" vertical="center"/>
      <protection/>
    </xf>
    <xf numFmtId="177" fontId="52" fillId="28" borderId="100" xfId="61" applyNumberFormat="1" applyFont="1" applyFill="1" applyBorder="1" applyAlignment="1">
      <alignment horizontal="right" vertical="center"/>
      <protection/>
    </xf>
    <xf numFmtId="177" fontId="51" fillId="34" borderId="19" xfId="61" applyNumberFormat="1" applyFont="1" applyFill="1" applyBorder="1" applyAlignment="1">
      <alignment horizontal="right" vertical="center"/>
      <protection/>
    </xf>
    <xf numFmtId="177" fontId="52" fillId="0" borderId="100" xfId="61" applyNumberFormat="1" applyFont="1" applyFill="1" applyBorder="1" applyAlignment="1">
      <alignment horizontal="right" vertical="center"/>
      <protection/>
    </xf>
    <xf numFmtId="177" fontId="51" fillId="34" borderId="20" xfId="61" applyNumberFormat="1" applyFont="1" applyFill="1" applyBorder="1" applyAlignment="1">
      <alignment horizontal="right" vertical="center"/>
      <protection/>
    </xf>
    <xf numFmtId="177" fontId="51" fillId="33" borderId="74" xfId="61" applyNumberFormat="1" applyFont="1" applyFill="1" applyBorder="1" applyAlignment="1">
      <alignment horizontal="right" vertical="center"/>
      <protection/>
    </xf>
    <xf numFmtId="41" fontId="2" fillId="34" borderId="35" xfId="61" applyNumberFormat="1" applyFont="1" applyFill="1" applyBorder="1" applyAlignment="1">
      <alignment horizontal="right" vertical="center"/>
      <protection/>
    </xf>
    <xf numFmtId="41" fontId="2" fillId="34" borderId="66" xfId="61" applyNumberFormat="1" applyFont="1" applyFill="1" applyBorder="1" applyAlignment="1">
      <alignment horizontal="right" vertical="center"/>
      <protection/>
    </xf>
    <xf numFmtId="41" fontId="2" fillId="34" borderId="76" xfId="61" applyNumberFormat="1" applyFont="1" applyFill="1" applyBorder="1" applyAlignment="1">
      <alignment horizontal="right" vertical="center"/>
      <protection/>
    </xf>
    <xf numFmtId="41" fontId="6" fillId="34" borderId="94" xfId="61" applyNumberFormat="1" applyFont="1" applyFill="1" applyBorder="1" applyAlignment="1">
      <alignment horizontal="right" vertical="center"/>
      <protection/>
    </xf>
    <xf numFmtId="41" fontId="6" fillId="34" borderId="69" xfId="61" applyNumberFormat="1" applyFont="1" applyFill="1" applyBorder="1" applyAlignment="1">
      <alignment horizontal="right" vertical="center"/>
      <protection/>
    </xf>
    <xf numFmtId="41" fontId="6" fillId="34" borderId="95" xfId="61" applyNumberFormat="1" applyFont="1" applyFill="1" applyBorder="1" applyAlignment="1">
      <alignment horizontal="right" vertical="center"/>
      <protection/>
    </xf>
    <xf numFmtId="41" fontId="2" fillId="0" borderId="100" xfId="61" applyNumberFormat="1" applyFont="1" applyFill="1" applyBorder="1" applyAlignment="1">
      <alignment horizontal="right" vertical="center"/>
      <protection/>
    </xf>
    <xf numFmtId="41" fontId="2" fillId="0" borderId="114" xfId="61" applyNumberFormat="1" applyFont="1" applyFill="1" applyBorder="1" applyAlignment="1">
      <alignment horizontal="right" vertical="center"/>
      <protection/>
    </xf>
    <xf numFmtId="41" fontId="2" fillId="0" borderId="106" xfId="61" applyNumberFormat="1" applyFont="1" applyFill="1" applyBorder="1" applyAlignment="1">
      <alignment horizontal="right" vertical="center"/>
      <protection/>
    </xf>
    <xf numFmtId="41" fontId="2" fillId="28" borderId="100" xfId="61" applyNumberFormat="1" applyFont="1" applyFill="1" applyBorder="1" applyAlignment="1">
      <alignment horizontal="right" vertical="center"/>
      <protection/>
    </xf>
    <xf numFmtId="41" fontId="2" fillId="28" borderId="114" xfId="61" applyNumberFormat="1" applyFont="1" applyFill="1" applyBorder="1" applyAlignment="1">
      <alignment horizontal="right" vertical="center"/>
      <protection/>
    </xf>
    <xf numFmtId="41" fontId="2" fillId="28" borderId="106" xfId="61" applyNumberFormat="1" applyFont="1" applyFill="1" applyBorder="1" applyAlignment="1">
      <alignment horizontal="right" vertical="center"/>
      <protection/>
    </xf>
    <xf numFmtId="41" fontId="6" fillId="34" borderId="19" xfId="61" applyNumberFormat="1" applyFont="1" applyFill="1" applyBorder="1" applyAlignment="1">
      <alignment horizontal="right" vertical="center"/>
      <protection/>
    </xf>
    <xf numFmtId="41" fontId="6" fillId="34" borderId="115" xfId="61" applyNumberFormat="1" applyFont="1" applyFill="1" applyBorder="1" applyAlignment="1">
      <alignment horizontal="right" vertical="center"/>
      <protection/>
    </xf>
    <xf numFmtId="41" fontId="6" fillId="34" borderId="104" xfId="61" applyNumberFormat="1" applyFont="1" applyFill="1" applyBorder="1" applyAlignment="1">
      <alignment horizontal="right" vertical="center"/>
      <protection/>
    </xf>
    <xf numFmtId="41" fontId="6" fillId="34" borderId="79" xfId="61" applyNumberFormat="1" applyFont="1" applyFill="1" applyBorder="1" applyAlignment="1">
      <alignment horizontal="right" vertical="center"/>
      <protection/>
    </xf>
    <xf numFmtId="41" fontId="6" fillId="34" borderId="116" xfId="61" applyNumberFormat="1" applyFont="1" applyFill="1" applyBorder="1" applyAlignment="1">
      <alignment horizontal="right" vertical="center"/>
      <protection/>
    </xf>
    <xf numFmtId="41" fontId="6" fillId="34" borderId="81" xfId="61" applyNumberFormat="1" applyFont="1" applyFill="1" applyBorder="1" applyAlignment="1">
      <alignment horizontal="right" vertical="center"/>
      <protection/>
    </xf>
    <xf numFmtId="41" fontId="2" fillId="0" borderId="117" xfId="61" applyNumberFormat="1" applyFont="1" applyFill="1" applyBorder="1" applyAlignment="1">
      <alignment horizontal="right" vertical="center"/>
      <protection/>
    </xf>
    <xf numFmtId="41" fontId="2" fillId="0" borderId="118" xfId="61" applyNumberFormat="1" applyFont="1" applyFill="1" applyBorder="1" applyAlignment="1">
      <alignment horizontal="right" vertical="center"/>
      <protection/>
    </xf>
    <xf numFmtId="41" fontId="2" fillId="0" borderId="119" xfId="61" applyNumberFormat="1" applyFont="1" applyFill="1" applyBorder="1" applyAlignment="1">
      <alignment horizontal="right" vertical="center"/>
      <protection/>
    </xf>
    <xf numFmtId="41" fontId="6" fillId="34" borderId="120" xfId="61" applyNumberFormat="1" applyFont="1" applyFill="1" applyBorder="1" applyAlignment="1">
      <alignment horizontal="right" vertical="center"/>
      <protection/>
    </xf>
    <xf numFmtId="41" fontId="6" fillId="34" borderId="121" xfId="61" applyNumberFormat="1" applyFont="1" applyFill="1" applyBorder="1" applyAlignment="1">
      <alignment horizontal="right" vertical="center"/>
      <protection/>
    </xf>
    <xf numFmtId="41" fontId="6" fillId="34" borderId="122" xfId="61" applyNumberFormat="1" applyFont="1" applyFill="1" applyBorder="1" applyAlignment="1">
      <alignment horizontal="right" vertical="center"/>
      <protection/>
    </xf>
    <xf numFmtId="0" fontId="2" fillId="0" borderId="24" xfId="0" applyFont="1" applyBorder="1" applyAlignment="1">
      <alignment horizontal="distributed" vertical="center" wrapText="1"/>
    </xf>
    <xf numFmtId="0" fontId="2" fillId="0" borderId="123" xfId="0" applyFont="1" applyBorder="1" applyAlignment="1">
      <alignment horizontal="center" vertical="center"/>
    </xf>
    <xf numFmtId="3" fontId="2" fillId="34" borderId="124" xfId="0" applyNumberFormat="1" applyFont="1" applyFill="1" applyBorder="1" applyAlignment="1">
      <alignment horizontal="right" vertical="center"/>
    </xf>
    <xf numFmtId="3" fontId="2" fillId="0" borderId="123" xfId="0" applyNumberFormat="1" applyFont="1" applyBorder="1" applyAlignment="1">
      <alignment horizontal="center" vertical="center"/>
    </xf>
    <xf numFmtId="3" fontId="2" fillId="34" borderId="124" xfId="0" applyNumberFormat="1" applyFont="1" applyFill="1" applyBorder="1" applyAlignment="1">
      <alignment vertical="center"/>
    </xf>
    <xf numFmtId="0" fontId="2" fillId="0" borderId="0" xfId="0" applyFont="1" applyAlignment="1">
      <alignment horizontal="right" vertical="top"/>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2" xfId="0" applyFont="1" applyBorder="1" applyAlignment="1">
      <alignment horizontal="center" vertical="center"/>
    </xf>
    <xf numFmtId="0" fontId="2" fillId="0" borderId="127" xfId="0" applyFont="1" applyBorder="1" applyAlignment="1">
      <alignment horizontal="center" vertical="center"/>
    </xf>
    <xf numFmtId="0" fontId="2" fillId="0" borderId="4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Alignment="1">
      <alignment horizontal="center" vertical="top"/>
    </xf>
    <xf numFmtId="0" fontId="2" fillId="0" borderId="50"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0" xfId="0" applyFont="1" applyAlignment="1">
      <alignment horizontal="left" vertical="top"/>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40"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40" xfId="0" applyFont="1" applyBorder="1" applyAlignment="1">
      <alignment horizontal="left" vertical="center"/>
    </xf>
    <xf numFmtId="0" fontId="2" fillId="0" borderId="0" xfId="0" applyFont="1" applyAlignment="1">
      <alignment horizontal="left" vertical="center"/>
    </xf>
    <xf numFmtId="0" fontId="2" fillId="0" borderId="16" xfId="61" applyFont="1" applyBorder="1" applyAlignment="1">
      <alignment horizontal="distributed" vertical="center" wrapText="1"/>
      <protection/>
    </xf>
    <xf numFmtId="0" fontId="2" fillId="0" borderId="105" xfId="61" applyFont="1" applyBorder="1" applyAlignment="1">
      <alignment horizontal="distributed" vertical="center" wrapText="1"/>
      <protection/>
    </xf>
    <xf numFmtId="0" fontId="2" fillId="0" borderId="141" xfId="61" applyFont="1" applyBorder="1" applyAlignment="1">
      <alignment horizontal="distributed" vertical="center" wrapText="1"/>
      <protection/>
    </xf>
    <xf numFmtId="0" fontId="2" fillId="0" borderId="142" xfId="61" applyFont="1" applyBorder="1" applyAlignment="1">
      <alignment horizontal="center" vertical="center"/>
      <protection/>
    </xf>
    <xf numFmtId="0" fontId="2" fillId="0" borderId="143" xfId="61" applyFont="1" applyBorder="1" applyAlignment="1">
      <alignment horizontal="center" vertical="center"/>
      <protection/>
    </xf>
    <xf numFmtId="0" fontId="2" fillId="0" borderId="144" xfId="61" applyFont="1" applyBorder="1" applyAlignment="1">
      <alignment horizontal="center" vertical="center"/>
      <protection/>
    </xf>
    <xf numFmtId="0" fontId="2" fillId="0" borderId="40" xfId="61" applyFont="1" applyBorder="1" applyAlignment="1">
      <alignment horizontal="left" vertical="center"/>
      <protection/>
    </xf>
    <xf numFmtId="0" fontId="2" fillId="0" borderId="0" xfId="61" applyFont="1" applyAlignment="1">
      <alignment horizontal="left" vertical="center"/>
      <protection/>
    </xf>
    <xf numFmtId="0" fontId="2" fillId="0" borderId="125" xfId="61" applyFont="1" applyBorder="1" applyAlignment="1">
      <alignment horizontal="distributed" vertical="center"/>
      <protection/>
    </xf>
    <xf numFmtId="0" fontId="2" fillId="0" borderId="102" xfId="61" applyFont="1" applyBorder="1" applyAlignment="1">
      <alignment horizontal="distributed" vertical="center"/>
      <protection/>
    </xf>
    <xf numFmtId="0" fontId="2" fillId="0" borderId="145" xfId="61" applyFont="1" applyBorder="1" applyAlignment="1">
      <alignment horizontal="distributed" vertical="center"/>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49" xfId="61" applyFont="1" applyBorder="1" applyAlignment="1">
      <alignment horizontal="center" vertical="center"/>
      <protection/>
    </xf>
    <xf numFmtId="0" fontId="2" fillId="0" borderId="147" xfId="61" applyFont="1" applyBorder="1" applyAlignment="1">
      <alignment horizontal="center" vertical="center" wrapText="1"/>
      <protection/>
    </xf>
    <xf numFmtId="0" fontId="2" fillId="0" borderId="150" xfId="61" applyFont="1" applyBorder="1" applyAlignment="1">
      <alignment horizontal="left" vertical="center"/>
      <protection/>
    </xf>
    <xf numFmtId="0" fontId="2" fillId="0" borderId="146" xfId="61" applyFont="1" applyBorder="1" applyAlignment="1">
      <alignment horizontal="center" vertical="center" wrapText="1"/>
      <protection/>
    </xf>
    <xf numFmtId="0" fontId="2" fillId="0" borderId="151" xfId="61" applyFont="1" applyBorder="1" applyAlignment="1">
      <alignment horizontal="center" vertical="center"/>
      <protection/>
    </xf>
    <xf numFmtId="0" fontId="2" fillId="0" borderId="152" xfId="61" applyFont="1" applyBorder="1" applyAlignment="1">
      <alignment horizontal="center" vertical="center"/>
      <protection/>
    </xf>
    <xf numFmtId="0" fontId="2" fillId="0" borderId="153" xfId="61" applyFont="1" applyBorder="1" applyAlignment="1">
      <alignment horizontal="distributed" vertical="center" wrapText="1"/>
      <protection/>
    </xf>
    <xf numFmtId="0" fontId="2" fillId="0" borderId="123" xfId="61" applyFont="1" applyBorder="1" applyAlignment="1">
      <alignment horizontal="distributed" vertical="center"/>
      <protection/>
    </xf>
    <xf numFmtId="0" fontId="2" fillId="0" borderId="154" xfId="61" applyFont="1" applyBorder="1" applyAlignment="1">
      <alignment horizontal="distributed" vertical="center" wrapText="1"/>
      <protection/>
    </xf>
    <xf numFmtId="0" fontId="2" fillId="0" borderId="155" xfId="61" applyFont="1" applyBorder="1" applyAlignment="1">
      <alignment horizontal="distributed" vertical="center"/>
      <protection/>
    </xf>
    <xf numFmtId="0" fontId="2" fillId="0" borderId="156" xfId="61" applyFont="1" applyBorder="1" applyAlignment="1">
      <alignment horizontal="distributed" vertical="center" wrapText="1"/>
      <protection/>
    </xf>
    <xf numFmtId="0" fontId="2" fillId="0" borderId="157" xfId="61" applyFont="1" applyBorder="1" applyAlignment="1">
      <alignment horizontal="distributed" vertical="center" wrapText="1"/>
      <protection/>
    </xf>
    <xf numFmtId="0" fontId="2" fillId="0" borderId="55"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workbookViewId="0" topLeftCell="A1">
      <selection activeCell="E12" sqref="E12"/>
    </sheetView>
  </sheetViews>
  <sheetFormatPr defaultColWidth="5.875" defaultRowHeight="13.5"/>
  <cols>
    <col min="1" max="1" width="11.50390625" style="1" customWidth="1"/>
    <col min="2" max="2" width="16.00390625" style="1" customWidth="1"/>
    <col min="3" max="3" width="3.00390625" style="1" customWidth="1"/>
    <col min="4" max="4" width="8.375" style="1" customWidth="1"/>
    <col min="5" max="5" width="10.625" style="1" customWidth="1"/>
    <col min="6" max="6" width="3.00390625" style="1" customWidth="1"/>
    <col min="7" max="7" width="7.875" style="1" customWidth="1"/>
    <col min="8" max="8" width="11.375" style="1" customWidth="1"/>
    <col min="9" max="9" width="3.00390625" style="1" customWidth="1"/>
    <col min="10" max="10" width="7.375" style="1" customWidth="1"/>
    <col min="11" max="11" width="11.375" style="1" customWidth="1"/>
    <col min="12" max="16384" width="5.875" style="1" customWidth="1"/>
  </cols>
  <sheetData>
    <row r="1" spans="1:11" ht="15">
      <c r="A1" s="242" t="s">
        <v>183</v>
      </c>
      <c r="B1" s="242"/>
      <c r="C1" s="242"/>
      <c r="D1" s="242"/>
      <c r="E1" s="242"/>
      <c r="F1" s="242"/>
      <c r="G1" s="242"/>
      <c r="H1" s="242"/>
      <c r="I1" s="242"/>
      <c r="J1" s="242"/>
      <c r="K1" s="242"/>
    </row>
    <row r="2" spans="1:11" ht="15">
      <c r="A2" s="55"/>
      <c r="B2" s="55"/>
      <c r="C2" s="55"/>
      <c r="D2" s="55"/>
      <c r="E2" s="55"/>
      <c r="F2" s="55"/>
      <c r="G2" s="55"/>
      <c r="H2" s="55"/>
      <c r="I2" s="55"/>
      <c r="J2" s="55"/>
      <c r="K2" s="55"/>
    </row>
    <row r="3" spans="1:11" ht="12" thickBot="1">
      <c r="A3" s="253" t="s">
        <v>150</v>
      </c>
      <c r="B3" s="253"/>
      <c r="C3" s="253"/>
      <c r="D3" s="253"/>
      <c r="E3" s="253"/>
      <c r="F3" s="253"/>
      <c r="G3" s="253"/>
      <c r="H3" s="253"/>
      <c r="I3" s="253"/>
      <c r="J3" s="253"/>
      <c r="K3" s="253"/>
    </row>
    <row r="4" spans="1:11" ht="24" customHeight="1">
      <c r="A4" s="236" t="s">
        <v>0</v>
      </c>
      <c r="B4" s="237"/>
      <c r="C4" s="247" t="s">
        <v>151</v>
      </c>
      <c r="D4" s="248"/>
      <c r="E4" s="254"/>
      <c r="F4" s="247" t="s">
        <v>152</v>
      </c>
      <c r="G4" s="248"/>
      <c r="H4" s="254"/>
      <c r="I4" s="247" t="s">
        <v>153</v>
      </c>
      <c r="J4" s="248"/>
      <c r="K4" s="249"/>
    </row>
    <row r="5" spans="1:11" ht="24" customHeight="1">
      <c r="A5" s="238"/>
      <c r="B5" s="239"/>
      <c r="C5" s="234" t="s">
        <v>1</v>
      </c>
      <c r="D5" s="235"/>
      <c r="E5" s="6" t="s">
        <v>2</v>
      </c>
      <c r="F5" s="234" t="s">
        <v>1</v>
      </c>
      <c r="G5" s="235"/>
      <c r="H5" s="6" t="s">
        <v>2</v>
      </c>
      <c r="I5" s="234" t="s">
        <v>1</v>
      </c>
      <c r="J5" s="235"/>
      <c r="K5" s="15" t="s">
        <v>2</v>
      </c>
    </row>
    <row r="6" spans="1:11" ht="12" customHeight="1">
      <c r="A6" s="41"/>
      <c r="B6" s="44"/>
      <c r="C6" s="42"/>
      <c r="D6" s="36" t="s">
        <v>21</v>
      </c>
      <c r="E6" s="35" t="s">
        <v>20</v>
      </c>
      <c r="F6" s="42"/>
      <c r="G6" s="36" t="s">
        <v>21</v>
      </c>
      <c r="H6" s="35" t="s">
        <v>20</v>
      </c>
      <c r="I6" s="42"/>
      <c r="J6" s="36" t="s">
        <v>21</v>
      </c>
      <c r="K6" s="43" t="s">
        <v>20</v>
      </c>
    </row>
    <row r="7" spans="1:11" ht="30" customHeight="1">
      <c r="A7" s="250" t="s">
        <v>154</v>
      </c>
      <c r="B7" s="38" t="s">
        <v>155</v>
      </c>
      <c r="C7" s="16"/>
      <c r="D7" s="176">
        <v>88721</v>
      </c>
      <c r="E7" s="39">
        <v>84016058</v>
      </c>
      <c r="F7" s="19"/>
      <c r="G7" s="102">
        <v>403835</v>
      </c>
      <c r="H7" s="39">
        <v>7769869478</v>
      </c>
      <c r="I7" s="19"/>
      <c r="J7" s="102">
        <v>492556</v>
      </c>
      <c r="K7" s="40">
        <v>7853885536</v>
      </c>
    </row>
    <row r="8" spans="1:11" ht="30" customHeight="1">
      <c r="A8" s="251"/>
      <c r="B8" s="24" t="s">
        <v>156</v>
      </c>
      <c r="C8" s="16"/>
      <c r="D8" s="177">
        <v>143378</v>
      </c>
      <c r="E8" s="104">
        <v>76548206</v>
      </c>
      <c r="F8" s="19"/>
      <c r="G8" s="103">
        <v>147851</v>
      </c>
      <c r="H8" s="104">
        <v>102542181</v>
      </c>
      <c r="I8" s="19"/>
      <c r="J8" s="103">
        <v>291229</v>
      </c>
      <c r="K8" s="105">
        <v>179090386</v>
      </c>
    </row>
    <row r="9" spans="1:11" s="3" customFormat="1" ht="30" customHeight="1">
      <c r="A9" s="251"/>
      <c r="B9" s="25" t="s">
        <v>157</v>
      </c>
      <c r="C9" s="17"/>
      <c r="D9" s="178">
        <v>232099</v>
      </c>
      <c r="E9" s="107">
        <v>160564264</v>
      </c>
      <c r="F9" s="17"/>
      <c r="G9" s="106">
        <v>551686</v>
      </c>
      <c r="H9" s="107">
        <v>7872411659</v>
      </c>
      <c r="I9" s="17"/>
      <c r="J9" s="106">
        <v>783785</v>
      </c>
      <c r="K9" s="108">
        <v>8032975923</v>
      </c>
    </row>
    <row r="10" spans="1:11" ht="30" customHeight="1">
      <c r="A10" s="252"/>
      <c r="B10" s="26" t="s">
        <v>158</v>
      </c>
      <c r="C10" s="16"/>
      <c r="D10" s="179">
        <v>8490</v>
      </c>
      <c r="E10" s="110">
        <v>10563237</v>
      </c>
      <c r="F10" s="16"/>
      <c r="G10" s="109">
        <v>63174</v>
      </c>
      <c r="H10" s="110">
        <v>2625298903</v>
      </c>
      <c r="I10" s="16"/>
      <c r="J10" s="109">
        <v>71664</v>
      </c>
      <c r="K10" s="111">
        <v>2635862140</v>
      </c>
    </row>
    <row r="11" spans="1:11" ht="30" customHeight="1">
      <c r="A11" s="245" t="s">
        <v>159</v>
      </c>
      <c r="B11" s="56" t="s">
        <v>160</v>
      </c>
      <c r="C11" s="9"/>
      <c r="D11" s="112">
        <v>16114</v>
      </c>
      <c r="E11" s="21">
        <v>5535161</v>
      </c>
      <c r="F11" s="37"/>
      <c r="G11" s="113">
        <v>29008</v>
      </c>
      <c r="H11" s="21">
        <v>37102624</v>
      </c>
      <c r="I11" s="37"/>
      <c r="J11" s="113">
        <v>45122</v>
      </c>
      <c r="K11" s="22">
        <v>42637785</v>
      </c>
    </row>
    <row r="12" spans="1:11" ht="30" customHeight="1">
      <c r="A12" s="246"/>
      <c r="B12" s="228" t="s">
        <v>161</v>
      </c>
      <c r="C12" s="229"/>
      <c r="D12" s="230">
        <v>4145</v>
      </c>
      <c r="E12" s="29">
        <v>1257051</v>
      </c>
      <c r="F12" s="231"/>
      <c r="G12" s="232">
        <v>7045</v>
      </c>
      <c r="H12" s="29">
        <v>23880824</v>
      </c>
      <c r="I12" s="231"/>
      <c r="J12" s="232">
        <v>11190</v>
      </c>
      <c r="K12" s="30">
        <v>25137875</v>
      </c>
    </row>
    <row r="13" spans="1:11" ht="30" customHeight="1" thickBot="1">
      <c r="A13" s="243" t="s">
        <v>5</v>
      </c>
      <c r="B13" s="244"/>
      <c r="C13" s="18"/>
      <c r="D13" s="114">
        <v>15788</v>
      </c>
      <c r="E13" s="115">
        <v>968430</v>
      </c>
      <c r="F13" s="20"/>
      <c r="G13" s="114">
        <v>23366</v>
      </c>
      <c r="H13" s="115">
        <v>4166891</v>
      </c>
      <c r="I13" s="20"/>
      <c r="J13" s="114">
        <v>39154</v>
      </c>
      <c r="K13" s="116">
        <v>5135320</v>
      </c>
    </row>
    <row r="14" spans="1:11" s="4" customFormat="1" ht="34.5" customHeight="1">
      <c r="A14" s="54" t="s">
        <v>148</v>
      </c>
      <c r="B14" s="240" t="s">
        <v>184</v>
      </c>
      <c r="C14" s="240"/>
      <c r="D14" s="240"/>
      <c r="E14" s="240"/>
      <c r="F14" s="240"/>
      <c r="G14" s="240"/>
      <c r="H14" s="240"/>
      <c r="I14" s="240"/>
      <c r="J14" s="240"/>
      <c r="K14" s="240"/>
    </row>
    <row r="15" spans="2:11" ht="34.5" customHeight="1">
      <c r="B15" s="241" t="s">
        <v>185</v>
      </c>
      <c r="C15" s="241"/>
      <c r="D15" s="241"/>
      <c r="E15" s="241"/>
      <c r="F15" s="241"/>
      <c r="G15" s="241"/>
      <c r="H15" s="241"/>
      <c r="I15" s="241"/>
      <c r="J15" s="241"/>
      <c r="K15" s="241"/>
    </row>
    <row r="16" spans="1:2" ht="14.25" customHeight="1">
      <c r="A16" s="233" t="s">
        <v>186</v>
      </c>
      <c r="B16" s="1" t="s">
        <v>149</v>
      </c>
    </row>
    <row r="17" ht="11.25">
      <c r="A17" s="59"/>
    </row>
  </sheetData>
  <sheetProtection/>
  <mergeCells count="14">
    <mergeCell ref="I5:J5"/>
    <mergeCell ref="C4:E4"/>
    <mergeCell ref="F4:H4"/>
    <mergeCell ref="C5:D5"/>
    <mergeCell ref="F5:G5"/>
    <mergeCell ref="A4:B5"/>
    <mergeCell ref="B14:K14"/>
    <mergeCell ref="B15:K15"/>
    <mergeCell ref="A1:K1"/>
    <mergeCell ref="A13:B13"/>
    <mergeCell ref="A11:A12"/>
    <mergeCell ref="I4:K4"/>
    <mergeCell ref="A7:A10"/>
    <mergeCell ref="A3:K3"/>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N11" sqref="N11"/>
    </sheetView>
  </sheetViews>
  <sheetFormatPr defaultColWidth="9.00390625" defaultRowHeight="13.5"/>
  <cols>
    <col min="1" max="1" width="10.625" style="58" customWidth="1"/>
    <col min="2" max="2" width="15.625" style="58" customWidth="1"/>
    <col min="3" max="3" width="8.625" style="58" customWidth="1"/>
    <col min="4" max="4" width="10.625" style="58" customWidth="1"/>
    <col min="5" max="5" width="8.625" style="58" customWidth="1"/>
    <col min="6" max="6" width="12.875" style="58" bestFit="1" customWidth="1"/>
    <col min="7" max="7" width="8.625" style="58" customWidth="1"/>
    <col min="8" max="8" width="12.875" style="58" bestFit="1" customWidth="1"/>
    <col min="9" max="16384" width="9.00390625" style="58" customWidth="1"/>
  </cols>
  <sheetData>
    <row r="1" s="1" customFormat="1" ht="12" thickBot="1">
      <c r="A1" s="1" t="s">
        <v>22</v>
      </c>
    </row>
    <row r="2" spans="1:8" s="1" customFormat="1" ht="15" customHeight="1">
      <c r="A2" s="236" t="s">
        <v>0</v>
      </c>
      <c r="B2" s="237"/>
      <c r="C2" s="255" t="s">
        <v>12</v>
      </c>
      <c r="D2" s="255"/>
      <c r="E2" s="255" t="s">
        <v>15</v>
      </c>
      <c r="F2" s="255"/>
      <c r="G2" s="256" t="s">
        <v>16</v>
      </c>
      <c r="H2" s="257"/>
    </row>
    <row r="3" spans="1:8" s="1" customFormat="1" ht="15" customHeight="1">
      <c r="A3" s="238"/>
      <c r="B3" s="239"/>
      <c r="C3" s="9" t="s">
        <v>17</v>
      </c>
      <c r="D3" s="6" t="s">
        <v>18</v>
      </c>
      <c r="E3" s="9" t="s">
        <v>17</v>
      </c>
      <c r="F3" s="7" t="s">
        <v>18</v>
      </c>
      <c r="G3" s="9" t="s">
        <v>17</v>
      </c>
      <c r="H3" s="8" t="s">
        <v>18</v>
      </c>
    </row>
    <row r="4" spans="1:8" s="10" customFormat="1" ht="15" customHeight="1">
      <c r="A4" s="46"/>
      <c r="B4" s="6"/>
      <c r="C4" s="47" t="s">
        <v>3</v>
      </c>
      <c r="D4" s="48" t="s">
        <v>4</v>
      </c>
      <c r="E4" s="47" t="s">
        <v>3</v>
      </c>
      <c r="F4" s="48" t="s">
        <v>4</v>
      </c>
      <c r="G4" s="47" t="s">
        <v>3</v>
      </c>
      <c r="H4" s="49" t="s">
        <v>4</v>
      </c>
    </row>
    <row r="5" spans="1:8" s="57" customFormat="1" ht="30" customHeight="1">
      <c r="A5" s="260" t="s">
        <v>172</v>
      </c>
      <c r="B5" s="38" t="s">
        <v>10</v>
      </c>
      <c r="C5" s="45">
        <v>231730</v>
      </c>
      <c r="D5" s="39">
        <v>147319992</v>
      </c>
      <c r="E5" s="45">
        <v>541584</v>
      </c>
      <c r="F5" s="39">
        <v>6919877094</v>
      </c>
      <c r="G5" s="45">
        <v>773314</v>
      </c>
      <c r="H5" s="40">
        <v>7067197087</v>
      </c>
    </row>
    <row r="6" spans="1:8" s="57" customFormat="1" ht="30" customHeight="1">
      <c r="A6" s="261"/>
      <c r="B6" s="26" t="s">
        <v>11</v>
      </c>
      <c r="C6" s="28">
        <v>7304</v>
      </c>
      <c r="D6" s="29">
        <v>11117846</v>
      </c>
      <c r="E6" s="28">
        <v>53509</v>
      </c>
      <c r="F6" s="29">
        <v>2134273947</v>
      </c>
      <c r="G6" s="28">
        <v>60813</v>
      </c>
      <c r="H6" s="30">
        <v>2145391793</v>
      </c>
    </row>
    <row r="7" spans="1:8" s="57" customFormat="1" ht="30" customHeight="1">
      <c r="A7" s="260" t="s">
        <v>175</v>
      </c>
      <c r="B7" s="23" t="s">
        <v>10</v>
      </c>
      <c r="C7" s="27">
        <v>234677</v>
      </c>
      <c r="D7" s="21">
        <v>152553540</v>
      </c>
      <c r="E7" s="27">
        <v>546816</v>
      </c>
      <c r="F7" s="21">
        <v>7375055285</v>
      </c>
      <c r="G7" s="27">
        <v>781493</v>
      </c>
      <c r="H7" s="22">
        <v>7527608825</v>
      </c>
    </row>
    <row r="8" spans="1:8" s="57" customFormat="1" ht="30" customHeight="1">
      <c r="A8" s="261"/>
      <c r="B8" s="26" t="s">
        <v>11</v>
      </c>
      <c r="C8" s="28">
        <v>7619</v>
      </c>
      <c r="D8" s="29">
        <v>10145160</v>
      </c>
      <c r="E8" s="28">
        <v>56132</v>
      </c>
      <c r="F8" s="29">
        <v>2235731183</v>
      </c>
      <c r="G8" s="28">
        <v>63751</v>
      </c>
      <c r="H8" s="30">
        <v>2245876344</v>
      </c>
    </row>
    <row r="9" spans="1:8" s="57" customFormat="1" ht="30" customHeight="1">
      <c r="A9" s="260" t="s">
        <v>179</v>
      </c>
      <c r="B9" s="23" t="s">
        <v>10</v>
      </c>
      <c r="C9" s="27">
        <v>235496</v>
      </c>
      <c r="D9" s="21">
        <v>153567882</v>
      </c>
      <c r="E9" s="27">
        <v>550178</v>
      </c>
      <c r="F9" s="21">
        <v>7592167685</v>
      </c>
      <c r="G9" s="27">
        <v>785674</v>
      </c>
      <c r="H9" s="22">
        <v>7745735567</v>
      </c>
    </row>
    <row r="10" spans="1:8" s="57" customFormat="1" ht="30" customHeight="1">
      <c r="A10" s="261"/>
      <c r="B10" s="26" t="s">
        <v>11</v>
      </c>
      <c r="C10" s="28">
        <v>7942</v>
      </c>
      <c r="D10" s="29">
        <v>11458490</v>
      </c>
      <c r="E10" s="28">
        <v>59099</v>
      </c>
      <c r="F10" s="29">
        <v>2387960747</v>
      </c>
      <c r="G10" s="28">
        <v>67041</v>
      </c>
      <c r="H10" s="30">
        <v>2399419237</v>
      </c>
    </row>
    <row r="11" spans="1:8" s="57" customFormat="1" ht="30" customHeight="1">
      <c r="A11" s="260" t="s">
        <v>180</v>
      </c>
      <c r="B11" s="23" t="s">
        <v>10</v>
      </c>
      <c r="C11" s="27">
        <v>235879</v>
      </c>
      <c r="D11" s="21">
        <v>155255702</v>
      </c>
      <c r="E11" s="27">
        <v>555331</v>
      </c>
      <c r="F11" s="21">
        <v>7616756613</v>
      </c>
      <c r="G11" s="27">
        <v>791210</v>
      </c>
      <c r="H11" s="22">
        <v>7772012315</v>
      </c>
    </row>
    <row r="12" spans="1:8" s="57" customFormat="1" ht="30" customHeight="1">
      <c r="A12" s="261"/>
      <c r="B12" s="26" t="s">
        <v>11</v>
      </c>
      <c r="C12" s="28">
        <v>8266</v>
      </c>
      <c r="D12" s="29">
        <v>10323007</v>
      </c>
      <c r="E12" s="28">
        <v>62144</v>
      </c>
      <c r="F12" s="29">
        <v>2519240161</v>
      </c>
      <c r="G12" s="28">
        <v>70410</v>
      </c>
      <c r="H12" s="30">
        <v>2529563168</v>
      </c>
    </row>
    <row r="13" spans="1:8" s="1" customFormat="1" ht="30" customHeight="1">
      <c r="A13" s="258" t="s">
        <v>181</v>
      </c>
      <c r="B13" s="23" t="s">
        <v>10</v>
      </c>
      <c r="C13" s="180">
        <v>232099</v>
      </c>
      <c r="D13" s="21">
        <v>160564264</v>
      </c>
      <c r="E13" s="27">
        <v>551686</v>
      </c>
      <c r="F13" s="21">
        <v>7872411659</v>
      </c>
      <c r="G13" s="27">
        <v>783785</v>
      </c>
      <c r="H13" s="22">
        <v>8032975923</v>
      </c>
    </row>
    <row r="14" spans="1:8" s="1" customFormat="1" ht="30" customHeight="1" thickBot="1">
      <c r="A14" s="259"/>
      <c r="B14" s="31" t="s">
        <v>11</v>
      </c>
      <c r="C14" s="181">
        <v>8490</v>
      </c>
      <c r="D14" s="33">
        <v>10563237</v>
      </c>
      <c r="E14" s="32">
        <v>63174</v>
      </c>
      <c r="F14" s="33">
        <v>2625298903</v>
      </c>
      <c r="G14" s="32">
        <v>71664</v>
      </c>
      <c r="H14" s="34">
        <v>2635862140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N11" sqref="N11"/>
    </sheetView>
  </sheetViews>
  <sheetFormatPr defaultColWidth="9.00390625" defaultRowHeight="13.5"/>
  <cols>
    <col min="1" max="2" width="18.625" style="58" customWidth="1"/>
    <col min="3" max="3" width="23.625" style="58" customWidth="1"/>
    <col min="4" max="4" width="18.625" style="58" customWidth="1"/>
    <col min="5" max="16384" width="9.00390625" style="58" customWidth="1"/>
  </cols>
  <sheetData>
    <row r="1" s="1" customFormat="1" ht="20.25" customHeight="1" thickBot="1">
      <c r="A1" s="1" t="s">
        <v>19</v>
      </c>
    </row>
    <row r="2" spans="1:4" s="4" customFormat="1" ht="19.5" customHeight="1">
      <c r="A2" s="11" t="s">
        <v>6</v>
      </c>
      <c r="B2" s="12" t="s">
        <v>7</v>
      </c>
      <c r="C2" s="14" t="s">
        <v>8</v>
      </c>
      <c r="D2" s="13" t="s">
        <v>14</v>
      </c>
    </row>
    <row r="3" spans="1:4" s="10" customFormat="1" ht="15" customHeight="1">
      <c r="A3" s="50" t="s">
        <v>3</v>
      </c>
      <c r="B3" s="51" t="s">
        <v>3</v>
      </c>
      <c r="C3" s="52" t="s">
        <v>3</v>
      </c>
      <c r="D3" s="53" t="s">
        <v>3</v>
      </c>
    </row>
    <row r="4" spans="1:9" s="4" customFormat="1" ht="30" customHeight="1" thickBot="1">
      <c r="A4" s="165">
        <v>895972</v>
      </c>
      <c r="B4" s="166">
        <v>52101</v>
      </c>
      <c r="C4" s="167">
        <v>7151</v>
      </c>
      <c r="D4" s="168">
        <v>955224</v>
      </c>
      <c r="E4" s="5"/>
      <c r="G4" s="5"/>
      <c r="I4" s="5"/>
    </row>
    <row r="5" spans="1:4" s="4" customFormat="1" ht="15" customHeight="1">
      <c r="A5" s="262" t="s">
        <v>182</v>
      </c>
      <c r="B5" s="262"/>
      <c r="C5" s="262"/>
      <c r="D5" s="262"/>
    </row>
    <row r="6" spans="1:4" s="4" customFormat="1" ht="15" customHeight="1">
      <c r="A6" s="263" t="s">
        <v>9</v>
      </c>
      <c r="B6" s="263"/>
      <c r="C6" s="263"/>
      <c r="D6" s="263"/>
    </row>
  </sheetData>
  <sheetProtection/>
  <mergeCells count="2">
    <mergeCell ref="A5:D5"/>
    <mergeCell ref="A6:D6"/>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r:id="rId1"/>
  <headerFooter alignWithMargins="0">
    <oddFooter>&amp;R&amp;K01+000東京国税局
消費税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31"/>
  <sheetViews>
    <sheetView showGridLines="0" zoomScaleSheetLayoutView="115" workbookViewId="0" topLeftCell="A1">
      <selection activeCell="N11" sqref="N11"/>
    </sheetView>
  </sheetViews>
  <sheetFormatPr defaultColWidth="9.00390625" defaultRowHeight="13.5"/>
  <cols>
    <col min="1" max="1" width="11.375" style="117" customWidth="1"/>
    <col min="2" max="2" width="10.625" style="117" customWidth="1"/>
    <col min="3" max="3" width="12.625" style="117" customWidth="1"/>
    <col min="4" max="4" width="10.625" style="117" customWidth="1"/>
    <col min="5" max="5" width="12.625" style="117" customWidth="1"/>
    <col min="6" max="6" width="10.625" style="117" customWidth="1"/>
    <col min="7" max="7" width="12.625" style="117" customWidth="1"/>
    <col min="8" max="8" width="10.625" style="117" customWidth="1"/>
    <col min="9" max="9" width="12.625" style="117" customWidth="1"/>
    <col min="10" max="10" width="10.625" style="117" customWidth="1"/>
    <col min="11" max="11" width="12.625" style="117" customWidth="1"/>
    <col min="12" max="12" width="10.625" style="117" customWidth="1"/>
    <col min="13" max="13" width="12.625" style="117" customWidth="1"/>
    <col min="14" max="14" width="11.375" style="117" customWidth="1"/>
    <col min="15" max="16384" width="9.00390625" style="117" customWidth="1"/>
  </cols>
  <sheetData>
    <row r="1" spans="1:14" ht="13.5">
      <c r="A1" s="60" t="s">
        <v>177</v>
      </c>
      <c r="B1" s="60"/>
      <c r="C1" s="60"/>
      <c r="D1" s="60"/>
      <c r="E1" s="60"/>
      <c r="F1" s="60"/>
      <c r="G1" s="60"/>
      <c r="H1" s="61"/>
      <c r="I1" s="61"/>
      <c r="J1" s="61"/>
      <c r="K1" s="61"/>
      <c r="L1" s="61"/>
      <c r="M1" s="61"/>
      <c r="N1" s="61"/>
    </row>
    <row r="2" spans="1:14" ht="14.25" thickBot="1">
      <c r="A2" s="271" t="s">
        <v>133</v>
      </c>
      <c r="B2" s="271"/>
      <c r="C2" s="271"/>
      <c r="D2" s="271"/>
      <c r="E2" s="271"/>
      <c r="F2" s="271"/>
      <c r="G2" s="271"/>
      <c r="H2" s="61"/>
      <c r="I2" s="61"/>
      <c r="J2" s="61"/>
      <c r="K2" s="61"/>
      <c r="L2" s="61"/>
      <c r="M2" s="61"/>
      <c r="N2" s="61"/>
    </row>
    <row r="3" spans="1:14" ht="19.5" customHeight="1">
      <c r="A3" s="272" t="s">
        <v>24</v>
      </c>
      <c r="B3" s="275" t="s">
        <v>25</v>
      </c>
      <c r="C3" s="275"/>
      <c r="D3" s="275"/>
      <c r="E3" s="275"/>
      <c r="F3" s="275"/>
      <c r="G3" s="275"/>
      <c r="H3" s="276" t="s">
        <v>11</v>
      </c>
      <c r="I3" s="277"/>
      <c r="J3" s="279" t="s">
        <v>26</v>
      </c>
      <c r="K3" s="277"/>
      <c r="L3" s="276" t="s">
        <v>27</v>
      </c>
      <c r="M3" s="277"/>
      <c r="N3" s="264" t="s">
        <v>134</v>
      </c>
    </row>
    <row r="4" spans="1:14" ht="17.25" customHeight="1">
      <c r="A4" s="273"/>
      <c r="B4" s="267" t="s">
        <v>13</v>
      </c>
      <c r="C4" s="267"/>
      <c r="D4" s="268" t="s">
        <v>29</v>
      </c>
      <c r="E4" s="269"/>
      <c r="F4" s="268" t="s">
        <v>30</v>
      </c>
      <c r="G4" s="269"/>
      <c r="H4" s="268"/>
      <c r="I4" s="278"/>
      <c r="J4" s="268"/>
      <c r="K4" s="278"/>
      <c r="L4" s="268"/>
      <c r="M4" s="278"/>
      <c r="N4" s="265"/>
    </row>
    <row r="5" spans="1:14" s="136" customFormat="1" ht="28.5" customHeight="1">
      <c r="A5" s="274"/>
      <c r="B5" s="63" t="s">
        <v>33</v>
      </c>
      <c r="C5" s="64" t="s">
        <v>135</v>
      </c>
      <c r="D5" s="63" t="s">
        <v>33</v>
      </c>
      <c r="E5" s="64" t="s">
        <v>135</v>
      </c>
      <c r="F5" s="63" t="s">
        <v>33</v>
      </c>
      <c r="G5" s="64" t="s">
        <v>136</v>
      </c>
      <c r="H5" s="63" t="s">
        <v>33</v>
      </c>
      <c r="I5" s="83" t="s">
        <v>137</v>
      </c>
      <c r="J5" s="63" t="s">
        <v>33</v>
      </c>
      <c r="K5" s="83" t="s">
        <v>138</v>
      </c>
      <c r="L5" s="63" t="s">
        <v>33</v>
      </c>
      <c r="M5" s="84" t="s">
        <v>139</v>
      </c>
      <c r="N5" s="266"/>
    </row>
    <row r="6" spans="1:14" s="88" customFormat="1" ht="10.5">
      <c r="A6" s="97"/>
      <c r="B6" s="98" t="s">
        <v>3</v>
      </c>
      <c r="C6" s="68" t="s">
        <v>4</v>
      </c>
      <c r="D6" s="98" t="s">
        <v>3</v>
      </c>
      <c r="E6" s="68" t="s">
        <v>4</v>
      </c>
      <c r="F6" s="98" t="s">
        <v>3</v>
      </c>
      <c r="G6" s="68" t="s">
        <v>4</v>
      </c>
      <c r="H6" s="98" t="s">
        <v>3</v>
      </c>
      <c r="I6" s="85" t="s">
        <v>4</v>
      </c>
      <c r="J6" s="98" t="s">
        <v>3</v>
      </c>
      <c r="K6" s="85" t="s">
        <v>4</v>
      </c>
      <c r="L6" s="98" t="s">
        <v>176</v>
      </c>
      <c r="M6" s="85" t="s">
        <v>4</v>
      </c>
      <c r="N6" s="92"/>
    </row>
    <row r="7" spans="1:14" s="89" customFormat="1" ht="15.75" customHeight="1">
      <c r="A7" s="94" t="s">
        <v>36</v>
      </c>
      <c r="B7" s="118">
        <f>_xlfn.COMPOUNDVALUE(1)</f>
        <v>1074</v>
      </c>
      <c r="C7" s="182">
        <v>791365</v>
      </c>
      <c r="D7" s="118">
        <f>_xlfn.COMPOUNDVALUE(2)</f>
        <v>1519</v>
      </c>
      <c r="E7" s="182">
        <v>822721</v>
      </c>
      <c r="F7" s="118">
        <f>_xlfn.COMPOUNDVALUE(3)</f>
        <v>2593</v>
      </c>
      <c r="G7" s="182">
        <v>1614086</v>
      </c>
      <c r="H7" s="118">
        <f>_xlfn.COMPOUNDVALUE(4)</f>
        <v>85</v>
      </c>
      <c r="I7" s="184">
        <v>71267</v>
      </c>
      <c r="J7" s="118">
        <v>242</v>
      </c>
      <c r="K7" s="120">
        <v>37997</v>
      </c>
      <c r="L7" s="118">
        <v>2790</v>
      </c>
      <c r="M7" s="120">
        <v>1580816</v>
      </c>
      <c r="N7" s="96" t="s">
        <v>36</v>
      </c>
    </row>
    <row r="8" spans="1:14" s="89" customFormat="1" ht="15.75" customHeight="1">
      <c r="A8" s="72" t="s">
        <v>37</v>
      </c>
      <c r="B8" s="118">
        <f>_xlfn.COMPOUNDVALUE(5)</f>
        <v>954</v>
      </c>
      <c r="C8" s="182">
        <v>587885</v>
      </c>
      <c r="D8" s="118">
        <f>_xlfn.COMPOUNDVALUE(6)</f>
        <v>1430</v>
      </c>
      <c r="E8" s="182">
        <v>688659</v>
      </c>
      <c r="F8" s="118">
        <f>_xlfn.COMPOUNDVALUE(7)</f>
        <v>2384</v>
      </c>
      <c r="G8" s="182">
        <v>1276544</v>
      </c>
      <c r="H8" s="118">
        <f>_xlfn.COMPOUNDVALUE(8)</f>
        <v>78</v>
      </c>
      <c r="I8" s="184">
        <v>97170</v>
      </c>
      <c r="J8" s="118">
        <v>208</v>
      </c>
      <c r="K8" s="120">
        <v>64237</v>
      </c>
      <c r="L8" s="118">
        <v>2614</v>
      </c>
      <c r="M8" s="120">
        <v>1243610</v>
      </c>
      <c r="N8" s="82" t="s">
        <v>37</v>
      </c>
    </row>
    <row r="9" spans="1:14" s="89" customFormat="1" ht="15.75" customHeight="1">
      <c r="A9" s="72" t="s">
        <v>38</v>
      </c>
      <c r="B9" s="118">
        <f>_xlfn.COMPOUNDVALUE(9)</f>
        <v>1115</v>
      </c>
      <c r="C9" s="182">
        <v>776006</v>
      </c>
      <c r="D9" s="118">
        <f>_xlfn.COMPOUNDVALUE(10)</f>
        <v>1794</v>
      </c>
      <c r="E9" s="182">
        <v>911842</v>
      </c>
      <c r="F9" s="118">
        <f>_xlfn.COMPOUNDVALUE(11)</f>
        <v>2909</v>
      </c>
      <c r="G9" s="182">
        <v>1687847</v>
      </c>
      <c r="H9" s="118">
        <f>_xlfn.COMPOUNDVALUE(12)</f>
        <v>115</v>
      </c>
      <c r="I9" s="184">
        <v>97161</v>
      </c>
      <c r="J9" s="118">
        <v>272</v>
      </c>
      <c r="K9" s="120">
        <v>41029</v>
      </c>
      <c r="L9" s="118">
        <v>3132</v>
      </c>
      <c r="M9" s="120">
        <v>1631715</v>
      </c>
      <c r="N9" s="82" t="s">
        <v>38</v>
      </c>
    </row>
    <row r="10" spans="1:14" s="89" customFormat="1" ht="15.75" customHeight="1">
      <c r="A10" s="72" t="s">
        <v>39</v>
      </c>
      <c r="B10" s="118">
        <f>_xlfn.COMPOUNDVALUE(13)</f>
        <v>778</v>
      </c>
      <c r="C10" s="182">
        <v>651139</v>
      </c>
      <c r="D10" s="118">
        <f>_xlfn.COMPOUNDVALUE(14)</f>
        <v>2361</v>
      </c>
      <c r="E10" s="182">
        <v>842711</v>
      </c>
      <c r="F10" s="118">
        <f>_xlfn.COMPOUNDVALUE(15)</f>
        <v>3139</v>
      </c>
      <c r="G10" s="182">
        <v>1493849</v>
      </c>
      <c r="H10" s="118">
        <f>_xlfn.COMPOUNDVALUE(16)</f>
        <v>62</v>
      </c>
      <c r="I10" s="184">
        <v>75304</v>
      </c>
      <c r="J10" s="118">
        <v>174</v>
      </c>
      <c r="K10" s="120">
        <v>32859</v>
      </c>
      <c r="L10" s="118">
        <v>3290</v>
      </c>
      <c r="M10" s="120">
        <v>1451404</v>
      </c>
      <c r="N10" s="82" t="s">
        <v>39</v>
      </c>
    </row>
    <row r="11" spans="1:14" s="89" customFormat="1" ht="15.75" customHeight="1">
      <c r="A11" s="72" t="s">
        <v>40</v>
      </c>
      <c r="B11" s="118">
        <f>_xlfn.COMPOUNDVALUE(17)</f>
        <v>1398</v>
      </c>
      <c r="C11" s="182">
        <v>1070105</v>
      </c>
      <c r="D11" s="118">
        <f>_xlfn.COMPOUNDVALUE(18)</f>
        <v>2185</v>
      </c>
      <c r="E11" s="182">
        <v>1189911</v>
      </c>
      <c r="F11" s="118">
        <f>_xlfn.COMPOUNDVALUE(19)</f>
        <v>3583</v>
      </c>
      <c r="G11" s="182">
        <v>2260015</v>
      </c>
      <c r="H11" s="118">
        <f>_xlfn.COMPOUNDVALUE(20)</f>
        <v>158</v>
      </c>
      <c r="I11" s="184">
        <v>165787</v>
      </c>
      <c r="J11" s="118">
        <v>418</v>
      </c>
      <c r="K11" s="120">
        <v>122319</v>
      </c>
      <c r="L11" s="118">
        <v>3983</v>
      </c>
      <c r="M11" s="120">
        <v>2216547</v>
      </c>
      <c r="N11" s="82" t="s">
        <v>40</v>
      </c>
    </row>
    <row r="12" spans="1:14" s="89" customFormat="1" ht="15.75" customHeight="1">
      <c r="A12" s="72"/>
      <c r="B12" s="118"/>
      <c r="C12" s="182"/>
      <c r="D12" s="118"/>
      <c r="E12" s="182"/>
      <c r="F12" s="118"/>
      <c r="G12" s="182"/>
      <c r="H12" s="118"/>
      <c r="I12" s="184"/>
      <c r="J12" s="118"/>
      <c r="K12" s="120"/>
      <c r="L12" s="118"/>
      <c r="M12" s="120"/>
      <c r="N12" s="82" t="s">
        <v>35</v>
      </c>
    </row>
    <row r="13" spans="1:14" s="89" customFormat="1" ht="15.75" customHeight="1">
      <c r="A13" s="72" t="s">
        <v>41</v>
      </c>
      <c r="B13" s="118">
        <f>_xlfn.COMPOUNDVALUE(21)</f>
        <v>1184</v>
      </c>
      <c r="C13" s="182">
        <v>841851</v>
      </c>
      <c r="D13" s="118">
        <f>_xlfn.COMPOUNDVALUE(22)</f>
        <v>2020</v>
      </c>
      <c r="E13" s="182">
        <v>990141</v>
      </c>
      <c r="F13" s="118">
        <f>_xlfn.COMPOUNDVALUE(23)</f>
        <v>3204</v>
      </c>
      <c r="G13" s="182">
        <v>1831992</v>
      </c>
      <c r="H13" s="118">
        <f>_xlfn.COMPOUNDVALUE(24)</f>
        <v>120</v>
      </c>
      <c r="I13" s="184">
        <v>191149</v>
      </c>
      <c r="J13" s="118">
        <v>384</v>
      </c>
      <c r="K13" s="120">
        <v>99154</v>
      </c>
      <c r="L13" s="118">
        <v>3510</v>
      </c>
      <c r="M13" s="120">
        <v>1739998</v>
      </c>
      <c r="N13" s="82" t="s">
        <v>41</v>
      </c>
    </row>
    <row r="14" spans="1:14" s="89" customFormat="1" ht="15.75" customHeight="1">
      <c r="A14" s="72" t="s">
        <v>42</v>
      </c>
      <c r="B14" s="118">
        <f>_xlfn.COMPOUNDVALUE(25)</f>
        <v>495</v>
      </c>
      <c r="C14" s="182">
        <v>271645</v>
      </c>
      <c r="D14" s="118">
        <f>_xlfn.COMPOUNDVALUE(26)</f>
        <v>863</v>
      </c>
      <c r="E14" s="182">
        <v>326484</v>
      </c>
      <c r="F14" s="118">
        <f>_xlfn.COMPOUNDVALUE(27)</f>
        <v>1358</v>
      </c>
      <c r="G14" s="182">
        <v>598129</v>
      </c>
      <c r="H14" s="118">
        <f>_xlfn.COMPOUNDVALUE(28)</f>
        <v>48</v>
      </c>
      <c r="I14" s="184">
        <v>12168</v>
      </c>
      <c r="J14" s="118">
        <v>66</v>
      </c>
      <c r="K14" s="120">
        <v>3716</v>
      </c>
      <c r="L14" s="118">
        <v>1426</v>
      </c>
      <c r="M14" s="120">
        <v>589677</v>
      </c>
      <c r="N14" s="82" t="s">
        <v>42</v>
      </c>
    </row>
    <row r="15" spans="1:14" s="89" customFormat="1" ht="15.75" customHeight="1">
      <c r="A15" s="72" t="s">
        <v>43</v>
      </c>
      <c r="B15" s="118">
        <f>_xlfn.COMPOUNDVALUE(29)</f>
        <v>807</v>
      </c>
      <c r="C15" s="182">
        <v>543715</v>
      </c>
      <c r="D15" s="118">
        <f>_xlfn.COMPOUNDVALUE(30)</f>
        <v>1401</v>
      </c>
      <c r="E15" s="182">
        <v>582989</v>
      </c>
      <c r="F15" s="118">
        <f>_xlfn.COMPOUNDVALUE(31)</f>
        <v>2208</v>
      </c>
      <c r="G15" s="182">
        <v>1126704</v>
      </c>
      <c r="H15" s="118">
        <f>_xlfn.COMPOUNDVALUE(32)</f>
        <v>69</v>
      </c>
      <c r="I15" s="184">
        <v>58314</v>
      </c>
      <c r="J15" s="118">
        <v>210</v>
      </c>
      <c r="K15" s="120">
        <v>40282</v>
      </c>
      <c r="L15" s="118">
        <v>2356</v>
      </c>
      <c r="M15" s="120">
        <v>1108672</v>
      </c>
      <c r="N15" s="82" t="s">
        <v>43</v>
      </c>
    </row>
    <row r="16" spans="1:14" s="89" customFormat="1" ht="15.75" customHeight="1">
      <c r="A16" s="74" t="s">
        <v>44</v>
      </c>
      <c r="B16" s="121">
        <f>_xlfn.COMPOUNDVALUE(33)</f>
        <v>1542</v>
      </c>
      <c r="C16" s="183">
        <v>1121567</v>
      </c>
      <c r="D16" s="121">
        <f>_xlfn.COMPOUNDVALUE(34)</f>
        <v>2773</v>
      </c>
      <c r="E16" s="183">
        <v>1421455</v>
      </c>
      <c r="F16" s="121">
        <f>_xlfn.COMPOUNDVALUE(35)</f>
        <v>4315</v>
      </c>
      <c r="G16" s="183">
        <v>2543022</v>
      </c>
      <c r="H16" s="121">
        <f>_xlfn.COMPOUNDVALUE(36)</f>
        <v>156</v>
      </c>
      <c r="I16" s="185">
        <v>239647</v>
      </c>
      <c r="J16" s="121">
        <v>422</v>
      </c>
      <c r="K16" s="123">
        <v>56370</v>
      </c>
      <c r="L16" s="121">
        <v>4651</v>
      </c>
      <c r="M16" s="123">
        <v>2359745</v>
      </c>
      <c r="N16" s="73" t="s">
        <v>44</v>
      </c>
    </row>
    <row r="17" spans="1:14" s="89" customFormat="1" ht="15.75" customHeight="1">
      <c r="A17" s="74" t="s">
        <v>45</v>
      </c>
      <c r="B17" s="121">
        <f>_xlfn.COMPOUNDVALUE(37)</f>
        <v>516</v>
      </c>
      <c r="C17" s="183">
        <v>386427</v>
      </c>
      <c r="D17" s="121">
        <f>_xlfn.COMPOUNDVALUE(38)</f>
        <v>980</v>
      </c>
      <c r="E17" s="183">
        <v>360441</v>
      </c>
      <c r="F17" s="121">
        <f>_xlfn.COMPOUNDVALUE(39)</f>
        <v>1496</v>
      </c>
      <c r="G17" s="183">
        <v>746868</v>
      </c>
      <c r="H17" s="121">
        <f>_xlfn.COMPOUNDVALUE(40)</f>
        <v>33</v>
      </c>
      <c r="I17" s="185">
        <v>35898</v>
      </c>
      <c r="J17" s="121">
        <v>96</v>
      </c>
      <c r="K17" s="123">
        <v>12933</v>
      </c>
      <c r="L17" s="121">
        <v>1569</v>
      </c>
      <c r="M17" s="123">
        <v>723902</v>
      </c>
      <c r="N17" s="73" t="s">
        <v>45</v>
      </c>
    </row>
    <row r="18" spans="1:14" s="89" customFormat="1" ht="15.75" customHeight="1">
      <c r="A18" s="74"/>
      <c r="B18" s="121"/>
      <c r="C18" s="183"/>
      <c r="D18" s="121"/>
      <c r="E18" s="183"/>
      <c r="F18" s="121"/>
      <c r="G18" s="183"/>
      <c r="H18" s="121"/>
      <c r="I18" s="185"/>
      <c r="J18" s="121"/>
      <c r="K18" s="123"/>
      <c r="L18" s="121"/>
      <c r="M18" s="123"/>
      <c r="N18" s="73" t="s">
        <v>35</v>
      </c>
    </row>
    <row r="19" spans="1:14" s="89" customFormat="1" ht="15.75" customHeight="1">
      <c r="A19" s="74" t="s">
        <v>46</v>
      </c>
      <c r="B19" s="121">
        <f>_xlfn.COMPOUNDVALUE(41)</f>
        <v>649</v>
      </c>
      <c r="C19" s="183">
        <v>332823</v>
      </c>
      <c r="D19" s="121">
        <f>_xlfn.COMPOUNDVALUE(42)</f>
        <v>1174</v>
      </c>
      <c r="E19" s="183">
        <v>483230</v>
      </c>
      <c r="F19" s="121">
        <f>_xlfn.COMPOUNDVALUE(43)</f>
        <v>1823</v>
      </c>
      <c r="G19" s="183">
        <v>816053</v>
      </c>
      <c r="H19" s="121">
        <f>_xlfn.COMPOUNDVALUE(44)</f>
        <v>55</v>
      </c>
      <c r="I19" s="185">
        <v>40090</v>
      </c>
      <c r="J19" s="121">
        <v>145</v>
      </c>
      <c r="K19" s="123">
        <v>32335</v>
      </c>
      <c r="L19" s="121">
        <v>1960</v>
      </c>
      <c r="M19" s="123">
        <v>808297</v>
      </c>
      <c r="N19" s="73" t="s">
        <v>46</v>
      </c>
    </row>
    <row r="20" spans="1:14" s="89" customFormat="1" ht="15.75" customHeight="1">
      <c r="A20" s="74" t="s">
        <v>47</v>
      </c>
      <c r="B20" s="186">
        <f>_xlfn.COMPOUNDVALUE(45)</f>
        <v>1766</v>
      </c>
      <c r="C20" s="183">
        <v>1046288</v>
      </c>
      <c r="D20" s="121">
        <f>_xlfn.COMPOUNDVALUE(46)</f>
        <v>2933</v>
      </c>
      <c r="E20" s="183">
        <v>1186437</v>
      </c>
      <c r="F20" s="186">
        <f>_xlfn.COMPOUNDVALUE(47)</f>
        <v>4699</v>
      </c>
      <c r="G20" s="183">
        <v>2232725</v>
      </c>
      <c r="H20" s="186">
        <f>_xlfn.COMPOUNDVALUE(48)</f>
        <v>166</v>
      </c>
      <c r="I20" s="185">
        <v>169081</v>
      </c>
      <c r="J20" s="121">
        <v>380</v>
      </c>
      <c r="K20" s="123">
        <v>102432</v>
      </c>
      <c r="L20" s="121">
        <v>5063</v>
      </c>
      <c r="M20" s="123">
        <v>2166076</v>
      </c>
      <c r="N20" s="73" t="s">
        <v>47</v>
      </c>
    </row>
    <row r="21" spans="1:14" s="89" customFormat="1" ht="15.75" customHeight="1">
      <c r="A21" s="74" t="s">
        <v>48</v>
      </c>
      <c r="B21" s="186">
        <f>_xlfn.COMPOUNDVALUE(49)</f>
        <v>615</v>
      </c>
      <c r="C21" s="183">
        <v>383242</v>
      </c>
      <c r="D21" s="121">
        <f>_xlfn.COMPOUNDVALUE(50)</f>
        <v>1423</v>
      </c>
      <c r="E21" s="183">
        <v>525100</v>
      </c>
      <c r="F21" s="186">
        <f>_xlfn.COMPOUNDVALUE(51)</f>
        <v>2038</v>
      </c>
      <c r="G21" s="183">
        <v>908341</v>
      </c>
      <c r="H21" s="186">
        <f>_xlfn.COMPOUNDVALUE(52)</f>
        <v>87</v>
      </c>
      <c r="I21" s="185">
        <v>48531</v>
      </c>
      <c r="J21" s="121">
        <v>163</v>
      </c>
      <c r="K21" s="123">
        <v>32876</v>
      </c>
      <c r="L21" s="121">
        <v>2205</v>
      </c>
      <c r="M21" s="123">
        <v>892686</v>
      </c>
      <c r="N21" s="73" t="s">
        <v>48</v>
      </c>
    </row>
    <row r="22" spans="1:14" s="89" customFormat="1" ht="15.75" customHeight="1">
      <c r="A22" s="74" t="s">
        <v>162</v>
      </c>
      <c r="B22" s="186">
        <f>_xlfn.COMPOUNDVALUE(53)</f>
        <v>1546</v>
      </c>
      <c r="C22" s="183">
        <v>1212228</v>
      </c>
      <c r="D22" s="121">
        <f>_xlfn.COMPOUNDVALUE(54)</f>
        <v>2718</v>
      </c>
      <c r="E22" s="183">
        <v>1309614</v>
      </c>
      <c r="F22" s="186">
        <f>_xlfn.COMPOUNDVALUE(55)</f>
        <v>4264</v>
      </c>
      <c r="G22" s="183">
        <v>2521842</v>
      </c>
      <c r="H22" s="186">
        <f>_xlfn.COMPOUNDVALUE(56)</f>
        <v>142</v>
      </c>
      <c r="I22" s="185">
        <v>98733</v>
      </c>
      <c r="J22" s="121">
        <v>298</v>
      </c>
      <c r="K22" s="123">
        <v>83477</v>
      </c>
      <c r="L22" s="121">
        <v>4573</v>
      </c>
      <c r="M22" s="123">
        <v>2506586</v>
      </c>
      <c r="N22" s="73" t="s">
        <v>49</v>
      </c>
    </row>
    <row r="23" spans="1:14" s="89" customFormat="1" ht="15.75" customHeight="1">
      <c r="A23" s="142" t="s">
        <v>50</v>
      </c>
      <c r="B23" s="187">
        <v>14439</v>
      </c>
      <c r="C23" s="144">
        <v>10016285</v>
      </c>
      <c r="D23" s="143">
        <v>25574</v>
      </c>
      <c r="E23" s="144">
        <v>11641732</v>
      </c>
      <c r="F23" s="187">
        <v>40013</v>
      </c>
      <c r="G23" s="144">
        <v>21658016</v>
      </c>
      <c r="H23" s="187">
        <v>1374</v>
      </c>
      <c r="I23" s="145">
        <v>1400302</v>
      </c>
      <c r="J23" s="143">
        <v>3478</v>
      </c>
      <c r="K23" s="145">
        <v>762017</v>
      </c>
      <c r="L23" s="143">
        <v>43122</v>
      </c>
      <c r="M23" s="145">
        <v>21019732</v>
      </c>
      <c r="N23" s="146" t="s">
        <v>51</v>
      </c>
    </row>
    <row r="24" spans="1:14" s="89" customFormat="1" ht="15.75" customHeight="1">
      <c r="A24" s="147"/>
      <c r="B24" s="148"/>
      <c r="C24" s="149"/>
      <c r="D24" s="148"/>
      <c r="E24" s="149"/>
      <c r="F24" s="150"/>
      <c r="G24" s="149"/>
      <c r="H24" s="150"/>
      <c r="I24" s="149"/>
      <c r="J24" s="150"/>
      <c r="K24" s="149"/>
      <c r="L24" s="150"/>
      <c r="M24" s="149"/>
      <c r="N24" s="151"/>
    </row>
    <row r="25" spans="1:14" s="89" customFormat="1" ht="15.75" customHeight="1">
      <c r="A25" s="72" t="s">
        <v>52</v>
      </c>
      <c r="B25" s="118">
        <f>_xlfn.COMPOUNDVALUE(57)</f>
        <v>1303</v>
      </c>
      <c r="C25" s="182">
        <v>3750123</v>
      </c>
      <c r="D25" s="118">
        <f>_xlfn.COMPOUNDVALUE(58)</f>
        <v>1747</v>
      </c>
      <c r="E25" s="182">
        <v>1401418</v>
      </c>
      <c r="F25" s="118">
        <f>_xlfn.COMPOUNDVALUE(59)</f>
        <v>3050</v>
      </c>
      <c r="G25" s="182">
        <v>5151541</v>
      </c>
      <c r="H25" s="118">
        <f>_xlfn.COMPOUNDVALUE(60)</f>
        <v>93</v>
      </c>
      <c r="I25" s="184">
        <v>188142</v>
      </c>
      <c r="J25" s="118">
        <v>172</v>
      </c>
      <c r="K25" s="120">
        <v>-4889</v>
      </c>
      <c r="L25" s="118">
        <v>3167</v>
      </c>
      <c r="M25" s="120">
        <v>4958510</v>
      </c>
      <c r="N25" s="82" t="s">
        <v>52</v>
      </c>
    </row>
    <row r="26" spans="1:14" s="89" customFormat="1" ht="15.75" customHeight="1">
      <c r="A26" s="72" t="s">
        <v>53</v>
      </c>
      <c r="B26" s="118">
        <f>_xlfn.COMPOUNDVALUE(61)</f>
        <v>582</v>
      </c>
      <c r="C26" s="182">
        <v>919782</v>
      </c>
      <c r="D26" s="118">
        <f>_xlfn.COMPOUNDVALUE(62)</f>
        <v>1080</v>
      </c>
      <c r="E26" s="182">
        <v>789399</v>
      </c>
      <c r="F26" s="118">
        <f>_xlfn.COMPOUNDVALUE(63)</f>
        <v>1662</v>
      </c>
      <c r="G26" s="182">
        <v>1709181</v>
      </c>
      <c r="H26" s="118">
        <f>_xlfn.COMPOUNDVALUE(64)</f>
        <v>32</v>
      </c>
      <c r="I26" s="184">
        <v>57268</v>
      </c>
      <c r="J26" s="118">
        <v>114</v>
      </c>
      <c r="K26" s="120">
        <v>-11823</v>
      </c>
      <c r="L26" s="118">
        <v>1735</v>
      </c>
      <c r="M26" s="120">
        <v>1640089</v>
      </c>
      <c r="N26" s="82" t="s">
        <v>53</v>
      </c>
    </row>
    <row r="27" spans="1:14" s="89" customFormat="1" ht="15.75" customHeight="1">
      <c r="A27" s="72" t="s">
        <v>54</v>
      </c>
      <c r="B27" s="118">
        <f>_xlfn.COMPOUNDVALUE(65)</f>
        <v>539</v>
      </c>
      <c r="C27" s="182">
        <v>762964</v>
      </c>
      <c r="D27" s="118">
        <f>_xlfn.COMPOUNDVALUE(66)</f>
        <v>835</v>
      </c>
      <c r="E27" s="182">
        <v>561705</v>
      </c>
      <c r="F27" s="118">
        <f>_xlfn.COMPOUNDVALUE(67)</f>
        <v>1374</v>
      </c>
      <c r="G27" s="182">
        <v>1324669</v>
      </c>
      <c r="H27" s="118">
        <f>_xlfn.COMPOUNDVALUE(68)</f>
        <v>68</v>
      </c>
      <c r="I27" s="184">
        <v>101202</v>
      </c>
      <c r="J27" s="118">
        <v>88</v>
      </c>
      <c r="K27" s="120">
        <v>6594</v>
      </c>
      <c r="L27" s="118">
        <v>1469</v>
      </c>
      <c r="M27" s="120">
        <v>1230061</v>
      </c>
      <c r="N27" s="82" t="s">
        <v>54</v>
      </c>
    </row>
    <row r="28" spans="1:14" s="89" customFormat="1" ht="15.75" customHeight="1">
      <c r="A28" s="72" t="s">
        <v>55</v>
      </c>
      <c r="B28" s="118">
        <f>_xlfn.COMPOUNDVALUE(69)</f>
        <v>1266</v>
      </c>
      <c r="C28" s="182">
        <v>1680102</v>
      </c>
      <c r="D28" s="118">
        <f>_xlfn.COMPOUNDVALUE(70)</f>
        <v>1543</v>
      </c>
      <c r="E28" s="182">
        <v>1084828</v>
      </c>
      <c r="F28" s="118">
        <f>_xlfn.COMPOUNDVALUE(71)</f>
        <v>2809</v>
      </c>
      <c r="G28" s="182">
        <v>2764929</v>
      </c>
      <c r="H28" s="118">
        <f>_xlfn.COMPOUNDVALUE(72)</f>
        <v>131</v>
      </c>
      <c r="I28" s="184">
        <v>233366</v>
      </c>
      <c r="J28" s="118">
        <v>231</v>
      </c>
      <c r="K28" s="120">
        <v>40269</v>
      </c>
      <c r="L28" s="118">
        <v>3045</v>
      </c>
      <c r="M28" s="120">
        <v>2571832</v>
      </c>
      <c r="N28" s="82" t="s">
        <v>55</v>
      </c>
    </row>
    <row r="29" spans="1:14" s="89" customFormat="1" ht="15.75" customHeight="1">
      <c r="A29" s="72" t="s">
        <v>163</v>
      </c>
      <c r="B29" s="118">
        <f>_xlfn.COMPOUNDVALUE(73)</f>
        <v>1815</v>
      </c>
      <c r="C29" s="182">
        <v>2742273</v>
      </c>
      <c r="D29" s="118">
        <f>_xlfn.COMPOUNDVALUE(74)</f>
        <v>2219</v>
      </c>
      <c r="E29" s="182">
        <v>1463608</v>
      </c>
      <c r="F29" s="118">
        <f>_xlfn.COMPOUNDVALUE(75)</f>
        <v>4034</v>
      </c>
      <c r="G29" s="182">
        <v>4205882</v>
      </c>
      <c r="H29" s="118">
        <f>_xlfn.COMPOUNDVALUE(76)</f>
        <v>216</v>
      </c>
      <c r="I29" s="184">
        <v>252972</v>
      </c>
      <c r="J29" s="118">
        <v>274</v>
      </c>
      <c r="K29" s="120">
        <v>92995</v>
      </c>
      <c r="L29" s="118">
        <v>4365</v>
      </c>
      <c r="M29" s="120">
        <v>4045905</v>
      </c>
      <c r="N29" s="82" t="s">
        <v>56</v>
      </c>
    </row>
    <row r="30" spans="1:14" s="89" customFormat="1" ht="15.75" customHeight="1">
      <c r="A30" s="72"/>
      <c r="B30" s="118"/>
      <c r="C30" s="182"/>
      <c r="D30" s="118"/>
      <c r="E30" s="182"/>
      <c r="F30" s="118"/>
      <c r="G30" s="182"/>
      <c r="H30" s="118"/>
      <c r="I30" s="184"/>
      <c r="J30" s="118"/>
      <c r="K30" s="120"/>
      <c r="L30" s="118"/>
      <c r="M30" s="120"/>
      <c r="N30" s="82" t="s">
        <v>35</v>
      </c>
    </row>
    <row r="31" spans="1:14" s="89" customFormat="1" ht="15.75" customHeight="1">
      <c r="A31" s="72" t="s">
        <v>57</v>
      </c>
      <c r="B31" s="118">
        <f>_xlfn.COMPOUNDVALUE(77)</f>
        <v>1650</v>
      </c>
      <c r="C31" s="182">
        <v>4638088</v>
      </c>
      <c r="D31" s="118">
        <f>_xlfn.COMPOUNDVALUE(78)</f>
        <v>2044</v>
      </c>
      <c r="E31" s="182">
        <v>1363672</v>
      </c>
      <c r="F31" s="118">
        <f>_xlfn.COMPOUNDVALUE(79)</f>
        <v>3694</v>
      </c>
      <c r="G31" s="182">
        <v>6001760</v>
      </c>
      <c r="H31" s="118">
        <f>_xlfn.COMPOUNDVALUE(80)</f>
        <v>178</v>
      </c>
      <c r="I31" s="184">
        <v>284987</v>
      </c>
      <c r="J31" s="118">
        <v>343</v>
      </c>
      <c r="K31" s="120">
        <v>69583</v>
      </c>
      <c r="L31" s="118">
        <v>3966</v>
      </c>
      <c r="M31" s="120">
        <v>5786356</v>
      </c>
      <c r="N31" s="82" t="s">
        <v>57</v>
      </c>
    </row>
    <row r="32" spans="1:14" s="89" customFormat="1" ht="15.75" customHeight="1">
      <c r="A32" s="72" t="s">
        <v>58</v>
      </c>
      <c r="B32" s="118">
        <f>_xlfn.COMPOUNDVALUE(81)</f>
        <v>1086</v>
      </c>
      <c r="C32" s="182">
        <v>1278583</v>
      </c>
      <c r="D32" s="118">
        <f>_xlfn.COMPOUNDVALUE(82)</f>
        <v>1448</v>
      </c>
      <c r="E32" s="182">
        <v>871034</v>
      </c>
      <c r="F32" s="118">
        <f>_xlfn.COMPOUNDVALUE(83)</f>
        <v>2534</v>
      </c>
      <c r="G32" s="182">
        <v>2149617</v>
      </c>
      <c r="H32" s="118">
        <f>_xlfn.COMPOUNDVALUE(84)</f>
        <v>83</v>
      </c>
      <c r="I32" s="184">
        <v>64837</v>
      </c>
      <c r="J32" s="118">
        <v>220</v>
      </c>
      <c r="K32" s="120">
        <v>30711</v>
      </c>
      <c r="L32" s="118">
        <v>2716</v>
      </c>
      <c r="M32" s="120">
        <v>2115491</v>
      </c>
      <c r="N32" s="82" t="s">
        <v>58</v>
      </c>
    </row>
    <row r="33" spans="1:14" s="89" customFormat="1" ht="15.75" customHeight="1">
      <c r="A33" s="72" t="s">
        <v>59</v>
      </c>
      <c r="B33" s="118">
        <f>_xlfn.COMPOUNDVALUE(85)</f>
        <v>1060</v>
      </c>
      <c r="C33" s="182">
        <v>1354515</v>
      </c>
      <c r="D33" s="118">
        <f>_xlfn.COMPOUNDVALUE(86)</f>
        <v>1600</v>
      </c>
      <c r="E33" s="182">
        <v>1072978</v>
      </c>
      <c r="F33" s="118">
        <f>_xlfn.COMPOUNDVALUE(87)</f>
        <v>2660</v>
      </c>
      <c r="G33" s="182">
        <v>2427493</v>
      </c>
      <c r="H33" s="118">
        <f>_xlfn.COMPOUNDVALUE(88)</f>
        <v>85</v>
      </c>
      <c r="I33" s="184">
        <v>189912</v>
      </c>
      <c r="J33" s="118">
        <v>200</v>
      </c>
      <c r="K33" s="120">
        <v>61169</v>
      </c>
      <c r="L33" s="118">
        <v>2820</v>
      </c>
      <c r="M33" s="120">
        <v>2298750</v>
      </c>
      <c r="N33" s="82" t="s">
        <v>59</v>
      </c>
    </row>
    <row r="34" spans="1:14" s="89" customFormat="1" ht="15.75" customHeight="1">
      <c r="A34" s="72" t="s">
        <v>60</v>
      </c>
      <c r="B34" s="118">
        <f>_xlfn.COMPOUNDVALUE(89)</f>
        <v>1134</v>
      </c>
      <c r="C34" s="182">
        <v>1504877</v>
      </c>
      <c r="D34" s="118">
        <f>_xlfn.COMPOUNDVALUE(90)</f>
        <v>1416</v>
      </c>
      <c r="E34" s="182">
        <v>944016</v>
      </c>
      <c r="F34" s="118">
        <f>_xlfn.COMPOUNDVALUE(91)</f>
        <v>2550</v>
      </c>
      <c r="G34" s="182">
        <v>2448893</v>
      </c>
      <c r="H34" s="118">
        <f>_xlfn.COMPOUNDVALUE(92)</f>
        <v>373</v>
      </c>
      <c r="I34" s="184">
        <v>107323</v>
      </c>
      <c r="J34" s="118">
        <v>326</v>
      </c>
      <c r="K34" s="120">
        <v>64414</v>
      </c>
      <c r="L34" s="118">
        <v>3114</v>
      </c>
      <c r="M34" s="120">
        <v>2405984</v>
      </c>
      <c r="N34" s="82" t="s">
        <v>60</v>
      </c>
    </row>
    <row r="35" spans="1:14" s="89" customFormat="1" ht="15.75" customHeight="1">
      <c r="A35" s="72" t="s">
        <v>61</v>
      </c>
      <c r="B35" s="118">
        <f>_xlfn.COMPOUNDVALUE(93)</f>
        <v>416</v>
      </c>
      <c r="C35" s="182">
        <v>602646</v>
      </c>
      <c r="D35" s="118">
        <f>_xlfn.COMPOUNDVALUE(94)</f>
        <v>890</v>
      </c>
      <c r="E35" s="182">
        <v>550566</v>
      </c>
      <c r="F35" s="118">
        <f>_xlfn.COMPOUNDVALUE(95)</f>
        <v>1306</v>
      </c>
      <c r="G35" s="182">
        <v>1153212</v>
      </c>
      <c r="H35" s="118">
        <f>_xlfn.COMPOUNDVALUE(96)</f>
        <v>48</v>
      </c>
      <c r="I35" s="184">
        <v>51784</v>
      </c>
      <c r="J35" s="118">
        <v>98</v>
      </c>
      <c r="K35" s="120">
        <v>8393</v>
      </c>
      <c r="L35" s="118">
        <v>1379</v>
      </c>
      <c r="M35" s="120">
        <v>1109820</v>
      </c>
      <c r="N35" s="82" t="s">
        <v>61</v>
      </c>
    </row>
    <row r="36" spans="1:14" s="89" customFormat="1" ht="15.75" customHeight="1">
      <c r="A36" s="72"/>
      <c r="B36" s="118"/>
      <c r="C36" s="182"/>
      <c r="D36" s="118"/>
      <c r="E36" s="182"/>
      <c r="F36" s="118"/>
      <c r="G36" s="182"/>
      <c r="H36" s="118"/>
      <c r="I36" s="184"/>
      <c r="J36" s="118"/>
      <c r="K36" s="120"/>
      <c r="L36" s="118"/>
      <c r="M36" s="120"/>
      <c r="N36" s="82" t="s">
        <v>35</v>
      </c>
    </row>
    <row r="37" spans="1:14" s="89" customFormat="1" ht="15.75" customHeight="1">
      <c r="A37" s="72" t="s">
        <v>62</v>
      </c>
      <c r="B37" s="118">
        <f>_xlfn.COMPOUNDVALUE(97)</f>
        <v>468</v>
      </c>
      <c r="C37" s="182">
        <v>530549</v>
      </c>
      <c r="D37" s="118">
        <f>_xlfn.COMPOUNDVALUE(98)</f>
        <v>901</v>
      </c>
      <c r="E37" s="182">
        <v>543540</v>
      </c>
      <c r="F37" s="118">
        <f>_xlfn.COMPOUNDVALUE(99)</f>
        <v>1369</v>
      </c>
      <c r="G37" s="182">
        <v>1074089</v>
      </c>
      <c r="H37" s="118">
        <f>_xlfn.COMPOUNDVALUE(100)</f>
        <v>64</v>
      </c>
      <c r="I37" s="184">
        <v>61209</v>
      </c>
      <c r="J37" s="118">
        <v>140</v>
      </c>
      <c r="K37" s="120">
        <v>21709</v>
      </c>
      <c r="L37" s="118">
        <v>1486</v>
      </c>
      <c r="M37" s="120">
        <v>1034588</v>
      </c>
      <c r="N37" s="82" t="s">
        <v>62</v>
      </c>
    </row>
    <row r="38" spans="1:14" s="89" customFormat="1" ht="15.75" customHeight="1">
      <c r="A38" s="72" t="s">
        <v>63</v>
      </c>
      <c r="B38" s="118">
        <f>_xlfn.COMPOUNDVALUE(101)</f>
        <v>554</v>
      </c>
      <c r="C38" s="182">
        <v>544500</v>
      </c>
      <c r="D38" s="118">
        <f>_xlfn.COMPOUNDVALUE(102)</f>
        <v>806</v>
      </c>
      <c r="E38" s="182">
        <v>469691</v>
      </c>
      <c r="F38" s="118">
        <f>_xlfn.COMPOUNDVALUE(103)</f>
        <v>1360</v>
      </c>
      <c r="G38" s="182">
        <v>1014190</v>
      </c>
      <c r="H38" s="118">
        <f>_xlfn.COMPOUNDVALUE(104)</f>
        <v>57</v>
      </c>
      <c r="I38" s="184">
        <v>339251</v>
      </c>
      <c r="J38" s="118">
        <v>128</v>
      </c>
      <c r="K38" s="120">
        <v>62225</v>
      </c>
      <c r="L38" s="118">
        <v>1464</v>
      </c>
      <c r="M38" s="120">
        <v>737164</v>
      </c>
      <c r="N38" s="82" t="s">
        <v>63</v>
      </c>
    </row>
    <row r="39" spans="1:14" s="89" customFormat="1" ht="15.75" customHeight="1">
      <c r="A39" s="72" t="s">
        <v>64</v>
      </c>
      <c r="B39" s="118">
        <f>_xlfn.COMPOUNDVALUE(105)</f>
        <v>634</v>
      </c>
      <c r="C39" s="182">
        <v>506116</v>
      </c>
      <c r="D39" s="118">
        <f>_xlfn.COMPOUNDVALUE(106)</f>
        <v>941</v>
      </c>
      <c r="E39" s="182">
        <v>461219</v>
      </c>
      <c r="F39" s="118">
        <f>_xlfn.COMPOUNDVALUE(107)</f>
        <v>1575</v>
      </c>
      <c r="G39" s="182">
        <v>967335</v>
      </c>
      <c r="H39" s="118">
        <f>_xlfn.COMPOUNDVALUE(108)</f>
        <v>98</v>
      </c>
      <c r="I39" s="184">
        <v>57370</v>
      </c>
      <c r="J39" s="118">
        <v>134</v>
      </c>
      <c r="K39" s="120">
        <v>12022</v>
      </c>
      <c r="L39" s="118">
        <v>1722</v>
      </c>
      <c r="M39" s="120">
        <v>921987</v>
      </c>
      <c r="N39" s="82" t="s">
        <v>64</v>
      </c>
    </row>
    <row r="40" spans="1:14" s="89" customFormat="1" ht="15.75" customHeight="1">
      <c r="A40" s="72" t="s">
        <v>65</v>
      </c>
      <c r="B40" s="118">
        <f>_xlfn.COMPOUNDVALUE(109)</f>
        <v>589</v>
      </c>
      <c r="C40" s="182">
        <v>501892</v>
      </c>
      <c r="D40" s="118">
        <f>_xlfn.COMPOUNDVALUE(110)</f>
        <v>835</v>
      </c>
      <c r="E40" s="182">
        <v>485381</v>
      </c>
      <c r="F40" s="118">
        <f>_xlfn.COMPOUNDVALUE(111)</f>
        <v>1424</v>
      </c>
      <c r="G40" s="182">
        <v>987272</v>
      </c>
      <c r="H40" s="118">
        <f>_xlfn.COMPOUNDVALUE(112)</f>
        <v>80</v>
      </c>
      <c r="I40" s="184">
        <v>293242</v>
      </c>
      <c r="J40" s="118">
        <v>104</v>
      </c>
      <c r="K40" s="120">
        <v>11000</v>
      </c>
      <c r="L40" s="118">
        <v>1545</v>
      </c>
      <c r="M40" s="120">
        <v>705030</v>
      </c>
      <c r="N40" s="82" t="s">
        <v>65</v>
      </c>
    </row>
    <row r="41" spans="1:14" s="89" customFormat="1" ht="15.75" customHeight="1">
      <c r="A41" s="72" t="s">
        <v>66</v>
      </c>
      <c r="B41" s="118">
        <f>_xlfn.COMPOUNDVALUE(113)</f>
        <v>357</v>
      </c>
      <c r="C41" s="182">
        <v>209805</v>
      </c>
      <c r="D41" s="118">
        <f>_xlfn.COMPOUNDVALUE(114)</f>
        <v>462</v>
      </c>
      <c r="E41" s="182">
        <v>217643</v>
      </c>
      <c r="F41" s="118">
        <f>_xlfn.COMPOUNDVALUE(115)</f>
        <v>819</v>
      </c>
      <c r="G41" s="182">
        <v>427447</v>
      </c>
      <c r="H41" s="118">
        <f>_xlfn.COMPOUNDVALUE(116)</f>
        <v>22</v>
      </c>
      <c r="I41" s="184">
        <v>8282</v>
      </c>
      <c r="J41" s="118">
        <v>39</v>
      </c>
      <c r="K41" s="120">
        <v>8967</v>
      </c>
      <c r="L41" s="118">
        <v>864</v>
      </c>
      <c r="M41" s="120">
        <v>428133</v>
      </c>
      <c r="N41" s="169" t="s">
        <v>66</v>
      </c>
    </row>
    <row r="42" spans="1:14" s="89" customFormat="1" ht="15.75" customHeight="1">
      <c r="A42" s="99"/>
      <c r="B42" s="118"/>
      <c r="C42" s="182"/>
      <c r="D42" s="118"/>
      <c r="E42" s="182"/>
      <c r="F42" s="118"/>
      <c r="G42" s="182"/>
      <c r="H42" s="118"/>
      <c r="I42" s="184"/>
      <c r="J42" s="118"/>
      <c r="K42" s="120"/>
      <c r="L42" s="118"/>
      <c r="M42" s="120"/>
      <c r="N42" s="170" t="s">
        <v>35</v>
      </c>
    </row>
    <row r="43" spans="1:14" s="89" customFormat="1" ht="15.75" customHeight="1">
      <c r="A43" s="94" t="s">
        <v>67</v>
      </c>
      <c r="B43" s="118">
        <f>_xlfn.COMPOUNDVALUE(117)</f>
        <v>888</v>
      </c>
      <c r="C43" s="182">
        <v>680174</v>
      </c>
      <c r="D43" s="118">
        <f>_xlfn.COMPOUNDVALUE(118)</f>
        <v>1169</v>
      </c>
      <c r="E43" s="182">
        <v>660062</v>
      </c>
      <c r="F43" s="118">
        <f>_xlfn.COMPOUNDVALUE(119)</f>
        <v>2057</v>
      </c>
      <c r="G43" s="182">
        <v>1340236</v>
      </c>
      <c r="H43" s="118">
        <f>_xlfn.COMPOUNDVALUE(120)</f>
        <v>101</v>
      </c>
      <c r="I43" s="184">
        <v>96150</v>
      </c>
      <c r="J43" s="118">
        <v>113</v>
      </c>
      <c r="K43" s="120">
        <v>62210</v>
      </c>
      <c r="L43" s="118">
        <v>2233</v>
      </c>
      <c r="M43" s="120">
        <v>1306297</v>
      </c>
      <c r="N43" s="96" t="s">
        <v>67</v>
      </c>
    </row>
    <row r="44" spans="1:14" s="89" customFormat="1" ht="15.75" customHeight="1">
      <c r="A44" s="72" t="s">
        <v>68</v>
      </c>
      <c r="B44" s="118">
        <f>_xlfn.COMPOUNDVALUE(121)</f>
        <v>546</v>
      </c>
      <c r="C44" s="182">
        <v>371671</v>
      </c>
      <c r="D44" s="118">
        <f>_xlfn.COMPOUNDVALUE(122)</f>
        <v>854</v>
      </c>
      <c r="E44" s="182">
        <v>409278</v>
      </c>
      <c r="F44" s="118">
        <f>_xlfn.COMPOUNDVALUE(123)</f>
        <v>1400</v>
      </c>
      <c r="G44" s="182">
        <v>780949</v>
      </c>
      <c r="H44" s="118">
        <f>_xlfn.COMPOUNDVALUE(124)</f>
        <v>47</v>
      </c>
      <c r="I44" s="184">
        <v>34500</v>
      </c>
      <c r="J44" s="118">
        <v>136</v>
      </c>
      <c r="K44" s="120">
        <v>28067</v>
      </c>
      <c r="L44" s="118">
        <v>1514</v>
      </c>
      <c r="M44" s="120">
        <v>774515</v>
      </c>
      <c r="N44" s="82" t="s">
        <v>68</v>
      </c>
    </row>
    <row r="45" spans="1:14" s="89" customFormat="1" ht="15.75" customHeight="1">
      <c r="A45" s="72" t="s">
        <v>69</v>
      </c>
      <c r="B45" s="118">
        <f>_xlfn.COMPOUNDVALUE(125)</f>
        <v>466</v>
      </c>
      <c r="C45" s="182">
        <v>317301</v>
      </c>
      <c r="D45" s="118">
        <f>_xlfn.COMPOUNDVALUE(126)</f>
        <v>676</v>
      </c>
      <c r="E45" s="182">
        <v>344686</v>
      </c>
      <c r="F45" s="118">
        <f>_xlfn.COMPOUNDVALUE(127)</f>
        <v>1142</v>
      </c>
      <c r="G45" s="182">
        <v>661987</v>
      </c>
      <c r="H45" s="118">
        <f>_xlfn.COMPOUNDVALUE(128)</f>
        <v>42</v>
      </c>
      <c r="I45" s="184">
        <v>25113</v>
      </c>
      <c r="J45" s="118">
        <v>94</v>
      </c>
      <c r="K45" s="120">
        <v>13890</v>
      </c>
      <c r="L45" s="118">
        <v>1230</v>
      </c>
      <c r="M45" s="120">
        <v>650764</v>
      </c>
      <c r="N45" s="82" t="s">
        <v>69</v>
      </c>
    </row>
    <row r="46" spans="1:14" s="89" customFormat="1" ht="15.75" customHeight="1">
      <c r="A46" s="72" t="s">
        <v>70</v>
      </c>
      <c r="B46" s="118">
        <f>_xlfn.COMPOUNDVALUE(129)</f>
        <v>1694</v>
      </c>
      <c r="C46" s="182">
        <v>1858484</v>
      </c>
      <c r="D46" s="118">
        <f>_xlfn.COMPOUNDVALUE(130)</f>
        <v>2102</v>
      </c>
      <c r="E46" s="182">
        <v>1338952</v>
      </c>
      <c r="F46" s="118">
        <f>_xlfn.COMPOUNDVALUE(131)</f>
        <v>3796</v>
      </c>
      <c r="G46" s="182">
        <v>3197436</v>
      </c>
      <c r="H46" s="118">
        <f>_xlfn.COMPOUNDVALUE(132)</f>
        <v>148</v>
      </c>
      <c r="I46" s="184">
        <v>161454</v>
      </c>
      <c r="J46" s="118">
        <v>365</v>
      </c>
      <c r="K46" s="120">
        <v>162738</v>
      </c>
      <c r="L46" s="118">
        <v>4158</v>
      </c>
      <c r="M46" s="120">
        <v>3198720</v>
      </c>
      <c r="N46" s="82" t="s">
        <v>70</v>
      </c>
    </row>
    <row r="47" spans="1:14" s="89" customFormat="1" ht="15.75" customHeight="1">
      <c r="A47" s="72" t="s">
        <v>71</v>
      </c>
      <c r="B47" s="118">
        <f>_xlfn.COMPOUNDVALUE(133)</f>
        <v>669</v>
      </c>
      <c r="C47" s="182">
        <v>534385</v>
      </c>
      <c r="D47" s="118">
        <f>_xlfn.COMPOUNDVALUE(134)</f>
        <v>1043</v>
      </c>
      <c r="E47" s="182">
        <v>548436</v>
      </c>
      <c r="F47" s="118">
        <f>_xlfn.COMPOUNDVALUE(135)</f>
        <v>1712</v>
      </c>
      <c r="G47" s="182">
        <v>1082821</v>
      </c>
      <c r="H47" s="118">
        <f>_xlfn.COMPOUNDVALUE(136)</f>
        <v>58</v>
      </c>
      <c r="I47" s="184">
        <v>53611</v>
      </c>
      <c r="J47" s="118">
        <v>153</v>
      </c>
      <c r="K47" s="120">
        <v>49660</v>
      </c>
      <c r="L47" s="118">
        <v>1822</v>
      </c>
      <c r="M47" s="120">
        <v>1078870</v>
      </c>
      <c r="N47" s="82" t="s">
        <v>71</v>
      </c>
    </row>
    <row r="48" spans="1:14" s="89" customFormat="1" ht="15.75" customHeight="1">
      <c r="A48" s="72"/>
      <c r="B48" s="118"/>
      <c r="C48" s="182"/>
      <c r="D48" s="118"/>
      <c r="E48" s="182"/>
      <c r="F48" s="118"/>
      <c r="G48" s="182"/>
      <c r="H48" s="118"/>
      <c r="I48" s="184"/>
      <c r="J48" s="118"/>
      <c r="K48" s="120"/>
      <c r="L48" s="118"/>
      <c r="M48" s="120"/>
      <c r="N48" s="82" t="s">
        <v>35</v>
      </c>
    </row>
    <row r="49" spans="1:14" s="89" customFormat="1" ht="15.75" customHeight="1">
      <c r="A49" s="72" t="s">
        <v>72</v>
      </c>
      <c r="B49" s="118">
        <f>_xlfn.COMPOUNDVALUE(137)</f>
        <v>570</v>
      </c>
      <c r="C49" s="182">
        <v>687198</v>
      </c>
      <c r="D49" s="118">
        <f>_xlfn.COMPOUNDVALUE(138)</f>
        <v>962</v>
      </c>
      <c r="E49" s="182">
        <v>547073</v>
      </c>
      <c r="F49" s="118">
        <f>_xlfn.COMPOUNDVALUE(139)</f>
        <v>1532</v>
      </c>
      <c r="G49" s="182">
        <v>1234271</v>
      </c>
      <c r="H49" s="118">
        <f>_xlfn.COMPOUNDVALUE(140)</f>
        <v>82</v>
      </c>
      <c r="I49" s="184">
        <v>515565</v>
      </c>
      <c r="J49" s="118">
        <v>170</v>
      </c>
      <c r="K49" s="120">
        <v>19438</v>
      </c>
      <c r="L49" s="118">
        <v>1680</v>
      </c>
      <c r="M49" s="120">
        <v>738144</v>
      </c>
      <c r="N49" s="82" t="s">
        <v>72</v>
      </c>
    </row>
    <row r="50" spans="1:14" s="89" customFormat="1" ht="15.75" customHeight="1">
      <c r="A50" s="72" t="s">
        <v>73</v>
      </c>
      <c r="B50" s="118">
        <f>_xlfn.COMPOUNDVALUE(141)</f>
        <v>751</v>
      </c>
      <c r="C50" s="182">
        <v>516325</v>
      </c>
      <c r="D50" s="118">
        <f>_xlfn.COMPOUNDVALUE(142)</f>
        <v>1122</v>
      </c>
      <c r="E50" s="182">
        <v>553751</v>
      </c>
      <c r="F50" s="118">
        <f>_xlfn.COMPOUNDVALUE(143)</f>
        <v>1873</v>
      </c>
      <c r="G50" s="182">
        <v>1070075</v>
      </c>
      <c r="H50" s="118">
        <f>_xlfn.COMPOUNDVALUE(144)</f>
        <v>54</v>
      </c>
      <c r="I50" s="184">
        <v>67183</v>
      </c>
      <c r="J50" s="118">
        <v>156</v>
      </c>
      <c r="K50" s="120">
        <v>46003</v>
      </c>
      <c r="L50" s="118">
        <v>2023</v>
      </c>
      <c r="M50" s="120">
        <v>1048896</v>
      </c>
      <c r="N50" s="82" t="s">
        <v>73</v>
      </c>
    </row>
    <row r="51" spans="1:14" s="89" customFormat="1" ht="15.75" customHeight="1">
      <c r="A51" s="72" t="s">
        <v>74</v>
      </c>
      <c r="B51" s="118">
        <f>_xlfn.COMPOUNDVALUE(145)</f>
        <v>1528</v>
      </c>
      <c r="C51" s="182">
        <v>1496683</v>
      </c>
      <c r="D51" s="118">
        <f>_xlfn.COMPOUNDVALUE(146)</f>
        <v>2134</v>
      </c>
      <c r="E51" s="182">
        <v>1253561</v>
      </c>
      <c r="F51" s="118">
        <f>_xlfn.COMPOUNDVALUE(147)</f>
        <v>3662</v>
      </c>
      <c r="G51" s="182">
        <v>2750245</v>
      </c>
      <c r="H51" s="118">
        <f>_xlfn.COMPOUNDVALUE(148)</f>
        <v>133</v>
      </c>
      <c r="I51" s="184">
        <v>115843</v>
      </c>
      <c r="J51" s="118">
        <v>354</v>
      </c>
      <c r="K51" s="120">
        <v>74967</v>
      </c>
      <c r="L51" s="118">
        <v>3961</v>
      </c>
      <c r="M51" s="120">
        <v>2709369</v>
      </c>
      <c r="N51" s="82" t="s">
        <v>74</v>
      </c>
    </row>
    <row r="52" spans="1:14" s="89" customFormat="1" ht="15.75" customHeight="1">
      <c r="A52" s="72" t="s">
        <v>75</v>
      </c>
      <c r="B52" s="188">
        <f>_xlfn.COMPOUNDVALUE(149)</f>
        <v>1275</v>
      </c>
      <c r="C52" s="182">
        <v>1284308</v>
      </c>
      <c r="D52" s="118">
        <f>_xlfn.COMPOUNDVALUE(150)</f>
        <v>1926</v>
      </c>
      <c r="E52" s="182">
        <v>1132901</v>
      </c>
      <c r="F52" s="188">
        <f>_xlfn.COMPOUNDVALUE(151)</f>
        <v>3201</v>
      </c>
      <c r="G52" s="182">
        <v>2417209</v>
      </c>
      <c r="H52" s="188">
        <f>_xlfn.COMPOUNDVALUE(152)</f>
        <v>120</v>
      </c>
      <c r="I52" s="184">
        <v>111983</v>
      </c>
      <c r="J52" s="118">
        <v>319</v>
      </c>
      <c r="K52" s="120">
        <v>70674</v>
      </c>
      <c r="L52" s="118">
        <v>3461</v>
      </c>
      <c r="M52" s="120">
        <v>2375900</v>
      </c>
      <c r="N52" s="82" t="s">
        <v>75</v>
      </c>
    </row>
    <row r="53" spans="1:14" s="89" customFormat="1" ht="15.75" customHeight="1">
      <c r="A53" s="72" t="s">
        <v>76</v>
      </c>
      <c r="B53" s="188">
        <f>_xlfn.COMPOUNDVALUE(153)</f>
        <v>1135</v>
      </c>
      <c r="C53" s="182">
        <v>1583406</v>
      </c>
      <c r="D53" s="118">
        <f>_xlfn.COMPOUNDVALUE(154)</f>
        <v>1879</v>
      </c>
      <c r="E53" s="182">
        <v>1131214</v>
      </c>
      <c r="F53" s="188">
        <f>_xlfn.COMPOUNDVALUE(155)</f>
        <v>3014</v>
      </c>
      <c r="G53" s="182">
        <v>2714621</v>
      </c>
      <c r="H53" s="188">
        <f>_xlfn.COMPOUNDVALUE(156)</f>
        <v>116</v>
      </c>
      <c r="I53" s="184">
        <v>104714</v>
      </c>
      <c r="J53" s="118">
        <v>215</v>
      </c>
      <c r="K53" s="120">
        <v>28249</v>
      </c>
      <c r="L53" s="118">
        <v>3196</v>
      </c>
      <c r="M53" s="120">
        <v>2638155</v>
      </c>
      <c r="N53" s="82" t="s">
        <v>76</v>
      </c>
    </row>
    <row r="54" spans="1:14" s="89" customFormat="1" ht="15.75" customHeight="1">
      <c r="A54" s="72"/>
      <c r="B54" s="118"/>
      <c r="C54" s="182"/>
      <c r="D54" s="118"/>
      <c r="E54" s="182"/>
      <c r="F54" s="118"/>
      <c r="G54" s="182"/>
      <c r="H54" s="118"/>
      <c r="I54" s="184"/>
      <c r="J54" s="118"/>
      <c r="K54" s="120"/>
      <c r="L54" s="118"/>
      <c r="M54" s="120"/>
      <c r="N54" s="82" t="s">
        <v>35</v>
      </c>
    </row>
    <row r="55" spans="1:14" s="89" customFormat="1" ht="15.75" customHeight="1">
      <c r="A55" s="72" t="s">
        <v>77</v>
      </c>
      <c r="B55" s="118">
        <f>_xlfn.COMPOUNDVALUE(157)</f>
        <v>2356</v>
      </c>
      <c r="C55" s="182">
        <v>3713829</v>
      </c>
      <c r="D55" s="118">
        <f>_xlfn.COMPOUNDVALUE(158)</f>
        <v>3095</v>
      </c>
      <c r="E55" s="182">
        <v>2173795</v>
      </c>
      <c r="F55" s="118">
        <f>_xlfn.COMPOUNDVALUE(159)</f>
        <v>5451</v>
      </c>
      <c r="G55" s="182">
        <v>5887624</v>
      </c>
      <c r="H55" s="118">
        <f>_xlfn.COMPOUNDVALUE(160)</f>
        <v>215</v>
      </c>
      <c r="I55" s="184">
        <v>343729</v>
      </c>
      <c r="J55" s="118">
        <v>481</v>
      </c>
      <c r="K55" s="120">
        <v>117497</v>
      </c>
      <c r="L55" s="118">
        <v>5887</v>
      </c>
      <c r="M55" s="120">
        <v>5661392</v>
      </c>
      <c r="N55" s="82" t="s">
        <v>77</v>
      </c>
    </row>
    <row r="56" spans="1:14" s="89" customFormat="1" ht="15.75" customHeight="1">
      <c r="A56" s="72" t="s">
        <v>78</v>
      </c>
      <c r="B56" s="118">
        <f>_xlfn.COMPOUNDVALUE(161)</f>
        <v>1164</v>
      </c>
      <c r="C56" s="182">
        <v>927641</v>
      </c>
      <c r="D56" s="118">
        <f>_xlfn.COMPOUNDVALUE(162)</f>
        <v>1655</v>
      </c>
      <c r="E56" s="182">
        <v>930293</v>
      </c>
      <c r="F56" s="118">
        <f>_xlfn.COMPOUNDVALUE(163)</f>
        <v>2819</v>
      </c>
      <c r="G56" s="182">
        <v>1857934</v>
      </c>
      <c r="H56" s="118">
        <f>_xlfn.COMPOUNDVALUE(164)</f>
        <v>100</v>
      </c>
      <c r="I56" s="184">
        <v>123490</v>
      </c>
      <c r="J56" s="118">
        <v>361</v>
      </c>
      <c r="K56" s="120">
        <v>74692</v>
      </c>
      <c r="L56" s="118">
        <v>3084</v>
      </c>
      <c r="M56" s="120">
        <v>1809135</v>
      </c>
      <c r="N56" s="82" t="s">
        <v>78</v>
      </c>
    </row>
    <row r="57" spans="1:14" s="89" customFormat="1" ht="15.75" customHeight="1">
      <c r="A57" s="72" t="s">
        <v>79</v>
      </c>
      <c r="B57" s="118">
        <f>_xlfn.COMPOUNDVALUE(165)</f>
        <v>1061</v>
      </c>
      <c r="C57" s="182">
        <v>978123</v>
      </c>
      <c r="D57" s="118">
        <f>_xlfn.COMPOUNDVALUE(166)</f>
        <v>1658</v>
      </c>
      <c r="E57" s="182">
        <v>914826</v>
      </c>
      <c r="F57" s="118">
        <f>_xlfn.COMPOUNDVALUE(167)</f>
        <v>2719</v>
      </c>
      <c r="G57" s="182">
        <v>1892948</v>
      </c>
      <c r="H57" s="118">
        <f>_xlfn.COMPOUNDVALUE(168)</f>
        <v>79</v>
      </c>
      <c r="I57" s="184">
        <v>52747</v>
      </c>
      <c r="J57" s="118">
        <v>259</v>
      </c>
      <c r="K57" s="120">
        <v>47305</v>
      </c>
      <c r="L57" s="118">
        <v>2884</v>
      </c>
      <c r="M57" s="120">
        <v>1887507</v>
      </c>
      <c r="N57" s="82" t="s">
        <v>79</v>
      </c>
    </row>
    <row r="58" spans="1:14" s="89" customFormat="1" ht="15.75" customHeight="1">
      <c r="A58" s="72" t="s">
        <v>80</v>
      </c>
      <c r="B58" s="118">
        <f>_xlfn.COMPOUNDVALUE(169)</f>
        <v>778</v>
      </c>
      <c r="C58" s="182">
        <v>838465</v>
      </c>
      <c r="D58" s="118">
        <f>_xlfn.COMPOUNDVALUE(170)</f>
        <v>1326</v>
      </c>
      <c r="E58" s="182">
        <v>802727</v>
      </c>
      <c r="F58" s="118">
        <f>_xlfn.COMPOUNDVALUE(171)</f>
        <v>2104</v>
      </c>
      <c r="G58" s="182">
        <v>1641193</v>
      </c>
      <c r="H58" s="118">
        <f>_xlfn.COMPOUNDVALUE(172)</f>
        <v>73</v>
      </c>
      <c r="I58" s="184">
        <v>93709</v>
      </c>
      <c r="J58" s="118">
        <v>114</v>
      </c>
      <c r="K58" s="120">
        <v>33700</v>
      </c>
      <c r="L58" s="118">
        <v>2246</v>
      </c>
      <c r="M58" s="120">
        <v>1581184</v>
      </c>
      <c r="N58" s="82" t="s">
        <v>80</v>
      </c>
    </row>
    <row r="59" spans="1:14" s="89" customFormat="1" ht="15.75" customHeight="1">
      <c r="A59" s="72" t="s">
        <v>81</v>
      </c>
      <c r="B59" s="118">
        <f>_xlfn.COMPOUNDVALUE(173)</f>
        <v>1264</v>
      </c>
      <c r="C59" s="182">
        <v>1528071</v>
      </c>
      <c r="D59" s="118">
        <f>_xlfn.COMPOUNDVALUE(174)</f>
        <v>1871</v>
      </c>
      <c r="E59" s="182">
        <v>1161834</v>
      </c>
      <c r="F59" s="118">
        <f>_xlfn.COMPOUNDVALUE(175)</f>
        <v>3135</v>
      </c>
      <c r="G59" s="182">
        <v>2689905</v>
      </c>
      <c r="H59" s="118">
        <f>_xlfn.COMPOUNDVALUE(176)</f>
        <v>105</v>
      </c>
      <c r="I59" s="184">
        <v>79026</v>
      </c>
      <c r="J59" s="118">
        <v>251</v>
      </c>
      <c r="K59" s="120">
        <v>34585</v>
      </c>
      <c r="L59" s="118">
        <v>3341</v>
      </c>
      <c r="M59" s="120">
        <v>2645464</v>
      </c>
      <c r="N59" s="82" t="s">
        <v>81</v>
      </c>
    </row>
    <row r="60" spans="1:14" s="89" customFormat="1" ht="15.75" customHeight="1">
      <c r="A60" s="72"/>
      <c r="B60" s="118"/>
      <c r="C60" s="182"/>
      <c r="D60" s="118"/>
      <c r="E60" s="182"/>
      <c r="F60" s="118"/>
      <c r="G60" s="182"/>
      <c r="H60" s="118"/>
      <c r="I60" s="184"/>
      <c r="J60" s="118"/>
      <c r="K60" s="120"/>
      <c r="L60" s="118"/>
      <c r="M60" s="120"/>
      <c r="N60" s="82" t="s">
        <v>35</v>
      </c>
    </row>
    <row r="61" spans="1:14" s="89" customFormat="1" ht="15.75" customHeight="1">
      <c r="A61" s="72" t="s">
        <v>82</v>
      </c>
      <c r="B61" s="118">
        <f>_xlfn.COMPOUNDVALUE(177)</f>
        <v>937</v>
      </c>
      <c r="C61" s="182">
        <v>622613</v>
      </c>
      <c r="D61" s="118">
        <f>_xlfn.COMPOUNDVALUE(178)</f>
        <v>1322</v>
      </c>
      <c r="E61" s="182">
        <v>711742</v>
      </c>
      <c r="F61" s="118">
        <f>_xlfn.COMPOUNDVALUE(179)</f>
        <v>2259</v>
      </c>
      <c r="G61" s="182">
        <v>1334355</v>
      </c>
      <c r="H61" s="118">
        <f>_xlfn.COMPOUNDVALUE(180)</f>
        <v>90</v>
      </c>
      <c r="I61" s="184">
        <v>151054</v>
      </c>
      <c r="J61" s="118">
        <v>164</v>
      </c>
      <c r="K61" s="120">
        <v>57378</v>
      </c>
      <c r="L61" s="118">
        <v>2440</v>
      </c>
      <c r="M61" s="120">
        <v>1240678</v>
      </c>
      <c r="N61" s="82" t="s">
        <v>82</v>
      </c>
    </row>
    <row r="62" spans="1:14" s="89" customFormat="1" ht="15.75" customHeight="1">
      <c r="A62" s="72" t="s">
        <v>83</v>
      </c>
      <c r="B62" s="118">
        <f>_xlfn.COMPOUNDVALUE(181)</f>
        <v>707</v>
      </c>
      <c r="C62" s="182">
        <v>538275</v>
      </c>
      <c r="D62" s="118">
        <f>_xlfn.COMPOUNDVALUE(182)</f>
        <v>1001</v>
      </c>
      <c r="E62" s="182">
        <v>485482</v>
      </c>
      <c r="F62" s="118">
        <f>_xlfn.COMPOUNDVALUE(183)</f>
        <v>1708</v>
      </c>
      <c r="G62" s="182">
        <v>1023757</v>
      </c>
      <c r="H62" s="118">
        <f>_xlfn.COMPOUNDVALUE(184)</f>
        <v>89</v>
      </c>
      <c r="I62" s="184">
        <v>52055</v>
      </c>
      <c r="J62" s="118">
        <v>209</v>
      </c>
      <c r="K62" s="120">
        <v>41526</v>
      </c>
      <c r="L62" s="118">
        <v>1907</v>
      </c>
      <c r="M62" s="120">
        <v>1013228</v>
      </c>
      <c r="N62" s="82" t="s">
        <v>83</v>
      </c>
    </row>
    <row r="63" spans="1:14" s="89" customFormat="1" ht="15.75" customHeight="1">
      <c r="A63" s="72" t="s">
        <v>84</v>
      </c>
      <c r="B63" s="118">
        <f>_xlfn.COMPOUNDVALUE(185)</f>
        <v>1621</v>
      </c>
      <c r="C63" s="182">
        <v>1244601</v>
      </c>
      <c r="D63" s="118">
        <f>_xlfn.COMPOUNDVALUE(186)</f>
        <v>2223</v>
      </c>
      <c r="E63" s="182">
        <v>1160021</v>
      </c>
      <c r="F63" s="118">
        <f>_xlfn.COMPOUNDVALUE(187)</f>
        <v>3844</v>
      </c>
      <c r="G63" s="182">
        <v>2404622</v>
      </c>
      <c r="H63" s="118">
        <f>_xlfn.COMPOUNDVALUE(188)</f>
        <v>116</v>
      </c>
      <c r="I63" s="184">
        <v>138871</v>
      </c>
      <c r="J63" s="118">
        <v>276</v>
      </c>
      <c r="K63" s="120">
        <v>66627</v>
      </c>
      <c r="L63" s="118">
        <v>4126</v>
      </c>
      <c r="M63" s="120">
        <v>2332379</v>
      </c>
      <c r="N63" s="82" t="s">
        <v>84</v>
      </c>
    </row>
    <row r="64" spans="1:14" s="89" customFormat="1" ht="15.75" customHeight="1">
      <c r="A64" s="72" t="s">
        <v>85</v>
      </c>
      <c r="B64" s="118">
        <f>_xlfn.COMPOUNDVALUE(189)</f>
        <v>1217</v>
      </c>
      <c r="C64" s="182">
        <v>1146965</v>
      </c>
      <c r="D64" s="118">
        <f>_xlfn.COMPOUNDVALUE(190)</f>
        <v>1989</v>
      </c>
      <c r="E64" s="182">
        <v>1091452</v>
      </c>
      <c r="F64" s="118">
        <f>_xlfn.COMPOUNDVALUE(191)</f>
        <v>3206</v>
      </c>
      <c r="G64" s="182">
        <v>2238417</v>
      </c>
      <c r="H64" s="118">
        <f>_xlfn.COMPOUNDVALUE(192)</f>
        <v>116</v>
      </c>
      <c r="I64" s="184">
        <v>172595</v>
      </c>
      <c r="J64" s="118">
        <v>378</v>
      </c>
      <c r="K64" s="120">
        <v>84137</v>
      </c>
      <c r="L64" s="118">
        <v>3513</v>
      </c>
      <c r="M64" s="120">
        <v>2149958</v>
      </c>
      <c r="N64" s="82" t="s">
        <v>85</v>
      </c>
    </row>
    <row r="65" spans="1:14" s="89" customFormat="1" ht="15.75" customHeight="1">
      <c r="A65" s="74" t="s">
        <v>86</v>
      </c>
      <c r="B65" s="121">
        <f>_xlfn.COMPOUNDVALUE(193)</f>
        <v>837</v>
      </c>
      <c r="C65" s="183">
        <v>663526</v>
      </c>
      <c r="D65" s="121">
        <f>_xlfn.COMPOUNDVALUE(194)</f>
        <v>1376</v>
      </c>
      <c r="E65" s="183">
        <v>775329</v>
      </c>
      <c r="F65" s="121">
        <f>_xlfn.COMPOUNDVALUE(195)</f>
        <v>2213</v>
      </c>
      <c r="G65" s="183">
        <v>1438855</v>
      </c>
      <c r="H65" s="121">
        <f>_xlfn.COMPOUNDVALUE(196)</f>
        <v>71</v>
      </c>
      <c r="I65" s="185">
        <v>85064</v>
      </c>
      <c r="J65" s="121">
        <v>312</v>
      </c>
      <c r="K65" s="123">
        <v>64453</v>
      </c>
      <c r="L65" s="121">
        <v>2385</v>
      </c>
      <c r="M65" s="123">
        <v>1418244</v>
      </c>
      <c r="N65" s="73" t="s">
        <v>86</v>
      </c>
    </row>
    <row r="66" spans="1:14" s="89" customFormat="1" ht="15.75" customHeight="1">
      <c r="A66" s="74"/>
      <c r="B66" s="121"/>
      <c r="C66" s="122"/>
      <c r="D66" s="121"/>
      <c r="E66" s="122"/>
      <c r="F66" s="121"/>
      <c r="G66" s="122"/>
      <c r="H66" s="121"/>
      <c r="I66" s="123"/>
      <c r="J66" s="121"/>
      <c r="K66" s="123"/>
      <c r="L66" s="121"/>
      <c r="M66" s="123"/>
      <c r="N66" s="73" t="s">
        <v>35</v>
      </c>
    </row>
    <row r="67" spans="1:14" s="89" customFormat="1" ht="15.75" customHeight="1">
      <c r="A67" s="74" t="s">
        <v>87</v>
      </c>
      <c r="B67" s="121">
        <f>_xlfn.COMPOUNDVALUE(197)</f>
        <v>1214</v>
      </c>
      <c r="C67" s="183">
        <v>846642</v>
      </c>
      <c r="D67" s="121">
        <f>_xlfn.COMPOUNDVALUE(198)</f>
        <v>1778</v>
      </c>
      <c r="E67" s="183">
        <v>960548</v>
      </c>
      <c r="F67" s="121">
        <f>_xlfn.COMPOUNDVALUE(199)</f>
        <v>2992</v>
      </c>
      <c r="G67" s="183">
        <v>1807189</v>
      </c>
      <c r="H67" s="121">
        <f>_xlfn.COMPOUNDVALUE(200)</f>
        <v>104</v>
      </c>
      <c r="I67" s="185">
        <v>178026</v>
      </c>
      <c r="J67" s="121">
        <v>271</v>
      </c>
      <c r="K67" s="123">
        <v>62638</v>
      </c>
      <c r="L67" s="121">
        <v>3232</v>
      </c>
      <c r="M67" s="123">
        <v>1691801</v>
      </c>
      <c r="N67" s="73" t="s">
        <v>87</v>
      </c>
    </row>
    <row r="68" spans="1:14" s="89" customFormat="1" ht="15.75" customHeight="1">
      <c r="A68" s="74" t="s">
        <v>88</v>
      </c>
      <c r="B68" s="121">
        <f>_xlfn.COMPOUNDVALUE(201)</f>
        <v>925</v>
      </c>
      <c r="C68" s="183">
        <v>610885</v>
      </c>
      <c r="D68" s="121">
        <f>_xlfn.COMPOUNDVALUE(202)</f>
        <v>1557</v>
      </c>
      <c r="E68" s="183">
        <v>770924</v>
      </c>
      <c r="F68" s="121">
        <f>_xlfn.COMPOUNDVALUE(203)</f>
        <v>2482</v>
      </c>
      <c r="G68" s="183">
        <v>1381810</v>
      </c>
      <c r="H68" s="121">
        <f>_xlfn.COMPOUNDVALUE(204)</f>
        <v>63</v>
      </c>
      <c r="I68" s="185">
        <v>69611</v>
      </c>
      <c r="J68" s="121">
        <v>196</v>
      </c>
      <c r="K68" s="123">
        <v>35366</v>
      </c>
      <c r="L68" s="121">
        <v>2637</v>
      </c>
      <c r="M68" s="123">
        <v>1347564</v>
      </c>
      <c r="N68" s="73" t="s">
        <v>88</v>
      </c>
    </row>
    <row r="69" spans="1:14" s="89" customFormat="1" ht="15.75" customHeight="1">
      <c r="A69" s="74" t="s">
        <v>89</v>
      </c>
      <c r="B69" s="121">
        <f>_xlfn.COMPOUNDVALUE(205)</f>
        <v>1173</v>
      </c>
      <c r="C69" s="183">
        <v>912138</v>
      </c>
      <c r="D69" s="121">
        <f>_xlfn.COMPOUNDVALUE(206)</f>
        <v>2085</v>
      </c>
      <c r="E69" s="183">
        <v>1072807</v>
      </c>
      <c r="F69" s="121">
        <f>_xlfn.COMPOUNDVALUE(207)</f>
        <v>3258</v>
      </c>
      <c r="G69" s="183">
        <v>1984945</v>
      </c>
      <c r="H69" s="121">
        <f>_xlfn.COMPOUNDVALUE(208)</f>
        <v>108</v>
      </c>
      <c r="I69" s="185">
        <v>113322</v>
      </c>
      <c r="J69" s="121">
        <v>305</v>
      </c>
      <c r="K69" s="123">
        <v>91017</v>
      </c>
      <c r="L69" s="121">
        <v>3574</v>
      </c>
      <c r="M69" s="123">
        <v>1962640</v>
      </c>
      <c r="N69" s="73" t="s">
        <v>89</v>
      </c>
    </row>
    <row r="70" spans="1:14" s="89" customFormat="1" ht="15.75" customHeight="1">
      <c r="A70" s="74" t="s">
        <v>90</v>
      </c>
      <c r="B70" s="121">
        <f>_xlfn.COMPOUNDVALUE(209)</f>
        <v>1295</v>
      </c>
      <c r="C70" s="183">
        <v>1091156</v>
      </c>
      <c r="D70" s="121">
        <f>_xlfn.COMPOUNDVALUE(210)</f>
        <v>1984</v>
      </c>
      <c r="E70" s="183">
        <v>958042</v>
      </c>
      <c r="F70" s="121">
        <f>_xlfn.COMPOUNDVALUE(211)</f>
        <v>3279</v>
      </c>
      <c r="G70" s="183">
        <v>2049198</v>
      </c>
      <c r="H70" s="121">
        <f>_xlfn.COMPOUNDVALUE(212)</f>
        <v>84</v>
      </c>
      <c r="I70" s="185">
        <v>129599</v>
      </c>
      <c r="J70" s="121">
        <v>294</v>
      </c>
      <c r="K70" s="123">
        <v>79755</v>
      </c>
      <c r="L70" s="121">
        <v>3534</v>
      </c>
      <c r="M70" s="123">
        <v>1999354</v>
      </c>
      <c r="N70" s="73" t="s">
        <v>90</v>
      </c>
    </row>
    <row r="71" spans="1:14" s="89" customFormat="1" ht="15.75" customHeight="1">
      <c r="A71" s="74" t="s">
        <v>91</v>
      </c>
      <c r="B71" s="121">
        <f>_xlfn.COMPOUNDVALUE(213)</f>
        <v>599</v>
      </c>
      <c r="C71" s="183">
        <v>600845</v>
      </c>
      <c r="D71" s="121">
        <f>_xlfn.COMPOUNDVALUE(214)</f>
        <v>942</v>
      </c>
      <c r="E71" s="183">
        <v>548866</v>
      </c>
      <c r="F71" s="121">
        <f>_xlfn.COMPOUNDVALUE(215)</f>
        <v>1541</v>
      </c>
      <c r="G71" s="183">
        <v>1149711</v>
      </c>
      <c r="H71" s="121">
        <f>_xlfn.COMPOUNDVALUE(216)</f>
        <v>50</v>
      </c>
      <c r="I71" s="185">
        <v>66757</v>
      </c>
      <c r="J71" s="121">
        <v>160</v>
      </c>
      <c r="K71" s="123">
        <v>28903</v>
      </c>
      <c r="L71" s="121">
        <v>1683</v>
      </c>
      <c r="M71" s="123">
        <v>1111858</v>
      </c>
      <c r="N71" s="73" t="s">
        <v>91</v>
      </c>
    </row>
    <row r="72" spans="1:14" s="89" customFormat="1" ht="15.75" customHeight="1">
      <c r="A72" s="75" t="s">
        <v>140</v>
      </c>
      <c r="B72" s="124">
        <v>40123</v>
      </c>
      <c r="C72" s="189">
        <v>47120525</v>
      </c>
      <c r="D72" s="124">
        <v>58496</v>
      </c>
      <c r="E72" s="189">
        <v>34719300</v>
      </c>
      <c r="F72" s="124">
        <v>98619</v>
      </c>
      <c r="G72" s="189">
        <v>81839823</v>
      </c>
      <c r="H72" s="198">
        <v>3992</v>
      </c>
      <c r="I72" s="193">
        <v>5426918</v>
      </c>
      <c r="J72" s="124">
        <v>8717</v>
      </c>
      <c r="K72" s="126">
        <v>1948814</v>
      </c>
      <c r="L72" s="124">
        <v>106608</v>
      </c>
      <c r="M72" s="126">
        <v>78361716</v>
      </c>
      <c r="N72" s="80" t="s">
        <v>93</v>
      </c>
    </row>
    <row r="73" spans="1:14" s="89" customFormat="1" ht="15.75" customHeight="1">
      <c r="A73" s="138"/>
      <c r="B73" s="140"/>
      <c r="C73" s="190"/>
      <c r="D73" s="140"/>
      <c r="E73" s="190"/>
      <c r="F73" s="140"/>
      <c r="G73" s="190"/>
      <c r="H73" s="140"/>
      <c r="I73" s="194"/>
      <c r="J73" s="140"/>
      <c r="K73" s="141"/>
      <c r="L73" s="140"/>
      <c r="M73" s="141"/>
      <c r="N73" s="139" t="s">
        <v>35</v>
      </c>
    </row>
    <row r="74" spans="1:14" s="89" customFormat="1" ht="15.75" customHeight="1">
      <c r="A74" s="72" t="s">
        <v>94</v>
      </c>
      <c r="B74" s="118">
        <f>_xlfn.COMPOUNDVALUE(217)</f>
        <v>1287</v>
      </c>
      <c r="C74" s="182">
        <v>864869</v>
      </c>
      <c r="D74" s="118">
        <f>_xlfn.COMPOUNDVALUE(218)</f>
        <v>2223</v>
      </c>
      <c r="E74" s="182">
        <v>1123552</v>
      </c>
      <c r="F74" s="118">
        <f>_xlfn.COMPOUNDVALUE(219)</f>
        <v>3510</v>
      </c>
      <c r="G74" s="182">
        <v>1988421</v>
      </c>
      <c r="H74" s="118">
        <f>_xlfn.COMPOUNDVALUE(220)</f>
        <v>93</v>
      </c>
      <c r="I74" s="184">
        <v>84339</v>
      </c>
      <c r="J74" s="118">
        <v>288</v>
      </c>
      <c r="K74" s="120">
        <v>79150</v>
      </c>
      <c r="L74" s="118">
        <v>3756</v>
      </c>
      <c r="M74" s="120">
        <v>1983232</v>
      </c>
      <c r="N74" s="81" t="s">
        <v>94</v>
      </c>
    </row>
    <row r="75" spans="1:14" s="89" customFormat="1" ht="15.75" customHeight="1">
      <c r="A75" s="74" t="s">
        <v>95</v>
      </c>
      <c r="B75" s="121">
        <f>_xlfn.COMPOUNDVALUE(221)</f>
        <v>1665</v>
      </c>
      <c r="C75" s="183">
        <v>1304844</v>
      </c>
      <c r="D75" s="121">
        <f>_xlfn.COMPOUNDVALUE(222)</f>
        <v>3107</v>
      </c>
      <c r="E75" s="183">
        <v>1632428</v>
      </c>
      <c r="F75" s="121">
        <f>_xlfn.COMPOUNDVALUE(223)</f>
        <v>4772</v>
      </c>
      <c r="G75" s="183">
        <v>2937272</v>
      </c>
      <c r="H75" s="121">
        <f>_xlfn.COMPOUNDVALUE(224)</f>
        <v>124</v>
      </c>
      <c r="I75" s="185">
        <v>111372</v>
      </c>
      <c r="J75" s="121">
        <v>409</v>
      </c>
      <c r="K75" s="123">
        <v>64317</v>
      </c>
      <c r="L75" s="121">
        <v>5075</v>
      </c>
      <c r="M75" s="123">
        <v>2890218</v>
      </c>
      <c r="N75" s="73" t="s">
        <v>95</v>
      </c>
    </row>
    <row r="76" spans="1:14" s="89" customFormat="1" ht="15.75" customHeight="1">
      <c r="A76" s="74" t="s">
        <v>96</v>
      </c>
      <c r="B76" s="121">
        <f>_xlfn.COMPOUNDVALUE(225)</f>
        <v>1229</v>
      </c>
      <c r="C76" s="183">
        <v>1359280</v>
      </c>
      <c r="D76" s="121">
        <f>_xlfn.COMPOUNDVALUE(226)</f>
        <v>2449</v>
      </c>
      <c r="E76" s="183">
        <v>1460600</v>
      </c>
      <c r="F76" s="121">
        <f>_xlfn.COMPOUNDVALUE(227)</f>
        <v>3678</v>
      </c>
      <c r="G76" s="183">
        <v>2819881</v>
      </c>
      <c r="H76" s="121">
        <f>_xlfn.COMPOUNDVALUE(228)</f>
        <v>117</v>
      </c>
      <c r="I76" s="185">
        <v>157786</v>
      </c>
      <c r="J76" s="121">
        <v>267</v>
      </c>
      <c r="K76" s="123">
        <v>75444</v>
      </c>
      <c r="L76" s="121">
        <v>3932</v>
      </c>
      <c r="M76" s="123">
        <v>2737538</v>
      </c>
      <c r="N76" s="73" t="s">
        <v>96</v>
      </c>
    </row>
    <row r="77" spans="1:14" s="89" customFormat="1" ht="15.75" customHeight="1">
      <c r="A77" s="74" t="s">
        <v>97</v>
      </c>
      <c r="B77" s="121">
        <f>_xlfn.COMPOUNDVALUE(229)</f>
        <v>1157</v>
      </c>
      <c r="C77" s="183">
        <v>736031</v>
      </c>
      <c r="D77" s="121">
        <f>_xlfn.COMPOUNDVALUE(230)</f>
        <v>1861</v>
      </c>
      <c r="E77" s="183">
        <v>898939</v>
      </c>
      <c r="F77" s="121">
        <f>_xlfn.COMPOUNDVALUE(231)</f>
        <v>3018</v>
      </c>
      <c r="G77" s="183">
        <v>1634970</v>
      </c>
      <c r="H77" s="121">
        <f>_xlfn.COMPOUNDVALUE(232)</f>
        <v>100</v>
      </c>
      <c r="I77" s="185">
        <v>88381</v>
      </c>
      <c r="J77" s="121">
        <v>253</v>
      </c>
      <c r="K77" s="123">
        <v>14721</v>
      </c>
      <c r="L77" s="121">
        <v>3238</v>
      </c>
      <c r="M77" s="123">
        <v>1561310</v>
      </c>
      <c r="N77" s="73" t="s">
        <v>97</v>
      </c>
    </row>
    <row r="78" spans="1:14" s="89" customFormat="1" ht="15.75" customHeight="1">
      <c r="A78" s="74" t="s">
        <v>98</v>
      </c>
      <c r="B78" s="121">
        <f>_xlfn.COMPOUNDVALUE(233)</f>
        <v>1400</v>
      </c>
      <c r="C78" s="183">
        <v>1099947</v>
      </c>
      <c r="D78" s="121">
        <f>_xlfn.COMPOUNDVALUE(234)</f>
        <v>2437</v>
      </c>
      <c r="E78" s="183">
        <v>1296522</v>
      </c>
      <c r="F78" s="121">
        <f>_xlfn.COMPOUNDVALUE(235)</f>
        <v>3837</v>
      </c>
      <c r="G78" s="183">
        <v>2396469</v>
      </c>
      <c r="H78" s="121">
        <f>_xlfn.COMPOUNDVALUE(236)</f>
        <v>97</v>
      </c>
      <c r="I78" s="185">
        <v>122773</v>
      </c>
      <c r="J78" s="121">
        <v>268</v>
      </c>
      <c r="K78" s="123">
        <v>78798</v>
      </c>
      <c r="L78" s="121">
        <v>4102</v>
      </c>
      <c r="M78" s="123">
        <v>2352494</v>
      </c>
      <c r="N78" s="73" t="s">
        <v>98</v>
      </c>
    </row>
    <row r="79" spans="1:14" s="89" customFormat="1" ht="15.75" customHeight="1">
      <c r="A79" s="99"/>
      <c r="B79" s="127"/>
      <c r="C79" s="191"/>
      <c r="D79" s="127"/>
      <c r="E79" s="191"/>
      <c r="F79" s="127"/>
      <c r="G79" s="191"/>
      <c r="H79" s="127"/>
      <c r="I79" s="195"/>
      <c r="J79" s="127"/>
      <c r="K79" s="129"/>
      <c r="L79" s="127"/>
      <c r="M79" s="128"/>
      <c r="N79" s="101" t="s">
        <v>35</v>
      </c>
    </row>
    <row r="80" spans="1:14" s="89" customFormat="1" ht="15.75" customHeight="1">
      <c r="A80" s="94" t="s">
        <v>99</v>
      </c>
      <c r="B80" s="118">
        <f>_xlfn.COMPOUNDVALUE(237)</f>
        <v>995</v>
      </c>
      <c r="C80" s="182">
        <v>876776</v>
      </c>
      <c r="D80" s="118">
        <f>_xlfn.COMPOUNDVALUE(238)</f>
        <v>1725</v>
      </c>
      <c r="E80" s="182">
        <v>910064</v>
      </c>
      <c r="F80" s="118">
        <f>_xlfn.COMPOUNDVALUE(239)</f>
        <v>2720</v>
      </c>
      <c r="G80" s="182">
        <v>1786840</v>
      </c>
      <c r="H80" s="118">
        <f>_xlfn.COMPOUNDVALUE(240)</f>
        <v>98</v>
      </c>
      <c r="I80" s="184">
        <v>174643</v>
      </c>
      <c r="J80" s="118">
        <v>215</v>
      </c>
      <c r="K80" s="120">
        <v>64891</v>
      </c>
      <c r="L80" s="118">
        <v>2903</v>
      </c>
      <c r="M80" s="120">
        <v>1677087</v>
      </c>
      <c r="N80" s="96" t="s">
        <v>99</v>
      </c>
    </row>
    <row r="81" spans="1:14" s="89" customFormat="1" ht="15.75" customHeight="1">
      <c r="A81" s="74" t="s">
        <v>100</v>
      </c>
      <c r="B81" s="186">
        <f>_xlfn.COMPOUNDVALUE(241)</f>
        <v>812</v>
      </c>
      <c r="C81" s="183">
        <v>639028</v>
      </c>
      <c r="D81" s="121">
        <f>_xlfn.COMPOUNDVALUE(242)</f>
        <v>1434</v>
      </c>
      <c r="E81" s="183">
        <v>754518</v>
      </c>
      <c r="F81" s="186">
        <f>_xlfn.COMPOUNDVALUE(243)</f>
        <v>2246</v>
      </c>
      <c r="G81" s="183">
        <v>1393545</v>
      </c>
      <c r="H81" s="186">
        <f>_xlfn.COMPOUNDVALUE(244)</f>
        <v>121</v>
      </c>
      <c r="I81" s="185">
        <v>127898</v>
      </c>
      <c r="J81" s="121">
        <v>215</v>
      </c>
      <c r="K81" s="123">
        <v>21336</v>
      </c>
      <c r="L81" s="121">
        <v>2469</v>
      </c>
      <c r="M81" s="123">
        <v>1286983</v>
      </c>
      <c r="N81" s="73" t="s">
        <v>100</v>
      </c>
    </row>
    <row r="82" spans="1:14" s="89" customFormat="1" ht="15.75" customHeight="1">
      <c r="A82" s="74" t="s">
        <v>101</v>
      </c>
      <c r="B82" s="186">
        <f>_xlfn.COMPOUNDVALUE(245)</f>
        <v>1707</v>
      </c>
      <c r="C82" s="183">
        <v>1238538</v>
      </c>
      <c r="D82" s="121">
        <f>_xlfn.COMPOUNDVALUE(246)</f>
        <v>2999</v>
      </c>
      <c r="E82" s="183">
        <v>1476256</v>
      </c>
      <c r="F82" s="186">
        <f>_xlfn.COMPOUNDVALUE(247)</f>
        <v>4706</v>
      </c>
      <c r="G82" s="183">
        <v>2714794</v>
      </c>
      <c r="H82" s="186">
        <f>_xlfn.COMPOUNDVALUE(248)</f>
        <v>120</v>
      </c>
      <c r="I82" s="185">
        <v>144839</v>
      </c>
      <c r="J82" s="121">
        <v>411</v>
      </c>
      <c r="K82" s="123">
        <v>83736</v>
      </c>
      <c r="L82" s="121">
        <v>5022</v>
      </c>
      <c r="M82" s="123">
        <v>2653690</v>
      </c>
      <c r="N82" s="73" t="s">
        <v>101</v>
      </c>
    </row>
    <row r="83" spans="1:14" s="89" customFormat="1" ht="15.75" customHeight="1">
      <c r="A83" s="142" t="s">
        <v>102</v>
      </c>
      <c r="B83" s="187">
        <v>10252</v>
      </c>
      <c r="C83" s="192">
        <v>8119313</v>
      </c>
      <c r="D83" s="143">
        <v>18235</v>
      </c>
      <c r="E83" s="192">
        <v>9552879</v>
      </c>
      <c r="F83" s="187">
        <v>28487</v>
      </c>
      <c r="G83" s="192">
        <v>17672192</v>
      </c>
      <c r="H83" s="187">
        <v>870</v>
      </c>
      <c r="I83" s="196">
        <v>1012031</v>
      </c>
      <c r="J83" s="143">
        <v>2326</v>
      </c>
      <c r="K83" s="145">
        <v>482393</v>
      </c>
      <c r="L83" s="143">
        <v>30497</v>
      </c>
      <c r="M83" s="145">
        <v>17142552</v>
      </c>
      <c r="N83" s="146" t="s">
        <v>103</v>
      </c>
    </row>
    <row r="84" spans="1:14" s="89" customFormat="1" ht="15.75" customHeight="1">
      <c r="A84" s="157"/>
      <c r="B84" s="199"/>
      <c r="C84" s="159"/>
      <c r="D84" s="158"/>
      <c r="E84" s="159"/>
      <c r="F84" s="199"/>
      <c r="G84" s="159"/>
      <c r="H84" s="199"/>
      <c r="I84" s="197"/>
      <c r="J84" s="158"/>
      <c r="K84" s="160"/>
      <c r="L84" s="158"/>
      <c r="M84" s="160"/>
      <c r="N84" s="161" t="s">
        <v>35</v>
      </c>
    </row>
    <row r="85" spans="1:14" s="89" customFormat="1" ht="15.75" customHeight="1">
      <c r="A85" s="152" t="s">
        <v>141</v>
      </c>
      <c r="B85" s="200">
        <v>50375</v>
      </c>
      <c r="C85" s="154">
        <v>55239835</v>
      </c>
      <c r="D85" s="153">
        <v>76731</v>
      </c>
      <c r="E85" s="154">
        <v>44272178</v>
      </c>
      <c r="F85" s="200">
        <v>127106</v>
      </c>
      <c r="G85" s="154">
        <v>99512012</v>
      </c>
      <c r="H85" s="200">
        <v>4862</v>
      </c>
      <c r="I85" s="155">
        <v>6438951</v>
      </c>
      <c r="J85" s="153">
        <v>11043</v>
      </c>
      <c r="K85" s="155">
        <v>2431206</v>
      </c>
      <c r="L85" s="153">
        <v>137105</v>
      </c>
      <c r="M85" s="155">
        <v>95504267</v>
      </c>
      <c r="N85" s="156" t="s">
        <v>105</v>
      </c>
    </row>
    <row r="86" spans="1:14" s="89" customFormat="1" ht="15.75" customHeight="1">
      <c r="A86" s="147"/>
      <c r="B86" s="148"/>
      <c r="C86" s="149"/>
      <c r="D86" s="148"/>
      <c r="E86" s="149"/>
      <c r="F86" s="150"/>
      <c r="G86" s="149"/>
      <c r="H86" s="201"/>
      <c r="I86" s="149"/>
      <c r="J86" s="150"/>
      <c r="K86" s="149"/>
      <c r="L86" s="150"/>
      <c r="M86" s="149"/>
      <c r="N86" s="151"/>
    </row>
    <row r="87" spans="1:14" s="89" customFormat="1" ht="15.75" customHeight="1">
      <c r="A87" s="72" t="s">
        <v>106</v>
      </c>
      <c r="B87" s="118">
        <f>_xlfn.COMPOUNDVALUE(249)</f>
        <v>619</v>
      </c>
      <c r="C87" s="182">
        <v>405418</v>
      </c>
      <c r="D87" s="118">
        <f>_xlfn.COMPOUNDVALUE(250)</f>
        <v>948</v>
      </c>
      <c r="E87" s="182">
        <v>461607</v>
      </c>
      <c r="F87" s="118">
        <f>_xlfn.COMPOUNDVALUE(251)</f>
        <v>1567</v>
      </c>
      <c r="G87" s="182">
        <v>867024</v>
      </c>
      <c r="H87" s="118">
        <f>_xlfn.COMPOUNDVALUE(252)</f>
        <v>55</v>
      </c>
      <c r="I87" s="184">
        <v>127526</v>
      </c>
      <c r="J87" s="118">
        <v>153</v>
      </c>
      <c r="K87" s="120">
        <v>43628</v>
      </c>
      <c r="L87" s="118">
        <v>1695</v>
      </c>
      <c r="M87" s="120">
        <v>783126</v>
      </c>
      <c r="N87" s="82" t="s">
        <v>106</v>
      </c>
    </row>
    <row r="88" spans="1:14" s="89" customFormat="1" ht="15.75" customHeight="1">
      <c r="A88" s="72" t="s">
        <v>107</v>
      </c>
      <c r="B88" s="118">
        <f>_xlfn.COMPOUNDVALUE(253)</f>
        <v>1056</v>
      </c>
      <c r="C88" s="182">
        <v>1114400</v>
      </c>
      <c r="D88" s="188">
        <f>_xlfn.COMPOUNDVALUE(254)</f>
        <v>1457</v>
      </c>
      <c r="E88" s="182">
        <v>890183</v>
      </c>
      <c r="F88" s="188">
        <f>_xlfn.COMPOUNDVALUE(255)</f>
        <v>2513</v>
      </c>
      <c r="G88" s="182">
        <v>2004583</v>
      </c>
      <c r="H88" s="188">
        <f>_xlfn.COMPOUNDVALUE(256)</f>
        <v>190</v>
      </c>
      <c r="I88" s="184">
        <v>172486</v>
      </c>
      <c r="J88" s="118">
        <v>223</v>
      </c>
      <c r="K88" s="120">
        <v>50256</v>
      </c>
      <c r="L88" s="118">
        <v>2805</v>
      </c>
      <c r="M88" s="120">
        <v>1882353</v>
      </c>
      <c r="N88" s="82" t="s">
        <v>107</v>
      </c>
    </row>
    <row r="89" spans="1:14" s="89" customFormat="1" ht="15.75" customHeight="1">
      <c r="A89" s="72" t="s">
        <v>108</v>
      </c>
      <c r="B89" s="118">
        <f>_xlfn.COMPOUNDVALUE(257)</f>
        <v>1038</v>
      </c>
      <c r="C89" s="182">
        <v>725917</v>
      </c>
      <c r="D89" s="118">
        <f>_xlfn.COMPOUNDVALUE(258)</f>
        <v>1914</v>
      </c>
      <c r="E89" s="182">
        <v>947319</v>
      </c>
      <c r="F89" s="188">
        <f>_xlfn.COMPOUNDVALUE(259)</f>
        <v>2952</v>
      </c>
      <c r="G89" s="182">
        <v>1673236</v>
      </c>
      <c r="H89" s="188">
        <f>_xlfn.COMPOUNDVALUE(260)</f>
        <v>101</v>
      </c>
      <c r="I89" s="184">
        <v>85231</v>
      </c>
      <c r="J89" s="118">
        <v>363</v>
      </c>
      <c r="K89" s="120">
        <v>61964</v>
      </c>
      <c r="L89" s="118">
        <v>3251</v>
      </c>
      <c r="M89" s="120">
        <v>1649968</v>
      </c>
      <c r="N89" s="82" t="s">
        <v>108</v>
      </c>
    </row>
    <row r="90" spans="1:14" s="89" customFormat="1" ht="15.75" customHeight="1">
      <c r="A90" s="72" t="s">
        <v>109</v>
      </c>
      <c r="B90" s="188">
        <f>_xlfn.COMPOUNDVALUE(261)</f>
        <v>1467</v>
      </c>
      <c r="C90" s="182">
        <v>1132225</v>
      </c>
      <c r="D90" s="118">
        <f>_xlfn.COMPOUNDVALUE(262)</f>
        <v>2259</v>
      </c>
      <c r="E90" s="182">
        <v>1154523</v>
      </c>
      <c r="F90" s="188">
        <f>_xlfn.COMPOUNDVALUE(263)</f>
        <v>3726</v>
      </c>
      <c r="G90" s="182">
        <v>2286748</v>
      </c>
      <c r="H90" s="188">
        <f>_xlfn.COMPOUNDVALUE(264)</f>
        <v>150</v>
      </c>
      <c r="I90" s="184">
        <v>169790</v>
      </c>
      <c r="J90" s="118">
        <v>267</v>
      </c>
      <c r="K90" s="120">
        <v>43870</v>
      </c>
      <c r="L90" s="118">
        <v>4001</v>
      </c>
      <c r="M90" s="120">
        <v>2160827</v>
      </c>
      <c r="N90" s="82" t="s">
        <v>109</v>
      </c>
    </row>
    <row r="91" spans="1:14" s="89" customFormat="1" ht="15.75" customHeight="1">
      <c r="A91" s="72" t="s">
        <v>110</v>
      </c>
      <c r="B91" s="188">
        <f>_xlfn.COMPOUNDVALUE(265)</f>
        <v>1360</v>
      </c>
      <c r="C91" s="182">
        <v>1226516</v>
      </c>
      <c r="D91" s="118">
        <f>_xlfn.COMPOUNDVALUE(266)</f>
        <v>2220</v>
      </c>
      <c r="E91" s="182">
        <v>1261139</v>
      </c>
      <c r="F91" s="188">
        <f>_xlfn.COMPOUNDVALUE(267)</f>
        <v>3580</v>
      </c>
      <c r="G91" s="182">
        <v>2487655</v>
      </c>
      <c r="H91" s="188">
        <f>_xlfn.COMPOUNDVALUE(268)</f>
        <v>142</v>
      </c>
      <c r="I91" s="184">
        <v>190918</v>
      </c>
      <c r="J91" s="118">
        <v>288</v>
      </c>
      <c r="K91" s="120">
        <v>80301</v>
      </c>
      <c r="L91" s="118">
        <v>3856</v>
      </c>
      <c r="M91" s="120">
        <v>2377038</v>
      </c>
      <c r="N91" s="82" t="s">
        <v>110</v>
      </c>
    </row>
    <row r="92" spans="1:14" s="89" customFormat="1" ht="15.75" customHeight="1">
      <c r="A92" s="72"/>
      <c r="B92" s="188"/>
      <c r="C92" s="182"/>
      <c r="D92" s="118"/>
      <c r="E92" s="182"/>
      <c r="F92" s="188"/>
      <c r="G92" s="182"/>
      <c r="H92" s="188"/>
      <c r="I92" s="184"/>
      <c r="J92" s="118"/>
      <c r="K92" s="120"/>
      <c r="L92" s="118"/>
      <c r="M92" s="120"/>
      <c r="N92" s="82" t="s">
        <v>35</v>
      </c>
    </row>
    <row r="93" spans="1:14" s="89" customFormat="1" ht="15.75" customHeight="1">
      <c r="A93" s="72" t="s">
        <v>111</v>
      </c>
      <c r="B93" s="188">
        <f>_xlfn.COMPOUNDVALUE(269)</f>
        <v>996</v>
      </c>
      <c r="C93" s="182">
        <v>846831</v>
      </c>
      <c r="D93" s="118">
        <f>_xlfn.COMPOUNDVALUE(270)</f>
        <v>1728</v>
      </c>
      <c r="E93" s="182">
        <v>919024</v>
      </c>
      <c r="F93" s="188">
        <f>_xlfn.COMPOUNDVALUE(271)</f>
        <v>2724</v>
      </c>
      <c r="G93" s="182">
        <v>1765855</v>
      </c>
      <c r="H93" s="188">
        <f>_xlfn.COMPOUNDVALUE(272)</f>
        <v>124</v>
      </c>
      <c r="I93" s="184">
        <v>174092</v>
      </c>
      <c r="J93" s="118">
        <v>367</v>
      </c>
      <c r="K93" s="120">
        <v>60341</v>
      </c>
      <c r="L93" s="118">
        <v>3005</v>
      </c>
      <c r="M93" s="120">
        <v>1652104</v>
      </c>
      <c r="N93" s="82" t="s">
        <v>111</v>
      </c>
    </row>
    <row r="94" spans="1:14" s="89" customFormat="1" ht="15.75" customHeight="1">
      <c r="A94" s="72" t="s">
        <v>164</v>
      </c>
      <c r="B94" s="188">
        <f>_xlfn.COMPOUNDVALUE(273)</f>
        <v>1697</v>
      </c>
      <c r="C94" s="182">
        <v>1760868</v>
      </c>
      <c r="D94" s="118">
        <f>_xlfn.COMPOUNDVALUE(274)</f>
        <v>3074</v>
      </c>
      <c r="E94" s="182">
        <v>1858298</v>
      </c>
      <c r="F94" s="188">
        <f>_xlfn.COMPOUNDVALUE(275)</f>
        <v>4771</v>
      </c>
      <c r="G94" s="182">
        <v>3619165</v>
      </c>
      <c r="H94" s="188">
        <f>_xlfn.COMPOUNDVALUE(276)</f>
        <v>173</v>
      </c>
      <c r="I94" s="184">
        <v>286751</v>
      </c>
      <c r="J94" s="118">
        <v>334</v>
      </c>
      <c r="K94" s="120">
        <v>71787</v>
      </c>
      <c r="L94" s="118">
        <v>5115</v>
      </c>
      <c r="M94" s="120">
        <v>3404201</v>
      </c>
      <c r="N94" s="82" t="s">
        <v>112</v>
      </c>
    </row>
    <row r="95" spans="1:14" s="89" customFormat="1" ht="15.75" customHeight="1">
      <c r="A95" s="72" t="s">
        <v>113</v>
      </c>
      <c r="B95" s="188">
        <f>_xlfn.COMPOUNDVALUE(277)</f>
        <v>942</v>
      </c>
      <c r="C95" s="182">
        <v>632329</v>
      </c>
      <c r="D95" s="118">
        <f>_xlfn.COMPOUNDVALUE(278)</f>
        <v>1308</v>
      </c>
      <c r="E95" s="182">
        <v>651134</v>
      </c>
      <c r="F95" s="188">
        <f>_xlfn.COMPOUNDVALUE(279)</f>
        <v>2250</v>
      </c>
      <c r="G95" s="182">
        <v>1283463</v>
      </c>
      <c r="H95" s="188">
        <f>_xlfn.COMPOUNDVALUE(280)</f>
        <v>97</v>
      </c>
      <c r="I95" s="184">
        <v>170292</v>
      </c>
      <c r="J95" s="118">
        <v>252</v>
      </c>
      <c r="K95" s="120">
        <v>82009</v>
      </c>
      <c r="L95" s="118">
        <v>2503</v>
      </c>
      <c r="M95" s="120">
        <v>1195180</v>
      </c>
      <c r="N95" s="82" t="s">
        <v>113</v>
      </c>
    </row>
    <row r="96" spans="1:14" s="89" customFormat="1" ht="15.75" customHeight="1">
      <c r="A96" s="72" t="s">
        <v>114</v>
      </c>
      <c r="B96" s="118">
        <f>_xlfn.COMPOUNDVALUE(281)</f>
        <v>1664</v>
      </c>
      <c r="C96" s="182">
        <v>1413085</v>
      </c>
      <c r="D96" s="118">
        <f>_xlfn.COMPOUNDVALUE(282)</f>
        <v>2746</v>
      </c>
      <c r="E96" s="182">
        <v>1537715</v>
      </c>
      <c r="F96" s="118">
        <f>_xlfn.COMPOUNDVALUE(283)</f>
        <v>4410</v>
      </c>
      <c r="G96" s="182">
        <v>2950800</v>
      </c>
      <c r="H96" s="118">
        <f>_xlfn.COMPOUNDVALUE(284)</f>
        <v>167</v>
      </c>
      <c r="I96" s="184">
        <v>203827</v>
      </c>
      <c r="J96" s="118">
        <v>277</v>
      </c>
      <c r="K96" s="120">
        <v>17270</v>
      </c>
      <c r="L96" s="118">
        <v>4703</v>
      </c>
      <c r="M96" s="120">
        <v>2764243</v>
      </c>
      <c r="N96" s="82" t="s">
        <v>114</v>
      </c>
    </row>
    <row r="97" spans="1:14" s="89" customFormat="1" ht="15.75" customHeight="1">
      <c r="A97" s="72" t="s">
        <v>115</v>
      </c>
      <c r="B97" s="118">
        <f>_xlfn.COMPOUNDVALUE(285)</f>
        <v>885</v>
      </c>
      <c r="C97" s="182">
        <v>1048845</v>
      </c>
      <c r="D97" s="118">
        <f>_xlfn.COMPOUNDVALUE(286)</f>
        <v>1441</v>
      </c>
      <c r="E97" s="182">
        <v>755858</v>
      </c>
      <c r="F97" s="118">
        <f>_xlfn.COMPOUNDVALUE(287)</f>
        <v>2326</v>
      </c>
      <c r="G97" s="182">
        <v>1804703</v>
      </c>
      <c r="H97" s="118">
        <f>_xlfn.COMPOUNDVALUE(288)</f>
        <v>74</v>
      </c>
      <c r="I97" s="184">
        <v>195503</v>
      </c>
      <c r="J97" s="118">
        <v>220</v>
      </c>
      <c r="K97" s="120">
        <v>15404</v>
      </c>
      <c r="L97" s="118">
        <v>2487</v>
      </c>
      <c r="M97" s="120">
        <v>1624604</v>
      </c>
      <c r="N97" s="82" t="s">
        <v>115</v>
      </c>
    </row>
    <row r="98" spans="1:14" s="89" customFormat="1" ht="15.75" customHeight="1">
      <c r="A98" s="72"/>
      <c r="B98" s="118"/>
      <c r="C98" s="182"/>
      <c r="D98" s="118"/>
      <c r="E98" s="182"/>
      <c r="F98" s="118"/>
      <c r="G98" s="182"/>
      <c r="H98" s="118"/>
      <c r="I98" s="184"/>
      <c r="J98" s="118"/>
      <c r="K98" s="120"/>
      <c r="L98" s="118"/>
      <c r="M98" s="120"/>
      <c r="N98" s="82" t="s">
        <v>35</v>
      </c>
    </row>
    <row r="99" spans="1:14" s="89" customFormat="1" ht="15.75" customHeight="1">
      <c r="A99" s="72" t="s">
        <v>116</v>
      </c>
      <c r="B99" s="118">
        <f>_xlfn.COMPOUNDVALUE(289)</f>
        <v>921</v>
      </c>
      <c r="C99" s="182">
        <v>595806</v>
      </c>
      <c r="D99" s="118">
        <f>_xlfn.COMPOUNDVALUE(290)</f>
        <v>2189</v>
      </c>
      <c r="E99" s="182">
        <v>905845</v>
      </c>
      <c r="F99" s="118">
        <f>_xlfn.COMPOUNDVALUE(291)</f>
        <v>3110</v>
      </c>
      <c r="G99" s="182">
        <v>1501651</v>
      </c>
      <c r="H99" s="118">
        <f>_xlfn.COMPOUNDVALUE(292)</f>
        <v>61</v>
      </c>
      <c r="I99" s="184">
        <v>41380</v>
      </c>
      <c r="J99" s="118">
        <v>288</v>
      </c>
      <c r="K99" s="120">
        <v>46896</v>
      </c>
      <c r="L99" s="118">
        <v>3325</v>
      </c>
      <c r="M99" s="120">
        <v>1507167</v>
      </c>
      <c r="N99" s="82" t="s">
        <v>116</v>
      </c>
    </row>
    <row r="100" spans="1:14" s="89" customFormat="1" ht="15.75" customHeight="1">
      <c r="A100" s="72" t="s">
        <v>117</v>
      </c>
      <c r="B100" s="118">
        <f>_xlfn.COMPOUNDVALUE(293)</f>
        <v>1085</v>
      </c>
      <c r="C100" s="182">
        <v>687903</v>
      </c>
      <c r="D100" s="118">
        <f>_xlfn.COMPOUNDVALUE(294)</f>
        <v>2151</v>
      </c>
      <c r="E100" s="182">
        <v>974267</v>
      </c>
      <c r="F100" s="118">
        <f>_xlfn.COMPOUNDVALUE(295)</f>
        <v>3236</v>
      </c>
      <c r="G100" s="182">
        <v>1662169</v>
      </c>
      <c r="H100" s="118">
        <f>_xlfn.COMPOUNDVALUE(296)</f>
        <v>85</v>
      </c>
      <c r="I100" s="184">
        <v>103851</v>
      </c>
      <c r="J100" s="118">
        <v>215</v>
      </c>
      <c r="K100" s="120">
        <v>33731</v>
      </c>
      <c r="L100" s="118">
        <v>3440</v>
      </c>
      <c r="M100" s="120">
        <v>1592049</v>
      </c>
      <c r="N100" s="82" t="s">
        <v>117</v>
      </c>
    </row>
    <row r="101" spans="1:14" s="89" customFormat="1" ht="15.75" customHeight="1">
      <c r="A101" s="74" t="s">
        <v>118</v>
      </c>
      <c r="B101" s="121">
        <f>_xlfn.COMPOUNDVALUE(297)</f>
        <v>765</v>
      </c>
      <c r="C101" s="183">
        <v>625996</v>
      </c>
      <c r="D101" s="121">
        <f>_xlfn.COMPOUNDVALUE(298)</f>
        <v>1348</v>
      </c>
      <c r="E101" s="183">
        <v>709533</v>
      </c>
      <c r="F101" s="121">
        <f>_xlfn.COMPOUNDVALUE(299)</f>
        <v>2113</v>
      </c>
      <c r="G101" s="183">
        <v>1335529</v>
      </c>
      <c r="H101" s="121">
        <f>_xlfn.COMPOUNDVALUE(300)</f>
        <v>85</v>
      </c>
      <c r="I101" s="185">
        <v>61977</v>
      </c>
      <c r="J101" s="121">
        <v>197</v>
      </c>
      <c r="K101" s="123">
        <v>25149</v>
      </c>
      <c r="L101" s="121">
        <v>2272</v>
      </c>
      <c r="M101" s="123">
        <v>1298700</v>
      </c>
      <c r="N101" s="73" t="s">
        <v>118</v>
      </c>
    </row>
    <row r="102" spans="1:14" s="89" customFormat="1" ht="15.75" customHeight="1">
      <c r="A102" s="74" t="s">
        <v>119</v>
      </c>
      <c r="B102" s="121">
        <f>_xlfn.COMPOUNDVALUE(301)</f>
        <v>1700</v>
      </c>
      <c r="C102" s="183">
        <v>1411477</v>
      </c>
      <c r="D102" s="121">
        <f>_xlfn.COMPOUNDVALUE(302)</f>
        <v>2966</v>
      </c>
      <c r="E102" s="183">
        <v>1511616</v>
      </c>
      <c r="F102" s="121">
        <f>_xlfn.COMPOUNDVALUE(303)</f>
        <v>4666</v>
      </c>
      <c r="G102" s="183">
        <v>2923093</v>
      </c>
      <c r="H102" s="121">
        <f>_xlfn.COMPOUNDVALUE(304)</f>
        <v>157</v>
      </c>
      <c r="I102" s="185">
        <v>149851</v>
      </c>
      <c r="J102" s="121">
        <v>459</v>
      </c>
      <c r="K102" s="123">
        <v>91565</v>
      </c>
      <c r="L102" s="121">
        <v>5051</v>
      </c>
      <c r="M102" s="123">
        <v>2864807</v>
      </c>
      <c r="N102" s="73" t="s">
        <v>119</v>
      </c>
    </row>
    <row r="103" spans="1:14" s="89" customFormat="1" ht="15.75" customHeight="1">
      <c r="A103" s="74" t="s">
        <v>120</v>
      </c>
      <c r="B103" s="121">
        <f>_xlfn.COMPOUNDVALUE(305)</f>
        <v>933</v>
      </c>
      <c r="C103" s="183">
        <v>540017</v>
      </c>
      <c r="D103" s="121">
        <f>_xlfn.COMPOUNDVALUE(306)</f>
        <v>1491</v>
      </c>
      <c r="E103" s="183">
        <v>641911</v>
      </c>
      <c r="F103" s="121">
        <f>_xlfn.COMPOUNDVALUE(307)</f>
        <v>2424</v>
      </c>
      <c r="G103" s="183">
        <v>1181927</v>
      </c>
      <c r="H103" s="121">
        <f>_xlfn.COMPOUNDVALUE(308)</f>
        <v>87</v>
      </c>
      <c r="I103" s="185">
        <v>57203</v>
      </c>
      <c r="J103" s="121">
        <v>183</v>
      </c>
      <c r="K103" s="123">
        <v>22838</v>
      </c>
      <c r="L103" s="121">
        <v>2581</v>
      </c>
      <c r="M103" s="123">
        <v>1147562</v>
      </c>
      <c r="N103" s="73" t="s">
        <v>120</v>
      </c>
    </row>
    <row r="104" spans="1:14" s="89" customFormat="1" ht="15.75" customHeight="1">
      <c r="A104" s="74"/>
      <c r="B104" s="121"/>
      <c r="C104" s="122"/>
      <c r="D104" s="121"/>
      <c r="E104" s="183"/>
      <c r="F104" s="121"/>
      <c r="G104" s="122"/>
      <c r="H104" s="121"/>
      <c r="I104" s="185"/>
      <c r="J104" s="121"/>
      <c r="K104" s="123"/>
      <c r="L104" s="121"/>
      <c r="M104" s="123"/>
      <c r="N104" s="73" t="s">
        <v>35</v>
      </c>
    </row>
    <row r="105" spans="1:14" s="89" customFormat="1" ht="15.75" customHeight="1">
      <c r="A105" s="74" t="s">
        <v>121</v>
      </c>
      <c r="B105" s="121">
        <f>_xlfn.COMPOUNDVALUE(309)</f>
        <v>1531</v>
      </c>
      <c r="C105" s="183">
        <v>1077800</v>
      </c>
      <c r="D105" s="186">
        <f>_xlfn.COMPOUNDVALUE(310)</f>
        <v>2623</v>
      </c>
      <c r="E105" s="183">
        <v>1333135</v>
      </c>
      <c r="F105" s="186">
        <f>_xlfn.COMPOUNDVALUE(311)</f>
        <v>4154</v>
      </c>
      <c r="G105" s="183">
        <v>2410935</v>
      </c>
      <c r="H105" s="121">
        <f>_xlfn.COMPOUNDVALUE(312)</f>
        <v>117</v>
      </c>
      <c r="I105" s="185">
        <v>120633</v>
      </c>
      <c r="J105" s="121">
        <v>318</v>
      </c>
      <c r="K105" s="123">
        <v>74845</v>
      </c>
      <c r="L105" s="121">
        <v>4457</v>
      </c>
      <c r="M105" s="123">
        <v>2365147</v>
      </c>
      <c r="N105" s="73" t="s">
        <v>121</v>
      </c>
    </row>
    <row r="106" spans="1:14" s="89" customFormat="1" ht="15.75" customHeight="1">
      <c r="A106" s="74" t="s">
        <v>122</v>
      </c>
      <c r="B106" s="121">
        <f>_xlfn.COMPOUNDVALUE(313)</f>
        <v>643</v>
      </c>
      <c r="C106" s="183">
        <v>431632</v>
      </c>
      <c r="D106" s="186">
        <f>_xlfn.COMPOUNDVALUE(314)</f>
        <v>1167</v>
      </c>
      <c r="E106" s="183">
        <v>573794</v>
      </c>
      <c r="F106" s="186">
        <f>_xlfn.COMPOUNDVALUE(315)</f>
        <v>1810</v>
      </c>
      <c r="G106" s="183">
        <v>1005426</v>
      </c>
      <c r="H106" s="121">
        <f>_xlfn.COMPOUNDVALUE(316)</f>
        <v>47</v>
      </c>
      <c r="I106" s="185">
        <v>88224</v>
      </c>
      <c r="J106" s="121">
        <v>136</v>
      </c>
      <c r="K106" s="123">
        <v>28154</v>
      </c>
      <c r="L106" s="121">
        <v>1931</v>
      </c>
      <c r="M106" s="123">
        <v>945356</v>
      </c>
      <c r="N106" s="73" t="s">
        <v>122</v>
      </c>
    </row>
    <row r="107" spans="1:14" s="89" customFormat="1" ht="15.75" customHeight="1">
      <c r="A107" s="74" t="s">
        <v>123</v>
      </c>
      <c r="B107" s="121">
        <f>_xlfn.COMPOUNDVALUE(317)</f>
        <v>1115</v>
      </c>
      <c r="C107" s="183">
        <v>701775</v>
      </c>
      <c r="D107" s="186">
        <f>_xlfn.COMPOUNDVALUE(318)</f>
        <v>2160</v>
      </c>
      <c r="E107" s="183">
        <v>1076081</v>
      </c>
      <c r="F107" s="186">
        <f>_xlfn.COMPOUNDVALUE(319)</f>
        <v>3275</v>
      </c>
      <c r="G107" s="183">
        <v>1777856</v>
      </c>
      <c r="H107" s="121">
        <f>_xlfn.COMPOUNDVALUE(320)</f>
        <v>106</v>
      </c>
      <c r="I107" s="185">
        <v>198394</v>
      </c>
      <c r="J107" s="121">
        <v>380</v>
      </c>
      <c r="K107" s="123">
        <v>81328</v>
      </c>
      <c r="L107" s="121">
        <v>3566</v>
      </c>
      <c r="M107" s="123">
        <v>1660789</v>
      </c>
      <c r="N107" s="73" t="s">
        <v>123</v>
      </c>
    </row>
    <row r="108" spans="1:14" s="89" customFormat="1" ht="15.75" customHeight="1">
      <c r="A108" s="142" t="s">
        <v>142</v>
      </c>
      <c r="B108" s="187">
        <v>20417</v>
      </c>
      <c r="C108" s="192">
        <v>16378836</v>
      </c>
      <c r="D108" s="187">
        <v>35190</v>
      </c>
      <c r="E108" s="192">
        <v>18162979</v>
      </c>
      <c r="F108" s="187">
        <v>55607</v>
      </c>
      <c r="G108" s="192">
        <v>34541816</v>
      </c>
      <c r="H108" s="187">
        <v>2018</v>
      </c>
      <c r="I108" s="196">
        <v>2597930</v>
      </c>
      <c r="J108" s="143">
        <v>4920</v>
      </c>
      <c r="K108" s="145">
        <v>931335</v>
      </c>
      <c r="L108" s="143">
        <v>60044</v>
      </c>
      <c r="M108" s="145">
        <v>32875221</v>
      </c>
      <c r="N108" s="146" t="s">
        <v>125</v>
      </c>
    </row>
    <row r="109" spans="1:14" s="89" customFormat="1" ht="15.75" customHeight="1">
      <c r="A109" s="147"/>
      <c r="B109" s="148"/>
      <c r="C109" s="149"/>
      <c r="D109" s="148"/>
      <c r="E109" s="149"/>
      <c r="F109" s="150"/>
      <c r="G109" s="149"/>
      <c r="H109" s="201"/>
      <c r="I109" s="149"/>
      <c r="J109" s="150"/>
      <c r="K109" s="149"/>
      <c r="L109" s="150"/>
      <c r="M109" s="149"/>
      <c r="N109" s="151"/>
    </row>
    <row r="110" spans="1:14" s="89" customFormat="1" ht="15.75" customHeight="1">
      <c r="A110" s="72" t="s">
        <v>126</v>
      </c>
      <c r="B110" s="118">
        <f>_xlfn.COMPOUNDVALUE(321)</f>
        <v>1898</v>
      </c>
      <c r="C110" s="182">
        <v>1312713</v>
      </c>
      <c r="D110" s="188">
        <f>_xlfn.COMPOUNDVALUE(322)</f>
        <v>2822</v>
      </c>
      <c r="E110" s="182">
        <v>1256102</v>
      </c>
      <c r="F110" s="188">
        <f>_xlfn.COMPOUNDVALUE(323)</f>
        <v>4720</v>
      </c>
      <c r="G110" s="182">
        <v>2568814</v>
      </c>
      <c r="H110" s="188">
        <f>_xlfn.COMPOUNDVALUE(324)</f>
        <v>134</v>
      </c>
      <c r="I110" s="184">
        <v>78956</v>
      </c>
      <c r="J110" s="118">
        <v>468</v>
      </c>
      <c r="K110" s="120">
        <v>100595</v>
      </c>
      <c r="L110" s="118">
        <v>5073</v>
      </c>
      <c r="M110" s="120">
        <v>2590453</v>
      </c>
      <c r="N110" s="82" t="s">
        <v>126</v>
      </c>
    </row>
    <row r="111" spans="1:14" s="89" customFormat="1" ht="15.75" customHeight="1">
      <c r="A111" s="74" t="s">
        <v>127</v>
      </c>
      <c r="B111" s="121">
        <f>_xlfn.COMPOUNDVALUE(325)</f>
        <v>552</v>
      </c>
      <c r="C111" s="183">
        <v>360389</v>
      </c>
      <c r="D111" s="186">
        <f>_xlfn.COMPOUNDVALUE(326)</f>
        <v>1427</v>
      </c>
      <c r="E111" s="183">
        <v>507344</v>
      </c>
      <c r="F111" s="186">
        <f>_xlfn.COMPOUNDVALUE(327)</f>
        <v>1979</v>
      </c>
      <c r="G111" s="183">
        <v>867733</v>
      </c>
      <c r="H111" s="186">
        <f>_xlfn.COMPOUNDVALUE(328)</f>
        <v>40</v>
      </c>
      <c r="I111" s="185">
        <v>20288</v>
      </c>
      <c r="J111" s="121">
        <v>89</v>
      </c>
      <c r="K111" s="123">
        <v>13601</v>
      </c>
      <c r="L111" s="121">
        <v>2038</v>
      </c>
      <c r="M111" s="123">
        <v>861045</v>
      </c>
      <c r="N111" s="73" t="s">
        <v>127</v>
      </c>
    </row>
    <row r="112" spans="1:14" s="89" customFormat="1" ht="15.75" customHeight="1">
      <c r="A112" s="74" t="s">
        <v>128</v>
      </c>
      <c r="B112" s="121">
        <f>_xlfn.COMPOUNDVALUE(329)</f>
        <v>877</v>
      </c>
      <c r="C112" s="183">
        <v>577648</v>
      </c>
      <c r="D112" s="186">
        <f>_xlfn.COMPOUNDVALUE(330)</f>
        <v>1278</v>
      </c>
      <c r="E112" s="183">
        <v>565983</v>
      </c>
      <c r="F112" s="186">
        <f>_xlfn.COMPOUNDVALUE(331)</f>
        <v>2155</v>
      </c>
      <c r="G112" s="183">
        <v>1143631</v>
      </c>
      <c r="H112" s="186">
        <f>_xlfn.COMPOUNDVALUE(332)</f>
        <v>53</v>
      </c>
      <c r="I112" s="185">
        <v>22270</v>
      </c>
      <c r="J112" s="121">
        <v>199</v>
      </c>
      <c r="K112" s="123">
        <v>23580</v>
      </c>
      <c r="L112" s="121">
        <v>2282</v>
      </c>
      <c r="M112" s="123">
        <v>1144941</v>
      </c>
      <c r="N112" s="73" t="s">
        <v>128</v>
      </c>
    </row>
    <row r="113" spans="1:14" s="89" customFormat="1" ht="15.75" customHeight="1">
      <c r="A113" s="74" t="s">
        <v>129</v>
      </c>
      <c r="B113" s="121">
        <f>_xlfn.COMPOUNDVALUE(333)</f>
        <v>163</v>
      </c>
      <c r="C113" s="183">
        <v>130353</v>
      </c>
      <c r="D113" s="186">
        <f>_xlfn.COMPOUNDVALUE(334)</f>
        <v>356</v>
      </c>
      <c r="E113" s="183">
        <v>141888</v>
      </c>
      <c r="F113" s="186">
        <f>_xlfn.COMPOUNDVALUE(335)</f>
        <v>519</v>
      </c>
      <c r="G113" s="183">
        <v>272241</v>
      </c>
      <c r="H113" s="186">
        <f>_xlfn.COMPOUNDVALUE(336)</f>
        <v>9</v>
      </c>
      <c r="I113" s="185">
        <v>4541</v>
      </c>
      <c r="J113" s="121">
        <v>62</v>
      </c>
      <c r="K113" s="123">
        <v>15777</v>
      </c>
      <c r="L113" s="121">
        <v>545</v>
      </c>
      <c r="M113" s="123">
        <v>283477</v>
      </c>
      <c r="N113" s="73" t="s">
        <v>129</v>
      </c>
    </row>
    <row r="114" spans="1:14" s="89" customFormat="1" ht="15.75" customHeight="1">
      <c r="A114" s="75" t="s">
        <v>130</v>
      </c>
      <c r="B114" s="124">
        <v>3490</v>
      </c>
      <c r="C114" s="125">
        <v>2381103</v>
      </c>
      <c r="D114" s="124">
        <v>5883</v>
      </c>
      <c r="E114" s="125">
        <v>2471317</v>
      </c>
      <c r="F114" s="124">
        <v>9373</v>
      </c>
      <c r="G114" s="125">
        <v>4852420</v>
      </c>
      <c r="H114" s="124">
        <v>236</v>
      </c>
      <c r="I114" s="126">
        <v>126055</v>
      </c>
      <c r="J114" s="124">
        <v>818</v>
      </c>
      <c r="K114" s="126">
        <v>153552</v>
      </c>
      <c r="L114" s="124">
        <v>9938</v>
      </c>
      <c r="M114" s="126">
        <v>4879916</v>
      </c>
      <c r="N114" s="80" t="s">
        <v>131</v>
      </c>
    </row>
    <row r="115" spans="1:15" s="89" customFormat="1" ht="15.75" customHeight="1" thickBot="1">
      <c r="A115" s="76"/>
      <c r="B115" s="130"/>
      <c r="C115" s="131"/>
      <c r="D115" s="130"/>
      <c r="E115" s="131"/>
      <c r="F115" s="132"/>
      <c r="G115" s="131"/>
      <c r="H115" s="132"/>
      <c r="I115" s="131"/>
      <c r="J115" s="132"/>
      <c r="K115" s="131"/>
      <c r="L115" s="132"/>
      <c r="M115" s="131"/>
      <c r="N115" s="86"/>
      <c r="O115" s="90"/>
    </row>
    <row r="116" spans="1:14" s="89" customFormat="1" ht="15.75" customHeight="1" thickBot="1" thickTop="1">
      <c r="A116" s="78" t="s">
        <v>143</v>
      </c>
      <c r="B116" s="202">
        <v>88721</v>
      </c>
      <c r="C116" s="134">
        <v>84016058</v>
      </c>
      <c r="D116" s="202">
        <v>143378</v>
      </c>
      <c r="E116" s="203">
        <v>76548206</v>
      </c>
      <c r="F116" s="202">
        <v>232099</v>
      </c>
      <c r="G116" s="134">
        <v>160564264</v>
      </c>
      <c r="H116" s="202">
        <v>8490</v>
      </c>
      <c r="I116" s="135">
        <v>10563237</v>
      </c>
      <c r="J116" s="133">
        <v>20259</v>
      </c>
      <c r="K116" s="135">
        <v>4278110</v>
      </c>
      <c r="L116" s="133">
        <v>250209</v>
      </c>
      <c r="M116" s="135">
        <v>154279136</v>
      </c>
      <c r="N116" s="87" t="s">
        <v>34</v>
      </c>
    </row>
    <row r="117" spans="1:14" ht="13.5">
      <c r="A117" s="270" t="s">
        <v>173</v>
      </c>
      <c r="B117" s="270"/>
      <c r="C117" s="270"/>
      <c r="D117" s="270"/>
      <c r="E117" s="270"/>
      <c r="F117" s="270"/>
      <c r="G117" s="270"/>
      <c r="H117" s="270"/>
      <c r="I117" s="270"/>
      <c r="J117" s="62"/>
      <c r="K117" s="62"/>
      <c r="L117" s="61"/>
      <c r="M117" s="61"/>
      <c r="N117" s="61"/>
    </row>
    <row r="119" spans="2:10" ht="13.5">
      <c r="B119" s="137"/>
      <c r="C119" s="137"/>
      <c r="D119" s="137"/>
      <c r="E119" s="137"/>
      <c r="F119" s="137"/>
      <c r="G119" s="137"/>
      <c r="H119" s="137"/>
      <c r="J119" s="137"/>
    </row>
    <row r="120" spans="2:10" ht="13.5">
      <c r="B120" s="137"/>
      <c r="C120" s="137"/>
      <c r="D120" s="137"/>
      <c r="E120" s="137"/>
      <c r="F120" s="137"/>
      <c r="G120" s="137"/>
      <c r="H120" s="137"/>
      <c r="J120" s="137"/>
    </row>
    <row r="121" spans="2:10" ht="13.5">
      <c r="B121" s="137"/>
      <c r="C121" s="137"/>
      <c r="D121" s="137"/>
      <c r="E121" s="137"/>
      <c r="F121" s="137"/>
      <c r="G121" s="137"/>
      <c r="H121" s="137"/>
      <c r="J121" s="137"/>
    </row>
    <row r="122" spans="2:10" ht="13.5">
      <c r="B122" s="137"/>
      <c r="C122" s="137"/>
      <c r="D122" s="137"/>
      <c r="E122" s="137"/>
      <c r="F122" s="137"/>
      <c r="G122" s="137"/>
      <c r="H122" s="137"/>
      <c r="J122" s="137"/>
    </row>
    <row r="123" spans="2:10" ht="13.5">
      <c r="B123" s="137"/>
      <c r="C123" s="137"/>
      <c r="D123" s="137"/>
      <c r="E123" s="137"/>
      <c r="F123" s="137"/>
      <c r="G123" s="137"/>
      <c r="H123" s="137"/>
      <c r="J123" s="137"/>
    </row>
    <row r="124" spans="2:10" ht="13.5">
      <c r="B124" s="137"/>
      <c r="C124" s="137"/>
      <c r="D124" s="137"/>
      <c r="E124" s="137"/>
      <c r="F124" s="137"/>
      <c r="G124" s="137"/>
      <c r="H124" s="137"/>
      <c r="J124" s="137"/>
    </row>
    <row r="125" spans="2:10" ht="13.5">
      <c r="B125" s="137"/>
      <c r="C125" s="137"/>
      <c r="D125" s="137"/>
      <c r="E125" s="137"/>
      <c r="F125" s="137"/>
      <c r="G125" s="137"/>
      <c r="H125" s="137"/>
      <c r="J125" s="137"/>
    </row>
    <row r="126" spans="2:10" ht="13.5">
      <c r="B126" s="137"/>
      <c r="C126" s="137"/>
      <c r="D126" s="137"/>
      <c r="E126" s="137"/>
      <c r="F126" s="137"/>
      <c r="G126" s="137"/>
      <c r="H126" s="137"/>
      <c r="J126" s="137"/>
    </row>
    <row r="127" spans="2:10" ht="13.5">
      <c r="B127" s="137"/>
      <c r="C127" s="137"/>
      <c r="D127" s="137"/>
      <c r="E127" s="137"/>
      <c r="F127" s="137"/>
      <c r="G127" s="137"/>
      <c r="H127" s="137"/>
      <c r="J127" s="137"/>
    </row>
    <row r="128" spans="2:10" ht="13.5">
      <c r="B128" s="137"/>
      <c r="C128" s="137"/>
      <c r="D128" s="137"/>
      <c r="E128" s="137"/>
      <c r="F128" s="137"/>
      <c r="G128" s="137"/>
      <c r="H128" s="137"/>
      <c r="J128" s="137"/>
    </row>
    <row r="129" spans="2:10" ht="13.5">
      <c r="B129" s="137"/>
      <c r="C129" s="137"/>
      <c r="D129" s="137"/>
      <c r="E129" s="137"/>
      <c r="F129" s="137"/>
      <c r="G129" s="137"/>
      <c r="H129" s="137"/>
      <c r="J129" s="137"/>
    </row>
    <row r="130" spans="2:10" ht="13.5">
      <c r="B130" s="137"/>
      <c r="C130" s="137"/>
      <c r="D130" s="137"/>
      <c r="E130" s="137"/>
      <c r="F130" s="137"/>
      <c r="G130" s="137"/>
      <c r="H130" s="137"/>
      <c r="J130" s="137"/>
    </row>
    <row r="131" spans="2:10" ht="13.5">
      <c r="B131" s="137"/>
      <c r="C131" s="137"/>
      <c r="D131" s="137"/>
      <c r="E131" s="137"/>
      <c r="F131" s="137"/>
      <c r="G131" s="137"/>
      <c r="H131" s="137"/>
      <c r="J131" s="137"/>
    </row>
  </sheetData>
  <sheetProtection/>
  <mergeCells count="11">
    <mergeCell ref="L3:M4"/>
    <mergeCell ref="N3:N5"/>
    <mergeCell ref="B4:C4"/>
    <mergeCell ref="D4:E4"/>
    <mergeCell ref="F4:G4"/>
    <mergeCell ref="A117:I117"/>
    <mergeCell ref="A2:G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81" r:id="rId1"/>
  <headerFooter alignWithMargins="0">
    <oddFooter>&amp;R&amp;K01+000東京国税局
消費税
(R01)</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sheetPr>
    <pageSetUpPr fitToPage="1"/>
  </sheetPr>
  <dimension ref="A1:N117"/>
  <sheetViews>
    <sheetView showGridLines="0" zoomScaleSheetLayoutView="85" workbookViewId="0" topLeftCell="A1">
      <selection activeCell="N11" sqref="N11"/>
    </sheetView>
  </sheetViews>
  <sheetFormatPr defaultColWidth="9.00390625" defaultRowHeight="13.5"/>
  <cols>
    <col min="1" max="1" width="11.125" style="117" customWidth="1"/>
    <col min="2" max="2" width="10.625" style="117" customWidth="1"/>
    <col min="3" max="3" width="12.625" style="117" customWidth="1"/>
    <col min="4" max="4" width="10.625" style="117" customWidth="1"/>
    <col min="5" max="5" width="12.625" style="117" customWidth="1"/>
    <col min="6" max="6" width="10.625" style="117" customWidth="1"/>
    <col min="7" max="7" width="12.625" style="117" customWidth="1"/>
    <col min="8" max="8" width="10.625" style="117" customWidth="1"/>
    <col min="9" max="9" width="12.625" style="117" customWidth="1"/>
    <col min="10" max="10" width="10.625" style="117" customWidth="1"/>
    <col min="11" max="11" width="12.625" style="117" customWidth="1"/>
    <col min="12" max="12" width="10.625" style="117" customWidth="1"/>
    <col min="13" max="13" width="12.625" style="117" customWidth="1"/>
    <col min="14" max="14" width="11.375" style="117" customWidth="1"/>
    <col min="15" max="16384" width="9.00390625" style="117" customWidth="1"/>
  </cols>
  <sheetData>
    <row r="1" spans="1:13" ht="13.5">
      <c r="A1" s="60" t="s">
        <v>178</v>
      </c>
      <c r="B1" s="60"/>
      <c r="C1" s="60"/>
      <c r="D1" s="60"/>
      <c r="E1" s="60"/>
      <c r="F1" s="60"/>
      <c r="G1" s="60"/>
      <c r="H1" s="60"/>
      <c r="I1" s="60"/>
      <c r="J1" s="60"/>
      <c r="K1" s="60"/>
      <c r="L1" s="61"/>
      <c r="M1" s="61"/>
    </row>
    <row r="2" spans="1:13" ht="14.25" thickBot="1">
      <c r="A2" s="280" t="s">
        <v>132</v>
      </c>
      <c r="B2" s="280"/>
      <c r="C2" s="280"/>
      <c r="D2" s="280"/>
      <c r="E2" s="280"/>
      <c r="F2" s="280"/>
      <c r="G2" s="280"/>
      <c r="H2" s="280"/>
      <c r="I2" s="280"/>
      <c r="J2" s="62"/>
      <c r="K2" s="62"/>
      <c r="L2" s="61"/>
      <c r="M2" s="61"/>
    </row>
    <row r="3" spans="1:14" ht="19.5" customHeight="1">
      <c r="A3" s="272" t="s">
        <v>24</v>
      </c>
      <c r="B3" s="275" t="s">
        <v>25</v>
      </c>
      <c r="C3" s="275"/>
      <c r="D3" s="275"/>
      <c r="E3" s="275"/>
      <c r="F3" s="275"/>
      <c r="G3" s="275"/>
      <c r="H3" s="276" t="s">
        <v>11</v>
      </c>
      <c r="I3" s="277"/>
      <c r="J3" s="279" t="s">
        <v>26</v>
      </c>
      <c r="K3" s="277"/>
      <c r="L3" s="276" t="s">
        <v>27</v>
      </c>
      <c r="M3" s="277"/>
      <c r="N3" s="264" t="s">
        <v>28</v>
      </c>
    </row>
    <row r="4" spans="1:14" ht="17.25" customHeight="1">
      <c r="A4" s="273"/>
      <c r="B4" s="268" t="s">
        <v>13</v>
      </c>
      <c r="C4" s="269"/>
      <c r="D4" s="268" t="s">
        <v>29</v>
      </c>
      <c r="E4" s="269"/>
      <c r="F4" s="268" t="s">
        <v>30</v>
      </c>
      <c r="G4" s="269"/>
      <c r="H4" s="268"/>
      <c r="I4" s="278"/>
      <c r="J4" s="268"/>
      <c r="K4" s="278"/>
      <c r="L4" s="268"/>
      <c r="M4" s="278"/>
      <c r="N4" s="265"/>
    </row>
    <row r="5" spans="1:14" ht="28.5" customHeight="1">
      <c r="A5" s="274"/>
      <c r="B5" s="63" t="s">
        <v>33</v>
      </c>
      <c r="C5" s="64" t="s">
        <v>135</v>
      </c>
      <c r="D5" s="63" t="s">
        <v>33</v>
      </c>
      <c r="E5" s="64" t="s">
        <v>135</v>
      </c>
      <c r="F5" s="63" t="s">
        <v>33</v>
      </c>
      <c r="G5" s="64" t="s">
        <v>136</v>
      </c>
      <c r="H5" s="63" t="s">
        <v>33</v>
      </c>
      <c r="I5" s="83" t="s">
        <v>137</v>
      </c>
      <c r="J5" s="63" t="s">
        <v>33</v>
      </c>
      <c r="K5" s="83" t="s">
        <v>138</v>
      </c>
      <c r="L5" s="63" t="s">
        <v>33</v>
      </c>
      <c r="M5" s="84" t="s">
        <v>139</v>
      </c>
      <c r="N5" s="266"/>
    </row>
    <row r="6" spans="1:14" s="91" customFormat="1" ht="10.5">
      <c r="A6" s="97"/>
      <c r="B6" s="67" t="s">
        <v>3</v>
      </c>
      <c r="C6" s="68" t="s">
        <v>4</v>
      </c>
      <c r="D6" s="67" t="s">
        <v>3</v>
      </c>
      <c r="E6" s="68" t="s">
        <v>4</v>
      </c>
      <c r="F6" s="67" t="s">
        <v>3</v>
      </c>
      <c r="G6" s="68" t="s">
        <v>4</v>
      </c>
      <c r="H6" s="67" t="s">
        <v>3</v>
      </c>
      <c r="I6" s="85" t="s">
        <v>4</v>
      </c>
      <c r="J6" s="67" t="s">
        <v>3</v>
      </c>
      <c r="K6" s="85" t="s">
        <v>4</v>
      </c>
      <c r="L6" s="67" t="s">
        <v>176</v>
      </c>
      <c r="M6" s="85" t="s">
        <v>4</v>
      </c>
      <c r="N6" s="92"/>
    </row>
    <row r="7" spans="1:14" ht="15.75" customHeight="1">
      <c r="A7" s="95" t="s">
        <v>36</v>
      </c>
      <c r="B7" s="118">
        <f>_xlfn.COMPOUNDVALUE(337)</f>
        <v>4691</v>
      </c>
      <c r="C7" s="119">
        <v>39063292</v>
      </c>
      <c r="D7" s="118">
        <f>_xlfn.COMPOUNDVALUE(338)</f>
        <v>1855</v>
      </c>
      <c r="E7" s="119">
        <v>1249762</v>
      </c>
      <c r="F7" s="118">
        <f>_xlfn.COMPOUNDVALUE(339)</f>
        <v>6546</v>
      </c>
      <c r="G7" s="119">
        <v>40313054</v>
      </c>
      <c r="H7" s="118">
        <f>_xlfn.COMPOUNDVALUE(340)</f>
        <v>578</v>
      </c>
      <c r="I7" s="120">
        <v>1886743</v>
      </c>
      <c r="J7" s="118">
        <v>390</v>
      </c>
      <c r="K7" s="120">
        <v>-41991</v>
      </c>
      <c r="L7" s="118">
        <v>7212</v>
      </c>
      <c r="M7" s="120">
        <v>38384320</v>
      </c>
      <c r="N7" s="82" t="s">
        <v>36</v>
      </c>
    </row>
    <row r="8" spans="1:14" ht="15.75" customHeight="1">
      <c r="A8" s="72" t="s">
        <v>37</v>
      </c>
      <c r="B8" s="118">
        <f>_xlfn.COMPOUNDVALUE(341)</f>
        <v>4017</v>
      </c>
      <c r="C8" s="119">
        <v>25380620</v>
      </c>
      <c r="D8" s="118">
        <f>_xlfn.COMPOUNDVALUE(342)</f>
        <v>1776</v>
      </c>
      <c r="E8" s="119">
        <v>1169919</v>
      </c>
      <c r="F8" s="118">
        <f>_xlfn.COMPOUNDVALUE(343)</f>
        <v>5793</v>
      </c>
      <c r="G8" s="119">
        <v>26550539</v>
      </c>
      <c r="H8" s="118">
        <f>_xlfn.COMPOUNDVALUE(344)</f>
        <v>369</v>
      </c>
      <c r="I8" s="120">
        <v>1483497</v>
      </c>
      <c r="J8" s="118">
        <v>432</v>
      </c>
      <c r="K8" s="120">
        <v>168733</v>
      </c>
      <c r="L8" s="118">
        <v>6258</v>
      </c>
      <c r="M8" s="120">
        <v>25235774</v>
      </c>
      <c r="N8" s="82" t="s">
        <v>37</v>
      </c>
    </row>
    <row r="9" spans="1:14" ht="15.75" customHeight="1">
      <c r="A9" s="72" t="s">
        <v>38</v>
      </c>
      <c r="B9" s="118">
        <f>_xlfn.COMPOUNDVALUE(345)</f>
        <v>4481</v>
      </c>
      <c r="C9" s="119">
        <v>83877103</v>
      </c>
      <c r="D9" s="118">
        <f>_xlfn.COMPOUNDVALUE(346)</f>
        <v>1791</v>
      </c>
      <c r="E9" s="119">
        <v>1147647</v>
      </c>
      <c r="F9" s="118">
        <f>_xlfn.COMPOUNDVALUE(347)</f>
        <v>6272</v>
      </c>
      <c r="G9" s="119">
        <v>85024749</v>
      </c>
      <c r="H9" s="118">
        <f>_xlfn.COMPOUNDVALUE(348)</f>
        <v>569</v>
      </c>
      <c r="I9" s="120">
        <v>5287828</v>
      </c>
      <c r="J9" s="118">
        <v>350</v>
      </c>
      <c r="K9" s="120">
        <v>-95415</v>
      </c>
      <c r="L9" s="118">
        <v>6914</v>
      </c>
      <c r="M9" s="120">
        <v>79641506</v>
      </c>
      <c r="N9" s="82" t="s">
        <v>38</v>
      </c>
    </row>
    <row r="10" spans="1:14" ht="15.75" customHeight="1">
      <c r="A10" s="72" t="s">
        <v>39</v>
      </c>
      <c r="B10" s="118">
        <f>_xlfn.COMPOUNDVALUE(349)</f>
        <v>1755</v>
      </c>
      <c r="C10" s="119">
        <v>9117041</v>
      </c>
      <c r="D10" s="118">
        <f>_xlfn.COMPOUNDVALUE(350)</f>
        <v>734</v>
      </c>
      <c r="E10" s="119">
        <v>442855</v>
      </c>
      <c r="F10" s="118">
        <f>_xlfn.COMPOUNDVALUE(351)</f>
        <v>2489</v>
      </c>
      <c r="G10" s="119">
        <v>9559895</v>
      </c>
      <c r="H10" s="118">
        <f>_xlfn.COMPOUNDVALUE(352)</f>
        <v>127</v>
      </c>
      <c r="I10" s="120">
        <v>666833</v>
      </c>
      <c r="J10" s="118">
        <v>154</v>
      </c>
      <c r="K10" s="120">
        <v>31200</v>
      </c>
      <c r="L10" s="118">
        <v>2631</v>
      </c>
      <c r="M10" s="120">
        <v>8924263</v>
      </c>
      <c r="N10" s="82" t="s">
        <v>39</v>
      </c>
    </row>
    <row r="11" spans="1:14" ht="15.75" customHeight="1">
      <c r="A11" s="72" t="s">
        <v>40</v>
      </c>
      <c r="B11" s="118">
        <f>_xlfn.COMPOUNDVALUE(353)</f>
        <v>4695</v>
      </c>
      <c r="C11" s="119">
        <v>39995289</v>
      </c>
      <c r="D11" s="118">
        <f>_xlfn.COMPOUNDVALUE(354)</f>
        <v>2006</v>
      </c>
      <c r="E11" s="119">
        <v>1336540</v>
      </c>
      <c r="F11" s="118">
        <f>_xlfn.COMPOUNDVALUE(355)</f>
        <v>6701</v>
      </c>
      <c r="G11" s="119">
        <v>41331829</v>
      </c>
      <c r="H11" s="118">
        <f>_xlfn.COMPOUNDVALUE(356)</f>
        <v>548</v>
      </c>
      <c r="I11" s="120">
        <v>2433745</v>
      </c>
      <c r="J11" s="118">
        <v>414</v>
      </c>
      <c r="K11" s="120">
        <v>92751</v>
      </c>
      <c r="L11" s="118">
        <v>7340</v>
      </c>
      <c r="M11" s="120">
        <v>38990834</v>
      </c>
      <c r="N11" s="82" t="s">
        <v>40</v>
      </c>
    </row>
    <row r="12" spans="1:14" ht="15.75" customHeight="1">
      <c r="A12" s="72"/>
      <c r="B12" s="118"/>
      <c r="C12" s="119"/>
      <c r="D12" s="118"/>
      <c r="E12" s="119"/>
      <c r="F12" s="118"/>
      <c r="G12" s="119"/>
      <c r="H12" s="118"/>
      <c r="I12" s="120"/>
      <c r="J12" s="118"/>
      <c r="K12" s="120"/>
      <c r="L12" s="118"/>
      <c r="M12" s="120"/>
      <c r="N12" s="82" t="s">
        <v>35</v>
      </c>
    </row>
    <row r="13" spans="1:14" ht="15.75" customHeight="1">
      <c r="A13" s="72" t="s">
        <v>41</v>
      </c>
      <c r="B13" s="118">
        <f>_xlfn.COMPOUNDVALUE(357)</f>
        <v>4254</v>
      </c>
      <c r="C13" s="119">
        <v>25278783</v>
      </c>
      <c r="D13" s="118">
        <f>_xlfn.COMPOUNDVALUE(358)</f>
        <v>1936</v>
      </c>
      <c r="E13" s="119">
        <v>1292298</v>
      </c>
      <c r="F13" s="118">
        <f>_xlfn.COMPOUNDVALUE(359)</f>
        <v>6190</v>
      </c>
      <c r="G13" s="119">
        <v>26571081</v>
      </c>
      <c r="H13" s="118">
        <f>_xlfn.COMPOUNDVALUE(360)</f>
        <v>473</v>
      </c>
      <c r="I13" s="120">
        <v>3124275</v>
      </c>
      <c r="J13" s="118">
        <v>243</v>
      </c>
      <c r="K13" s="120">
        <v>7278</v>
      </c>
      <c r="L13" s="118">
        <v>6730</v>
      </c>
      <c r="M13" s="120">
        <v>23454084</v>
      </c>
      <c r="N13" s="82" t="s">
        <v>41</v>
      </c>
    </row>
    <row r="14" spans="1:14" ht="15.75" customHeight="1">
      <c r="A14" s="72" t="s">
        <v>42</v>
      </c>
      <c r="B14" s="118">
        <f>_xlfn.COMPOUNDVALUE(361)</f>
        <v>1174</v>
      </c>
      <c r="C14" s="119">
        <v>4728632</v>
      </c>
      <c r="D14" s="118">
        <f>_xlfn.COMPOUNDVALUE(362)</f>
        <v>473</v>
      </c>
      <c r="E14" s="119">
        <v>266839</v>
      </c>
      <c r="F14" s="118">
        <f>_xlfn.COMPOUNDVALUE(363)</f>
        <v>1647</v>
      </c>
      <c r="G14" s="119">
        <v>4995470</v>
      </c>
      <c r="H14" s="118">
        <f>_xlfn.COMPOUNDVALUE(364)</f>
        <v>95</v>
      </c>
      <c r="I14" s="120">
        <v>255344</v>
      </c>
      <c r="J14" s="118">
        <v>50</v>
      </c>
      <c r="K14" s="120">
        <v>23914</v>
      </c>
      <c r="L14" s="118">
        <v>1752</v>
      </c>
      <c r="M14" s="120">
        <v>4764040</v>
      </c>
      <c r="N14" s="82" t="s">
        <v>42</v>
      </c>
    </row>
    <row r="15" spans="1:14" ht="15.75" customHeight="1">
      <c r="A15" s="72" t="s">
        <v>43</v>
      </c>
      <c r="B15" s="118">
        <f>_xlfn.COMPOUNDVALUE(365)</f>
        <v>2773</v>
      </c>
      <c r="C15" s="119">
        <v>16599894</v>
      </c>
      <c r="D15" s="118">
        <f>_xlfn.COMPOUNDVALUE(366)</f>
        <v>1316</v>
      </c>
      <c r="E15" s="119">
        <v>865112</v>
      </c>
      <c r="F15" s="118">
        <f>_xlfn.COMPOUNDVALUE(367)</f>
        <v>4089</v>
      </c>
      <c r="G15" s="119">
        <v>17465006</v>
      </c>
      <c r="H15" s="118">
        <f>_xlfn.COMPOUNDVALUE(368)</f>
        <v>196</v>
      </c>
      <c r="I15" s="120">
        <v>2474970</v>
      </c>
      <c r="J15" s="118">
        <v>205</v>
      </c>
      <c r="K15" s="120">
        <v>41381</v>
      </c>
      <c r="L15" s="118">
        <v>4351</v>
      </c>
      <c r="M15" s="120">
        <v>15031417</v>
      </c>
      <c r="N15" s="82" t="s">
        <v>43</v>
      </c>
    </row>
    <row r="16" spans="1:14" ht="15.75" customHeight="1">
      <c r="A16" s="74" t="s">
        <v>44</v>
      </c>
      <c r="B16" s="121">
        <f>_xlfn.COMPOUNDVALUE(369)</f>
        <v>5164</v>
      </c>
      <c r="C16" s="122">
        <v>25074705</v>
      </c>
      <c r="D16" s="121">
        <f>_xlfn.COMPOUNDVALUE(370)</f>
        <v>2448</v>
      </c>
      <c r="E16" s="122">
        <v>1534870</v>
      </c>
      <c r="F16" s="121">
        <f>_xlfn.COMPOUNDVALUE(371)</f>
        <v>7612</v>
      </c>
      <c r="G16" s="122">
        <v>26609575</v>
      </c>
      <c r="H16" s="121">
        <f>_xlfn.COMPOUNDVALUE(372)</f>
        <v>614</v>
      </c>
      <c r="I16" s="123">
        <v>3967020</v>
      </c>
      <c r="J16" s="121">
        <v>420</v>
      </c>
      <c r="K16" s="123">
        <v>29694</v>
      </c>
      <c r="L16" s="121">
        <v>8340</v>
      </c>
      <c r="M16" s="123">
        <v>22672249</v>
      </c>
      <c r="N16" s="73" t="s">
        <v>44</v>
      </c>
    </row>
    <row r="17" spans="1:14" ht="15.75" customHeight="1">
      <c r="A17" s="74" t="s">
        <v>45</v>
      </c>
      <c r="B17" s="121">
        <f>_xlfn.COMPOUNDVALUE(373)</f>
        <v>1104</v>
      </c>
      <c r="C17" s="122">
        <v>5672560</v>
      </c>
      <c r="D17" s="121">
        <f>_xlfn.COMPOUNDVALUE(374)</f>
        <v>382</v>
      </c>
      <c r="E17" s="122">
        <v>242893</v>
      </c>
      <c r="F17" s="121">
        <f>_xlfn.COMPOUNDVALUE(375)</f>
        <v>1486</v>
      </c>
      <c r="G17" s="122">
        <v>5915453</v>
      </c>
      <c r="H17" s="121">
        <f>_xlfn.COMPOUNDVALUE(376)</f>
        <v>90</v>
      </c>
      <c r="I17" s="123">
        <v>714388</v>
      </c>
      <c r="J17" s="121">
        <v>126</v>
      </c>
      <c r="K17" s="123">
        <v>11490</v>
      </c>
      <c r="L17" s="121">
        <v>1592</v>
      </c>
      <c r="M17" s="123">
        <v>5212555</v>
      </c>
      <c r="N17" s="73" t="s">
        <v>45</v>
      </c>
    </row>
    <row r="18" spans="1:14" ht="15.75" customHeight="1">
      <c r="A18" s="74"/>
      <c r="B18" s="121"/>
      <c r="C18" s="122"/>
      <c r="D18" s="121"/>
      <c r="E18" s="122"/>
      <c r="F18" s="121"/>
      <c r="G18" s="122"/>
      <c r="H18" s="121"/>
      <c r="I18" s="123"/>
      <c r="J18" s="121"/>
      <c r="K18" s="123"/>
      <c r="L18" s="121"/>
      <c r="M18" s="123"/>
      <c r="N18" s="73" t="s">
        <v>35</v>
      </c>
    </row>
    <row r="19" spans="1:14" ht="15.75" customHeight="1">
      <c r="A19" s="74" t="s">
        <v>46</v>
      </c>
      <c r="B19" s="121">
        <f>_xlfn.COMPOUNDVALUE(377)</f>
        <v>1929</v>
      </c>
      <c r="C19" s="122">
        <v>8612935</v>
      </c>
      <c r="D19" s="121">
        <f>_xlfn.COMPOUNDVALUE(378)</f>
        <v>799</v>
      </c>
      <c r="E19" s="122">
        <v>465466</v>
      </c>
      <c r="F19" s="121">
        <f>_xlfn.COMPOUNDVALUE(379)</f>
        <v>2728</v>
      </c>
      <c r="G19" s="122">
        <v>9078401</v>
      </c>
      <c r="H19" s="121">
        <f>_xlfn.COMPOUNDVALUE(380)</f>
        <v>156</v>
      </c>
      <c r="I19" s="123">
        <v>737869</v>
      </c>
      <c r="J19" s="121">
        <v>145</v>
      </c>
      <c r="K19" s="123">
        <v>95512</v>
      </c>
      <c r="L19" s="121">
        <v>2905</v>
      </c>
      <c r="M19" s="123">
        <v>8436044</v>
      </c>
      <c r="N19" s="73" t="s">
        <v>46</v>
      </c>
    </row>
    <row r="20" spans="1:14" ht="15.75" customHeight="1">
      <c r="A20" s="74" t="s">
        <v>47</v>
      </c>
      <c r="B20" s="121">
        <f>_xlfn.COMPOUNDVALUE(381)</f>
        <v>5431</v>
      </c>
      <c r="C20" s="122">
        <v>26539477</v>
      </c>
      <c r="D20" s="121">
        <f>_xlfn.COMPOUNDVALUE(382)</f>
        <v>2198</v>
      </c>
      <c r="E20" s="122">
        <v>1410183</v>
      </c>
      <c r="F20" s="121">
        <f>_xlfn.COMPOUNDVALUE(383)</f>
        <v>7629</v>
      </c>
      <c r="G20" s="122">
        <v>27949660</v>
      </c>
      <c r="H20" s="121">
        <f>_xlfn.COMPOUNDVALUE(384)</f>
        <v>1131</v>
      </c>
      <c r="I20" s="123">
        <v>11081646</v>
      </c>
      <c r="J20" s="121">
        <v>511</v>
      </c>
      <c r="K20" s="123">
        <v>-158331</v>
      </c>
      <c r="L20" s="121">
        <v>8872</v>
      </c>
      <c r="M20" s="123">
        <v>16709683</v>
      </c>
      <c r="N20" s="73" t="s">
        <v>47</v>
      </c>
    </row>
    <row r="21" spans="1:14" ht="15.75" customHeight="1">
      <c r="A21" s="74" t="s">
        <v>48</v>
      </c>
      <c r="B21" s="121">
        <f>_xlfn.COMPOUNDVALUE(385)</f>
        <v>1880</v>
      </c>
      <c r="C21" s="122">
        <v>8145268</v>
      </c>
      <c r="D21" s="121">
        <f>_xlfn.COMPOUNDVALUE(386)</f>
        <v>787</v>
      </c>
      <c r="E21" s="122">
        <v>478746</v>
      </c>
      <c r="F21" s="121">
        <f>_xlfn.COMPOUNDVALUE(387)</f>
        <v>2667</v>
      </c>
      <c r="G21" s="122">
        <v>8624014</v>
      </c>
      <c r="H21" s="121">
        <f>_xlfn.COMPOUNDVALUE(388)</f>
        <v>199</v>
      </c>
      <c r="I21" s="123">
        <v>513775</v>
      </c>
      <c r="J21" s="121">
        <v>225</v>
      </c>
      <c r="K21" s="123">
        <v>48183</v>
      </c>
      <c r="L21" s="121">
        <v>2913</v>
      </c>
      <c r="M21" s="123">
        <v>8158422</v>
      </c>
      <c r="N21" s="73" t="s">
        <v>48</v>
      </c>
    </row>
    <row r="22" spans="1:14" ht="15.75" customHeight="1">
      <c r="A22" s="74" t="s">
        <v>162</v>
      </c>
      <c r="B22" s="121">
        <f>_xlfn.COMPOUNDVALUE(389)</f>
        <v>5364</v>
      </c>
      <c r="C22" s="122">
        <v>29370983</v>
      </c>
      <c r="D22" s="121">
        <f>_xlfn.COMPOUNDVALUE(390)</f>
        <v>2364</v>
      </c>
      <c r="E22" s="122">
        <v>1553759</v>
      </c>
      <c r="F22" s="121">
        <f>_xlfn.COMPOUNDVALUE(391)</f>
        <v>7728</v>
      </c>
      <c r="G22" s="122">
        <v>30924741</v>
      </c>
      <c r="H22" s="121">
        <f>_xlfn.COMPOUNDVALUE(392)</f>
        <v>696</v>
      </c>
      <c r="I22" s="123">
        <v>3109107</v>
      </c>
      <c r="J22" s="121">
        <v>393</v>
      </c>
      <c r="K22" s="123">
        <v>98397</v>
      </c>
      <c r="L22" s="121">
        <v>8536</v>
      </c>
      <c r="M22" s="123">
        <v>27914031</v>
      </c>
      <c r="N22" s="73" t="s">
        <v>49</v>
      </c>
    </row>
    <row r="23" spans="1:14" ht="15.75" customHeight="1">
      <c r="A23" s="142" t="s">
        <v>165</v>
      </c>
      <c r="B23" s="143">
        <v>48712</v>
      </c>
      <c r="C23" s="144">
        <v>347456579</v>
      </c>
      <c r="D23" s="143">
        <v>20865</v>
      </c>
      <c r="E23" s="144">
        <v>13456888</v>
      </c>
      <c r="F23" s="143">
        <v>69577</v>
      </c>
      <c r="G23" s="144">
        <v>360913467</v>
      </c>
      <c r="H23" s="143">
        <v>5841</v>
      </c>
      <c r="I23" s="145">
        <v>37737040</v>
      </c>
      <c r="J23" s="143">
        <v>4058</v>
      </c>
      <c r="K23" s="145">
        <v>352797</v>
      </c>
      <c r="L23" s="143">
        <v>76346</v>
      </c>
      <c r="M23" s="145">
        <v>323529224</v>
      </c>
      <c r="N23" s="146" t="s">
        <v>51</v>
      </c>
    </row>
    <row r="24" spans="1:14" ht="15.75" customHeight="1">
      <c r="A24" s="147"/>
      <c r="B24" s="148"/>
      <c r="C24" s="149"/>
      <c r="D24" s="148"/>
      <c r="E24" s="149"/>
      <c r="F24" s="150"/>
      <c r="G24" s="149"/>
      <c r="H24" s="150"/>
      <c r="I24" s="149"/>
      <c r="J24" s="150"/>
      <c r="K24" s="149"/>
      <c r="L24" s="150"/>
      <c r="M24" s="149"/>
      <c r="N24" s="151"/>
    </row>
    <row r="25" spans="1:14" ht="15.75" customHeight="1">
      <c r="A25" s="72" t="s">
        <v>52</v>
      </c>
      <c r="B25" s="118">
        <f>_xlfn.COMPOUNDVALUE(393)</f>
        <v>11025</v>
      </c>
      <c r="C25" s="119">
        <v>1113612005</v>
      </c>
      <c r="D25" s="118">
        <f>_xlfn.COMPOUNDVALUE(394)</f>
        <v>1732</v>
      </c>
      <c r="E25" s="119">
        <v>2661110</v>
      </c>
      <c r="F25" s="118">
        <f>_xlfn.COMPOUNDVALUE(395)</f>
        <v>12757</v>
      </c>
      <c r="G25" s="119">
        <v>1116273115</v>
      </c>
      <c r="H25" s="118">
        <f>_xlfn.COMPOUNDVALUE(396)</f>
        <v>4583</v>
      </c>
      <c r="I25" s="120">
        <v>628819861</v>
      </c>
      <c r="J25" s="118">
        <v>1188</v>
      </c>
      <c r="K25" s="120">
        <v>5151861</v>
      </c>
      <c r="L25" s="118">
        <v>17510</v>
      </c>
      <c r="M25" s="120">
        <v>492605114</v>
      </c>
      <c r="N25" s="82" t="s">
        <v>52</v>
      </c>
    </row>
    <row r="26" spans="1:14" ht="15.75" customHeight="1">
      <c r="A26" s="72" t="s">
        <v>53</v>
      </c>
      <c r="B26" s="118">
        <f>_xlfn.COMPOUNDVALUE(397)</f>
        <v>11607</v>
      </c>
      <c r="C26" s="119">
        <v>340294114</v>
      </c>
      <c r="D26" s="118">
        <f>_xlfn.COMPOUNDVALUE(398)</f>
        <v>2325</v>
      </c>
      <c r="E26" s="119">
        <v>2051493</v>
      </c>
      <c r="F26" s="118">
        <f>_xlfn.COMPOUNDVALUE(399)</f>
        <v>13932</v>
      </c>
      <c r="G26" s="119">
        <v>342345607</v>
      </c>
      <c r="H26" s="118">
        <f>_xlfn.COMPOUNDVALUE(400)</f>
        <v>2577</v>
      </c>
      <c r="I26" s="120">
        <v>73188431</v>
      </c>
      <c r="J26" s="118">
        <v>1072</v>
      </c>
      <c r="K26" s="120">
        <v>-343415</v>
      </c>
      <c r="L26" s="118">
        <v>16679</v>
      </c>
      <c r="M26" s="120">
        <v>268813762</v>
      </c>
      <c r="N26" s="82" t="s">
        <v>53</v>
      </c>
    </row>
    <row r="27" spans="1:14" ht="15.75" customHeight="1">
      <c r="A27" s="72" t="s">
        <v>54</v>
      </c>
      <c r="B27" s="118">
        <f>_xlfn.COMPOUNDVALUE(401)</f>
        <v>9347</v>
      </c>
      <c r="C27" s="119">
        <v>366316143</v>
      </c>
      <c r="D27" s="118">
        <f>_xlfn.COMPOUNDVALUE(402)</f>
        <v>1689</v>
      </c>
      <c r="E27" s="119">
        <v>1392266</v>
      </c>
      <c r="F27" s="118">
        <f>_xlfn.COMPOUNDVALUE(403)</f>
        <v>11036</v>
      </c>
      <c r="G27" s="119">
        <v>367708409</v>
      </c>
      <c r="H27" s="118">
        <f>_xlfn.COMPOUNDVALUE(404)</f>
        <v>2589</v>
      </c>
      <c r="I27" s="120">
        <v>148593624</v>
      </c>
      <c r="J27" s="118">
        <v>887</v>
      </c>
      <c r="K27" s="120">
        <v>-2113462</v>
      </c>
      <c r="L27" s="118">
        <v>13749</v>
      </c>
      <c r="M27" s="120">
        <v>217001323</v>
      </c>
      <c r="N27" s="82" t="s">
        <v>54</v>
      </c>
    </row>
    <row r="28" spans="1:14" ht="15.75" customHeight="1">
      <c r="A28" s="72" t="s">
        <v>55</v>
      </c>
      <c r="B28" s="118">
        <f>_xlfn.COMPOUNDVALUE(405)</f>
        <v>11522</v>
      </c>
      <c r="C28" s="119">
        <v>423740535</v>
      </c>
      <c r="D28" s="118">
        <f>_xlfn.COMPOUNDVALUE(406)</f>
        <v>2300</v>
      </c>
      <c r="E28" s="119">
        <v>1833241</v>
      </c>
      <c r="F28" s="118">
        <f>_xlfn.COMPOUNDVALUE(407)</f>
        <v>13822</v>
      </c>
      <c r="G28" s="119">
        <v>425573776</v>
      </c>
      <c r="H28" s="118">
        <f>_xlfn.COMPOUNDVALUE(408)</f>
        <v>2939</v>
      </c>
      <c r="I28" s="120">
        <v>74732994</v>
      </c>
      <c r="J28" s="118">
        <v>1220</v>
      </c>
      <c r="K28" s="120">
        <v>-169277</v>
      </c>
      <c r="L28" s="118">
        <v>16960</v>
      </c>
      <c r="M28" s="120">
        <v>350671505</v>
      </c>
      <c r="N28" s="82" t="s">
        <v>55</v>
      </c>
    </row>
    <row r="29" spans="1:14" ht="15.75" customHeight="1">
      <c r="A29" s="72" t="s">
        <v>163</v>
      </c>
      <c r="B29" s="118">
        <f>_xlfn.COMPOUNDVALUE(409)</f>
        <v>15676</v>
      </c>
      <c r="C29" s="119">
        <v>951811351</v>
      </c>
      <c r="D29" s="118">
        <f>_xlfn.COMPOUNDVALUE(410)</f>
        <v>2855</v>
      </c>
      <c r="E29" s="119">
        <v>2961947</v>
      </c>
      <c r="F29" s="118">
        <f>_xlfn.COMPOUNDVALUE(411)</f>
        <v>18531</v>
      </c>
      <c r="G29" s="119">
        <v>954773299</v>
      </c>
      <c r="H29" s="118">
        <f>_xlfn.COMPOUNDVALUE(412)</f>
        <v>4925</v>
      </c>
      <c r="I29" s="120">
        <v>469438479</v>
      </c>
      <c r="J29" s="118">
        <v>1528</v>
      </c>
      <c r="K29" s="120">
        <v>1387371</v>
      </c>
      <c r="L29" s="118">
        <v>23702</v>
      </c>
      <c r="M29" s="120">
        <v>486722190</v>
      </c>
      <c r="N29" s="82" t="s">
        <v>56</v>
      </c>
    </row>
    <row r="30" spans="1:14" ht="15.75" customHeight="1">
      <c r="A30" s="72"/>
      <c r="B30" s="118"/>
      <c r="C30" s="119"/>
      <c r="D30" s="118"/>
      <c r="E30" s="119"/>
      <c r="F30" s="118"/>
      <c r="G30" s="119"/>
      <c r="H30" s="118"/>
      <c r="I30" s="120"/>
      <c r="J30" s="118"/>
      <c r="K30" s="120"/>
      <c r="L30" s="118"/>
      <c r="M30" s="120"/>
      <c r="N30" s="82" t="s">
        <v>35</v>
      </c>
    </row>
    <row r="31" spans="1:14" ht="15.75" customHeight="1">
      <c r="A31" s="72" t="s">
        <v>57</v>
      </c>
      <c r="B31" s="118">
        <f>_xlfn.COMPOUNDVALUE(413)</f>
        <v>14674</v>
      </c>
      <c r="C31" s="119">
        <v>381396452</v>
      </c>
      <c r="D31" s="118">
        <f>_xlfn.COMPOUNDVALUE(414)</f>
        <v>3168</v>
      </c>
      <c r="E31" s="119">
        <v>3670179</v>
      </c>
      <c r="F31" s="118">
        <f>_xlfn.COMPOUNDVALUE(415)</f>
        <v>17842</v>
      </c>
      <c r="G31" s="119">
        <v>385066631</v>
      </c>
      <c r="H31" s="118">
        <f>_xlfn.COMPOUNDVALUE(416)</f>
        <v>3652</v>
      </c>
      <c r="I31" s="120">
        <v>277692143</v>
      </c>
      <c r="J31" s="118">
        <v>1528</v>
      </c>
      <c r="K31" s="120">
        <v>1879555</v>
      </c>
      <c r="L31" s="118">
        <v>21833</v>
      </c>
      <c r="M31" s="120">
        <v>109254043</v>
      </c>
      <c r="N31" s="82" t="s">
        <v>57</v>
      </c>
    </row>
    <row r="32" spans="1:14" ht="15.75" customHeight="1">
      <c r="A32" s="72" t="s">
        <v>58</v>
      </c>
      <c r="B32" s="118">
        <f>_xlfn.COMPOUNDVALUE(417)</f>
        <v>7330</v>
      </c>
      <c r="C32" s="119">
        <v>247061411</v>
      </c>
      <c r="D32" s="118">
        <f>_xlfn.COMPOUNDVALUE(418)</f>
        <v>1740</v>
      </c>
      <c r="E32" s="119">
        <v>1205124</v>
      </c>
      <c r="F32" s="118">
        <f>_xlfn.COMPOUNDVALUE(419)</f>
        <v>9070</v>
      </c>
      <c r="G32" s="119">
        <v>248266536</v>
      </c>
      <c r="H32" s="118">
        <f>_xlfn.COMPOUNDVALUE(420)</f>
        <v>1440</v>
      </c>
      <c r="I32" s="120">
        <v>96343042</v>
      </c>
      <c r="J32" s="118">
        <v>822</v>
      </c>
      <c r="K32" s="120">
        <v>671605</v>
      </c>
      <c r="L32" s="118">
        <v>10634</v>
      </c>
      <c r="M32" s="120">
        <v>152595099</v>
      </c>
      <c r="N32" s="82" t="s">
        <v>58</v>
      </c>
    </row>
    <row r="33" spans="1:14" ht="15.75" customHeight="1">
      <c r="A33" s="72" t="s">
        <v>59</v>
      </c>
      <c r="B33" s="118">
        <f>_xlfn.COMPOUNDVALUE(421)</f>
        <v>8232</v>
      </c>
      <c r="C33" s="119">
        <v>151085855</v>
      </c>
      <c r="D33" s="118">
        <f>_xlfn.COMPOUNDVALUE(422)</f>
        <v>2347</v>
      </c>
      <c r="E33" s="119">
        <v>2489267</v>
      </c>
      <c r="F33" s="118">
        <f>_xlfn.COMPOUNDVALUE(423)</f>
        <v>10579</v>
      </c>
      <c r="G33" s="119">
        <v>153575122</v>
      </c>
      <c r="H33" s="118">
        <f>_xlfn.COMPOUNDVALUE(424)</f>
        <v>1306</v>
      </c>
      <c r="I33" s="120">
        <v>28547543</v>
      </c>
      <c r="J33" s="118">
        <v>819</v>
      </c>
      <c r="K33" s="120">
        <v>131967</v>
      </c>
      <c r="L33" s="118">
        <v>12026</v>
      </c>
      <c r="M33" s="120">
        <v>125159546</v>
      </c>
      <c r="N33" s="82" t="s">
        <v>59</v>
      </c>
    </row>
    <row r="34" spans="1:14" ht="15.75" customHeight="1">
      <c r="A34" s="72" t="s">
        <v>60</v>
      </c>
      <c r="B34" s="118">
        <f>_xlfn.COMPOUNDVALUE(425)</f>
        <v>9451</v>
      </c>
      <c r="C34" s="119">
        <v>389010153</v>
      </c>
      <c r="D34" s="118">
        <f>_xlfn.COMPOUNDVALUE(426)</f>
        <v>2241</v>
      </c>
      <c r="E34" s="119">
        <v>1784095</v>
      </c>
      <c r="F34" s="118">
        <f>_xlfn.COMPOUNDVALUE(427)</f>
        <v>11692</v>
      </c>
      <c r="G34" s="119">
        <v>390794248</v>
      </c>
      <c r="H34" s="118">
        <f>_xlfn.COMPOUNDVALUE(428)</f>
        <v>1937</v>
      </c>
      <c r="I34" s="120">
        <v>38953323</v>
      </c>
      <c r="J34" s="118">
        <v>930</v>
      </c>
      <c r="K34" s="120">
        <v>856200</v>
      </c>
      <c r="L34" s="118">
        <v>13879</v>
      </c>
      <c r="M34" s="120">
        <v>352697125</v>
      </c>
      <c r="N34" s="82" t="s">
        <v>60</v>
      </c>
    </row>
    <row r="35" spans="1:14" ht="15.75" customHeight="1">
      <c r="A35" s="72" t="s">
        <v>61</v>
      </c>
      <c r="B35" s="118">
        <f>_xlfn.COMPOUNDVALUE(429)</f>
        <v>2376</v>
      </c>
      <c r="C35" s="119">
        <v>53115770</v>
      </c>
      <c r="D35" s="118">
        <f>_xlfn.COMPOUNDVALUE(430)</f>
        <v>891</v>
      </c>
      <c r="E35" s="119">
        <v>558591</v>
      </c>
      <c r="F35" s="118">
        <f>_xlfn.COMPOUNDVALUE(431)</f>
        <v>3267</v>
      </c>
      <c r="G35" s="119">
        <v>53674361</v>
      </c>
      <c r="H35" s="118">
        <f>_xlfn.COMPOUNDVALUE(432)</f>
        <v>358</v>
      </c>
      <c r="I35" s="120">
        <v>4280772</v>
      </c>
      <c r="J35" s="118">
        <v>204</v>
      </c>
      <c r="K35" s="120">
        <v>92290</v>
      </c>
      <c r="L35" s="118">
        <v>3670</v>
      </c>
      <c r="M35" s="120">
        <v>49485879</v>
      </c>
      <c r="N35" s="82" t="s">
        <v>61</v>
      </c>
    </row>
    <row r="36" spans="1:14" ht="15.75" customHeight="1">
      <c r="A36" s="72"/>
      <c r="B36" s="118"/>
      <c r="C36" s="119"/>
      <c r="D36" s="118"/>
      <c r="E36" s="119"/>
      <c r="F36" s="118"/>
      <c r="G36" s="119"/>
      <c r="H36" s="118"/>
      <c r="I36" s="120"/>
      <c r="J36" s="118"/>
      <c r="K36" s="120"/>
      <c r="L36" s="118"/>
      <c r="M36" s="120"/>
      <c r="N36" s="82" t="s">
        <v>35</v>
      </c>
    </row>
    <row r="37" spans="1:14" ht="15.75" customHeight="1">
      <c r="A37" s="72" t="s">
        <v>62</v>
      </c>
      <c r="B37" s="118">
        <f>_xlfn.COMPOUNDVALUE(433)</f>
        <v>3231</v>
      </c>
      <c r="C37" s="119">
        <v>45807716</v>
      </c>
      <c r="D37" s="118">
        <f>_xlfn.COMPOUNDVALUE(434)</f>
        <v>1050</v>
      </c>
      <c r="E37" s="119">
        <v>760054</v>
      </c>
      <c r="F37" s="118">
        <f>_xlfn.COMPOUNDVALUE(435)</f>
        <v>4281</v>
      </c>
      <c r="G37" s="119">
        <v>46567770</v>
      </c>
      <c r="H37" s="118">
        <f>_xlfn.COMPOUNDVALUE(436)</f>
        <v>517</v>
      </c>
      <c r="I37" s="120">
        <v>5286511</v>
      </c>
      <c r="J37" s="118">
        <v>301</v>
      </c>
      <c r="K37" s="120">
        <v>32021</v>
      </c>
      <c r="L37" s="118">
        <v>4865</v>
      </c>
      <c r="M37" s="120">
        <v>41313280</v>
      </c>
      <c r="N37" s="82" t="s">
        <v>62</v>
      </c>
    </row>
    <row r="38" spans="1:14" ht="15.75" customHeight="1">
      <c r="A38" s="72" t="s">
        <v>63</v>
      </c>
      <c r="B38" s="118">
        <f>_xlfn.COMPOUNDVALUE(437)</f>
        <v>5235</v>
      </c>
      <c r="C38" s="119">
        <v>85924876</v>
      </c>
      <c r="D38" s="118">
        <f>_xlfn.COMPOUNDVALUE(438)</f>
        <v>1423</v>
      </c>
      <c r="E38" s="119">
        <v>972521</v>
      </c>
      <c r="F38" s="118">
        <f>_xlfn.COMPOUNDVALUE(439)</f>
        <v>6658</v>
      </c>
      <c r="G38" s="119">
        <v>86897397</v>
      </c>
      <c r="H38" s="118">
        <f>_xlfn.COMPOUNDVALUE(440)</f>
        <v>1159</v>
      </c>
      <c r="I38" s="120">
        <v>30748507</v>
      </c>
      <c r="J38" s="118">
        <v>532</v>
      </c>
      <c r="K38" s="120">
        <v>54044</v>
      </c>
      <c r="L38" s="118">
        <v>7887</v>
      </c>
      <c r="M38" s="120">
        <v>56202934</v>
      </c>
      <c r="N38" s="82" t="s">
        <v>63</v>
      </c>
    </row>
    <row r="39" spans="1:14" ht="15.75" customHeight="1">
      <c r="A39" s="72" t="s">
        <v>64</v>
      </c>
      <c r="B39" s="118">
        <f>_xlfn.COMPOUNDVALUE(441)</f>
        <v>4916</v>
      </c>
      <c r="C39" s="119">
        <v>81232665</v>
      </c>
      <c r="D39" s="118">
        <f>_xlfn.COMPOUNDVALUE(442)</f>
        <v>1675</v>
      </c>
      <c r="E39" s="119">
        <v>988737</v>
      </c>
      <c r="F39" s="118">
        <f>_xlfn.COMPOUNDVALUE(443)</f>
        <v>6591</v>
      </c>
      <c r="G39" s="119">
        <v>82221402</v>
      </c>
      <c r="H39" s="118">
        <f>_xlfn.COMPOUNDVALUE(444)</f>
        <v>889</v>
      </c>
      <c r="I39" s="120">
        <v>5245614</v>
      </c>
      <c r="J39" s="118">
        <v>485</v>
      </c>
      <c r="K39" s="120">
        <v>635995</v>
      </c>
      <c r="L39" s="118">
        <v>7548</v>
      </c>
      <c r="M39" s="120">
        <v>77611783</v>
      </c>
      <c r="N39" s="82" t="s">
        <v>64</v>
      </c>
    </row>
    <row r="40" spans="1:14" ht="15.75" customHeight="1">
      <c r="A40" s="72" t="s">
        <v>65</v>
      </c>
      <c r="B40" s="118">
        <f>_xlfn.COMPOUNDVALUE(445)</f>
        <v>4156</v>
      </c>
      <c r="C40" s="119">
        <v>98297536</v>
      </c>
      <c r="D40" s="118">
        <f>_xlfn.COMPOUNDVALUE(446)</f>
        <v>1315</v>
      </c>
      <c r="E40" s="119">
        <v>811074</v>
      </c>
      <c r="F40" s="118">
        <f>_xlfn.COMPOUNDVALUE(447)</f>
        <v>5471</v>
      </c>
      <c r="G40" s="119">
        <v>99108610</v>
      </c>
      <c r="H40" s="118">
        <f>_xlfn.COMPOUNDVALUE(448)</f>
        <v>499</v>
      </c>
      <c r="I40" s="120">
        <v>5619059</v>
      </c>
      <c r="J40" s="118">
        <v>352</v>
      </c>
      <c r="K40" s="120">
        <v>-144264</v>
      </c>
      <c r="L40" s="118">
        <v>6040</v>
      </c>
      <c r="M40" s="120">
        <v>93345287</v>
      </c>
      <c r="N40" s="82" t="s">
        <v>65</v>
      </c>
    </row>
    <row r="41" spans="1:14" ht="15.75" customHeight="1">
      <c r="A41" s="72" t="s">
        <v>66</v>
      </c>
      <c r="B41" s="118">
        <f>_xlfn.COMPOUNDVALUE(449)</f>
        <v>1417</v>
      </c>
      <c r="C41" s="119">
        <v>12056096</v>
      </c>
      <c r="D41" s="118">
        <f>_xlfn.COMPOUNDVALUE(450)</f>
        <v>692</v>
      </c>
      <c r="E41" s="119">
        <v>369227</v>
      </c>
      <c r="F41" s="118">
        <f>_xlfn.COMPOUNDVALUE(451)</f>
        <v>2109</v>
      </c>
      <c r="G41" s="119">
        <v>12425323</v>
      </c>
      <c r="H41" s="118">
        <f>_xlfn.COMPOUNDVALUE(452)</f>
        <v>147</v>
      </c>
      <c r="I41" s="120">
        <v>431486</v>
      </c>
      <c r="J41" s="118">
        <v>160</v>
      </c>
      <c r="K41" s="120">
        <v>17616</v>
      </c>
      <c r="L41" s="118">
        <v>2281</v>
      </c>
      <c r="M41" s="120">
        <v>12011453</v>
      </c>
      <c r="N41" s="82" t="s">
        <v>66</v>
      </c>
    </row>
    <row r="42" spans="1:14" ht="15.75" customHeight="1">
      <c r="A42" s="99"/>
      <c r="B42" s="118"/>
      <c r="C42" s="119"/>
      <c r="D42" s="118"/>
      <c r="E42" s="119"/>
      <c r="F42" s="118"/>
      <c r="G42" s="119"/>
      <c r="H42" s="118"/>
      <c r="I42" s="120"/>
      <c r="J42" s="118"/>
      <c r="K42" s="120"/>
      <c r="L42" s="118"/>
      <c r="M42" s="120"/>
      <c r="N42" s="101" t="s">
        <v>35</v>
      </c>
    </row>
    <row r="43" spans="1:14" ht="15.75" customHeight="1">
      <c r="A43" s="95" t="s">
        <v>67</v>
      </c>
      <c r="B43" s="118">
        <f>_xlfn.COMPOUNDVALUE(453)</f>
        <v>5369</v>
      </c>
      <c r="C43" s="119">
        <v>159557143</v>
      </c>
      <c r="D43" s="118">
        <f>_xlfn.COMPOUNDVALUE(454)</f>
        <v>1526</v>
      </c>
      <c r="E43" s="119">
        <v>940453</v>
      </c>
      <c r="F43" s="118">
        <f>_xlfn.COMPOUNDVALUE(455)</f>
        <v>6895</v>
      </c>
      <c r="G43" s="119">
        <v>160497595</v>
      </c>
      <c r="H43" s="118">
        <f>_xlfn.COMPOUNDVALUE(456)</f>
        <v>877</v>
      </c>
      <c r="I43" s="120">
        <v>42204127</v>
      </c>
      <c r="J43" s="118">
        <v>606</v>
      </c>
      <c r="K43" s="120">
        <v>-164822</v>
      </c>
      <c r="L43" s="118">
        <v>7887</v>
      </c>
      <c r="M43" s="120">
        <v>118128646</v>
      </c>
      <c r="N43" s="82" t="s">
        <v>67</v>
      </c>
    </row>
    <row r="44" spans="1:14" ht="15.75" customHeight="1">
      <c r="A44" s="72" t="s">
        <v>68</v>
      </c>
      <c r="B44" s="118">
        <f>_xlfn.COMPOUNDVALUE(457)</f>
        <v>2546</v>
      </c>
      <c r="C44" s="119">
        <v>59499968</v>
      </c>
      <c r="D44" s="118">
        <f>_xlfn.COMPOUNDVALUE(458)</f>
        <v>992</v>
      </c>
      <c r="E44" s="119">
        <v>588495</v>
      </c>
      <c r="F44" s="118">
        <f>_xlfn.COMPOUNDVALUE(459)</f>
        <v>3538</v>
      </c>
      <c r="G44" s="119">
        <v>60088462</v>
      </c>
      <c r="H44" s="118">
        <f>_xlfn.COMPOUNDVALUE(460)</f>
        <v>372</v>
      </c>
      <c r="I44" s="120">
        <v>3638659</v>
      </c>
      <c r="J44" s="118">
        <v>243</v>
      </c>
      <c r="K44" s="120">
        <v>65725</v>
      </c>
      <c r="L44" s="118">
        <v>3985</v>
      </c>
      <c r="M44" s="120">
        <v>56515529</v>
      </c>
      <c r="N44" s="82" t="s">
        <v>68</v>
      </c>
    </row>
    <row r="45" spans="1:14" ht="15.75" customHeight="1">
      <c r="A45" s="72" t="s">
        <v>69</v>
      </c>
      <c r="B45" s="118">
        <f>_xlfn.COMPOUNDVALUE(461)</f>
        <v>1747</v>
      </c>
      <c r="C45" s="119">
        <v>11651228</v>
      </c>
      <c r="D45" s="118">
        <f>_xlfn.COMPOUNDVALUE(462)</f>
        <v>896</v>
      </c>
      <c r="E45" s="119">
        <v>524800</v>
      </c>
      <c r="F45" s="118">
        <f>_xlfn.COMPOUNDVALUE(463)</f>
        <v>2643</v>
      </c>
      <c r="G45" s="119">
        <v>12176028</v>
      </c>
      <c r="H45" s="118">
        <f>_xlfn.COMPOUNDVALUE(464)</f>
        <v>232</v>
      </c>
      <c r="I45" s="120">
        <v>900243</v>
      </c>
      <c r="J45" s="118">
        <v>151</v>
      </c>
      <c r="K45" s="120">
        <v>-177768</v>
      </c>
      <c r="L45" s="118">
        <v>2903</v>
      </c>
      <c r="M45" s="120">
        <v>11098017</v>
      </c>
      <c r="N45" s="82" t="s">
        <v>69</v>
      </c>
    </row>
    <row r="46" spans="1:14" ht="15.75" customHeight="1">
      <c r="A46" s="72" t="s">
        <v>70</v>
      </c>
      <c r="B46" s="118">
        <f>_xlfn.COMPOUNDVALUE(465)</f>
        <v>5896</v>
      </c>
      <c r="C46" s="119">
        <v>92067151</v>
      </c>
      <c r="D46" s="118">
        <f>_xlfn.COMPOUNDVALUE(466)</f>
        <v>2107</v>
      </c>
      <c r="E46" s="119">
        <v>1456650</v>
      </c>
      <c r="F46" s="118">
        <f>_xlfn.COMPOUNDVALUE(467)</f>
        <v>8003</v>
      </c>
      <c r="G46" s="119">
        <v>93523801</v>
      </c>
      <c r="H46" s="118">
        <f>_xlfn.COMPOUNDVALUE(468)</f>
        <v>803</v>
      </c>
      <c r="I46" s="120">
        <v>5750798</v>
      </c>
      <c r="J46" s="118">
        <v>577</v>
      </c>
      <c r="K46" s="120">
        <v>149580</v>
      </c>
      <c r="L46" s="118">
        <v>8928</v>
      </c>
      <c r="M46" s="120">
        <v>87922583</v>
      </c>
      <c r="N46" s="82" t="s">
        <v>70</v>
      </c>
    </row>
    <row r="47" spans="1:14" ht="15.75" customHeight="1">
      <c r="A47" s="72" t="s">
        <v>71</v>
      </c>
      <c r="B47" s="118">
        <f>_xlfn.COMPOUNDVALUE(469)</f>
        <v>3623</v>
      </c>
      <c r="C47" s="119">
        <v>47199162</v>
      </c>
      <c r="D47" s="118">
        <f>_xlfn.COMPOUNDVALUE(470)</f>
        <v>1443</v>
      </c>
      <c r="E47" s="119">
        <v>892300</v>
      </c>
      <c r="F47" s="118">
        <f>_xlfn.COMPOUNDVALUE(471)</f>
        <v>5066</v>
      </c>
      <c r="G47" s="119">
        <v>48091462</v>
      </c>
      <c r="H47" s="118">
        <f>_xlfn.COMPOUNDVALUE(472)</f>
        <v>392</v>
      </c>
      <c r="I47" s="120">
        <v>13478487</v>
      </c>
      <c r="J47" s="118">
        <v>333</v>
      </c>
      <c r="K47" s="120">
        <v>101357</v>
      </c>
      <c r="L47" s="118">
        <v>5541</v>
      </c>
      <c r="M47" s="120">
        <v>34714331</v>
      </c>
      <c r="N47" s="82" t="s">
        <v>71</v>
      </c>
    </row>
    <row r="48" spans="1:14" ht="15.75" customHeight="1">
      <c r="A48" s="72"/>
      <c r="B48" s="118"/>
      <c r="C48" s="119"/>
      <c r="D48" s="118"/>
      <c r="E48" s="119"/>
      <c r="F48" s="118"/>
      <c r="G48" s="119"/>
      <c r="H48" s="118"/>
      <c r="I48" s="120"/>
      <c r="J48" s="118"/>
      <c r="K48" s="120"/>
      <c r="L48" s="118"/>
      <c r="M48" s="120"/>
      <c r="N48" s="82" t="s">
        <v>35</v>
      </c>
    </row>
    <row r="49" spans="1:14" ht="15.75" customHeight="1">
      <c r="A49" s="72" t="s">
        <v>72</v>
      </c>
      <c r="B49" s="118">
        <f>_xlfn.COMPOUNDVALUE(473)</f>
        <v>1887</v>
      </c>
      <c r="C49" s="119">
        <v>12034400</v>
      </c>
      <c r="D49" s="118">
        <f>_xlfn.COMPOUNDVALUE(474)</f>
        <v>931</v>
      </c>
      <c r="E49" s="119">
        <v>593417</v>
      </c>
      <c r="F49" s="118">
        <f>_xlfn.COMPOUNDVALUE(475)</f>
        <v>2818</v>
      </c>
      <c r="G49" s="119">
        <v>12627817</v>
      </c>
      <c r="H49" s="118">
        <f>_xlfn.COMPOUNDVALUE(476)</f>
        <v>269</v>
      </c>
      <c r="I49" s="120">
        <v>8077075</v>
      </c>
      <c r="J49" s="118">
        <v>141</v>
      </c>
      <c r="K49" s="120">
        <v>45531</v>
      </c>
      <c r="L49" s="118">
        <v>3130</v>
      </c>
      <c r="M49" s="120">
        <v>4596273</v>
      </c>
      <c r="N49" s="82" t="s">
        <v>72</v>
      </c>
    </row>
    <row r="50" spans="1:14" ht="15.75" customHeight="1">
      <c r="A50" s="72" t="s">
        <v>73</v>
      </c>
      <c r="B50" s="118">
        <f>_xlfn.COMPOUNDVALUE(477)</f>
        <v>3896</v>
      </c>
      <c r="C50" s="119">
        <v>53105456</v>
      </c>
      <c r="D50" s="118">
        <f>_xlfn.COMPOUNDVALUE(478)</f>
        <v>1909</v>
      </c>
      <c r="E50" s="119">
        <v>1127872</v>
      </c>
      <c r="F50" s="118">
        <f>_xlfn.COMPOUNDVALUE(479)</f>
        <v>5805</v>
      </c>
      <c r="G50" s="119">
        <v>54233328</v>
      </c>
      <c r="H50" s="118">
        <f>_xlfn.COMPOUNDVALUE(480)</f>
        <v>404</v>
      </c>
      <c r="I50" s="120">
        <v>50072565</v>
      </c>
      <c r="J50" s="118">
        <v>343</v>
      </c>
      <c r="K50" s="120">
        <v>51694</v>
      </c>
      <c r="L50" s="118">
        <v>6258</v>
      </c>
      <c r="M50" s="120">
        <v>4212458</v>
      </c>
      <c r="N50" s="82" t="s">
        <v>73</v>
      </c>
    </row>
    <row r="51" spans="1:14" ht="15.75" customHeight="1">
      <c r="A51" s="72" t="s">
        <v>74</v>
      </c>
      <c r="B51" s="118">
        <f>_xlfn.COMPOUNDVALUE(481)</f>
        <v>3970</v>
      </c>
      <c r="C51" s="119">
        <v>25043521</v>
      </c>
      <c r="D51" s="118">
        <f>_xlfn.COMPOUNDVALUE(482)</f>
        <v>1715</v>
      </c>
      <c r="E51" s="119">
        <v>1095182</v>
      </c>
      <c r="F51" s="118">
        <f>_xlfn.COMPOUNDVALUE(483)</f>
        <v>5685</v>
      </c>
      <c r="G51" s="119">
        <v>26138704</v>
      </c>
      <c r="H51" s="118">
        <f>_xlfn.COMPOUNDVALUE(484)</f>
        <v>495</v>
      </c>
      <c r="I51" s="120">
        <v>1584305</v>
      </c>
      <c r="J51" s="118">
        <v>292</v>
      </c>
      <c r="K51" s="120">
        <v>73604</v>
      </c>
      <c r="L51" s="118">
        <v>6261</v>
      </c>
      <c r="M51" s="120">
        <v>24628003</v>
      </c>
      <c r="N51" s="82" t="s">
        <v>74</v>
      </c>
    </row>
    <row r="52" spans="1:14" ht="15.75" customHeight="1">
      <c r="A52" s="72" t="s">
        <v>75</v>
      </c>
      <c r="B52" s="118">
        <f>_xlfn.COMPOUNDVALUE(485)</f>
        <v>3413</v>
      </c>
      <c r="C52" s="119">
        <v>21262007</v>
      </c>
      <c r="D52" s="118">
        <f>_xlfn.COMPOUNDVALUE(486)</f>
        <v>1633</v>
      </c>
      <c r="E52" s="119">
        <v>1062958</v>
      </c>
      <c r="F52" s="118">
        <f>_xlfn.COMPOUNDVALUE(487)</f>
        <v>5046</v>
      </c>
      <c r="G52" s="119">
        <v>22324965</v>
      </c>
      <c r="H52" s="118">
        <f>_xlfn.COMPOUNDVALUE(488)</f>
        <v>406</v>
      </c>
      <c r="I52" s="120">
        <v>546308</v>
      </c>
      <c r="J52" s="118">
        <v>294</v>
      </c>
      <c r="K52" s="120">
        <v>159416</v>
      </c>
      <c r="L52" s="118">
        <v>5524</v>
      </c>
      <c r="M52" s="120">
        <v>21938073</v>
      </c>
      <c r="N52" s="82" t="s">
        <v>75</v>
      </c>
    </row>
    <row r="53" spans="1:14" ht="15.75" customHeight="1">
      <c r="A53" s="72" t="s">
        <v>76</v>
      </c>
      <c r="B53" s="118">
        <f>_xlfn.COMPOUNDVALUE(489)</f>
        <v>3534</v>
      </c>
      <c r="C53" s="119">
        <v>42108402</v>
      </c>
      <c r="D53" s="118">
        <f>_xlfn.COMPOUNDVALUE(490)</f>
        <v>1562</v>
      </c>
      <c r="E53" s="119">
        <v>1071523</v>
      </c>
      <c r="F53" s="118">
        <f>_xlfn.COMPOUNDVALUE(491)</f>
        <v>5096</v>
      </c>
      <c r="G53" s="119">
        <v>43179925</v>
      </c>
      <c r="H53" s="118">
        <f>_xlfn.COMPOUNDVALUE(492)</f>
        <v>499</v>
      </c>
      <c r="I53" s="120">
        <v>19869764</v>
      </c>
      <c r="J53" s="118">
        <v>274</v>
      </c>
      <c r="K53" s="120">
        <v>54435</v>
      </c>
      <c r="L53" s="118">
        <v>5665</v>
      </c>
      <c r="M53" s="120">
        <v>23364596</v>
      </c>
      <c r="N53" s="82" t="s">
        <v>76</v>
      </c>
    </row>
    <row r="54" spans="1:14" ht="15.75" customHeight="1">
      <c r="A54" s="72"/>
      <c r="B54" s="118"/>
      <c r="C54" s="119"/>
      <c r="D54" s="118"/>
      <c r="E54" s="119"/>
      <c r="F54" s="118"/>
      <c r="G54" s="119"/>
      <c r="H54" s="118"/>
      <c r="I54" s="120"/>
      <c r="J54" s="118"/>
      <c r="K54" s="120"/>
      <c r="L54" s="118"/>
      <c r="M54" s="120"/>
      <c r="N54" s="82" t="s">
        <v>35</v>
      </c>
    </row>
    <row r="55" spans="1:14" ht="15.75" customHeight="1">
      <c r="A55" s="72" t="s">
        <v>77</v>
      </c>
      <c r="B55" s="118">
        <f>_xlfn.COMPOUNDVALUE(493)</f>
        <v>21125</v>
      </c>
      <c r="C55" s="119">
        <v>535747015</v>
      </c>
      <c r="D55" s="118">
        <f>_xlfn.COMPOUNDVALUE(494)</f>
        <v>5053</v>
      </c>
      <c r="E55" s="119">
        <v>4158618</v>
      </c>
      <c r="F55" s="118">
        <f>_xlfn.COMPOUNDVALUE(495)</f>
        <v>26178</v>
      </c>
      <c r="G55" s="119">
        <v>539905633</v>
      </c>
      <c r="H55" s="118">
        <f>_xlfn.COMPOUNDVALUE(496)</f>
        <v>3272</v>
      </c>
      <c r="I55" s="120">
        <v>135394545</v>
      </c>
      <c r="J55" s="118">
        <v>1795</v>
      </c>
      <c r="K55" s="120">
        <v>1034979</v>
      </c>
      <c r="L55" s="118">
        <v>29948</v>
      </c>
      <c r="M55" s="120">
        <v>405546067</v>
      </c>
      <c r="N55" s="82" t="s">
        <v>77</v>
      </c>
    </row>
    <row r="56" spans="1:14" ht="15.75" customHeight="1">
      <c r="A56" s="72" t="s">
        <v>78</v>
      </c>
      <c r="B56" s="118">
        <f>_xlfn.COMPOUNDVALUE(497)</f>
        <v>4167</v>
      </c>
      <c r="C56" s="119">
        <v>69317289</v>
      </c>
      <c r="D56" s="118">
        <f>_xlfn.COMPOUNDVALUE(498)</f>
        <v>1658</v>
      </c>
      <c r="E56" s="119">
        <v>1096531</v>
      </c>
      <c r="F56" s="118">
        <f>_xlfn.COMPOUNDVALUE(499)</f>
        <v>5825</v>
      </c>
      <c r="G56" s="119">
        <v>70413820</v>
      </c>
      <c r="H56" s="118">
        <f>_xlfn.COMPOUNDVALUE(500)</f>
        <v>634</v>
      </c>
      <c r="I56" s="120">
        <v>4276618</v>
      </c>
      <c r="J56" s="118">
        <v>374</v>
      </c>
      <c r="K56" s="120">
        <v>205269</v>
      </c>
      <c r="L56" s="118">
        <v>6538</v>
      </c>
      <c r="M56" s="120">
        <v>66342471</v>
      </c>
      <c r="N56" s="82" t="s">
        <v>78</v>
      </c>
    </row>
    <row r="57" spans="1:14" ht="15.75" customHeight="1">
      <c r="A57" s="72" t="s">
        <v>79</v>
      </c>
      <c r="B57" s="118">
        <f>_xlfn.COMPOUNDVALUE(501)</f>
        <v>3230</v>
      </c>
      <c r="C57" s="119">
        <v>22050316</v>
      </c>
      <c r="D57" s="118">
        <f>_xlfn.COMPOUNDVALUE(502)</f>
        <v>1461</v>
      </c>
      <c r="E57" s="119">
        <v>934280</v>
      </c>
      <c r="F57" s="118">
        <f>_xlfn.COMPOUNDVALUE(503)</f>
        <v>4691</v>
      </c>
      <c r="G57" s="119">
        <v>22984596</v>
      </c>
      <c r="H57" s="118">
        <f>_xlfn.COMPOUNDVALUE(504)</f>
        <v>414</v>
      </c>
      <c r="I57" s="120">
        <v>1765219</v>
      </c>
      <c r="J57" s="118">
        <v>374</v>
      </c>
      <c r="K57" s="120">
        <v>234488</v>
      </c>
      <c r="L57" s="118">
        <v>5180</v>
      </c>
      <c r="M57" s="120">
        <v>21453866</v>
      </c>
      <c r="N57" s="82" t="s">
        <v>79</v>
      </c>
    </row>
    <row r="58" spans="1:14" ht="15.75" customHeight="1">
      <c r="A58" s="72" t="s">
        <v>80</v>
      </c>
      <c r="B58" s="118">
        <f>_xlfn.COMPOUNDVALUE(505)</f>
        <v>2410</v>
      </c>
      <c r="C58" s="119">
        <v>18024035</v>
      </c>
      <c r="D58" s="118">
        <f>_xlfn.COMPOUNDVALUE(506)</f>
        <v>1126</v>
      </c>
      <c r="E58" s="119">
        <v>743279</v>
      </c>
      <c r="F58" s="118">
        <f>_xlfn.COMPOUNDVALUE(507)</f>
        <v>3536</v>
      </c>
      <c r="G58" s="119">
        <v>18767315</v>
      </c>
      <c r="H58" s="118">
        <f>_xlfn.COMPOUNDVALUE(508)</f>
        <v>306</v>
      </c>
      <c r="I58" s="120">
        <v>928562</v>
      </c>
      <c r="J58" s="118">
        <v>242</v>
      </c>
      <c r="K58" s="120">
        <v>42432</v>
      </c>
      <c r="L58" s="118">
        <v>3920</v>
      </c>
      <c r="M58" s="120">
        <v>17881185</v>
      </c>
      <c r="N58" s="82" t="s">
        <v>80</v>
      </c>
    </row>
    <row r="59" spans="1:14" ht="15.75" customHeight="1">
      <c r="A59" s="72" t="s">
        <v>81</v>
      </c>
      <c r="B59" s="118">
        <f>_xlfn.COMPOUNDVALUE(509)</f>
        <v>8423</v>
      </c>
      <c r="C59" s="119">
        <v>115117216</v>
      </c>
      <c r="D59" s="118">
        <f>_xlfn.COMPOUNDVALUE(510)</f>
        <v>2569</v>
      </c>
      <c r="E59" s="119">
        <v>1840392</v>
      </c>
      <c r="F59" s="118">
        <f>_xlfn.COMPOUNDVALUE(511)</f>
        <v>10992</v>
      </c>
      <c r="G59" s="119">
        <v>116957608</v>
      </c>
      <c r="H59" s="118">
        <f>_xlfn.COMPOUNDVALUE(512)</f>
        <v>1508</v>
      </c>
      <c r="I59" s="120">
        <v>14092207</v>
      </c>
      <c r="J59" s="118">
        <v>882</v>
      </c>
      <c r="K59" s="120">
        <v>-78803</v>
      </c>
      <c r="L59" s="118">
        <v>12744</v>
      </c>
      <c r="M59" s="120">
        <v>102786598</v>
      </c>
      <c r="N59" s="82" t="s">
        <v>81</v>
      </c>
    </row>
    <row r="60" spans="1:14" ht="15.75" customHeight="1">
      <c r="A60" s="72"/>
      <c r="B60" s="118"/>
      <c r="C60" s="119"/>
      <c r="D60" s="118"/>
      <c r="E60" s="119"/>
      <c r="F60" s="118"/>
      <c r="G60" s="119"/>
      <c r="H60" s="118"/>
      <c r="I60" s="120"/>
      <c r="J60" s="118"/>
      <c r="K60" s="120"/>
      <c r="L60" s="118"/>
      <c r="M60" s="120"/>
      <c r="N60" s="82" t="s">
        <v>35</v>
      </c>
    </row>
    <row r="61" spans="1:14" ht="15.75" customHeight="1">
      <c r="A61" s="72" t="s">
        <v>82</v>
      </c>
      <c r="B61" s="118">
        <f>_xlfn.COMPOUNDVALUE(513)</f>
        <v>3751</v>
      </c>
      <c r="C61" s="119">
        <v>52859170</v>
      </c>
      <c r="D61" s="118">
        <f>_xlfn.COMPOUNDVALUE(514)</f>
        <v>1604</v>
      </c>
      <c r="E61" s="119">
        <v>986815</v>
      </c>
      <c r="F61" s="118">
        <f>_xlfn.COMPOUNDVALUE(515)</f>
        <v>5355</v>
      </c>
      <c r="G61" s="119">
        <v>53845985</v>
      </c>
      <c r="H61" s="118">
        <f>_xlfn.COMPOUNDVALUE(516)</f>
        <v>522</v>
      </c>
      <c r="I61" s="120">
        <v>4268234</v>
      </c>
      <c r="J61" s="118">
        <v>295</v>
      </c>
      <c r="K61" s="120">
        <v>124193</v>
      </c>
      <c r="L61" s="118">
        <v>5954</v>
      </c>
      <c r="M61" s="120">
        <v>49701944</v>
      </c>
      <c r="N61" s="82" t="s">
        <v>82</v>
      </c>
    </row>
    <row r="62" spans="1:14" ht="15.75" customHeight="1">
      <c r="A62" s="72" t="s">
        <v>83</v>
      </c>
      <c r="B62" s="118">
        <f>_xlfn.COMPOUNDVALUE(517)</f>
        <v>3283</v>
      </c>
      <c r="C62" s="119">
        <v>27518940</v>
      </c>
      <c r="D62" s="118">
        <f>_xlfn.COMPOUNDVALUE(518)</f>
        <v>1381</v>
      </c>
      <c r="E62" s="119">
        <v>810935</v>
      </c>
      <c r="F62" s="118">
        <f>_xlfn.COMPOUNDVALUE(519)</f>
        <v>4664</v>
      </c>
      <c r="G62" s="119">
        <v>28329875</v>
      </c>
      <c r="H62" s="118">
        <f>_xlfn.COMPOUNDVALUE(520)</f>
        <v>467</v>
      </c>
      <c r="I62" s="120">
        <v>2015912</v>
      </c>
      <c r="J62" s="118">
        <v>325</v>
      </c>
      <c r="K62" s="120">
        <v>134844</v>
      </c>
      <c r="L62" s="118">
        <v>5226</v>
      </c>
      <c r="M62" s="120">
        <v>26448807</v>
      </c>
      <c r="N62" s="82" t="s">
        <v>83</v>
      </c>
    </row>
    <row r="63" spans="1:14" ht="15.75" customHeight="1">
      <c r="A63" s="72" t="s">
        <v>84</v>
      </c>
      <c r="B63" s="118">
        <f>_xlfn.COMPOUNDVALUE(521)</f>
        <v>5917</v>
      </c>
      <c r="C63" s="119">
        <v>47295498</v>
      </c>
      <c r="D63" s="118">
        <f>_xlfn.COMPOUNDVALUE(522)</f>
        <v>2476</v>
      </c>
      <c r="E63" s="119">
        <v>1587174</v>
      </c>
      <c r="F63" s="118">
        <f>_xlfn.COMPOUNDVALUE(523)</f>
        <v>8393</v>
      </c>
      <c r="G63" s="119">
        <v>48882672</v>
      </c>
      <c r="H63" s="118">
        <f>_xlfn.COMPOUNDVALUE(524)</f>
        <v>673</v>
      </c>
      <c r="I63" s="120">
        <v>4343612</v>
      </c>
      <c r="J63" s="118">
        <v>564</v>
      </c>
      <c r="K63" s="120">
        <v>73308</v>
      </c>
      <c r="L63" s="118">
        <v>9171</v>
      </c>
      <c r="M63" s="120">
        <v>44612368</v>
      </c>
      <c r="N63" s="82" t="s">
        <v>84</v>
      </c>
    </row>
    <row r="64" spans="1:14" ht="15.75" customHeight="1">
      <c r="A64" s="72" t="s">
        <v>85</v>
      </c>
      <c r="B64" s="118">
        <f>_xlfn.COMPOUNDVALUE(525)</f>
        <v>4143</v>
      </c>
      <c r="C64" s="119">
        <v>22747737</v>
      </c>
      <c r="D64" s="118">
        <f>_xlfn.COMPOUNDVALUE(526)</f>
        <v>1839</v>
      </c>
      <c r="E64" s="119">
        <v>1114609</v>
      </c>
      <c r="F64" s="118">
        <f>_xlfn.COMPOUNDVALUE(527)</f>
        <v>5982</v>
      </c>
      <c r="G64" s="119">
        <v>23862346</v>
      </c>
      <c r="H64" s="118">
        <f>_xlfn.COMPOUNDVALUE(528)</f>
        <v>489</v>
      </c>
      <c r="I64" s="120">
        <v>1879673</v>
      </c>
      <c r="J64" s="118">
        <v>365</v>
      </c>
      <c r="K64" s="120">
        <v>216233</v>
      </c>
      <c r="L64" s="118">
        <v>6539</v>
      </c>
      <c r="M64" s="120">
        <v>22198906</v>
      </c>
      <c r="N64" s="82" t="s">
        <v>85</v>
      </c>
    </row>
    <row r="65" spans="1:14" ht="15.75" customHeight="1">
      <c r="A65" s="74" t="s">
        <v>86</v>
      </c>
      <c r="B65" s="121">
        <f>_xlfn.COMPOUNDVALUE(529)</f>
        <v>2346</v>
      </c>
      <c r="C65" s="122">
        <v>9547642</v>
      </c>
      <c r="D65" s="121">
        <f>_xlfn.COMPOUNDVALUE(530)</f>
        <v>1230</v>
      </c>
      <c r="E65" s="122">
        <v>738915</v>
      </c>
      <c r="F65" s="121">
        <f>_xlfn.COMPOUNDVALUE(531)</f>
        <v>3576</v>
      </c>
      <c r="G65" s="122">
        <v>10286557</v>
      </c>
      <c r="H65" s="121">
        <f>_xlfn.COMPOUNDVALUE(532)</f>
        <v>205</v>
      </c>
      <c r="I65" s="123">
        <v>475163</v>
      </c>
      <c r="J65" s="121">
        <v>145</v>
      </c>
      <c r="K65" s="123">
        <v>26925</v>
      </c>
      <c r="L65" s="121">
        <v>3818</v>
      </c>
      <c r="M65" s="123">
        <v>9838320</v>
      </c>
      <c r="N65" s="73" t="s">
        <v>86</v>
      </c>
    </row>
    <row r="66" spans="1:14" ht="15.75" customHeight="1">
      <c r="A66" s="74"/>
      <c r="B66" s="121"/>
      <c r="C66" s="122"/>
      <c r="D66" s="121"/>
      <c r="E66" s="122"/>
      <c r="F66" s="121"/>
      <c r="G66" s="122"/>
      <c r="H66" s="121"/>
      <c r="I66" s="123"/>
      <c r="J66" s="121"/>
      <c r="K66" s="123"/>
      <c r="L66" s="121"/>
      <c r="M66" s="123"/>
      <c r="N66" s="73" t="s">
        <v>35</v>
      </c>
    </row>
    <row r="67" spans="1:14" ht="15.75" customHeight="1">
      <c r="A67" s="74" t="s">
        <v>87</v>
      </c>
      <c r="B67" s="121">
        <f>_xlfn.COMPOUNDVALUE(533)</f>
        <v>4510</v>
      </c>
      <c r="C67" s="122">
        <v>26145448</v>
      </c>
      <c r="D67" s="121">
        <f>_xlfn.COMPOUNDVALUE(534)</f>
        <v>1751</v>
      </c>
      <c r="E67" s="122">
        <v>1099650</v>
      </c>
      <c r="F67" s="121">
        <f>_xlfn.COMPOUNDVALUE(535)</f>
        <v>6261</v>
      </c>
      <c r="G67" s="122">
        <v>27245098</v>
      </c>
      <c r="H67" s="121">
        <f>_xlfn.COMPOUNDVALUE(536)</f>
        <v>424</v>
      </c>
      <c r="I67" s="123">
        <v>3333550</v>
      </c>
      <c r="J67" s="121">
        <v>384</v>
      </c>
      <c r="K67" s="123">
        <v>3566</v>
      </c>
      <c r="L67" s="121">
        <v>6754</v>
      </c>
      <c r="M67" s="123">
        <v>23915113</v>
      </c>
      <c r="N67" s="73" t="s">
        <v>87</v>
      </c>
    </row>
    <row r="68" spans="1:14" ht="15.75" customHeight="1">
      <c r="A68" s="74" t="s">
        <v>88</v>
      </c>
      <c r="B68" s="121">
        <f>_xlfn.COMPOUNDVALUE(537)</f>
        <v>3698</v>
      </c>
      <c r="C68" s="122">
        <v>19168752</v>
      </c>
      <c r="D68" s="121">
        <f>_xlfn.COMPOUNDVALUE(538)</f>
        <v>1512</v>
      </c>
      <c r="E68" s="122">
        <v>922696</v>
      </c>
      <c r="F68" s="121">
        <f>_xlfn.COMPOUNDVALUE(539)</f>
        <v>5210</v>
      </c>
      <c r="G68" s="122">
        <v>20091448</v>
      </c>
      <c r="H68" s="121">
        <f>_xlfn.COMPOUNDVALUE(540)</f>
        <v>361</v>
      </c>
      <c r="I68" s="123">
        <v>3550941</v>
      </c>
      <c r="J68" s="121">
        <v>254</v>
      </c>
      <c r="K68" s="123">
        <v>49454</v>
      </c>
      <c r="L68" s="121">
        <v>5636</v>
      </c>
      <c r="M68" s="123">
        <v>16589961</v>
      </c>
      <c r="N68" s="73" t="s">
        <v>88</v>
      </c>
    </row>
    <row r="69" spans="1:14" ht="15.75" customHeight="1">
      <c r="A69" s="74" t="s">
        <v>89</v>
      </c>
      <c r="B69" s="121">
        <f>_xlfn.COMPOUNDVALUE(541)</f>
        <v>4773</v>
      </c>
      <c r="C69" s="122">
        <v>24388032</v>
      </c>
      <c r="D69" s="121">
        <f>_xlfn.COMPOUNDVALUE(542)</f>
        <v>2266</v>
      </c>
      <c r="E69" s="122">
        <v>1346777</v>
      </c>
      <c r="F69" s="121">
        <f>_xlfn.COMPOUNDVALUE(543)</f>
        <v>7039</v>
      </c>
      <c r="G69" s="122">
        <v>25734809</v>
      </c>
      <c r="H69" s="121">
        <f>_xlfn.COMPOUNDVALUE(544)</f>
        <v>551</v>
      </c>
      <c r="I69" s="123">
        <v>1682528</v>
      </c>
      <c r="J69" s="121">
        <v>444</v>
      </c>
      <c r="K69" s="123">
        <v>15716</v>
      </c>
      <c r="L69" s="121">
        <v>7670</v>
      </c>
      <c r="M69" s="123">
        <v>24067996</v>
      </c>
      <c r="N69" s="73" t="s">
        <v>89</v>
      </c>
    </row>
    <row r="70" spans="1:14" ht="15.75" customHeight="1">
      <c r="A70" s="74" t="s">
        <v>90</v>
      </c>
      <c r="B70" s="121">
        <f>_xlfn.COMPOUNDVALUE(545)</f>
        <v>5438</v>
      </c>
      <c r="C70" s="122">
        <v>26246351</v>
      </c>
      <c r="D70" s="121">
        <f>_xlfn.COMPOUNDVALUE(546)</f>
        <v>2393</v>
      </c>
      <c r="E70" s="122">
        <v>1476732</v>
      </c>
      <c r="F70" s="121">
        <f>_xlfn.COMPOUNDVALUE(547)</f>
        <v>7831</v>
      </c>
      <c r="G70" s="122">
        <v>27723082</v>
      </c>
      <c r="H70" s="121">
        <f>_xlfn.COMPOUNDVALUE(548)</f>
        <v>586</v>
      </c>
      <c r="I70" s="123">
        <v>2927165</v>
      </c>
      <c r="J70" s="121">
        <v>520</v>
      </c>
      <c r="K70" s="123">
        <v>90753</v>
      </c>
      <c r="L70" s="121">
        <v>8526</v>
      </c>
      <c r="M70" s="123">
        <v>24886670</v>
      </c>
      <c r="N70" s="73" t="s">
        <v>90</v>
      </c>
    </row>
    <row r="71" spans="1:14" ht="15.75" customHeight="1">
      <c r="A71" s="74" t="s">
        <v>91</v>
      </c>
      <c r="B71" s="121">
        <f>_xlfn.COMPOUNDVALUE(549)</f>
        <v>2602</v>
      </c>
      <c r="C71" s="122">
        <v>18701606</v>
      </c>
      <c r="D71" s="121">
        <f>_xlfn.COMPOUNDVALUE(550)</f>
        <v>976</v>
      </c>
      <c r="E71" s="122">
        <v>649459</v>
      </c>
      <c r="F71" s="121">
        <f>_xlfn.COMPOUNDVALUE(551)</f>
        <v>3578</v>
      </c>
      <c r="G71" s="122">
        <v>19351066</v>
      </c>
      <c r="H71" s="121">
        <f>_xlfn.COMPOUNDVALUE(552)</f>
        <v>291</v>
      </c>
      <c r="I71" s="123">
        <v>2261968</v>
      </c>
      <c r="J71" s="121">
        <v>168</v>
      </c>
      <c r="K71" s="123">
        <v>51331</v>
      </c>
      <c r="L71" s="121">
        <v>3920</v>
      </c>
      <c r="M71" s="123">
        <v>17140428</v>
      </c>
      <c r="N71" s="73" t="s">
        <v>91</v>
      </c>
    </row>
    <row r="72" spans="1:14" ht="15.75" customHeight="1">
      <c r="A72" s="162" t="s">
        <v>166</v>
      </c>
      <c r="B72" s="163">
        <v>235892</v>
      </c>
      <c r="C72" s="164">
        <v>6299166163</v>
      </c>
      <c r="D72" s="143">
        <v>71452</v>
      </c>
      <c r="E72" s="144">
        <v>53369438</v>
      </c>
      <c r="F72" s="143">
        <v>307344</v>
      </c>
      <c r="G72" s="144">
        <v>6352535603</v>
      </c>
      <c r="H72" s="143">
        <v>44969</v>
      </c>
      <c r="I72" s="145">
        <v>2217239617</v>
      </c>
      <c r="J72" s="143">
        <v>22413</v>
      </c>
      <c r="K72" s="145">
        <v>10723547</v>
      </c>
      <c r="L72" s="143">
        <v>356889</v>
      </c>
      <c r="M72" s="145">
        <v>4146019532</v>
      </c>
      <c r="N72" s="146" t="s">
        <v>93</v>
      </c>
    </row>
    <row r="73" spans="1:14" ht="15.75" customHeight="1">
      <c r="A73" s="157"/>
      <c r="B73" s="158"/>
      <c r="C73" s="159"/>
      <c r="D73" s="158"/>
      <c r="E73" s="159"/>
      <c r="F73" s="158"/>
      <c r="G73" s="159"/>
      <c r="H73" s="158"/>
      <c r="I73" s="160"/>
      <c r="J73" s="158"/>
      <c r="K73" s="160"/>
      <c r="L73" s="158"/>
      <c r="M73" s="160"/>
      <c r="N73" s="161" t="s">
        <v>35</v>
      </c>
    </row>
    <row r="74" spans="1:14" ht="15.75" customHeight="1">
      <c r="A74" s="72" t="s">
        <v>94</v>
      </c>
      <c r="B74" s="118">
        <f>_xlfn.COMPOUNDVALUE(553)</f>
        <v>4724</v>
      </c>
      <c r="C74" s="119">
        <v>30305472</v>
      </c>
      <c r="D74" s="118">
        <f>_xlfn.COMPOUNDVALUE(554)</f>
        <v>2160</v>
      </c>
      <c r="E74" s="119">
        <v>1361694</v>
      </c>
      <c r="F74" s="118">
        <f>_xlfn.COMPOUNDVALUE(555)</f>
        <v>6884</v>
      </c>
      <c r="G74" s="119">
        <v>31667166</v>
      </c>
      <c r="H74" s="118">
        <f>_xlfn.COMPOUNDVALUE(556)</f>
        <v>468</v>
      </c>
      <c r="I74" s="120">
        <v>12423941</v>
      </c>
      <c r="J74" s="118">
        <v>398</v>
      </c>
      <c r="K74" s="120">
        <v>55060</v>
      </c>
      <c r="L74" s="118">
        <v>7446</v>
      </c>
      <c r="M74" s="120">
        <v>19298285</v>
      </c>
      <c r="N74" s="82" t="s">
        <v>94</v>
      </c>
    </row>
    <row r="75" spans="1:14" ht="15.75" customHeight="1">
      <c r="A75" s="74" t="s">
        <v>95</v>
      </c>
      <c r="B75" s="121">
        <f>_xlfn.COMPOUNDVALUE(557)</f>
        <v>5796</v>
      </c>
      <c r="C75" s="122">
        <v>42097647</v>
      </c>
      <c r="D75" s="121">
        <f>_xlfn.COMPOUNDVALUE(558)</f>
        <v>2603</v>
      </c>
      <c r="E75" s="122">
        <v>1725561</v>
      </c>
      <c r="F75" s="121">
        <f>_xlfn.COMPOUNDVALUE(559)</f>
        <v>8399</v>
      </c>
      <c r="G75" s="122">
        <v>43823208</v>
      </c>
      <c r="H75" s="121">
        <f>_xlfn.COMPOUNDVALUE(560)</f>
        <v>539</v>
      </c>
      <c r="I75" s="123">
        <v>4203829</v>
      </c>
      <c r="J75" s="121">
        <v>408</v>
      </c>
      <c r="K75" s="123">
        <v>86491</v>
      </c>
      <c r="L75" s="121">
        <v>9006</v>
      </c>
      <c r="M75" s="123">
        <v>39705870</v>
      </c>
      <c r="N75" s="73" t="s">
        <v>95</v>
      </c>
    </row>
    <row r="76" spans="1:14" ht="15.75" customHeight="1">
      <c r="A76" s="74" t="s">
        <v>96</v>
      </c>
      <c r="B76" s="121">
        <f>_xlfn.COMPOUNDVALUE(561)</f>
        <v>3963</v>
      </c>
      <c r="C76" s="122">
        <v>40638136</v>
      </c>
      <c r="D76" s="121">
        <f>_xlfn.COMPOUNDVALUE(562)</f>
        <v>1898</v>
      </c>
      <c r="E76" s="122">
        <v>1238305</v>
      </c>
      <c r="F76" s="121">
        <f>_xlfn.COMPOUNDVALUE(563)</f>
        <v>5861</v>
      </c>
      <c r="G76" s="122">
        <v>41876441</v>
      </c>
      <c r="H76" s="121">
        <f>_xlfn.COMPOUNDVALUE(564)</f>
        <v>482</v>
      </c>
      <c r="I76" s="123">
        <v>8467226</v>
      </c>
      <c r="J76" s="121">
        <v>256</v>
      </c>
      <c r="K76" s="123">
        <v>555869</v>
      </c>
      <c r="L76" s="121">
        <v>6403</v>
      </c>
      <c r="M76" s="123">
        <v>33965085</v>
      </c>
      <c r="N76" s="73" t="s">
        <v>96</v>
      </c>
    </row>
    <row r="77" spans="1:14" ht="15.75" customHeight="1">
      <c r="A77" s="74" t="s">
        <v>97</v>
      </c>
      <c r="B77" s="121">
        <f>_xlfn.COMPOUNDVALUE(565)</f>
        <v>3368</v>
      </c>
      <c r="C77" s="122">
        <v>20762227</v>
      </c>
      <c r="D77" s="121">
        <f>_xlfn.COMPOUNDVALUE(566)</f>
        <v>1551</v>
      </c>
      <c r="E77" s="122">
        <v>981019</v>
      </c>
      <c r="F77" s="121">
        <f>_xlfn.COMPOUNDVALUE(567)</f>
        <v>4919</v>
      </c>
      <c r="G77" s="122">
        <v>21743246</v>
      </c>
      <c r="H77" s="121">
        <f>_xlfn.COMPOUNDVALUE(568)</f>
        <v>235</v>
      </c>
      <c r="I77" s="123">
        <v>2734539</v>
      </c>
      <c r="J77" s="121">
        <v>343</v>
      </c>
      <c r="K77" s="123">
        <v>10058</v>
      </c>
      <c r="L77" s="121">
        <v>5226</v>
      </c>
      <c r="M77" s="123">
        <v>19018765</v>
      </c>
      <c r="N77" s="73" t="s">
        <v>97</v>
      </c>
    </row>
    <row r="78" spans="1:14" ht="15.75" customHeight="1">
      <c r="A78" s="74" t="s">
        <v>98</v>
      </c>
      <c r="B78" s="121">
        <f>_xlfn.COMPOUNDVALUE(569)</f>
        <v>4536</v>
      </c>
      <c r="C78" s="122">
        <v>41950893</v>
      </c>
      <c r="D78" s="121">
        <f>_xlfn.COMPOUNDVALUE(570)</f>
        <v>2132</v>
      </c>
      <c r="E78" s="122">
        <v>1321497</v>
      </c>
      <c r="F78" s="121">
        <f>_xlfn.COMPOUNDVALUE(571)</f>
        <v>6668</v>
      </c>
      <c r="G78" s="122">
        <v>43272390</v>
      </c>
      <c r="H78" s="121">
        <f>_xlfn.COMPOUNDVALUE(572)</f>
        <v>433</v>
      </c>
      <c r="I78" s="123">
        <v>3728482</v>
      </c>
      <c r="J78" s="121">
        <v>324</v>
      </c>
      <c r="K78" s="123">
        <v>106854</v>
      </c>
      <c r="L78" s="121">
        <v>7180</v>
      </c>
      <c r="M78" s="123">
        <v>39650761</v>
      </c>
      <c r="N78" s="73" t="s">
        <v>98</v>
      </c>
    </row>
    <row r="79" spans="1:14" ht="15.75" customHeight="1">
      <c r="A79" s="100"/>
      <c r="B79" s="127"/>
      <c r="C79" s="128"/>
      <c r="D79" s="127"/>
      <c r="E79" s="128"/>
      <c r="F79" s="127"/>
      <c r="G79" s="128"/>
      <c r="H79" s="127"/>
      <c r="I79" s="129"/>
      <c r="J79" s="127"/>
      <c r="K79" s="129"/>
      <c r="L79" s="127"/>
      <c r="M79" s="129"/>
      <c r="N79" s="101" t="s">
        <v>35</v>
      </c>
    </row>
    <row r="80" spans="1:14" ht="15.75" customHeight="1">
      <c r="A80" s="95" t="s">
        <v>99</v>
      </c>
      <c r="B80" s="118">
        <f>_xlfn.COMPOUNDVALUE(573)</f>
        <v>3247</v>
      </c>
      <c r="C80" s="119">
        <v>16469853</v>
      </c>
      <c r="D80" s="118">
        <f>_xlfn.COMPOUNDVALUE(574)</f>
        <v>1628</v>
      </c>
      <c r="E80" s="119">
        <v>1046095</v>
      </c>
      <c r="F80" s="118">
        <f>_xlfn.COMPOUNDVALUE(575)</f>
        <v>4875</v>
      </c>
      <c r="G80" s="119">
        <v>17515948</v>
      </c>
      <c r="H80" s="118">
        <f>_xlfn.COMPOUNDVALUE(576)</f>
        <v>339</v>
      </c>
      <c r="I80" s="120">
        <v>1344730</v>
      </c>
      <c r="J80" s="118">
        <v>262</v>
      </c>
      <c r="K80" s="120">
        <v>36211</v>
      </c>
      <c r="L80" s="118">
        <v>5259</v>
      </c>
      <c r="M80" s="120">
        <v>16207430</v>
      </c>
      <c r="N80" s="82" t="s">
        <v>99</v>
      </c>
    </row>
    <row r="81" spans="1:14" ht="15.75" customHeight="1">
      <c r="A81" s="74" t="s">
        <v>100</v>
      </c>
      <c r="B81" s="121">
        <f>_xlfn.COMPOUNDVALUE(577)</f>
        <v>2458</v>
      </c>
      <c r="C81" s="122">
        <v>19515434</v>
      </c>
      <c r="D81" s="121">
        <f>_xlfn.COMPOUNDVALUE(578)</f>
        <v>1140</v>
      </c>
      <c r="E81" s="122">
        <v>714640</v>
      </c>
      <c r="F81" s="121">
        <f>_xlfn.COMPOUNDVALUE(579)</f>
        <v>3598</v>
      </c>
      <c r="G81" s="122">
        <v>20230074</v>
      </c>
      <c r="H81" s="121">
        <f>_xlfn.COMPOUNDVALUE(580)</f>
        <v>269</v>
      </c>
      <c r="I81" s="123">
        <v>7269433</v>
      </c>
      <c r="J81" s="121">
        <v>165</v>
      </c>
      <c r="K81" s="123">
        <v>24500</v>
      </c>
      <c r="L81" s="121">
        <v>3904</v>
      </c>
      <c r="M81" s="123">
        <v>12985142</v>
      </c>
      <c r="N81" s="73" t="s">
        <v>100</v>
      </c>
    </row>
    <row r="82" spans="1:14" ht="15.75" customHeight="1">
      <c r="A82" s="74" t="s">
        <v>101</v>
      </c>
      <c r="B82" s="121">
        <f>_xlfn.COMPOUNDVALUE(581)</f>
        <v>4569</v>
      </c>
      <c r="C82" s="122">
        <v>23468091</v>
      </c>
      <c r="D82" s="121">
        <f>_xlfn.COMPOUNDVALUE(582)</f>
        <v>2395</v>
      </c>
      <c r="E82" s="122">
        <v>1464093</v>
      </c>
      <c r="F82" s="121">
        <f>_xlfn.COMPOUNDVALUE(583)</f>
        <v>6964</v>
      </c>
      <c r="G82" s="122">
        <v>24932185</v>
      </c>
      <c r="H82" s="121">
        <f>_xlfn.COMPOUNDVALUE(584)</f>
        <v>378</v>
      </c>
      <c r="I82" s="123">
        <v>4716723</v>
      </c>
      <c r="J82" s="121">
        <v>289</v>
      </c>
      <c r="K82" s="123">
        <v>44884</v>
      </c>
      <c r="L82" s="121">
        <v>7402</v>
      </c>
      <c r="M82" s="123">
        <v>20260346</v>
      </c>
      <c r="N82" s="73" t="s">
        <v>101</v>
      </c>
    </row>
    <row r="83" spans="1:14" ht="15.75" customHeight="1">
      <c r="A83" s="142" t="s">
        <v>167</v>
      </c>
      <c r="B83" s="143">
        <v>32661</v>
      </c>
      <c r="C83" s="144">
        <v>235207753</v>
      </c>
      <c r="D83" s="143">
        <v>15507</v>
      </c>
      <c r="E83" s="144">
        <v>9852904</v>
      </c>
      <c r="F83" s="143">
        <v>48168</v>
      </c>
      <c r="G83" s="144">
        <v>245060658</v>
      </c>
      <c r="H83" s="143">
        <v>3143</v>
      </c>
      <c r="I83" s="145">
        <v>44888903</v>
      </c>
      <c r="J83" s="143">
        <v>2445</v>
      </c>
      <c r="K83" s="145">
        <v>919927</v>
      </c>
      <c r="L83" s="143">
        <v>51826</v>
      </c>
      <c r="M83" s="145">
        <v>201091684</v>
      </c>
      <c r="N83" s="146" t="s">
        <v>103</v>
      </c>
    </row>
    <row r="84" spans="1:14" ht="15.75" customHeight="1">
      <c r="A84" s="157"/>
      <c r="B84" s="158"/>
      <c r="C84" s="159"/>
      <c r="D84" s="158"/>
      <c r="E84" s="159"/>
      <c r="F84" s="158"/>
      <c r="G84" s="159"/>
      <c r="H84" s="158"/>
      <c r="I84" s="160"/>
      <c r="J84" s="158"/>
      <c r="K84" s="160"/>
      <c r="L84" s="158"/>
      <c r="M84" s="160"/>
      <c r="N84" s="161" t="s">
        <v>35</v>
      </c>
    </row>
    <row r="85" spans="1:14" ht="15.75" customHeight="1">
      <c r="A85" s="152" t="s">
        <v>168</v>
      </c>
      <c r="B85" s="153">
        <v>268553</v>
      </c>
      <c r="C85" s="154">
        <v>6534373917</v>
      </c>
      <c r="D85" s="153">
        <v>86959</v>
      </c>
      <c r="E85" s="154">
        <v>63222341</v>
      </c>
      <c r="F85" s="153">
        <v>355512</v>
      </c>
      <c r="G85" s="154">
        <v>6597596258</v>
      </c>
      <c r="H85" s="153">
        <v>48112</v>
      </c>
      <c r="I85" s="155">
        <v>2262128521</v>
      </c>
      <c r="J85" s="153">
        <v>24858</v>
      </c>
      <c r="K85" s="155">
        <v>11643475</v>
      </c>
      <c r="L85" s="153">
        <v>408715</v>
      </c>
      <c r="M85" s="155">
        <v>4347111212</v>
      </c>
      <c r="N85" s="156" t="s">
        <v>105</v>
      </c>
    </row>
    <row r="86" spans="1:14" ht="15.75" customHeight="1">
      <c r="A86" s="147"/>
      <c r="B86" s="148"/>
      <c r="C86" s="149"/>
      <c r="D86" s="148"/>
      <c r="E86" s="149"/>
      <c r="F86" s="150"/>
      <c r="G86" s="149"/>
      <c r="H86" s="150"/>
      <c r="I86" s="149"/>
      <c r="J86" s="150"/>
      <c r="K86" s="149"/>
      <c r="L86" s="150"/>
      <c r="M86" s="149"/>
      <c r="N86" s="151"/>
    </row>
    <row r="87" spans="1:14" ht="15.75" customHeight="1">
      <c r="A87" s="72" t="s">
        <v>106</v>
      </c>
      <c r="B87" s="118">
        <f>_xlfn.COMPOUNDVALUE(585)</f>
        <v>2849</v>
      </c>
      <c r="C87" s="119">
        <v>28067598</v>
      </c>
      <c r="D87" s="118">
        <f>_xlfn.COMPOUNDVALUE(586)</f>
        <v>1321</v>
      </c>
      <c r="E87" s="119">
        <v>880730</v>
      </c>
      <c r="F87" s="118">
        <f>_xlfn.COMPOUNDVALUE(587)</f>
        <v>4170</v>
      </c>
      <c r="G87" s="119">
        <v>28948328</v>
      </c>
      <c r="H87" s="118">
        <f>_xlfn.COMPOUNDVALUE(588)</f>
        <v>293</v>
      </c>
      <c r="I87" s="120">
        <v>2371085</v>
      </c>
      <c r="J87" s="118">
        <v>198</v>
      </c>
      <c r="K87" s="120">
        <v>23872</v>
      </c>
      <c r="L87" s="118">
        <v>4492</v>
      </c>
      <c r="M87" s="120">
        <v>26601115</v>
      </c>
      <c r="N87" s="82" t="s">
        <v>106</v>
      </c>
    </row>
    <row r="88" spans="1:14" ht="15.75" customHeight="1">
      <c r="A88" s="72" t="s">
        <v>107</v>
      </c>
      <c r="B88" s="118">
        <f>_xlfn.COMPOUNDVALUE(589)</f>
        <v>7332</v>
      </c>
      <c r="C88" s="119">
        <v>202854561</v>
      </c>
      <c r="D88" s="118">
        <f>_xlfn.COMPOUNDVALUE(590)</f>
        <v>2457</v>
      </c>
      <c r="E88" s="119">
        <v>1705787</v>
      </c>
      <c r="F88" s="118">
        <f>_xlfn.COMPOUNDVALUE(591)</f>
        <v>9789</v>
      </c>
      <c r="G88" s="119">
        <v>204560347</v>
      </c>
      <c r="H88" s="118">
        <f>_xlfn.COMPOUNDVALUE(592)</f>
        <v>1646</v>
      </c>
      <c r="I88" s="120">
        <v>59163853</v>
      </c>
      <c r="J88" s="118">
        <v>665</v>
      </c>
      <c r="K88" s="120">
        <v>-883955</v>
      </c>
      <c r="L88" s="118">
        <v>11570</v>
      </c>
      <c r="M88" s="120">
        <v>144512539</v>
      </c>
      <c r="N88" s="82" t="s">
        <v>107</v>
      </c>
    </row>
    <row r="89" spans="1:14" ht="15.75" customHeight="1">
      <c r="A89" s="72" t="s">
        <v>108</v>
      </c>
      <c r="B89" s="118">
        <f>_xlfn.COMPOUNDVALUE(593)</f>
        <v>4033</v>
      </c>
      <c r="C89" s="119">
        <v>22820193</v>
      </c>
      <c r="D89" s="118">
        <f>_xlfn.COMPOUNDVALUE(594)</f>
        <v>1920</v>
      </c>
      <c r="E89" s="119">
        <v>1199569</v>
      </c>
      <c r="F89" s="118">
        <f>_xlfn.COMPOUNDVALUE(595)</f>
        <v>5953</v>
      </c>
      <c r="G89" s="119">
        <v>24019762</v>
      </c>
      <c r="H89" s="118">
        <f>_xlfn.COMPOUNDVALUE(596)</f>
        <v>310</v>
      </c>
      <c r="I89" s="120">
        <v>3380331</v>
      </c>
      <c r="J89" s="118">
        <v>335</v>
      </c>
      <c r="K89" s="120">
        <v>39927</v>
      </c>
      <c r="L89" s="118">
        <v>6315</v>
      </c>
      <c r="M89" s="120">
        <v>20679357</v>
      </c>
      <c r="N89" s="82" t="s">
        <v>108</v>
      </c>
    </row>
    <row r="90" spans="1:14" ht="15.75" customHeight="1">
      <c r="A90" s="72" t="s">
        <v>109</v>
      </c>
      <c r="B90" s="118">
        <f>_xlfn.COMPOUNDVALUE(597)</f>
        <v>5462</v>
      </c>
      <c r="C90" s="119">
        <v>32089703</v>
      </c>
      <c r="D90" s="118">
        <f>_xlfn.COMPOUNDVALUE(598)</f>
        <v>2706</v>
      </c>
      <c r="E90" s="119">
        <v>1685144</v>
      </c>
      <c r="F90" s="118">
        <f>_xlfn.COMPOUNDVALUE(599)</f>
        <v>8168</v>
      </c>
      <c r="G90" s="119">
        <v>33774848</v>
      </c>
      <c r="H90" s="118">
        <f>_xlfn.COMPOUNDVALUE(600)</f>
        <v>574</v>
      </c>
      <c r="I90" s="120">
        <v>3984383</v>
      </c>
      <c r="J90" s="118">
        <v>420</v>
      </c>
      <c r="K90" s="120">
        <v>6208</v>
      </c>
      <c r="L90" s="118">
        <v>8836</v>
      </c>
      <c r="M90" s="120">
        <v>29796672</v>
      </c>
      <c r="N90" s="82" t="s">
        <v>109</v>
      </c>
    </row>
    <row r="91" spans="1:14" ht="15.75" customHeight="1">
      <c r="A91" s="72" t="s">
        <v>110</v>
      </c>
      <c r="B91" s="118">
        <f>_xlfn.COMPOUNDVALUE(601)</f>
        <v>6517</v>
      </c>
      <c r="C91" s="119">
        <v>94975710</v>
      </c>
      <c r="D91" s="118">
        <f>_xlfn.COMPOUNDVALUE(602)</f>
        <v>2682</v>
      </c>
      <c r="E91" s="119">
        <v>1758030</v>
      </c>
      <c r="F91" s="118">
        <f>_xlfn.COMPOUNDVALUE(603)</f>
        <v>9199</v>
      </c>
      <c r="G91" s="119">
        <v>96733740</v>
      </c>
      <c r="H91" s="118">
        <f>_xlfn.COMPOUNDVALUE(604)</f>
        <v>1002</v>
      </c>
      <c r="I91" s="120">
        <v>153542883</v>
      </c>
      <c r="J91" s="118">
        <v>513</v>
      </c>
      <c r="K91" s="120">
        <v>-29934</v>
      </c>
      <c r="L91" s="118">
        <v>10273</v>
      </c>
      <c r="M91" s="120">
        <v>-56839077</v>
      </c>
      <c r="N91" s="82" t="s">
        <v>110</v>
      </c>
    </row>
    <row r="92" spans="1:14" ht="15.75" customHeight="1">
      <c r="A92" s="72"/>
      <c r="B92" s="118"/>
      <c r="C92" s="119"/>
      <c r="D92" s="118"/>
      <c r="E92" s="119"/>
      <c r="F92" s="118"/>
      <c r="G92" s="119"/>
      <c r="H92" s="118"/>
      <c r="I92" s="120"/>
      <c r="J92" s="118"/>
      <c r="K92" s="120"/>
      <c r="L92" s="118"/>
      <c r="M92" s="120"/>
      <c r="N92" s="82" t="s">
        <v>35</v>
      </c>
    </row>
    <row r="93" spans="1:14" ht="15.75" customHeight="1">
      <c r="A93" s="72" t="s">
        <v>111</v>
      </c>
      <c r="B93" s="118">
        <f>_xlfn.COMPOUNDVALUE(605)</f>
        <v>3204</v>
      </c>
      <c r="C93" s="119">
        <v>22057823</v>
      </c>
      <c r="D93" s="118">
        <f>_xlfn.COMPOUNDVALUE(606)</f>
        <v>1596</v>
      </c>
      <c r="E93" s="119">
        <v>1031640</v>
      </c>
      <c r="F93" s="118">
        <f>_xlfn.COMPOUNDVALUE(607)</f>
        <v>4800</v>
      </c>
      <c r="G93" s="119">
        <v>23089463</v>
      </c>
      <c r="H93" s="118">
        <f>_xlfn.COMPOUNDVALUE(608)</f>
        <v>300</v>
      </c>
      <c r="I93" s="120">
        <v>4889828</v>
      </c>
      <c r="J93" s="118">
        <v>259</v>
      </c>
      <c r="K93" s="120">
        <v>-16204</v>
      </c>
      <c r="L93" s="118">
        <v>5142</v>
      </c>
      <c r="M93" s="120">
        <v>18183431</v>
      </c>
      <c r="N93" s="82" t="s">
        <v>111</v>
      </c>
    </row>
    <row r="94" spans="1:14" ht="15.75" customHeight="1">
      <c r="A94" s="72" t="s">
        <v>164</v>
      </c>
      <c r="B94" s="118">
        <f>_xlfn.COMPOUNDVALUE(609)</f>
        <v>5765</v>
      </c>
      <c r="C94" s="119">
        <v>34793383</v>
      </c>
      <c r="D94" s="118">
        <f>_xlfn.COMPOUNDVALUE(610)</f>
        <v>2680</v>
      </c>
      <c r="E94" s="119">
        <v>1780463</v>
      </c>
      <c r="F94" s="118">
        <f>_xlfn.COMPOUNDVALUE(611)</f>
        <v>8445</v>
      </c>
      <c r="G94" s="119">
        <v>36573846</v>
      </c>
      <c r="H94" s="118">
        <f>_xlfn.COMPOUNDVALUE(612)</f>
        <v>736</v>
      </c>
      <c r="I94" s="120">
        <v>4049529</v>
      </c>
      <c r="J94" s="118">
        <v>342</v>
      </c>
      <c r="K94" s="120">
        <v>77075</v>
      </c>
      <c r="L94" s="118">
        <v>9254</v>
      </c>
      <c r="M94" s="120">
        <v>32601392</v>
      </c>
      <c r="N94" s="82" t="s">
        <v>112</v>
      </c>
    </row>
    <row r="95" spans="1:14" ht="15.75" customHeight="1">
      <c r="A95" s="72" t="s">
        <v>113</v>
      </c>
      <c r="B95" s="118">
        <f>_xlfn.COMPOUNDVALUE(613)</f>
        <v>4534</v>
      </c>
      <c r="C95" s="119">
        <v>105515247</v>
      </c>
      <c r="D95" s="118">
        <f>_xlfn.COMPOUNDVALUE(614)</f>
        <v>1864</v>
      </c>
      <c r="E95" s="119">
        <v>1261376</v>
      </c>
      <c r="F95" s="118">
        <f>_xlfn.COMPOUNDVALUE(615)</f>
        <v>6398</v>
      </c>
      <c r="G95" s="119">
        <v>106776623</v>
      </c>
      <c r="H95" s="118">
        <f>_xlfn.COMPOUNDVALUE(616)</f>
        <v>493</v>
      </c>
      <c r="I95" s="120">
        <v>13365870</v>
      </c>
      <c r="J95" s="118">
        <v>337</v>
      </c>
      <c r="K95" s="120">
        <v>255815</v>
      </c>
      <c r="L95" s="118">
        <v>6945</v>
      </c>
      <c r="M95" s="120">
        <v>93666568</v>
      </c>
      <c r="N95" s="82" t="s">
        <v>113</v>
      </c>
    </row>
    <row r="96" spans="1:14" ht="15.75" customHeight="1">
      <c r="A96" s="72" t="s">
        <v>114</v>
      </c>
      <c r="B96" s="118">
        <f>_xlfn.COMPOUNDVALUE(617)</f>
        <v>5291</v>
      </c>
      <c r="C96" s="119">
        <v>79795469</v>
      </c>
      <c r="D96" s="118">
        <f>_xlfn.COMPOUNDVALUE(618)</f>
        <v>2610</v>
      </c>
      <c r="E96" s="119">
        <v>1742667</v>
      </c>
      <c r="F96" s="118">
        <f>_xlfn.COMPOUNDVALUE(619)</f>
        <v>7901</v>
      </c>
      <c r="G96" s="119">
        <v>81538136</v>
      </c>
      <c r="H96" s="118">
        <f>_xlfn.COMPOUNDVALUE(620)</f>
        <v>477</v>
      </c>
      <c r="I96" s="120">
        <v>6116719</v>
      </c>
      <c r="J96" s="118">
        <v>392</v>
      </c>
      <c r="K96" s="120">
        <v>1205870</v>
      </c>
      <c r="L96" s="118">
        <v>8454</v>
      </c>
      <c r="M96" s="120">
        <v>76627288</v>
      </c>
      <c r="N96" s="82" t="s">
        <v>114</v>
      </c>
    </row>
    <row r="97" spans="1:14" ht="15.75" customHeight="1">
      <c r="A97" s="72" t="s">
        <v>115</v>
      </c>
      <c r="B97" s="118">
        <f>_xlfn.COMPOUNDVALUE(621)</f>
        <v>2262</v>
      </c>
      <c r="C97" s="119">
        <v>8628727</v>
      </c>
      <c r="D97" s="118">
        <f>_xlfn.COMPOUNDVALUE(622)</f>
        <v>1226</v>
      </c>
      <c r="E97" s="119">
        <v>776944</v>
      </c>
      <c r="F97" s="118">
        <f>_xlfn.COMPOUNDVALUE(623)</f>
        <v>3488</v>
      </c>
      <c r="G97" s="119">
        <v>9405671</v>
      </c>
      <c r="H97" s="118">
        <f>_xlfn.COMPOUNDVALUE(624)</f>
        <v>263</v>
      </c>
      <c r="I97" s="120">
        <v>1972369</v>
      </c>
      <c r="J97" s="118">
        <v>200</v>
      </c>
      <c r="K97" s="120">
        <v>-1647</v>
      </c>
      <c r="L97" s="118">
        <v>3782</v>
      </c>
      <c r="M97" s="120">
        <v>7431654</v>
      </c>
      <c r="N97" s="82" t="s">
        <v>115</v>
      </c>
    </row>
    <row r="98" spans="1:14" ht="15.75" customHeight="1">
      <c r="A98" s="72"/>
      <c r="B98" s="118"/>
      <c r="C98" s="119"/>
      <c r="D98" s="118"/>
      <c r="E98" s="119"/>
      <c r="F98" s="118"/>
      <c r="G98" s="119"/>
      <c r="H98" s="118"/>
      <c r="I98" s="120"/>
      <c r="J98" s="118"/>
      <c r="K98" s="120"/>
      <c r="L98" s="118"/>
      <c r="M98" s="120"/>
      <c r="N98" s="82" t="s">
        <v>35</v>
      </c>
    </row>
    <row r="99" spans="1:14" ht="15.75" customHeight="1">
      <c r="A99" s="72" t="s">
        <v>116</v>
      </c>
      <c r="B99" s="118">
        <f>_xlfn.COMPOUNDVALUE(625)</f>
        <v>3124</v>
      </c>
      <c r="C99" s="119">
        <v>16017422</v>
      </c>
      <c r="D99" s="118">
        <f>_xlfn.COMPOUNDVALUE(626)</f>
        <v>1664</v>
      </c>
      <c r="E99" s="119">
        <v>1065089</v>
      </c>
      <c r="F99" s="118">
        <f>_xlfn.COMPOUNDVALUE(627)</f>
        <v>4788</v>
      </c>
      <c r="G99" s="119">
        <v>17082511</v>
      </c>
      <c r="H99" s="118">
        <f>_xlfn.COMPOUNDVALUE(628)</f>
        <v>213</v>
      </c>
      <c r="I99" s="120">
        <v>1114805</v>
      </c>
      <c r="J99" s="118">
        <v>268</v>
      </c>
      <c r="K99" s="120">
        <v>131388</v>
      </c>
      <c r="L99" s="118">
        <v>5060</v>
      </c>
      <c r="M99" s="120">
        <v>16099094</v>
      </c>
      <c r="N99" s="82" t="s">
        <v>116</v>
      </c>
    </row>
    <row r="100" spans="1:14" ht="15.75" customHeight="1">
      <c r="A100" s="72" t="s">
        <v>117</v>
      </c>
      <c r="B100" s="118">
        <f>_xlfn.COMPOUNDVALUE(629)</f>
        <v>4229</v>
      </c>
      <c r="C100" s="119">
        <v>34262427</v>
      </c>
      <c r="D100" s="118">
        <f>_xlfn.COMPOUNDVALUE(630)</f>
        <v>2266</v>
      </c>
      <c r="E100" s="119">
        <v>1346681</v>
      </c>
      <c r="F100" s="118">
        <f>_xlfn.COMPOUNDVALUE(631)</f>
        <v>6495</v>
      </c>
      <c r="G100" s="119">
        <v>35609108</v>
      </c>
      <c r="H100" s="118">
        <f>_xlfn.COMPOUNDVALUE(632)</f>
        <v>301</v>
      </c>
      <c r="I100" s="120">
        <v>3909621</v>
      </c>
      <c r="J100" s="118">
        <v>295</v>
      </c>
      <c r="K100" s="120">
        <v>41217</v>
      </c>
      <c r="L100" s="118">
        <v>6865</v>
      </c>
      <c r="M100" s="120">
        <v>31740703</v>
      </c>
      <c r="N100" s="82" t="s">
        <v>117</v>
      </c>
    </row>
    <row r="101" spans="1:14" ht="15.75" customHeight="1">
      <c r="A101" s="74" t="s">
        <v>118</v>
      </c>
      <c r="B101" s="121">
        <f>_xlfn.COMPOUNDVALUE(633)</f>
        <v>2143</v>
      </c>
      <c r="C101" s="122">
        <v>9871003</v>
      </c>
      <c r="D101" s="121">
        <f>_xlfn.COMPOUNDVALUE(634)</f>
        <v>1360</v>
      </c>
      <c r="E101" s="122">
        <v>833765</v>
      </c>
      <c r="F101" s="121">
        <f>_xlfn.COMPOUNDVALUE(635)</f>
        <v>3503</v>
      </c>
      <c r="G101" s="122">
        <v>10704768</v>
      </c>
      <c r="H101" s="121">
        <f>_xlfn.COMPOUNDVALUE(636)</f>
        <v>277</v>
      </c>
      <c r="I101" s="123">
        <v>494122</v>
      </c>
      <c r="J101" s="121">
        <v>217</v>
      </c>
      <c r="K101" s="123">
        <v>38921</v>
      </c>
      <c r="L101" s="121">
        <v>3821</v>
      </c>
      <c r="M101" s="123">
        <v>10249566</v>
      </c>
      <c r="N101" s="73" t="s">
        <v>118</v>
      </c>
    </row>
    <row r="102" spans="1:14" ht="15.75" customHeight="1">
      <c r="A102" s="74" t="s">
        <v>119</v>
      </c>
      <c r="B102" s="121">
        <f>_xlfn.COMPOUNDVALUE(637)</f>
        <v>5282</v>
      </c>
      <c r="C102" s="122">
        <v>30900156</v>
      </c>
      <c r="D102" s="121">
        <f>_xlfn.COMPOUNDVALUE(638)</f>
        <v>2674</v>
      </c>
      <c r="E102" s="122">
        <v>1679511</v>
      </c>
      <c r="F102" s="121">
        <f>_xlfn.COMPOUNDVALUE(639)</f>
        <v>7956</v>
      </c>
      <c r="G102" s="122">
        <v>32579667</v>
      </c>
      <c r="H102" s="121">
        <f>_xlfn.COMPOUNDVALUE(640)</f>
        <v>548</v>
      </c>
      <c r="I102" s="123">
        <v>5325310</v>
      </c>
      <c r="J102" s="121">
        <v>440</v>
      </c>
      <c r="K102" s="123">
        <v>62647</v>
      </c>
      <c r="L102" s="121">
        <v>8605</v>
      </c>
      <c r="M102" s="123">
        <v>27317004</v>
      </c>
      <c r="N102" s="73" t="s">
        <v>119</v>
      </c>
    </row>
    <row r="103" spans="1:14" ht="15.75" customHeight="1">
      <c r="A103" s="74" t="s">
        <v>120</v>
      </c>
      <c r="B103" s="121">
        <f>_xlfn.COMPOUNDVALUE(641)</f>
        <v>3336</v>
      </c>
      <c r="C103" s="122">
        <v>21351253</v>
      </c>
      <c r="D103" s="121">
        <f>_xlfn.COMPOUNDVALUE(642)</f>
        <v>1602</v>
      </c>
      <c r="E103" s="122">
        <v>1021325</v>
      </c>
      <c r="F103" s="121">
        <f>_xlfn.COMPOUNDVALUE(643)</f>
        <v>4938</v>
      </c>
      <c r="G103" s="122">
        <v>22372578</v>
      </c>
      <c r="H103" s="121">
        <f>_xlfn.COMPOUNDVALUE(644)</f>
        <v>161</v>
      </c>
      <c r="I103" s="123">
        <v>788987</v>
      </c>
      <c r="J103" s="121">
        <v>279</v>
      </c>
      <c r="K103" s="123">
        <v>12577</v>
      </c>
      <c r="L103" s="121">
        <v>5145</v>
      </c>
      <c r="M103" s="123">
        <v>21596168</v>
      </c>
      <c r="N103" s="73" t="s">
        <v>120</v>
      </c>
    </row>
    <row r="104" spans="1:14" ht="15.75" customHeight="1">
      <c r="A104" s="74"/>
      <c r="B104" s="121"/>
      <c r="C104" s="122"/>
      <c r="D104" s="121"/>
      <c r="E104" s="122"/>
      <c r="F104" s="121"/>
      <c r="G104" s="122"/>
      <c r="H104" s="121"/>
      <c r="I104" s="123"/>
      <c r="J104" s="121"/>
      <c r="K104" s="123"/>
      <c r="L104" s="121"/>
      <c r="M104" s="123"/>
      <c r="N104" s="73" t="s">
        <v>35</v>
      </c>
    </row>
    <row r="105" spans="1:14" ht="15.75" customHeight="1">
      <c r="A105" s="74" t="s">
        <v>121</v>
      </c>
      <c r="B105" s="121">
        <f>_xlfn.COMPOUNDVALUE(645)</f>
        <v>5741</v>
      </c>
      <c r="C105" s="122">
        <v>36516320</v>
      </c>
      <c r="D105" s="121">
        <f>_xlfn.COMPOUNDVALUE(646)</f>
        <v>2739</v>
      </c>
      <c r="E105" s="122">
        <v>1725364</v>
      </c>
      <c r="F105" s="121">
        <f>_xlfn.COMPOUNDVALUE(647)</f>
        <v>8480</v>
      </c>
      <c r="G105" s="122">
        <v>38241684</v>
      </c>
      <c r="H105" s="121">
        <f>_xlfn.COMPOUNDVALUE(648)</f>
        <v>453</v>
      </c>
      <c r="I105" s="123">
        <v>5464882</v>
      </c>
      <c r="J105" s="121">
        <v>542</v>
      </c>
      <c r="K105" s="123">
        <v>-133091</v>
      </c>
      <c r="L105" s="121">
        <v>9024</v>
      </c>
      <c r="M105" s="123">
        <v>32643711</v>
      </c>
      <c r="N105" s="73" t="s">
        <v>121</v>
      </c>
    </row>
    <row r="106" spans="1:14" ht="15.75" customHeight="1">
      <c r="A106" s="74" t="s">
        <v>122</v>
      </c>
      <c r="B106" s="121">
        <f>_xlfn.COMPOUNDVALUE(649)</f>
        <v>2775</v>
      </c>
      <c r="C106" s="122">
        <v>24985492</v>
      </c>
      <c r="D106" s="121">
        <f>_xlfn.COMPOUNDVALUE(650)</f>
        <v>1250</v>
      </c>
      <c r="E106" s="122">
        <v>814713</v>
      </c>
      <c r="F106" s="121">
        <f>_xlfn.COMPOUNDVALUE(651)</f>
        <v>4025</v>
      </c>
      <c r="G106" s="122">
        <v>25800205</v>
      </c>
      <c r="H106" s="121">
        <f>_xlfn.COMPOUNDVALUE(652)</f>
        <v>249</v>
      </c>
      <c r="I106" s="123">
        <v>39516009</v>
      </c>
      <c r="J106" s="121">
        <v>258</v>
      </c>
      <c r="K106" s="123">
        <v>77558</v>
      </c>
      <c r="L106" s="121">
        <v>4324</v>
      </c>
      <c r="M106" s="123">
        <v>-13638246</v>
      </c>
      <c r="N106" s="73" t="s">
        <v>122</v>
      </c>
    </row>
    <row r="107" spans="1:14" ht="15.75" customHeight="1">
      <c r="A107" s="74" t="s">
        <v>123</v>
      </c>
      <c r="B107" s="121">
        <f>_xlfn.COMPOUNDVALUE(653)</f>
        <v>4368</v>
      </c>
      <c r="C107" s="122">
        <v>27456262</v>
      </c>
      <c r="D107" s="121">
        <f>_xlfn.COMPOUNDVALUE(654)</f>
        <v>2086</v>
      </c>
      <c r="E107" s="122">
        <v>1378293</v>
      </c>
      <c r="F107" s="121">
        <f>_xlfn.COMPOUNDVALUE(655)</f>
        <v>6454</v>
      </c>
      <c r="G107" s="122">
        <v>28834555</v>
      </c>
      <c r="H107" s="121">
        <f>_xlfn.COMPOUNDVALUE(656)</f>
        <v>342</v>
      </c>
      <c r="I107" s="123">
        <v>3914703</v>
      </c>
      <c r="J107" s="121">
        <v>313</v>
      </c>
      <c r="K107" s="123">
        <v>221865</v>
      </c>
      <c r="L107" s="121">
        <v>6881</v>
      </c>
      <c r="M107" s="123">
        <v>25141717</v>
      </c>
      <c r="N107" s="73" t="s">
        <v>123</v>
      </c>
    </row>
    <row r="108" spans="1:14" ht="15.75" customHeight="1">
      <c r="A108" s="142" t="s">
        <v>169</v>
      </c>
      <c r="B108" s="143">
        <v>78247</v>
      </c>
      <c r="C108" s="144">
        <v>832958749</v>
      </c>
      <c r="D108" s="143">
        <v>36703</v>
      </c>
      <c r="E108" s="144">
        <v>23687090</v>
      </c>
      <c r="F108" s="143">
        <v>114950</v>
      </c>
      <c r="G108" s="144">
        <v>856645839</v>
      </c>
      <c r="H108" s="143">
        <v>8638</v>
      </c>
      <c r="I108" s="145">
        <v>313365292</v>
      </c>
      <c r="J108" s="143">
        <v>6273</v>
      </c>
      <c r="K108" s="145">
        <v>1130108</v>
      </c>
      <c r="L108" s="143">
        <v>124788</v>
      </c>
      <c r="M108" s="145">
        <v>544410656</v>
      </c>
      <c r="N108" s="146" t="s">
        <v>125</v>
      </c>
    </row>
    <row r="109" spans="1:14" ht="15.75" customHeight="1">
      <c r="A109" s="147"/>
      <c r="B109" s="148"/>
      <c r="C109" s="149"/>
      <c r="D109" s="148"/>
      <c r="E109" s="149"/>
      <c r="F109" s="150"/>
      <c r="G109" s="149"/>
      <c r="H109" s="150"/>
      <c r="I109" s="149"/>
      <c r="J109" s="150"/>
      <c r="K109" s="149"/>
      <c r="L109" s="150"/>
      <c r="M109" s="149"/>
      <c r="N109" s="151"/>
    </row>
    <row r="110" spans="1:14" ht="15.75" customHeight="1">
      <c r="A110" s="72" t="s">
        <v>126</v>
      </c>
      <c r="B110" s="118">
        <f>_xlfn.COMPOUNDVALUE(657)</f>
        <v>4671</v>
      </c>
      <c r="C110" s="119">
        <v>35103272</v>
      </c>
      <c r="D110" s="118">
        <f>_xlfn.COMPOUNDVALUE(658)</f>
        <v>1815</v>
      </c>
      <c r="E110" s="119">
        <v>1238301</v>
      </c>
      <c r="F110" s="118">
        <f>_xlfn.COMPOUNDVALUE(659)</f>
        <v>6486</v>
      </c>
      <c r="G110" s="119">
        <v>36341573</v>
      </c>
      <c r="H110" s="118">
        <f>_xlfn.COMPOUNDVALUE(660)</f>
        <v>355</v>
      </c>
      <c r="I110" s="120">
        <v>2498207</v>
      </c>
      <c r="J110" s="118">
        <v>545</v>
      </c>
      <c r="K110" s="120">
        <v>94825</v>
      </c>
      <c r="L110" s="118">
        <v>6917</v>
      </c>
      <c r="M110" s="120">
        <v>33938191</v>
      </c>
      <c r="N110" s="82" t="s">
        <v>126</v>
      </c>
    </row>
    <row r="111" spans="1:14" ht="15.75" customHeight="1">
      <c r="A111" s="74" t="s">
        <v>127</v>
      </c>
      <c r="B111" s="121">
        <f>_xlfn.COMPOUNDVALUE(661)</f>
        <v>1201</v>
      </c>
      <c r="C111" s="122">
        <v>6189782</v>
      </c>
      <c r="D111" s="121">
        <f>_xlfn.COMPOUNDVALUE(662)</f>
        <v>428</v>
      </c>
      <c r="E111" s="122">
        <v>264743</v>
      </c>
      <c r="F111" s="121">
        <f>_xlfn.COMPOUNDVALUE(663)</f>
        <v>1629</v>
      </c>
      <c r="G111" s="122">
        <v>6454525</v>
      </c>
      <c r="H111" s="121">
        <f>_xlfn.COMPOUNDVALUE(664)</f>
        <v>78</v>
      </c>
      <c r="I111" s="123">
        <v>556636</v>
      </c>
      <c r="J111" s="121">
        <v>101</v>
      </c>
      <c r="K111" s="123">
        <v>-18996</v>
      </c>
      <c r="L111" s="121">
        <v>1721</v>
      </c>
      <c r="M111" s="123">
        <v>5878893</v>
      </c>
      <c r="N111" s="73" t="s">
        <v>127</v>
      </c>
    </row>
    <row r="112" spans="1:14" ht="15.75" customHeight="1">
      <c r="A112" s="74" t="s">
        <v>128</v>
      </c>
      <c r="B112" s="121">
        <f>_xlfn.COMPOUNDVALUE(665)</f>
        <v>2006</v>
      </c>
      <c r="C112" s="122">
        <v>11738882</v>
      </c>
      <c r="D112" s="121">
        <f>_xlfn.COMPOUNDVALUE(666)</f>
        <v>886</v>
      </c>
      <c r="E112" s="122">
        <v>553346</v>
      </c>
      <c r="F112" s="121">
        <f>_xlfn.COMPOUNDVALUE(667)</f>
        <v>2892</v>
      </c>
      <c r="G112" s="122">
        <v>12292229</v>
      </c>
      <c r="H112" s="121">
        <f>_xlfn.COMPOUNDVALUE(668)</f>
        <v>138</v>
      </c>
      <c r="I112" s="123">
        <v>8993759</v>
      </c>
      <c r="J112" s="121">
        <v>193</v>
      </c>
      <c r="K112" s="123">
        <v>14197</v>
      </c>
      <c r="L112" s="121">
        <v>3061</v>
      </c>
      <c r="M112" s="123">
        <v>3312667</v>
      </c>
      <c r="N112" s="73" t="s">
        <v>128</v>
      </c>
    </row>
    <row r="113" spans="1:14" ht="15.75" customHeight="1">
      <c r="A113" s="74" t="s">
        <v>129</v>
      </c>
      <c r="B113" s="121">
        <f>_xlfn.COMPOUNDVALUE(669)</f>
        <v>445</v>
      </c>
      <c r="C113" s="122">
        <v>2048296</v>
      </c>
      <c r="D113" s="121">
        <f>_xlfn.COMPOUNDVALUE(670)</f>
        <v>195</v>
      </c>
      <c r="E113" s="122">
        <v>119472</v>
      </c>
      <c r="F113" s="121">
        <f>_xlfn.COMPOUNDVALUE(671)</f>
        <v>640</v>
      </c>
      <c r="G113" s="122">
        <v>2167768</v>
      </c>
      <c r="H113" s="121">
        <f>_xlfn.COMPOUNDVALUE(672)</f>
        <v>12</v>
      </c>
      <c r="I113" s="123">
        <v>19449</v>
      </c>
      <c r="J113" s="121">
        <v>25</v>
      </c>
      <c r="K113" s="123">
        <v>5394</v>
      </c>
      <c r="L113" s="121">
        <v>655</v>
      </c>
      <c r="M113" s="123">
        <v>2153713</v>
      </c>
      <c r="N113" s="73" t="s">
        <v>129</v>
      </c>
    </row>
    <row r="114" spans="1:14" ht="15.75" customHeight="1">
      <c r="A114" s="75" t="s">
        <v>170</v>
      </c>
      <c r="B114" s="124">
        <v>8323</v>
      </c>
      <c r="C114" s="125">
        <v>55080233</v>
      </c>
      <c r="D114" s="124">
        <v>3324</v>
      </c>
      <c r="E114" s="125">
        <v>2175862</v>
      </c>
      <c r="F114" s="124">
        <v>11647</v>
      </c>
      <c r="G114" s="125">
        <v>57256095</v>
      </c>
      <c r="H114" s="124">
        <v>583</v>
      </c>
      <c r="I114" s="126">
        <v>12068051</v>
      </c>
      <c r="J114" s="124">
        <v>864</v>
      </c>
      <c r="K114" s="126">
        <v>95420</v>
      </c>
      <c r="L114" s="124">
        <v>12354</v>
      </c>
      <c r="M114" s="126">
        <v>45283463</v>
      </c>
      <c r="N114" s="80" t="s">
        <v>131</v>
      </c>
    </row>
    <row r="115" spans="1:14" ht="15.75" customHeight="1" thickBot="1">
      <c r="A115" s="171"/>
      <c r="B115" s="172"/>
      <c r="C115" s="173"/>
      <c r="D115" s="172"/>
      <c r="E115" s="173"/>
      <c r="F115" s="174"/>
      <c r="G115" s="173"/>
      <c r="H115" s="174"/>
      <c r="I115" s="173"/>
      <c r="J115" s="174"/>
      <c r="K115" s="173"/>
      <c r="L115" s="174"/>
      <c r="M115" s="173"/>
      <c r="N115" s="175"/>
    </row>
    <row r="116" spans="1:14" ht="15.75" customHeight="1" thickBot="1" thickTop="1">
      <c r="A116" s="78" t="s">
        <v>171</v>
      </c>
      <c r="B116" s="133">
        <v>403835</v>
      </c>
      <c r="C116" s="134">
        <v>7769869478</v>
      </c>
      <c r="D116" s="133">
        <v>147851</v>
      </c>
      <c r="E116" s="134">
        <v>102542181</v>
      </c>
      <c r="F116" s="133">
        <v>551686</v>
      </c>
      <c r="G116" s="134">
        <v>7872411659</v>
      </c>
      <c r="H116" s="133">
        <v>63174</v>
      </c>
      <c r="I116" s="135">
        <v>2625298903</v>
      </c>
      <c r="J116" s="133">
        <v>36053</v>
      </c>
      <c r="K116" s="135">
        <v>13221800</v>
      </c>
      <c r="L116" s="133">
        <v>622203</v>
      </c>
      <c r="M116" s="135">
        <v>5260334556</v>
      </c>
      <c r="N116" s="87" t="s">
        <v>34</v>
      </c>
    </row>
    <row r="117" spans="1:14" ht="13.5">
      <c r="A117" s="270" t="s">
        <v>173</v>
      </c>
      <c r="B117" s="270"/>
      <c r="C117" s="270"/>
      <c r="D117" s="270"/>
      <c r="E117" s="270"/>
      <c r="F117" s="270"/>
      <c r="G117" s="270"/>
      <c r="H117" s="270"/>
      <c r="I117" s="270"/>
      <c r="J117" s="62"/>
      <c r="K117" s="62"/>
      <c r="L117" s="61"/>
      <c r="M117" s="61"/>
      <c r="N117" s="61"/>
    </row>
  </sheetData>
  <sheetProtection/>
  <mergeCells count="11">
    <mergeCell ref="L3:M4"/>
    <mergeCell ref="N3:N5"/>
    <mergeCell ref="B4:C4"/>
    <mergeCell ref="D4:E4"/>
    <mergeCell ref="F4:G4"/>
    <mergeCell ref="A117:I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81" r:id="rId1"/>
  <headerFooter alignWithMargins="0">
    <oddFooter>&amp;R&amp;K01+000東京国税局
消費税
(R01)</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70" zoomScaleNormal="70" zoomScaleSheetLayoutView="100" workbookViewId="0" topLeftCell="A1">
      <selection activeCell="N11" sqref="N11"/>
    </sheetView>
  </sheetViews>
  <sheetFormatPr defaultColWidth="9.00390625" defaultRowHeight="13.5"/>
  <cols>
    <col min="1" max="1" width="10.375" style="117" customWidth="1"/>
    <col min="2" max="2" width="10.625" style="117" customWidth="1"/>
    <col min="3" max="3" width="12.625" style="117" customWidth="1"/>
    <col min="4" max="4" width="10.625" style="117" customWidth="1"/>
    <col min="5" max="5" width="12.625" style="117" customWidth="1"/>
    <col min="6" max="6" width="10.625" style="117" customWidth="1"/>
    <col min="7" max="7" width="12.625" style="117" customWidth="1"/>
    <col min="8" max="8" width="10.625" style="117" customWidth="1"/>
    <col min="9" max="9" width="12.625" style="117" customWidth="1"/>
    <col min="10" max="10" width="10.625" style="117" customWidth="1"/>
    <col min="11" max="11" width="12.625" style="117" customWidth="1"/>
    <col min="12" max="12" width="10.625" style="117" customWidth="1"/>
    <col min="13" max="13" width="12.625" style="117" customWidth="1"/>
    <col min="14" max="17" width="10.625" style="117" customWidth="1"/>
    <col min="18" max="18" width="10.375" style="117" customWidth="1"/>
    <col min="19" max="16384" width="9.00390625" style="117" customWidth="1"/>
  </cols>
  <sheetData>
    <row r="1" spans="1:16" ht="13.5">
      <c r="A1" s="60" t="s">
        <v>178</v>
      </c>
      <c r="B1" s="60"/>
      <c r="C1" s="60"/>
      <c r="D1" s="60"/>
      <c r="E1" s="60"/>
      <c r="F1" s="60"/>
      <c r="G1" s="60"/>
      <c r="H1" s="60"/>
      <c r="I1" s="60"/>
      <c r="J1" s="60"/>
      <c r="K1" s="60"/>
      <c r="L1" s="61"/>
      <c r="M1" s="61"/>
      <c r="N1" s="61"/>
      <c r="O1" s="61"/>
      <c r="P1" s="61"/>
    </row>
    <row r="2" spans="1:16" ht="14.25" thickBot="1">
      <c r="A2" s="280" t="s">
        <v>23</v>
      </c>
      <c r="B2" s="280"/>
      <c r="C2" s="280"/>
      <c r="D2" s="280"/>
      <c r="E2" s="280"/>
      <c r="F2" s="280"/>
      <c r="G2" s="280"/>
      <c r="H2" s="280"/>
      <c r="I2" s="280"/>
      <c r="J2" s="62"/>
      <c r="K2" s="62"/>
      <c r="L2" s="61"/>
      <c r="M2" s="61"/>
      <c r="N2" s="61"/>
      <c r="O2" s="61"/>
      <c r="P2" s="61"/>
    </row>
    <row r="3" spans="1:18" ht="19.5" customHeight="1">
      <c r="A3" s="272" t="s">
        <v>24</v>
      </c>
      <c r="B3" s="275" t="s">
        <v>25</v>
      </c>
      <c r="C3" s="275"/>
      <c r="D3" s="275"/>
      <c r="E3" s="275"/>
      <c r="F3" s="275"/>
      <c r="G3" s="275"/>
      <c r="H3" s="275" t="s">
        <v>11</v>
      </c>
      <c r="I3" s="275"/>
      <c r="J3" s="281" t="s">
        <v>26</v>
      </c>
      <c r="K3" s="275"/>
      <c r="L3" s="275" t="s">
        <v>27</v>
      </c>
      <c r="M3" s="275"/>
      <c r="N3" s="282" t="s">
        <v>144</v>
      </c>
      <c r="O3" s="283"/>
      <c r="P3" s="283"/>
      <c r="Q3" s="283"/>
      <c r="R3" s="264" t="s">
        <v>28</v>
      </c>
    </row>
    <row r="4" spans="1:18" ht="17.25" customHeight="1">
      <c r="A4" s="273"/>
      <c r="B4" s="267" t="s">
        <v>13</v>
      </c>
      <c r="C4" s="267"/>
      <c r="D4" s="267" t="s">
        <v>29</v>
      </c>
      <c r="E4" s="267"/>
      <c r="F4" s="267" t="s">
        <v>30</v>
      </c>
      <c r="G4" s="267"/>
      <c r="H4" s="267"/>
      <c r="I4" s="267"/>
      <c r="J4" s="267"/>
      <c r="K4" s="267"/>
      <c r="L4" s="267"/>
      <c r="M4" s="267"/>
      <c r="N4" s="284" t="s">
        <v>31</v>
      </c>
      <c r="O4" s="286" t="s">
        <v>145</v>
      </c>
      <c r="P4" s="288" t="s">
        <v>146</v>
      </c>
      <c r="Q4" s="278" t="s">
        <v>32</v>
      </c>
      <c r="R4" s="265"/>
    </row>
    <row r="5" spans="1:18" ht="28.5" customHeight="1">
      <c r="A5" s="274"/>
      <c r="B5" s="63" t="s">
        <v>33</v>
      </c>
      <c r="C5" s="64" t="s">
        <v>135</v>
      </c>
      <c r="D5" s="63" t="s">
        <v>33</v>
      </c>
      <c r="E5" s="64" t="s">
        <v>135</v>
      </c>
      <c r="F5" s="63" t="s">
        <v>33</v>
      </c>
      <c r="G5" s="64" t="s">
        <v>136</v>
      </c>
      <c r="H5" s="63" t="s">
        <v>33</v>
      </c>
      <c r="I5" s="64" t="s">
        <v>137</v>
      </c>
      <c r="J5" s="63" t="s">
        <v>33</v>
      </c>
      <c r="K5" s="64" t="s">
        <v>138</v>
      </c>
      <c r="L5" s="63" t="s">
        <v>33</v>
      </c>
      <c r="M5" s="65" t="s">
        <v>147</v>
      </c>
      <c r="N5" s="285"/>
      <c r="O5" s="287"/>
      <c r="P5" s="289"/>
      <c r="Q5" s="290"/>
      <c r="R5" s="266"/>
    </row>
    <row r="6" spans="1:18" s="91" customFormat="1" ht="10.5">
      <c r="A6" s="66"/>
      <c r="B6" s="67" t="s">
        <v>3</v>
      </c>
      <c r="C6" s="68" t="s">
        <v>4</v>
      </c>
      <c r="D6" s="67" t="s">
        <v>3</v>
      </c>
      <c r="E6" s="68" t="s">
        <v>4</v>
      </c>
      <c r="F6" s="67" t="s">
        <v>3</v>
      </c>
      <c r="G6" s="68" t="s">
        <v>4</v>
      </c>
      <c r="H6" s="67" t="s">
        <v>3</v>
      </c>
      <c r="I6" s="68" t="s">
        <v>4</v>
      </c>
      <c r="J6" s="67" t="s">
        <v>3</v>
      </c>
      <c r="K6" s="68" t="s">
        <v>4</v>
      </c>
      <c r="L6" s="67" t="s">
        <v>176</v>
      </c>
      <c r="M6" s="68" t="s">
        <v>4</v>
      </c>
      <c r="N6" s="67" t="s">
        <v>3</v>
      </c>
      <c r="O6" s="69" t="s">
        <v>3</v>
      </c>
      <c r="P6" s="69" t="s">
        <v>3</v>
      </c>
      <c r="Q6" s="70" t="s">
        <v>3</v>
      </c>
      <c r="R6" s="71"/>
    </row>
    <row r="7" spans="1:18" ht="15.75" customHeight="1">
      <c r="A7" s="94" t="s">
        <v>36</v>
      </c>
      <c r="B7" s="118">
        <f>_xlfn.COMPOUNDVALUE(673)</f>
        <v>5765</v>
      </c>
      <c r="C7" s="119">
        <v>39854657</v>
      </c>
      <c r="D7" s="118">
        <f>_xlfn.COMPOUNDVALUE(674)</f>
        <v>3374</v>
      </c>
      <c r="E7" s="119">
        <v>2072483</v>
      </c>
      <c r="F7" s="118">
        <f>_xlfn.COMPOUNDVALUE(675)</f>
        <v>9139</v>
      </c>
      <c r="G7" s="119">
        <v>41927140</v>
      </c>
      <c r="H7" s="118">
        <f>_xlfn.COMPOUNDVALUE(676)</f>
        <v>663</v>
      </c>
      <c r="I7" s="120">
        <v>1958010</v>
      </c>
      <c r="J7" s="118">
        <v>632</v>
      </c>
      <c r="K7" s="120">
        <v>-3994</v>
      </c>
      <c r="L7" s="118">
        <v>10002</v>
      </c>
      <c r="M7" s="120">
        <v>39965136</v>
      </c>
      <c r="N7" s="204">
        <v>10352</v>
      </c>
      <c r="O7" s="205">
        <v>471</v>
      </c>
      <c r="P7" s="205">
        <v>27</v>
      </c>
      <c r="Q7" s="206">
        <v>10850</v>
      </c>
      <c r="R7" s="93" t="s">
        <v>36</v>
      </c>
    </row>
    <row r="8" spans="1:18" ht="15.75" customHeight="1">
      <c r="A8" s="72" t="s">
        <v>37</v>
      </c>
      <c r="B8" s="118">
        <f>_xlfn.COMPOUNDVALUE(677)</f>
        <v>4971</v>
      </c>
      <c r="C8" s="119">
        <v>25968504</v>
      </c>
      <c r="D8" s="118">
        <f>_xlfn.COMPOUNDVALUE(678)</f>
        <v>3206</v>
      </c>
      <c r="E8" s="119">
        <v>1858578</v>
      </c>
      <c r="F8" s="118">
        <f>_xlfn.COMPOUNDVALUE(679)</f>
        <v>8177</v>
      </c>
      <c r="G8" s="119">
        <v>27827082</v>
      </c>
      <c r="H8" s="118">
        <f>_xlfn.COMPOUNDVALUE(680)</f>
        <v>447</v>
      </c>
      <c r="I8" s="120">
        <v>1580668</v>
      </c>
      <c r="J8" s="118">
        <v>640</v>
      </c>
      <c r="K8" s="120">
        <v>232970</v>
      </c>
      <c r="L8" s="118">
        <v>8872</v>
      </c>
      <c r="M8" s="120">
        <v>26479385</v>
      </c>
      <c r="N8" s="204">
        <v>9175</v>
      </c>
      <c r="O8" s="205">
        <v>307</v>
      </c>
      <c r="P8" s="205">
        <v>30</v>
      </c>
      <c r="Q8" s="206">
        <v>9512</v>
      </c>
      <c r="R8" s="73" t="s">
        <v>37</v>
      </c>
    </row>
    <row r="9" spans="1:18" ht="15.75" customHeight="1">
      <c r="A9" s="72" t="s">
        <v>38</v>
      </c>
      <c r="B9" s="118">
        <f>_xlfn.COMPOUNDVALUE(681)</f>
        <v>5596</v>
      </c>
      <c r="C9" s="119">
        <v>84653108</v>
      </c>
      <c r="D9" s="118">
        <f>_xlfn.COMPOUNDVALUE(682)</f>
        <v>3585</v>
      </c>
      <c r="E9" s="119">
        <v>2059488</v>
      </c>
      <c r="F9" s="118">
        <f>_xlfn.COMPOUNDVALUE(683)</f>
        <v>9181</v>
      </c>
      <c r="G9" s="119">
        <v>86712596</v>
      </c>
      <c r="H9" s="118">
        <f>_xlfn.COMPOUNDVALUE(684)</f>
        <v>684</v>
      </c>
      <c r="I9" s="120">
        <v>5384988</v>
      </c>
      <c r="J9" s="118">
        <v>622</v>
      </c>
      <c r="K9" s="120">
        <v>-54386</v>
      </c>
      <c r="L9" s="118">
        <v>10046</v>
      </c>
      <c r="M9" s="120">
        <v>81273222</v>
      </c>
      <c r="N9" s="204">
        <v>10686</v>
      </c>
      <c r="O9" s="205">
        <v>525</v>
      </c>
      <c r="P9" s="205">
        <v>44</v>
      </c>
      <c r="Q9" s="206">
        <v>11255</v>
      </c>
      <c r="R9" s="73" t="s">
        <v>38</v>
      </c>
    </row>
    <row r="10" spans="1:18" ht="15.75" customHeight="1">
      <c r="A10" s="72" t="s">
        <v>39</v>
      </c>
      <c r="B10" s="118">
        <f>_xlfn.COMPOUNDVALUE(685)</f>
        <v>2533</v>
      </c>
      <c r="C10" s="119">
        <v>9768179</v>
      </c>
      <c r="D10" s="118">
        <f>_xlfn.COMPOUNDVALUE(686)</f>
        <v>3095</v>
      </c>
      <c r="E10" s="119">
        <v>1285565</v>
      </c>
      <c r="F10" s="118">
        <f>_xlfn.COMPOUNDVALUE(687)</f>
        <v>5628</v>
      </c>
      <c r="G10" s="119">
        <v>11053744</v>
      </c>
      <c r="H10" s="118">
        <f>_xlfn.COMPOUNDVALUE(688)</f>
        <v>189</v>
      </c>
      <c r="I10" s="120">
        <v>742137</v>
      </c>
      <c r="J10" s="118">
        <v>328</v>
      </c>
      <c r="K10" s="120">
        <v>64060</v>
      </c>
      <c r="L10" s="118">
        <v>5921</v>
      </c>
      <c r="M10" s="120">
        <v>10375667</v>
      </c>
      <c r="N10" s="204">
        <v>6058</v>
      </c>
      <c r="O10" s="205">
        <v>178</v>
      </c>
      <c r="P10" s="205">
        <v>4</v>
      </c>
      <c r="Q10" s="206">
        <v>6240</v>
      </c>
      <c r="R10" s="73" t="s">
        <v>39</v>
      </c>
    </row>
    <row r="11" spans="1:18" ht="15.75" customHeight="1">
      <c r="A11" s="72" t="s">
        <v>40</v>
      </c>
      <c r="B11" s="118">
        <f>_xlfn.COMPOUNDVALUE(689)</f>
        <v>6093</v>
      </c>
      <c r="C11" s="119">
        <v>41065393</v>
      </c>
      <c r="D11" s="118">
        <f>_xlfn.COMPOUNDVALUE(690)</f>
        <v>4191</v>
      </c>
      <c r="E11" s="119">
        <v>2526451</v>
      </c>
      <c r="F11" s="118">
        <f>_xlfn.COMPOUNDVALUE(691)</f>
        <v>10284</v>
      </c>
      <c r="G11" s="119">
        <v>43591844</v>
      </c>
      <c r="H11" s="118">
        <f>_xlfn.COMPOUNDVALUE(692)</f>
        <v>706</v>
      </c>
      <c r="I11" s="120">
        <v>2599533</v>
      </c>
      <c r="J11" s="118">
        <v>832</v>
      </c>
      <c r="K11" s="120">
        <v>215070</v>
      </c>
      <c r="L11" s="118">
        <v>11323</v>
      </c>
      <c r="M11" s="120">
        <v>41207382</v>
      </c>
      <c r="N11" s="204">
        <v>11804</v>
      </c>
      <c r="O11" s="205">
        <v>591</v>
      </c>
      <c r="P11" s="205">
        <v>37</v>
      </c>
      <c r="Q11" s="206">
        <v>12432</v>
      </c>
      <c r="R11" s="73" t="s">
        <v>40</v>
      </c>
    </row>
    <row r="12" spans="1:18" ht="15.75" customHeight="1">
      <c r="A12" s="72"/>
      <c r="B12" s="118"/>
      <c r="C12" s="119"/>
      <c r="D12" s="118"/>
      <c r="E12" s="119"/>
      <c r="F12" s="118"/>
      <c r="G12" s="119"/>
      <c r="H12" s="118"/>
      <c r="I12" s="120"/>
      <c r="J12" s="118"/>
      <c r="K12" s="120"/>
      <c r="L12" s="118"/>
      <c r="M12" s="120"/>
      <c r="N12" s="204"/>
      <c r="O12" s="205"/>
      <c r="P12" s="205"/>
      <c r="Q12" s="206"/>
      <c r="R12" s="73" t="s">
        <v>35</v>
      </c>
    </row>
    <row r="13" spans="1:18" ht="15.75" customHeight="1">
      <c r="A13" s="72" t="s">
        <v>41</v>
      </c>
      <c r="B13" s="118">
        <f>_xlfn.COMPOUNDVALUE(693)</f>
        <v>5438</v>
      </c>
      <c r="C13" s="119">
        <v>26120634</v>
      </c>
      <c r="D13" s="118">
        <f>_xlfn.COMPOUNDVALUE(694)</f>
        <v>3956</v>
      </c>
      <c r="E13" s="119">
        <v>2282439</v>
      </c>
      <c r="F13" s="118">
        <f>_xlfn.COMPOUNDVALUE(695)</f>
        <v>9394</v>
      </c>
      <c r="G13" s="119">
        <v>28403073</v>
      </c>
      <c r="H13" s="118">
        <f>_xlfn.COMPOUNDVALUE(696)</f>
        <v>593</v>
      </c>
      <c r="I13" s="120">
        <v>3315423</v>
      </c>
      <c r="J13" s="118">
        <v>627</v>
      </c>
      <c r="K13" s="120">
        <v>106433</v>
      </c>
      <c r="L13" s="118">
        <v>10240</v>
      </c>
      <c r="M13" s="120">
        <v>25194082</v>
      </c>
      <c r="N13" s="204">
        <v>10661</v>
      </c>
      <c r="O13" s="205">
        <v>461</v>
      </c>
      <c r="P13" s="205">
        <v>37</v>
      </c>
      <c r="Q13" s="206">
        <v>11159</v>
      </c>
      <c r="R13" s="73" t="s">
        <v>41</v>
      </c>
    </row>
    <row r="14" spans="1:18" ht="15.75" customHeight="1">
      <c r="A14" s="72" t="s">
        <v>42</v>
      </c>
      <c r="B14" s="118">
        <f>_xlfn.COMPOUNDVALUE(697)</f>
        <v>1669</v>
      </c>
      <c r="C14" s="119">
        <v>5000277</v>
      </c>
      <c r="D14" s="118">
        <f>_xlfn.COMPOUNDVALUE(698)</f>
        <v>1336</v>
      </c>
      <c r="E14" s="119">
        <v>593322</v>
      </c>
      <c r="F14" s="118">
        <f>_xlfn.COMPOUNDVALUE(699)</f>
        <v>3005</v>
      </c>
      <c r="G14" s="119">
        <v>5593599</v>
      </c>
      <c r="H14" s="118">
        <f>_xlfn.COMPOUNDVALUE(700)</f>
        <v>143</v>
      </c>
      <c r="I14" s="120">
        <v>267513</v>
      </c>
      <c r="J14" s="118">
        <v>116</v>
      </c>
      <c r="K14" s="120">
        <v>27631</v>
      </c>
      <c r="L14" s="118">
        <v>3178</v>
      </c>
      <c r="M14" s="120">
        <v>5353717</v>
      </c>
      <c r="N14" s="204">
        <v>3277</v>
      </c>
      <c r="O14" s="205">
        <v>87</v>
      </c>
      <c r="P14" s="205">
        <v>6</v>
      </c>
      <c r="Q14" s="206">
        <v>3370</v>
      </c>
      <c r="R14" s="73" t="s">
        <v>42</v>
      </c>
    </row>
    <row r="15" spans="1:18" ht="15.75" customHeight="1">
      <c r="A15" s="72" t="s">
        <v>43</v>
      </c>
      <c r="B15" s="118">
        <f>_xlfn.COMPOUNDVALUE(701)</f>
        <v>3580</v>
      </c>
      <c r="C15" s="119">
        <v>17143609</v>
      </c>
      <c r="D15" s="118">
        <f>_xlfn.COMPOUNDVALUE(702)</f>
        <v>2717</v>
      </c>
      <c r="E15" s="119">
        <v>1448101</v>
      </c>
      <c r="F15" s="118">
        <f>_xlfn.COMPOUNDVALUE(703)</f>
        <v>6297</v>
      </c>
      <c r="G15" s="119">
        <v>18591710</v>
      </c>
      <c r="H15" s="118">
        <f>_xlfn.COMPOUNDVALUE(704)</f>
        <v>265</v>
      </c>
      <c r="I15" s="120">
        <v>2533284</v>
      </c>
      <c r="J15" s="118">
        <v>415</v>
      </c>
      <c r="K15" s="120">
        <v>81663</v>
      </c>
      <c r="L15" s="118">
        <v>6707</v>
      </c>
      <c r="M15" s="120">
        <v>16140088</v>
      </c>
      <c r="N15" s="204">
        <v>6840</v>
      </c>
      <c r="O15" s="205">
        <v>224</v>
      </c>
      <c r="P15" s="205">
        <v>10</v>
      </c>
      <c r="Q15" s="206">
        <v>7074</v>
      </c>
      <c r="R15" s="73" t="s">
        <v>43</v>
      </c>
    </row>
    <row r="16" spans="1:18" ht="15.75" customHeight="1">
      <c r="A16" s="74" t="s">
        <v>44</v>
      </c>
      <c r="B16" s="121">
        <f>_xlfn.COMPOUNDVALUE(705)</f>
        <v>6706</v>
      </c>
      <c r="C16" s="122">
        <v>26196273</v>
      </c>
      <c r="D16" s="121">
        <f>_xlfn.COMPOUNDVALUE(706)</f>
        <v>5221</v>
      </c>
      <c r="E16" s="122">
        <v>2956325</v>
      </c>
      <c r="F16" s="121">
        <f>_xlfn.COMPOUNDVALUE(707)</f>
        <v>11927</v>
      </c>
      <c r="G16" s="122">
        <v>29152597</v>
      </c>
      <c r="H16" s="121">
        <f>_xlfn.COMPOUNDVALUE(708)</f>
        <v>770</v>
      </c>
      <c r="I16" s="123">
        <v>4206667</v>
      </c>
      <c r="J16" s="121">
        <v>842</v>
      </c>
      <c r="K16" s="123">
        <v>86064</v>
      </c>
      <c r="L16" s="121">
        <v>12991</v>
      </c>
      <c r="M16" s="123">
        <v>25031994</v>
      </c>
      <c r="N16" s="204">
        <v>13350</v>
      </c>
      <c r="O16" s="205">
        <v>611</v>
      </c>
      <c r="P16" s="205">
        <v>32</v>
      </c>
      <c r="Q16" s="206">
        <v>13993</v>
      </c>
      <c r="R16" s="73" t="s">
        <v>44</v>
      </c>
    </row>
    <row r="17" spans="1:18" ht="15.75" customHeight="1">
      <c r="A17" s="74" t="s">
        <v>45</v>
      </c>
      <c r="B17" s="121">
        <f>_xlfn.COMPOUNDVALUE(709)</f>
        <v>1620</v>
      </c>
      <c r="C17" s="122">
        <v>6058988</v>
      </c>
      <c r="D17" s="121">
        <f>_xlfn.COMPOUNDVALUE(710)</f>
        <v>1362</v>
      </c>
      <c r="E17" s="122">
        <v>603333</v>
      </c>
      <c r="F17" s="121">
        <f>_xlfn.COMPOUNDVALUE(711)</f>
        <v>2982</v>
      </c>
      <c r="G17" s="122">
        <v>6662321</v>
      </c>
      <c r="H17" s="121">
        <f>_xlfn.COMPOUNDVALUE(712)</f>
        <v>123</v>
      </c>
      <c r="I17" s="123">
        <v>750286</v>
      </c>
      <c r="J17" s="121">
        <v>222</v>
      </c>
      <c r="K17" s="123">
        <v>24423</v>
      </c>
      <c r="L17" s="121">
        <v>3161</v>
      </c>
      <c r="M17" s="123">
        <v>5936458</v>
      </c>
      <c r="N17" s="204">
        <v>3855</v>
      </c>
      <c r="O17" s="205">
        <v>105</v>
      </c>
      <c r="P17" s="205">
        <v>4</v>
      </c>
      <c r="Q17" s="206">
        <v>3964</v>
      </c>
      <c r="R17" s="73" t="s">
        <v>45</v>
      </c>
    </row>
    <row r="18" spans="1:18" ht="15.75" customHeight="1">
      <c r="A18" s="74"/>
      <c r="B18" s="121"/>
      <c r="C18" s="122"/>
      <c r="D18" s="121"/>
      <c r="E18" s="122"/>
      <c r="F18" s="121"/>
      <c r="G18" s="122"/>
      <c r="H18" s="121"/>
      <c r="I18" s="123"/>
      <c r="J18" s="121"/>
      <c r="K18" s="123"/>
      <c r="L18" s="121"/>
      <c r="M18" s="123"/>
      <c r="N18" s="204"/>
      <c r="O18" s="205"/>
      <c r="P18" s="205"/>
      <c r="Q18" s="206"/>
      <c r="R18" s="73" t="s">
        <v>35</v>
      </c>
    </row>
    <row r="19" spans="1:18" ht="15.75" customHeight="1">
      <c r="A19" s="74" t="s">
        <v>46</v>
      </c>
      <c r="B19" s="121">
        <f>_xlfn.COMPOUNDVALUE(713)</f>
        <v>2578</v>
      </c>
      <c r="C19" s="122">
        <v>8945757</v>
      </c>
      <c r="D19" s="121">
        <f>_xlfn.COMPOUNDVALUE(714)</f>
        <v>1973</v>
      </c>
      <c r="E19" s="122">
        <v>948696</v>
      </c>
      <c r="F19" s="121">
        <f>_xlfn.COMPOUNDVALUE(715)</f>
        <v>4551</v>
      </c>
      <c r="G19" s="122">
        <v>9894454</v>
      </c>
      <c r="H19" s="121">
        <f>_xlfn.COMPOUNDVALUE(716)</f>
        <v>211</v>
      </c>
      <c r="I19" s="123">
        <v>777959</v>
      </c>
      <c r="J19" s="121">
        <v>290</v>
      </c>
      <c r="K19" s="123">
        <v>127847</v>
      </c>
      <c r="L19" s="121">
        <v>4865</v>
      </c>
      <c r="M19" s="123">
        <v>9244341</v>
      </c>
      <c r="N19" s="204">
        <v>5054</v>
      </c>
      <c r="O19" s="205">
        <v>173</v>
      </c>
      <c r="P19" s="205">
        <v>13</v>
      </c>
      <c r="Q19" s="206">
        <v>5240</v>
      </c>
      <c r="R19" s="73" t="s">
        <v>46</v>
      </c>
    </row>
    <row r="20" spans="1:18" ht="15.75" customHeight="1">
      <c r="A20" s="74" t="s">
        <v>47</v>
      </c>
      <c r="B20" s="121">
        <f>_xlfn.COMPOUNDVALUE(717)</f>
        <v>7197</v>
      </c>
      <c r="C20" s="122">
        <v>27585765</v>
      </c>
      <c r="D20" s="121">
        <f>_xlfn.COMPOUNDVALUE(718)</f>
        <v>5131</v>
      </c>
      <c r="E20" s="122">
        <v>2596620</v>
      </c>
      <c r="F20" s="121">
        <f>_xlfn.COMPOUNDVALUE(719)</f>
        <v>12328</v>
      </c>
      <c r="G20" s="122">
        <v>30182385</v>
      </c>
      <c r="H20" s="121">
        <f>_xlfn.COMPOUNDVALUE(720)</f>
        <v>1297</v>
      </c>
      <c r="I20" s="123">
        <v>11250727</v>
      </c>
      <c r="J20" s="121">
        <v>891</v>
      </c>
      <c r="K20" s="123">
        <v>-55899</v>
      </c>
      <c r="L20" s="121">
        <v>13935</v>
      </c>
      <c r="M20" s="123">
        <v>18875759</v>
      </c>
      <c r="N20" s="204">
        <v>14194</v>
      </c>
      <c r="O20" s="205">
        <v>864</v>
      </c>
      <c r="P20" s="205">
        <v>43</v>
      </c>
      <c r="Q20" s="206">
        <v>15101</v>
      </c>
      <c r="R20" s="73" t="s">
        <v>47</v>
      </c>
    </row>
    <row r="21" spans="1:18" ht="15.75" customHeight="1">
      <c r="A21" s="74" t="s">
        <v>48</v>
      </c>
      <c r="B21" s="121">
        <f>_xlfn.COMPOUNDVALUE(721)</f>
        <v>2495</v>
      </c>
      <c r="C21" s="122">
        <v>8528510</v>
      </c>
      <c r="D21" s="121">
        <f>_xlfn.COMPOUNDVALUE(722)</f>
        <v>2210</v>
      </c>
      <c r="E21" s="122">
        <v>1003846</v>
      </c>
      <c r="F21" s="121">
        <f>_xlfn.COMPOUNDVALUE(723)</f>
        <v>4705</v>
      </c>
      <c r="G21" s="122">
        <v>9532355</v>
      </c>
      <c r="H21" s="121">
        <f>_xlfn.COMPOUNDVALUE(724)</f>
        <v>286</v>
      </c>
      <c r="I21" s="123">
        <v>562306</v>
      </c>
      <c r="J21" s="121">
        <v>388</v>
      </c>
      <c r="K21" s="123">
        <v>81059</v>
      </c>
      <c r="L21" s="121">
        <v>5118</v>
      </c>
      <c r="M21" s="123">
        <v>9051108</v>
      </c>
      <c r="N21" s="204">
        <v>5211</v>
      </c>
      <c r="O21" s="205">
        <v>193</v>
      </c>
      <c r="P21" s="205">
        <v>10</v>
      </c>
      <c r="Q21" s="206">
        <v>5414</v>
      </c>
      <c r="R21" s="73" t="s">
        <v>48</v>
      </c>
    </row>
    <row r="22" spans="1:18" ht="15.75" customHeight="1">
      <c r="A22" s="74" t="s">
        <v>162</v>
      </c>
      <c r="B22" s="121">
        <f>_xlfn.COMPOUNDVALUE(725)</f>
        <v>6910</v>
      </c>
      <c r="C22" s="122">
        <v>30583210</v>
      </c>
      <c r="D22" s="121">
        <f>_xlfn.COMPOUNDVALUE(726)</f>
        <v>5082</v>
      </c>
      <c r="E22" s="122">
        <v>2863373</v>
      </c>
      <c r="F22" s="121">
        <f>_xlfn.COMPOUNDVALUE(727)</f>
        <v>11992</v>
      </c>
      <c r="G22" s="122">
        <v>33446583</v>
      </c>
      <c r="H22" s="121">
        <f>_xlfn.COMPOUNDVALUE(728)</f>
        <v>838</v>
      </c>
      <c r="I22" s="123">
        <v>3207840</v>
      </c>
      <c r="J22" s="121">
        <v>691</v>
      </c>
      <c r="K22" s="123">
        <v>181874</v>
      </c>
      <c r="L22" s="121">
        <v>13109</v>
      </c>
      <c r="M22" s="123">
        <v>30420617</v>
      </c>
      <c r="N22" s="204">
        <v>13084</v>
      </c>
      <c r="O22" s="205">
        <v>647</v>
      </c>
      <c r="P22" s="205">
        <v>37</v>
      </c>
      <c r="Q22" s="206">
        <v>13768</v>
      </c>
      <c r="R22" s="73" t="s">
        <v>49</v>
      </c>
    </row>
    <row r="23" spans="1:18" ht="15.75" customHeight="1">
      <c r="A23" s="142" t="s">
        <v>50</v>
      </c>
      <c r="B23" s="143">
        <v>63151</v>
      </c>
      <c r="C23" s="144">
        <v>357472864</v>
      </c>
      <c r="D23" s="143">
        <v>46439</v>
      </c>
      <c r="E23" s="144">
        <v>25098619</v>
      </c>
      <c r="F23" s="143">
        <v>109590</v>
      </c>
      <c r="G23" s="144">
        <v>382571483</v>
      </c>
      <c r="H23" s="143">
        <v>7215</v>
      </c>
      <c r="I23" s="145">
        <v>39137341</v>
      </c>
      <c r="J23" s="143">
        <v>7536</v>
      </c>
      <c r="K23" s="145">
        <v>1114814</v>
      </c>
      <c r="L23" s="143">
        <v>119468</v>
      </c>
      <c r="M23" s="145">
        <v>344548956</v>
      </c>
      <c r="N23" s="207">
        <v>123601</v>
      </c>
      <c r="O23" s="208">
        <v>5437</v>
      </c>
      <c r="P23" s="208">
        <v>334</v>
      </c>
      <c r="Q23" s="209">
        <v>129372</v>
      </c>
      <c r="R23" s="146" t="s">
        <v>51</v>
      </c>
    </row>
    <row r="24" spans="1:18" ht="15.75" customHeight="1">
      <c r="A24" s="147"/>
      <c r="B24" s="148"/>
      <c r="C24" s="149"/>
      <c r="D24" s="148"/>
      <c r="E24" s="149"/>
      <c r="F24" s="150"/>
      <c r="G24" s="149"/>
      <c r="H24" s="150"/>
      <c r="I24" s="149"/>
      <c r="J24" s="150"/>
      <c r="K24" s="149"/>
      <c r="L24" s="150"/>
      <c r="M24" s="149"/>
      <c r="N24" s="210"/>
      <c r="O24" s="211"/>
      <c r="P24" s="211"/>
      <c r="Q24" s="212"/>
      <c r="R24" s="151" t="s">
        <v>35</v>
      </c>
    </row>
    <row r="25" spans="1:18" ht="15.75" customHeight="1">
      <c r="A25" s="72" t="s">
        <v>52</v>
      </c>
      <c r="B25" s="118">
        <f>_xlfn.COMPOUNDVALUE(729)</f>
        <v>12328</v>
      </c>
      <c r="C25" s="119">
        <v>1117362128</v>
      </c>
      <c r="D25" s="118">
        <f>_xlfn.COMPOUNDVALUE(730)</f>
        <v>3479</v>
      </c>
      <c r="E25" s="119">
        <v>4062528</v>
      </c>
      <c r="F25" s="118">
        <f>_xlfn.COMPOUNDVALUE(731)</f>
        <v>15807</v>
      </c>
      <c r="G25" s="119">
        <v>1121424656</v>
      </c>
      <c r="H25" s="118">
        <f>_xlfn.COMPOUNDVALUE(732)</f>
        <v>4676</v>
      </c>
      <c r="I25" s="120">
        <v>629008003</v>
      </c>
      <c r="J25" s="118">
        <v>1360</v>
      </c>
      <c r="K25" s="120">
        <v>5146972</v>
      </c>
      <c r="L25" s="118">
        <v>20677</v>
      </c>
      <c r="M25" s="120">
        <v>497563624</v>
      </c>
      <c r="N25" s="204">
        <v>16963</v>
      </c>
      <c r="O25" s="205">
        <v>4502</v>
      </c>
      <c r="P25" s="205">
        <v>591</v>
      </c>
      <c r="Q25" s="206">
        <v>22056</v>
      </c>
      <c r="R25" s="82" t="s">
        <v>52</v>
      </c>
    </row>
    <row r="26" spans="1:18" ht="15.75" customHeight="1">
      <c r="A26" s="72" t="s">
        <v>53</v>
      </c>
      <c r="B26" s="118">
        <f>_xlfn.COMPOUNDVALUE(733)</f>
        <v>12189</v>
      </c>
      <c r="C26" s="119">
        <v>341213896</v>
      </c>
      <c r="D26" s="118">
        <f>_xlfn.COMPOUNDVALUE(734)</f>
        <v>3405</v>
      </c>
      <c r="E26" s="119">
        <v>2840892</v>
      </c>
      <c r="F26" s="118">
        <f>_xlfn.COMPOUNDVALUE(735)</f>
        <v>15594</v>
      </c>
      <c r="G26" s="119">
        <v>344054788</v>
      </c>
      <c r="H26" s="118">
        <f>_xlfn.COMPOUNDVALUE(736)</f>
        <v>2609</v>
      </c>
      <c r="I26" s="120">
        <v>73245698</v>
      </c>
      <c r="J26" s="118">
        <v>1186</v>
      </c>
      <c r="K26" s="120">
        <v>-355238</v>
      </c>
      <c r="L26" s="118">
        <v>18414</v>
      </c>
      <c r="M26" s="120">
        <v>270453851</v>
      </c>
      <c r="N26" s="204">
        <v>16997</v>
      </c>
      <c r="O26" s="205">
        <v>1643</v>
      </c>
      <c r="P26" s="205">
        <v>305</v>
      </c>
      <c r="Q26" s="206">
        <v>18945</v>
      </c>
      <c r="R26" s="73" t="s">
        <v>53</v>
      </c>
    </row>
    <row r="27" spans="1:18" ht="15.75" customHeight="1">
      <c r="A27" s="72" t="s">
        <v>54</v>
      </c>
      <c r="B27" s="118">
        <f>_xlfn.COMPOUNDVALUE(737)</f>
        <v>9886</v>
      </c>
      <c r="C27" s="119">
        <v>367079107</v>
      </c>
      <c r="D27" s="118">
        <f>_xlfn.COMPOUNDVALUE(738)</f>
        <v>2524</v>
      </c>
      <c r="E27" s="119">
        <v>1953971</v>
      </c>
      <c r="F27" s="118">
        <f>_xlfn.COMPOUNDVALUE(739)</f>
        <v>12410</v>
      </c>
      <c r="G27" s="119">
        <v>369033078</v>
      </c>
      <c r="H27" s="118">
        <f>_xlfn.COMPOUNDVALUE(740)</f>
        <v>2657</v>
      </c>
      <c r="I27" s="120">
        <v>148694827</v>
      </c>
      <c r="J27" s="118">
        <v>975</v>
      </c>
      <c r="K27" s="120">
        <v>-2106868</v>
      </c>
      <c r="L27" s="118">
        <v>15218</v>
      </c>
      <c r="M27" s="120">
        <v>218231384</v>
      </c>
      <c r="N27" s="204">
        <v>13709</v>
      </c>
      <c r="O27" s="205">
        <v>1826</v>
      </c>
      <c r="P27" s="205">
        <v>382</v>
      </c>
      <c r="Q27" s="206">
        <v>15917</v>
      </c>
      <c r="R27" s="73" t="s">
        <v>54</v>
      </c>
    </row>
    <row r="28" spans="1:18" ht="15.75" customHeight="1">
      <c r="A28" s="72" t="s">
        <v>55</v>
      </c>
      <c r="B28" s="118">
        <f>_xlfn.COMPOUNDVALUE(741)</f>
        <v>12788</v>
      </c>
      <c r="C28" s="119">
        <v>425420636</v>
      </c>
      <c r="D28" s="118">
        <f>_xlfn.COMPOUNDVALUE(742)</f>
        <v>3843</v>
      </c>
      <c r="E28" s="119">
        <v>2918069</v>
      </c>
      <c r="F28" s="118">
        <f>_xlfn.COMPOUNDVALUE(743)</f>
        <v>16631</v>
      </c>
      <c r="G28" s="119">
        <v>428338705</v>
      </c>
      <c r="H28" s="118">
        <f>_xlfn.COMPOUNDVALUE(744)</f>
        <v>3070</v>
      </c>
      <c r="I28" s="120">
        <v>74966360</v>
      </c>
      <c r="J28" s="118">
        <v>1451</v>
      </c>
      <c r="K28" s="120">
        <v>-129008</v>
      </c>
      <c r="L28" s="118">
        <v>20005</v>
      </c>
      <c r="M28" s="120">
        <v>353243337</v>
      </c>
      <c r="N28" s="204">
        <v>19487</v>
      </c>
      <c r="O28" s="205">
        <v>1720</v>
      </c>
      <c r="P28" s="205">
        <v>357</v>
      </c>
      <c r="Q28" s="206">
        <v>21564</v>
      </c>
      <c r="R28" s="73" t="s">
        <v>55</v>
      </c>
    </row>
    <row r="29" spans="1:18" ht="15.75" customHeight="1">
      <c r="A29" s="72" t="s">
        <v>163</v>
      </c>
      <c r="B29" s="118">
        <f>_xlfn.COMPOUNDVALUE(745)</f>
        <v>17491</v>
      </c>
      <c r="C29" s="119">
        <v>954553625</v>
      </c>
      <c r="D29" s="118">
        <f>_xlfn.COMPOUNDVALUE(746)</f>
        <v>5074</v>
      </c>
      <c r="E29" s="119">
        <v>4425556</v>
      </c>
      <c r="F29" s="118">
        <f>_xlfn.COMPOUNDVALUE(747)</f>
        <v>22565</v>
      </c>
      <c r="G29" s="119">
        <v>958979180</v>
      </c>
      <c r="H29" s="118">
        <f>_xlfn.COMPOUNDVALUE(748)</f>
        <v>5141</v>
      </c>
      <c r="I29" s="120">
        <v>469691451</v>
      </c>
      <c r="J29" s="118">
        <v>1802</v>
      </c>
      <c r="K29" s="120">
        <v>1480365</v>
      </c>
      <c r="L29" s="118">
        <v>28067</v>
      </c>
      <c r="M29" s="120">
        <v>490768095</v>
      </c>
      <c r="N29" s="204">
        <v>25786</v>
      </c>
      <c r="O29" s="205">
        <v>3846</v>
      </c>
      <c r="P29" s="205">
        <v>608</v>
      </c>
      <c r="Q29" s="206">
        <v>30240</v>
      </c>
      <c r="R29" s="73" t="s">
        <v>56</v>
      </c>
    </row>
    <row r="30" spans="1:18" ht="15.75" customHeight="1">
      <c r="A30" s="72"/>
      <c r="B30" s="118"/>
      <c r="C30" s="119"/>
      <c r="D30" s="118"/>
      <c r="E30" s="119"/>
      <c r="F30" s="118"/>
      <c r="G30" s="119"/>
      <c r="H30" s="118"/>
      <c r="I30" s="120"/>
      <c r="J30" s="118"/>
      <c r="K30" s="120"/>
      <c r="L30" s="118"/>
      <c r="M30" s="120"/>
      <c r="N30" s="204"/>
      <c r="O30" s="205"/>
      <c r="P30" s="205"/>
      <c r="Q30" s="206"/>
      <c r="R30" s="73" t="s">
        <v>35</v>
      </c>
    </row>
    <row r="31" spans="1:18" ht="15.75" customHeight="1">
      <c r="A31" s="72" t="s">
        <v>57</v>
      </c>
      <c r="B31" s="118">
        <f>_xlfn.COMPOUNDVALUE(749)</f>
        <v>16324</v>
      </c>
      <c r="C31" s="119">
        <v>386034540</v>
      </c>
      <c r="D31" s="118">
        <f>_xlfn.COMPOUNDVALUE(750)</f>
        <v>5212</v>
      </c>
      <c r="E31" s="119">
        <v>5033851</v>
      </c>
      <c r="F31" s="118">
        <f>_xlfn.COMPOUNDVALUE(751)</f>
        <v>21536</v>
      </c>
      <c r="G31" s="119">
        <v>391068391</v>
      </c>
      <c r="H31" s="118">
        <f>_xlfn.COMPOUNDVALUE(752)</f>
        <v>3830</v>
      </c>
      <c r="I31" s="120">
        <v>277977130</v>
      </c>
      <c r="J31" s="118">
        <v>1871</v>
      </c>
      <c r="K31" s="120">
        <v>1949138</v>
      </c>
      <c r="L31" s="118">
        <v>25799</v>
      </c>
      <c r="M31" s="120">
        <v>115040399</v>
      </c>
      <c r="N31" s="204">
        <v>26380</v>
      </c>
      <c r="O31" s="205">
        <v>3202</v>
      </c>
      <c r="P31" s="205">
        <v>776</v>
      </c>
      <c r="Q31" s="206">
        <v>30358</v>
      </c>
      <c r="R31" s="73" t="s">
        <v>57</v>
      </c>
    </row>
    <row r="32" spans="1:18" ht="15.75" customHeight="1">
      <c r="A32" s="72" t="s">
        <v>58</v>
      </c>
      <c r="B32" s="118">
        <f>_xlfn.COMPOUNDVALUE(753)</f>
        <v>8416</v>
      </c>
      <c r="C32" s="119">
        <v>248339995</v>
      </c>
      <c r="D32" s="118">
        <f>_xlfn.COMPOUNDVALUE(754)</f>
        <v>3188</v>
      </c>
      <c r="E32" s="119">
        <v>2076158</v>
      </c>
      <c r="F32" s="118">
        <f>_xlfn.COMPOUNDVALUE(755)</f>
        <v>11604</v>
      </c>
      <c r="G32" s="119">
        <v>250416153</v>
      </c>
      <c r="H32" s="118">
        <f>_xlfn.COMPOUNDVALUE(756)</f>
        <v>1523</v>
      </c>
      <c r="I32" s="120">
        <v>96407878</v>
      </c>
      <c r="J32" s="118">
        <v>1042</v>
      </c>
      <c r="K32" s="120">
        <v>702316</v>
      </c>
      <c r="L32" s="118">
        <v>13350</v>
      </c>
      <c r="M32" s="120">
        <v>154710590</v>
      </c>
      <c r="N32" s="204">
        <v>13343</v>
      </c>
      <c r="O32" s="205">
        <v>1191</v>
      </c>
      <c r="P32" s="205">
        <v>257</v>
      </c>
      <c r="Q32" s="206">
        <v>14791</v>
      </c>
      <c r="R32" s="73" t="s">
        <v>58</v>
      </c>
    </row>
    <row r="33" spans="1:18" ht="15.75" customHeight="1">
      <c r="A33" s="72" t="s">
        <v>59</v>
      </c>
      <c r="B33" s="118">
        <f>_xlfn.COMPOUNDVALUE(757)</f>
        <v>9292</v>
      </c>
      <c r="C33" s="119">
        <v>152440370</v>
      </c>
      <c r="D33" s="118">
        <f>_xlfn.COMPOUNDVALUE(758)</f>
        <v>3947</v>
      </c>
      <c r="E33" s="119">
        <v>3562246</v>
      </c>
      <c r="F33" s="118">
        <f>_xlfn.COMPOUNDVALUE(759)</f>
        <v>13239</v>
      </c>
      <c r="G33" s="119">
        <v>156002615</v>
      </c>
      <c r="H33" s="118">
        <f>_xlfn.COMPOUNDVALUE(760)</f>
        <v>1391</v>
      </c>
      <c r="I33" s="120">
        <v>28737456</v>
      </c>
      <c r="J33" s="118">
        <v>1019</v>
      </c>
      <c r="K33" s="120">
        <v>193136</v>
      </c>
      <c r="L33" s="118">
        <v>14846</v>
      </c>
      <c r="M33" s="120">
        <v>127458296</v>
      </c>
      <c r="N33" s="204">
        <v>15307</v>
      </c>
      <c r="O33" s="205">
        <v>970</v>
      </c>
      <c r="P33" s="205">
        <v>194</v>
      </c>
      <c r="Q33" s="206">
        <v>16471</v>
      </c>
      <c r="R33" s="73" t="s">
        <v>59</v>
      </c>
    </row>
    <row r="34" spans="1:18" ht="15.75" customHeight="1">
      <c r="A34" s="72" t="s">
        <v>60</v>
      </c>
      <c r="B34" s="118">
        <f>_xlfn.COMPOUNDVALUE(761)</f>
        <v>10585</v>
      </c>
      <c r="C34" s="119">
        <v>390515030</v>
      </c>
      <c r="D34" s="118">
        <f>_xlfn.COMPOUNDVALUE(762)</f>
        <v>3657</v>
      </c>
      <c r="E34" s="119">
        <v>2728111</v>
      </c>
      <c r="F34" s="118">
        <f>_xlfn.COMPOUNDVALUE(763)</f>
        <v>14242</v>
      </c>
      <c r="G34" s="119">
        <v>393243141</v>
      </c>
      <c r="H34" s="118">
        <f>_xlfn.COMPOUNDVALUE(764)</f>
        <v>2310</v>
      </c>
      <c r="I34" s="120">
        <v>39060646</v>
      </c>
      <c r="J34" s="118">
        <v>1256</v>
      </c>
      <c r="K34" s="120">
        <v>920614</v>
      </c>
      <c r="L34" s="118">
        <v>16993</v>
      </c>
      <c r="M34" s="120">
        <v>355103109</v>
      </c>
      <c r="N34" s="204">
        <v>16847</v>
      </c>
      <c r="O34" s="205">
        <v>1463</v>
      </c>
      <c r="P34" s="205">
        <v>333</v>
      </c>
      <c r="Q34" s="206">
        <v>18643</v>
      </c>
      <c r="R34" s="73" t="s">
        <v>60</v>
      </c>
    </row>
    <row r="35" spans="1:18" ht="15.75" customHeight="1">
      <c r="A35" s="72" t="s">
        <v>61</v>
      </c>
      <c r="B35" s="118">
        <f>_xlfn.COMPOUNDVALUE(765)</f>
        <v>2792</v>
      </c>
      <c r="C35" s="119">
        <v>53718416</v>
      </c>
      <c r="D35" s="118">
        <f>_xlfn.COMPOUNDVALUE(766)</f>
        <v>1781</v>
      </c>
      <c r="E35" s="119">
        <v>1109156</v>
      </c>
      <c r="F35" s="118">
        <f>_xlfn.COMPOUNDVALUE(767)</f>
        <v>4573</v>
      </c>
      <c r="G35" s="119">
        <v>54827572</v>
      </c>
      <c r="H35" s="118">
        <f>_xlfn.COMPOUNDVALUE(768)</f>
        <v>406</v>
      </c>
      <c r="I35" s="120">
        <v>4332557</v>
      </c>
      <c r="J35" s="118">
        <v>302</v>
      </c>
      <c r="K35" s="120">
        <v>100683</v>
      </c>
      <c r="L35" s="118">
        <v>5049</v>
      </c>
      <c r="M35" s="120">
        <v>50595698</v>
      </c>
      <c r="N35" s="204">
        <v>5349</v>
      </c>
      <c r="O35" s="205">
        <v>351</v>
      </c>
      <c r="P35" s="205">
        <v>49</v>
      </c>
      <c r="Q35" s="206">
        <v>5749</v>
      </c>
      <c r="R35" s="73" t="s">
        <v>61</v>
      </c>
    </row>
    <row r="36" spans="1:18" ht="15.75" customHeight="1">
      <c r="A36" s="72"/>
      <c r="B36" s="118"/>
      <c r="C36" s="119"/>
      <c r="D36" s="118"/>
      <c r="E36" s="119"/>
      <c r="F36" s="118"/>
      <c r="G36" s="119"/>
      <c r="H36" s="118"/>
      <c r="I36" s="120"/>
      <c r="J36" s="118"/>
      <c r="K36" s="120"/>
      <c r="L36" s="118"/>
      <c r="M36" s="120"/>
      <c r="N36" s="204"/>
      <c r="O36" s="205"/>
      <c r="P36" s="205"/>
      <c r="Q36" s="206"/>
      <c r="R36" s="73" t="s">
        <v>35</v>
      </c>
    </row>
    <row r="37" spans="1:18" ht="15.75" customHeight="1">
      <c r="A37" s="72" t="s">
        <v>62</v>
      </c>
      <c r="B37" s="118">
        <f>_xlfn.COMPOUNDVALUE(769)</f>
        <v>3699</v>
      </c>
      <c r="C37" s="119">
        <v>46338265</v>
      </c>
      <c r="D37" s="118">
        <f>_xlfn.COMPOUNDVALUE(770)</f>
        <v>1951</v>
      </c>
      <c r="E37" s="119">
        <v>1303594</v>
      </c>
      <c r="F37" s="118">
        <f>_xlfn.COMPOUNDVALUE(771)</f>
        <v>5650</v>
      </c>
      <c r="G37" s="119">
        <v>47641859</v>
      </c>
      <c r="H37" s="118">
        <f>_xlfn.COMPOUNDVALUE(772)</f>
        <v>581</v>
      </c>
      <c r="I37" s="120">
        <v>5347720</v>
      </c>
      <c r="J37" s="118">
        <v>441</v>
      </c>
      <c r="K37" s="120">
        <v>53729</v>
      </c>
      <c r="L37" s="118">
        <v>6351</v>
      </c>
      <c r="M37" s="120">
        <v>42347868</v>
      </c>
      <c r="N37" s="204">
        <v>6448</v>
      </c>
      <c r="O37" s="205">
        <v>398</v>
      </c>
      <c r="P37" s="205">
        <v>67</v>
      </c>
      <c r="Q37" s="206">
        <v>6913</v>
      </c>
      <c r="R37" s="73" t="s">
        <v>62</v>
      </c>
    </row>
    <row r="38" spans="1:18" ht="15.75" customHeight="1">
      <c r="A38" s="72" t="s">
        <v>63</v>
      </c>
      <c r="B38" s="118">
        <f>_xlfn.COMPOUNDVALUE(773)</f>
        <v>5789</v>
      </c>
      <c r="C38" s="119">
        <v>86469376</v>
      </c>
      <c r="D38" s="118">
        <f>_xlfn.COMPOUNDVALUE(774)</f>
        <v>2229</v>
      </c>
      <c r="E38" s="119">
        <v>1442211</v>
      </c>
      <c r="F38" s="118">
        <f>_xlfn.COMPOUNDVALUE(775)</f>
        <v>8018</v>
      </c>
      <c r="G38" s="119">
        <v>87911587</v>
      </c>
      <c r="H38" s="118">
        <f>_xlfn.COMPOUNDVALUE(776)</f>
        <v>1216</v>
      </c>
      <c r="I38" s="120">
        <v>31087758</v>
      </c>
      <c r="J38" s="118">
        <v>660</v>
      </c>
      <c r="K38" s="120">
        <v>116270</v>
      </c>
      <c r="L38" s="118">
        <v>9351</v>
      </c>
      <c r="M38" s="120">
        <v>56940098</v>
      </c>
      <c r="N38" s="204">
        <v>9176</v>
      </c>
      <c r="O38" s="205">
        <v>529</v>
      </c>
      <c r="P38" s="205">
        <v>107</v>
      </c>
      <c r="Q38" s="206">
        <v>9812</v>
      </c>
      <c r="R38" s="73" t="s">
        <v>63</v>
      </c>
    </row>
    <row r="39" spans="1:18" ht="15.75" customHeight="1">
      <c r="A39" s="72" t="s">
        <v>64</v>
      </c>
      <c r="B39" s="118">
        <f>_xlfn.COMPOUNDVALUE(777)</f>
        <v>5550</v>
      </c>
      <c r="C39" s="119">
        <v>81738781</v>
      </c>
      <c r="D39" s="118">
        <f>_xlfn.COMPOUNDVALUE(778)</f>
        <v>2616</v>
      </c>
      <c r="E39" s="119">
        <v>1449956</v>
      </c>
      <c r="F39" s="118">
        <f>_xlfn.COMPOUNDVALUE(779)</f>
        <v>8166</v>
      </c>
      <c r="G39" s="119">
        <v>83188737</v>
      </c>
      <c r="H39" s="118">
        <f>_xlfn.COMPOUNDVALUE(780)</f>
        <v>987</v>
      </c>
      <c r="I39" s="120">
        <v>5302984</v>
      </c>
      <c r="J39" s="118">
        <v>619</v>
      </c>
      <c r="K39" s="120">
        <v>648016</v>
      </c>
      <c r="L39" s="118">
        <v>9270</v>
      </c>
      <c r="M39" s="120">
        <v>78533769</v>
      </c>
      <c r="N39" s="204">
        <v>9433</v>
      </c>
      <c r="O39" s="205">
        <v>609</v>
      </c>
      <c r="P39" s="205">
        <v>75</v>
      </c>
      <c r="Q39" s="206">
        <v>10117</v>
      </c>
      <c r="R39" s="73" t="s">
        <v>64</v>
      </c>
    </row>
    <row r="40" spans="1:18" ht="15.75" customHeight="1">
      <c r="A40" s="72" t="s">
        <v>65</v>
      </c>
      <c r="B40" s="118">
        <f>_xlfn.COMPOUNDVALUE(781)</f>
        <v>4745</v>
      </c>
      <c r="C40" s="119">
        <v>98799427</v>
      </c>
      <c r="D40" s="118">
        <f>_xlfn.COMPOUNDVALUE(782)</f>
        <v>2150</v>
      </c>
      <c r="E40" s="119">
        <v>1296455</v>
      </c>
      <c r="F40" s="118">
        <f>_xlfn.COMPOUNDVALUE(783)</f>
        <v>6895</v>
      </c>
      <c r="G40" s="119">
        <v>100095882</v>
      </c>
      <c r="H40" s="118">
        <f>_xlfn.COMPOUNDVALUE(784)</f>
        <v>579</v>
      </c>
      <c r="I40" s="120">
        <v>5912301</v>
      </c>
      <c r="J40" s="118">
        <v>456</v>
      </c>
      <c r="K40" s="120">
        <v>-133264</v>
      </c>
      <c r="L40" s="118">
        <v>7585</v>
      </c>
      <c r="M40" s="120">
        <v>94050317</v>
      </c>
      <c r="N40" s="204">
        <v>7780</v>
      </c>
      <c r="O40" s="205">
        <v>360</v>
      </c>
      <c r="P40" s="205">
        <v>48</v>
      </c>
      <c r="Q40" s="206">
        <v>8188</v>
      </c>
      <c r="R40" s="73" t="s">
        <v>65</v>
      </c>
    </row>
    <row r="41" spans="1:18" ht="15.75" customHeight="1">
      <c r="A41" s="72" t="s">
        <v>66</v>
      </c>
      <c r="B41" s="118">
        <f>_xlfn.COMPOUNDVALUE(785)</f>
        <v>1774</v>
      </c>
      <c r="C41" s="119">
        <v>12265901</v>
      </c>
      <c r="D41" s="118">
        <f>_xlfn.COMPOUNDVALUE(786)</f>
        <v>1154</v>
      </c>
      <c r="E41" s="119">
        <v>586870</v>
      </c>
      <c r="F41" s="118">
        <f>_xlfn.COMPOUNDVALUE(787)</f>
        <v>2928</v>
      </c>
      <c r="G41" s="119">
        <v>12852771</v>
      </c>
      <c r="H41" s="118">
        <f>_xlfn.COMPOUNDVALUE(788)</f>
        <v>169</v>
      </c>
      <c r="I41" s="120">
        <v>439769</v>
      </c>
      <c r="J41" s="118">
        <v>199</v>
      </c>
      <c r="K41" s="120">
        <v>26583</v>
      </c>
      <c r="L41" s="118">
        <v>3145</v>
      </c>
      <c r="M41" s="120">
        <v>12439585</v>
      </c>
      <c r="N41" s="204">
        <v>3313</v>
      </c>
      <c r="O41" s="205">
        <v>97</v>
      </c>
      <c r="P41" s="205">
        <v>13</v>
      </c>
      <c r="Q41" s="206">
        <v>3423</v>
      </c>
      <c r="R41" s="73" t="s">
        <v>66</v>
      </c>
    </row>
    <row r="42" spans="1:18" ht="15.75" customHeight="1">
      <c r="A42" s="99"/>
      <c r="B42" s="118"/>
      <c r="C42" s="119"/>
      <c r="D42" s="118"/>
      <c r="E42" s="119"/>
      <c r="F42" s="118"/>
      <c r="G42" s="119"/>
      <c r="H42" s="118"/>
      <c r="I42" s="120"/>
      <c r="J42" s="118"/>
      <c r="K42" s="120"/>
      <c r="L42" s="118"/>
      <c r="M42" s="120"/>
      <c r="N42" s="204"/>
      <c r="O42" s="205"/>
      <c r="P42" s="205"/>
      <c r="Q42" s="206"/>
      <c r="R42" s="101" t="s">
        <v>35</v>
      </c>
    </row>
    <row r="43" spans="1:18" ht="15.75" customHeight="1">
      <c r="A43" s="94" t="s">
        <v>67</v>
      </c>
      <c r="B43" s="118">
        <f>_xlfn.COMPOUNDVALUE(789)</f>
        <v>6257</v>
      </c>
      <c r="C43" s="119">
        <v>160237317</v>
      </c>
      <c r="D43" s="118">
        <f>_xlfn.COMPOUNDVALUE(790)</f>
        <v>2695</v>
      </c>
      <c r="E43" s="119">
        <v>1600515</v>
      </c>
      <c r="F43" s="118">
        <f>_xlfn.COMPOUNDVALUE(791)</f>
        <v>8952</v>
      </c>
      <c r="G43" s="119">
        <v>161837831</v>
      </c>
      <c r="H43" s="118">
        <f>_xlfn.COMPOUNDVALUE(792)</f>
        <v>978</v>
      </c>
      <c r="I43" s="120">
        <v>42300277</v>
      </c>
      <c r="J43" s="118">
        <v>719</v>
      </c>
      <c r="K43" s="120">
        <v>-102612</v>
      </c>
      <c r="L43" s="118">
        <v>10120</v>
      </c>
      <c r="M43" s="120">
        <v>119434942</v>
      </c>
      <c r="N43" s="204">
        <v>10179</v>
      </c>
      <c r="O43" s="205">
        <v>632</v>
      </c>
      <c r="P43" s="205">
        <v>94</v>
      </c>
      <c r="Q43" s="206">
        <v>10905</v>
      </c>
      <c r="R43" s="93" t="s">
        <v>67</v>
      </c>
    </row>
    <row r="44" spans="1:18" ht="15.75" customHeight="1">
      <c r="A44" s="72" t="s">
        <v>68</v>
      </c>
      <c r="B44" s="118">
        <f>_xlfn.COMPOUNDVALUE(793)</f>
        <v>3092</v>
      </c>
      <c r="C44" s="119">
        <v>59871638</v>
      </c>
      <c r="D44" s="118">
        <f>_xlfn.COMPOUNDVALUE(794)</f>
        <v>1846</v>
      </c>
      <c r="E44" s="119">
        <v>997773</v>
      </c>
      <c r="F44" s="118">
        <f>_xlfn.COMPOUNDVALUE(795)</f>
        <v>4938</v>
      </c>
      <c r="G44" s="119">
        <v>60869411</v>
      </c>
      <c r="H44" s="118">
        <f>_xlfn.COMPOUNDVALUE(796)</f>
        <v>419</v>
      </c>
      <c r="I44" s="120">
        <v>3673159</v>
      </c>
      <c r="J44" s="118">
        <v>379</v>
      </c>
      <c r="K44" s="120">
        <v>93792</v>
      </c>
      <c r="L44" s="118">
        <v>5499</v>
      </c>
      <c r="M44" s="120">
        <v>57290044</v>
      </c>
      <c r="N44" s="204">
        <v>5437</v>
      </c>
      <c r="O44" s="205">
        <v>263</v>
      </c>
      <c r="P44" s="205">
        <v>21</v>
      </c>
      <c r="Q44" s="206">
        <v>5721</v>
      </c>
      <c r="R44" s="73" t="s">
        <v>68</v>
      </c>
    </row>
    <row r="45" spans="1:18" ht="15.75" customHeight="1">
      <c r="A45" s="72" t="s">
        <v>69</v>
      </c>
      <c r="B45" s="118">
        <f>_xlfn.COMPOUNDVALUE(797)</f>
        <v>2213</v>
      </c>
      <c r="C45" s="119">
        <v>11968529</v>
      </c>
      <c r="D45" s="118">
        <f>_xlfn.COMPOUNDVALUE(798)</f>
        <v>1572</v>
      </c>
      <c r="E45" s="119">
        <v>869486</v>
      </c>
      <c r="F45" s="118">
        <f>_xlfn.COMPOUNDVALUE(799)</f>
        <v>3785</v>
      </c>
      <c r="G45" s="119">
        <v>12838015</v>
      </c>
      <c r="H45" s="118">
        <f>_xlfn.COMPOUNDVALUE(800)</f>
        <v>274</v>
      </c>
      <c r="I45" s="120">
        <v>925356</v>
      </c>
      <c r="J45" s="118">
        <v>245</v>
      </c>
      <c r="K45" s="120">
        <v>-163878</v>
      </c>
      <c r="L45" s="118">
        <v>4133</v>
      </c>
      <c r="M45" s="120">
        <v>11748781</v>
      </c>
      <c r="N45" s="204">
        <v>4514</v>
      </c>
      <c r="O45" s="205">
        <v>195</v>
      </c>
      <c r="P45" s="205">
        <v>18</v>
      </c>
      <c r="Q45" s="206">
        <v>4727</v>
      </c>
      <c r="R45" s="73" t="s">
        <v>69</v>
      </c>
    </row>
    <row r="46" spans="1:18" ht="15.75" customHeight="1">
      <c r="A46" s="72" t="s">
        <v>70</v>
      </c>
      <c r="B46" s="118">
        <f>_xlfn.COMPOUNDVALUE(801)</f>
        <v>7590</v>
      </c>
      <c r="C46" s="119">
        <v>93925635</v>
      </c>
      <c r="D46" s="118">
        <f>_xlfn.COMPOUNDVALUE(802)</f>
        <v>4209</v>
      </c>
      <c r="E46" s="119">
        <v>2795602</v>
      </c>
      <c r="F46" s="118">
        <f>_xlfn.COMPOUNDVALUE(803)</f>
        <v>11799</v>
      </c>
      <c r="G46" s="119">
        <v>96721237</v>
      </c>
      <c r="H46" s="118">
        <f>_xlfn.COMPOUNDVALUE(804)</f>
        <v>951</v>
      </c>
      <c r="I46" s="120">
        <v>5912252</v>
      </c>
      <c r="J46" s="118">
        <v>942</v>
      </c>
      <c r="K46" s="120">
        <v>312318</v>
      </c>
      <c r="L46" s="118">
        <v>13086</v>
      </c>
      <c r="M46" s="120">
        <v>91121303</v>
      </c>
      <c r="N46" s="204">
        <v>14020</v>
      </c>
      <c r="O46" s="205">
        <v>750</v>
      </c>
      <c r="P46" s="205">
        <v>110</v>
      </c>
      <c r="Q46" s="206">
        <v>14880</v>
      </c>
      <c r="R46" s="73" t="s">
        <v>70</v>
      </c>
    </row>
    <row r="47" spans="1:18" ht="15.75" customHeight="1">
      <c r="A47" s="72" t="s">
        <v>71</v>
      </c>
      <c r="B47" s="118">
        <f>_xlfn.COMPOUNDVALUE(805)</f>
        <v>4292</v>
      </c>
      <c r="C47" s="119">
        <v>47733547</v>
      </c>
      <c r="D47" s="118">
        <f>_xlfn.COMPOUNDVALUE(806)</f>
        <v>2486</v>
      </c>
      <c r="E47" s="119">
        <v>1440736</v>
      </c>
      <c r="F47" s="118">
        <f>_xlfn.COMPOUNDVALUE(807)</f>
        <v>6778</v>
      </c>
      <c r="G47" s="119">
        <v>49174283</v>
      </c>
      <c r="H47" s="118">
        <f>_xlfn.COMPOUNDVALUE(808)</f>
        <v>450</v>
      </c>
      <c r="I47" s="120">
        <v>13532099</v>
      </c>
      <c r="J47" s="118">
        <v>486</v>
      </c>
      <c r="K47" s="120">
        <v>151017</v>
      </c>
      <c r="L47" s="118">
        <v>7363</v>
      </c>
      <c r="M47" s="120">
        <v>35793201</v>
      </c>
      <c r="N47" s="204">
        <v>7659</v>
      </c>
      <c r="O47" s="205">
        <v>310</v>
      </c>
      <c r="P47" s="205">
        <v>41</v>
      </c>
      <c r="Q47" s="206">
        <v>8010</v>
      </c>
      <c r="R47" s="73" t="s">
        <v>71</v>
      </c>
    </row>
    <row r="48" spans="1:18" ht="15.75" customHeight="1">
      <c r="A48" s="72"/>
      <c r="B48" s="118"/>
      <c r="C48" s="119"/>
      <c r="D48" s="118"/>
      <c r="E48" s="119"/>
      <c r="F48" s="118"/>
      <c r="G48" s="119"/>
      <c r="H48" s="118"/>
      <c r="I48" s="120"/>
      <c r="J48" s="118"/>
      <c r="K48" s="120"/>
      <c r="L48" s="118"/>
      <c r="M48" s="120"/>
      <c r="N48" s="204"/>
      <c r="O48" s="205"/>
      <c r="P48" s="205"/>
      <c r="Q48" s="206"/>
      <c r="R48" s="73" t="s">
        <v>35</v>
      </c>
    </row>
    <row r="49" spans="1:18" ht="15.75" customHeight="1">
      <c r="A49" s="72" t="s">
        <v>72</v>
      </c>
      <c r="B49" s="118">
        <f>_xlfn.COMPOUNDVALUE(809)</f>
        <v>2457</v>
      </c>
      <c r="C49" s="119">
        <v>12721598</v>
      </c>
      <c r="D49" s="118">
        <f>_xlfn.COMPOUNDVALUE(810)</f>
        <v>1893</v>
      </c>
      <c r="E49" s="119">
        <v>1140490</v>
      </c>
      <c r="F49" s="118">
        <f>_xlfn.COMPOUNDVALUE(811)</f>
        <v>4350</v>
      </c>
      <c r="G49" s="119">
        <v>13862088</v>
      </c>
      <c r="H49" s="118">
        <f>_xlfn.COMPOUNDVALUE(812)</f>
        <v>351</v>
      </c>
      <c r="I49" s="120">
        <v>8592640</v>
      </c>
      <c r="J49" s="118">
        <v>311</v>
      </c>
      <c r="K49" s="120">
        <v>64969</v>
      </c>
      <c r="L49" s="118">
        <v>4810</v>
      </c>
      <c r="M49" s="120">
        <v>5334418</v>
      </c>
      <c r="N49" s="204">
        <v>5227</v>
      </c>
      <c r="O49" s="205">
        <v>279</v>
      </c>
      <c r="P49" s="205">
        <v>14</v>
      </c>
      <c r="Q49" s="206">
        <v>5520</v>
      </c>
      <c r="R49" s="73" t="s">
        <v>72</v>
      </c>
    </row>
    <row r="50" spans="1:18" ht="15.75" customHeight="1">
      <c r="A50" s="72" t="s">
        <v>73</v>
      </c>
      <c r="B50" s="118">
        <f>_xlfn.COMPOUNDVALUE(813)</f>
        <v>4647</v>
      </c>
      <c r="C50" s="119">
        <v>53621780</v>
      </c>
      <c r="D50" s="118">
        <f>_xlfn.COMPOUNDVALUE(814)</f>
        <v>3031</v>
      </c>
      <c r="E50" s="119">
        <v>1681623</v>
      </c>
      <c r="F50" s="118">
        <f>_xlfn.COMPOUNDVALUE(815)</f>
        <v>7678</v>
      </c>
      <c r="G50" s="119">
        <v>55303404</v>
      </c>
      <c r="H50" s="118">
        <f>_xlfn.COMPOUNDVALUE(816)</f>
        <v>458</v>
      </c>
      <c r="I50" s="120">
        <v>50139748</v>
      </c>
      <c r="J50" s="118">
        <v>499</v>
      </c>
      <c r="K50" s="120">
        <v>97697</v>
      </c>
      <c r="L50" s="118">
        <v>8281</v>
      </c>
      <c r="M50" s="120">
        <v>5261353</v>
      </c>
      <c r="N50" s="204">
        <v>8849</v>
      </c>
      <c r="O50" s="205">
        <v>303</v>
      </c>
      <c r="P50" s="205">
        <v>47</v>
      </c>
      <c r="Q50" s="206">
        <v>9199</v>
      </c>
      <c r="R50" s="73" t="s">
        <v>73</v>
      </c>
    </row>
    <row r="51" spans="1:18" ht="15.75" customHeight="1">
      <c r="A51" s="72" t="s">
        <v>74</v>
      </c>
      <c r="B51" s="118">
        <f>_xlfn.COMPOUNDVALUE(817)</f>
        <v>5498</v>
      </c>
      <c r="C51" s="119">
        <v>26540205</v>
      </c>
      <c r="D51" s="118">
        <f>_xlfn.COMPOUNDVALUE(818)</f>
        <v>3849</v>
      </c>
      <c r="E51" s="119">
        <v>2348744</v>
      </c>
      <c r="F51" s="118">
        <f>_xlfn.COMPOUNDVALUE(819)</f>
        <v>9347</v>
      </c>
      <c r="G51" s="119">
        <v>28888948</v>
      </c>
      <c r="H51" s="118">
        <f>_xlfn.COMPOUNDVALUE(820)</f>
        <v>628</v>
      </c>
      <c r="I51" s="120">
        <v>1700148</v>
      </c>
      <c r="J51" s="118">
        <v>646</v>
      </c>
      <c r="K51" s="120">
        <v>148571</v>
      </c>
      <c r="L51" s="118">
        <v>10222</v>
      </c>
      <c r="M51" s="120">
        <v>27337372</v>
      </c>
      <c r="N51" s="204">
        <v>11583</v>
      </c>
      <c r="O51" s="205">
        <v>547</v>
      </c>
      <c r="P51" s="205">
        <v>62</v>
      </c>
      <c r="Q51" s="206">
        <v>12192</v>
      </c>
      <c r="R51" s="73" t="s">
        <v>74</v>
      </c>
    </row>
    <row r="52" spans="1:18" ht="15.75" customHeight="1">
      <c r="A52" s="72" t="s">
        <v>75</v>
      </c>
      <c r="B52" s="118">
        <f>_xlfn.COMPOUNDVALUE(821)</f>
        <v>4688</v>
      </c>
      <c r="C52" s="119">
        <v>22546315</v>
      </c>
      <c r="D52" s="118">
        <f>_xlfn.COMPOUNDVALUE(822)</f>
        <v>3559</v>
      </c>
      <c r="E52" s="119">
        <v>2195859</v>
      </c>
      <c r="F52" s="118">
        <f>_xlfn.COMPOUNDVALUE(823)</f>
        <v>8247</v>
      </c>
      <c r="G52" s="119">
        <v>24742174</v>
      </c>
      <c r="H52" s="118">
        <f>_xlfn.COMPOUNDVALUE(824)</f>
        <v>526</v>
      </c>
      <c r="I52" s="120">
        <v>658291</v>
      </c>
      <c r="J52" s="118">
        <v>613</v>
      </c>
      <c r="K52" s="120">
        <v>230090</v>
      </c>
      <c r="L52" s="118">
        <v>8985</v>
      </c>
      <c r="M52" s="120">
        <v>24313972</v>
      </c>
      <c r="N52" s="204">
        <v>10096</v>
      </c>
      <c r="O52" s="205">
        <v>431</v>
      </c>
      <c r="P52" s="205">
        <v>45</v>
      </c>
      <c r="Q52" s="206">
        <v>10572</v>
      </c>
      <c r="R52" s="73" t="s">
        <v>75</v>
      </c>
    </row>
    <row r="53" spans="1:18" ht="15.75" customHeight="1">
      <c r="A53" s="72" t="s">
        <v>76</v>
      </c>
      <c r="B53" s="118">
        <f>_xlfn.COMPOUNDVALUE(825)</f>
        <v>4669</v>
      </c>
      <c r="C53" s="119">
        <v>43691809</v>
      </c>
      <c r="D53" s="118">
        <f>_xlfn.COMPOUNDVALUE(826)</f>
        <v>3441</v>
      </c>
      <c r="E53" s="119">
        <v>2202737</v>
      </c>
      <c r="F53" s="118">
        <f>_xlfn.COMPOUNDVALUE(827)</f>
        <v>8110</v>
      </c>
      <c r="G53" s="119">
        <v>45894546</v>
      </c>
      <c r="H53" s="118">
        <f>_xlfn.COMPOUNDVALUE(828)</f>
        <v>615</v>
      </c>
      <c r="I53" s="120">
        <v>19974478</v>
      </c>
      <c r="J53" s="118">
        <v>489</v>
      </c>
      <c r="K53" s="120">
        <v>82684</v>
      </c>
      <c r="L53" s="118">
        <v>8861</v>
      </c>
      <c r="M53" s="120">
        <v>26002751</v>
      </c>
      <c r="N53" s="204">
        <v>9476</v>
      </c>
      <c r="O53" s="205">
        <v>518</v>
      </c>
      <c r="P53" s="205">
        <v>40</v>
      </c>
      <c r="Q53" s="206">
        <v>10034</v>
      </c>
      <c r="R53" s="73" t="s">
        <v>76</v>
      </c>
    </row>
    <row r="54" spans="1:18" ht="15.75" customHeight="1">
      <c r="A54" s="72"/>
      <c r="B54" s="118"/>
      <c r="C54" s="119"/>
      <c r="D54" s="118"/>
      <c r="E54" s="119"/>
      <c r="F54" s="118"/>
      <c r="G54" s="119"/>
      <c r="H54" s="118"/>
      <c r="I54" s="120"/>
      <c r="J54" s="118"/>
      <c r="K54" s="120"/>
      <c r="L54" s="118"/>
      <c r="M54" s="120"/>
      <c r="N54" s="204"/>
      <c r="O54" s="205"/>
      <c r="P54" s="205"/>
      <c r="Q54" s="206"/>
      <c r="R54" s="73" t="s">
        <v>35</v>
      </c>
    </row>
    <row r="55" spans="1:18" ht="15.75" customHeight="1">
      <c r="A55" s="72" t="s">
        <v>77</v>
      </c>
      <c r="B55" s="118">
        <f>_xlfn.COMPOUNDVALUE(829)</f>
        <v>23481</v>
      </c>
      <c r="C55" s="119">
        <v>539460844</v>
      </c>
      <c r="D55" s="118">
        <f>_xlfn.COMPOUNDVALUE(830)</f>
        <v>8148</v>
      </c>
      <c r="E55" s="119">
        <v>6332412</v>
      </c>
      <c r="F55" s="118">
        <f>_xlfn.COMPOUNDVALUE(831)</f>
        <v>31629</v>
      </c>
      <c r="G55" s="119">
        <v>545793256</v>
      </c>
      <c r="H55" s="118">
        <f>_xlfn.COMPOUNDVALUE(832)</f>
        <v>3487</v>
      </c>
      <c r="I55" s="120">
        <v>135738274</v>
      </c>
      <c r="J55" s="118">
        <v>2276</v>
      </c>
      <c r="K55" s="120">
        <v>1152477</v>
      </c>
      <c r="L55" s="118">
        <v>35835</v>
      </c>
      <c r="M55" s="120">
        <v>411207459</v>
      </c>
      <c r="N55" s="204">
        <v>37082</v>
      </c>
      <c r="O55" s="205">
        <v>2263</v>
      </c>
      <c r="P55" s="205">
        <v>733</v>
      </c>
      <c r="Q55" s="206">
        <v>40078</v>
      </c>
      <c r="R55" s="73" t="s">
        <v>77</v>
      </c>
    </row>
    <row r="56" spans="1:18" ht="15.75" customHeight="1">
      <c r="A56" s="72" t="s">
        <v>78</v>
      </c>
      <c r="B56" s="118">
        <f>_xlfn.COMPOUNDVALUE(833)</f>
        <v>5331</v>
      </c>
      <c r="C56" s="119">
        <v>70244930</v>
      </c>
      <c r="D56" s="118">
        <f>_xlfn.COMPOUNDVALUE(834)</f>
        <v>3313</v>
      </c>
      <c r="E56" s="119">
        <v>2026824</v>
      </c>
      <c r="F56" s="118">
        <f>_xlfn.COMPOUNDVALUE(835)</f>
        <v>8644</v>
      </c>
      <c r="G56" s="119">
        <v>72271754</v>
      </c>
      <c r="H56" s="118">
        <f>_xlfn.COMPOUNDVALUE(836)</f>
        <v>734</v>
      </c>
      <c r="I56" s="120">
        <v>4400108</v>
      </c>
      <c r="J56" s="118">
        <v>735</v>
      </c>
      <c r="K56" s="120">
        <v>279961</v>
      </c>
      <c r="L56" s="118">
        <v>9622</v>
      </c>
      <c r="M56" s="120">
        <v>68151607</v>
      </c>
      <c r="N56" s="204">
        <v>10668</v>
      </c>
      <c r="O56" s="205">
        <v>551</v>
      </c>
      <c r="P56" s="205">
        <v>56</v>
      </c>
      <c r="Q56" s="206">
        <v>11275</v>
      </c>
      <c r="R56" s="73" t="s">
        <v>78</v>
      </c>
    </row>
    <row r="57" spans="1:18" ht="15.75" customHeight="1">
      <c r="A57" s="72" t="s">
        <v>79</v>
      </c>
      <c r="B57" s="118">
        <f>_xlfn.COMPOUNDVALUE(837)</f>
        <v>4291</v>
      </c>
      <c r="C57" s="119">
        <v>23028439</v>
      </c>
      <c r="D57" s="118">
        <f>_xlfn.COMPOUNDVALUE(838)</f>
        <v>3119</v>
      </c>
      <c r="E57" s="119">
        <v>1849105</v>
      </c>
      <c r="F57" s="118">
        <f>_xlfn.COMPOUNDVALUE(839)</f>
        <v>7410</v>
      </c>
      <c r="G57" s="119">
        <v>24877544</v>
      </c>
      <c r="H57" s="118">
        <f>_xlfn.COMPOUNDVALUE(840)</f>
        <v>493</v>
      </c>
      <c r="I57" s="120">
        <v>1817965</v>
      </c>
      <c r="J57" s="118">
        <v>633</v>
      </c>
      <c r="K57" s="120">
        <v>281794</v>
      </c>
      <c r="L57" s="118">
        <v>8064</v>
      </c>
      <c r="M57" s="120">
        <v>23341372</v>
      </c>
      <c r="N57" s="204">
        <v>8972</v>
      </c>
      <c r="O57" s="205">
        <v>399</v>
      </c>
      <c r="P57" s="205">
        <v>38</v>
      </c>
      <c r="Q57" s="206">
        <v>9409</v>
      </c>
      <c r="R57" s="73" t="s">
        <v>79</v>
      </c>
    </row>
    <row r="58" spans="1:18" ht="15.75" customHeight="1">
      <c r="A58" s="72" t="s">
        <v>80</v>
      </c>
      <c r="B58" s="118">
        <f>_xlfn.COMPOUNDVALUE(841)</f>
        <v>3188</v>
      </c>
      <c r="C58" s="119">
        <v>18862501</v>
      </c>
      <c r="D58" s="118">
        <f>_xlfn.COMPOUNDVALUE(842)</f>
        <v>2452</v>
      </c>
      <c r="E58" s="119">
        <v>1546007</v>
      </c>
      <c r="F58" s="118">
        <f>_xlfn.COMPOUNDVALUE(843)</f>
        <v>5640</v>
      </c>
      <c r="G58" s="119">
        <v>20408507</v>
      </c>
      <c r="H58" s="118">
        <f>_xlfn.COMPOUNDVALUE(844)</f>
        <v>379</v>
      </c>
      <c r="I58" s="120">
        <v>1022271</v>
      </c>
      <c r="J58" s="118">
        <v>356</v>
      </c>
      <c r="K58" s="120">
        <v>76132</v>
      </c>
      <c r="L58" s="118">
        <v>6166</v>
      </c>
      <c r="M58" s="120">
        <v>19462369</v>
      </c>
      <c r="N58" s="204">
        <v>6758</v>
      </c>
      <c r="O58" s="205">
        <v>337</v>
      </c>
      <c r="P58" s="205">
        <v>21</v>
      </c>
      <c r="Q58" s="206">
        <v>7116</v>
      </c>
      <c r="R58" s="73" t="s">
        <v>80</v>
      </c>
    </row>
    <row r="59" spans="1:18" ht="15.75" customHeight="1">
      <c r="A59" s="72" t="s">
        <v>81</v>
      </c>
      <c r="B59" s="118">
        <f>_xlfn.COMPOUNDVALUE(845)</f>
        <v>9687</v>
      </c>
      <c r="C59" s="119">
        <v>116645287</v>
      </c>
      <c r="D59" s="118">
        <f>_xlfn.COMPOUNDVALUE(846)</f>
        <v>4440</v>
      </c>
      <c r="E59" s="119">
        <v>3002226</v>
      </c>
      <c r="F59" s="118">
        <f>_xlfn.COMPOUNDVALUE(847)</f>
        <v>14127</v>
      </c>
      <c r="G59" s="119">
        <v>119647513</v>
      </c>
      <c r="H59" s="118">
        <f>_xlfn.COMPOUNDVALUE(848)</f>
        <v>1613</v>
      </c>
      <c r="I59" s="120">
        <v>14171233</v>
      </c>
      <c r="J59" s="118">
        <v>1133</v>
      </c>
      <c r="K59" s="120">
        <v>-44217</v>
      </c>
      <c r="L59" s="118">
        <v>16085</v>
      </c>
      <c r="M59" s="120">
        <v>105432063</v>
      </c>
      <c r="N59" s="204">
        <v>16755</v>
      </c>
      <c r="O59" s="205">
        <v>1019</v>
      </c>
      <c r="P59" s="205">
        <v>168</v>
      </c>
      <c r="Q59" s="206">
        <v>17942</v>
      </c>
      <c r="R59" s="73" t="s">
        <v>81</v>
      </c>
    </row>
    <row r="60" spans="1:18" ht="15.75" customHeight="1">
      <c r="A60" s="72"/>
      <c r="B60" s="118"/>
      <c r="C60" s="119"/>
      <c r="D60" s="118"/>
      <c r="E60" s="119"/>
      <c r="F60" s="118"/>
      <c r="G60" s="119"/>
      <c r="H60" s="118"/>
      <c r="I60" s="120"/>
      <c r="J60" s="118"/>
      <c r="K60" s="120"/>
      <c r="L60" s="118"/>
      <c r="M60" s="120"/>
      <c r="N60" s="204"/>
      <c r="O60" s="205"/>
      <c r="P60" s="205"/>
      <c r="Q60" s="206"/>
      <c r="R60" s="73" t="s">
        <v>35</v>
      </c>
    </row>
    <row r="61" spans="1:18" ht="15.75" customHeight="1">
      <c r="A61" s="72" t="s">
        <v>82</v>
      </c>
      <c r="B61" s="118">
        <f>_xlfn.COMPOUNDVALUE(849)</f>
        <v>4688</v>
      </c>
      <c r="C61" s="119">
        <v>53481783</v>
      </c>
      <c r="D61" s="118">
        <f>_xlfn.COMPOUNDVALUE(850)</f>
        <v>2926</v>
      </c>
      <c r="E61" s="119">
        <v>1698557</v>
      </c>
      <c r="F61" s="118">
        <f>_xlfn.COMPOUNDVALUE(851)</f>
        <v>7614</v>
      </c>
      <c r="G61" s="119">
        <v>55180340</v>
      </c>
      <c r="H61" s="118">
        <f>_xlfn.COMPOUNDVALUE(852)</f>
        <v>612</v>
      </c>
      <c r="I61" s="120">
        <v>4419288</v>
      </c>
      <c r="J61" s="118">
        <v>459</v>
      </c>
      <c r="K61" s="120">
        <v>181571</v>
      </c>
      <c r="L61" s="118">
        <v>8394</v>
      </c>
      <c r="M61" s="120">
        <v>50942622</v>
      </c>
      <c r="N61" s="204">
        <v>8600</v>
      </c>
      <c r="O61" s="205">
        <v>387</v>
      </c>
      <c r="P61" s="205">
        <v>35</v>
      </c>
      <c r="Q61" s="206">
        <v>9022</v>
      </c>
      <c r="R61" s="73" t="s">
        <v>82</v>
      </c>
    </row>
    <row r="62" spans="1:18" ht="15.75" customHeight="1">
      <c r="A62" s="72" t="s">
        <v>83</v>
      </c>
      <c r="B62" s="118">
        <f>_xlfn.COMPOUNDVALUE(853)</f>
        <v>3990</v>
      </c>
      <c r="C62" s="119">
        <v>28057215</v>
      </c>
      <c r="D62" s="118">
        <f>_xlfn.COMPOUNDVALUE(854)</f>
        <v>2382</v>
      </c>
      <c r="E62" s="119">
        <v>1296417</v>
      </c>
      <c r="F62" s="118">
        <f>_xlfn.COMPOUNDVALUE(855)</f>
        <v>6372</v>
      </c>
      <c r="G62" s="119">
        <v>29353632</v>
      </c>
      <c r="H62" s="118">
        <f>_xlfn.COMPOUNDVALUE(856)</f>
        <v>556</v>
      </c>
      <c r="I62" s="120">
        <v>2067968</v>
      </c>
      <c r="J62" s="118">
        <v>534</v>
      </c>
      <c r="K62" s="120">
        <v>176370</v>
      </c>
      <c r="L62" s="118">
        <v>7133</v>
      </c>
      <c r="M62" s="120">
        <v>27462034</v>
      </c>
      <c r="N62" s="204">
        <v>7225</v>
      </c>
      <c r="O62" s="205">
        <v>341</v>
      </c>
      <c r="P62" s="205">
        <v>34</v>
      </c>
      <c r="Q62" s="206">
        <v>7600</v>
      </c>
      <c r="R62" s="73" t="s">
        <v>83</v>
      </c>
    </row>
    <row r="63" spans="1:18" ht="15.75" customHeight="1">
      <c r="A63" s="72" t="s">
        <v>84</v>
      </c>
      <c r="B63" s="118">
        <f>_xlfn.COMPOUNDVALUE(857)</f>
        <v>7538</v>
      </c>
      <c r="C63" s="119">
        <v>48540099</v>
      </c>
      <c r="D63" s="118">
        <f>_xlfn.COMPOUNDVALUE(858)</f>
        <v>4699</v>
      </c>
      <c r="E63" s="119">
        <v>2747195</v>
      </c>
      <c r="F63" s="118">
        <f>_xlfn.COMPOUNDVALUE(859)</f>
        <v>12237</v>
      </c>
      <c r="G63" s="119">
        <v>51287294</v>
      </c>
      <c r="H63" s="118">
        <f>_xlfn.COMPOUNDVALUE(860)</f>
        <v>789</v>
      </c>
      <c r="I63" s="120">
        <v>4482483</v>
      </c>
      <c r="J63" s="118">
        <v>840</v>
      </c>
      <c r="K63" s="120">
        <v>139935</v>
      </c>
      <c r="L63" s="118">
        <v>13297</v>
      </c>
      <c r="M63" s="120">
        <v>46944746</v>
      </c>
      <c r="N63" s="204">
        <v>13935</v>
      </c>
      <c r="O63" s="205">
        <v>553</v>
      </c>
      <c r="P63" s="205">
        <v>48</v>
      </c>
      <c r="Q63" s="206">
        <v>14536</v>
      </c>
      <c r="R63" s="73" t="s">
        <v>84</v>
      </c>
    </row>
    <row r="64" spans="1:18" ht="15.75" customHeight="1">
      <c r="A64" s="72" t="s">
        <v>85</v>
      </c>
      <c r="B64" s="118">
        <f>_xlfn.COMPOUNDVALUE(861)</f>
        <v>5360</v>
      </c>
      <c r="C64" s="119">
        <v>23894701</v>
      </c>
      <c r="D64" s="118">
        <f>_xlfn.COMPOUNDVALUE(862)</f>
        <v>3828</v>
      </c>
      <c r="E64" s="119">
        <v>2206061</v>
      </c>
      <c r="F64" s="118">
        <f>_xlfn.COMPOUNDVALUE(863)</f>
        <v>9188</v>
      </c>
      <c r="G64" s="119">
        <v>26100762</v>
      </c>
      <c r="H64" s="118">
        <f>_xlfn.COMPOUNDVALUE(864)</f>
        <v>605</v>
      </c>
      <c r="I64" s="120">
        <v>2052268</v>
      </c>
      <c r="J64" s="118">
        <v>743</v>
      </c>
      <c r="K64" s="120">
        <v>300369</v>
      </c>
      <c r="L64" s="118">
        <v>10052</v>
      </c>
      <c r="M64" s="120">
        <v>24348864</v>
      </c>
      <c r="N64" s="204">
        <v>10644</v>
      </c>
      <c r="O64" s="205">
        <v>437</v>
      </c>
      <c r="P64" s="205">
        <v>20</v>
      </c>
      <c r="Q64" s="206">
        <v>11101</v>
      </c>
      <c r="R64" s="73" t="s">
        <v>85</v>
      </c>
    </row>
    <row r="65" spans="1:18" ht="15.75" customHeight="1">
      <c r="A65" s="74" t="s">
        <v>86</v>
      </c>
      <c r="B65" s="121">
        <f>_xlfn.COMPOUNDVALUE(865)</f>
        <v>3183</v>
      </c>
      <c r="C65" s="122">
        <v>10211168</v>
      </c>
      <c r="D65" s="121">
        <f>_xlfn.COMPOUNDVALUE(866)</f>
        <v>2606</v>
      </c>
      <c r="E65" s="122">
        <v>1514244</v>
      </c>
      <c r="F65" s="121">
        <f>_xlfn.COMPOUNDVALUE(867)</f>
        <v>5789</v>
      </c>
      <c r="G65" s="122">
        <v>11725412</v>
      </c>
      <c r="H65" s="121">
        <f>_xlfn.COMPOUNDVALUE(868)</f>
        <v>276</v>
      </c>
      <c r="I65" s="123">
        <v>560227</v>
      </c>
      <c r="J65" s="121">
        <v>457</v>
      </c>
      <c r="K65" s="123">
        <v>91378</v>
      </c>
      <c r="L65" s="121">
        <v>6203</v>
      </c>
      <c r="M65" s="123">
        <v>11256564</v>
      </c>
      <c r="N65" s="204">
        <v>6900</v>
      </c>
      <c r="O65" s="205">
        <v>234</v>
      </c>
      <c r="P65" s="205">
        <v>12</v>
      </c>
      <c r="Q65" s="206">
        <v>7146</v>
      </c>
      <c r="R65" s="73" t="s">
        <v>86</v>
      </c>
    </row>
    <row r="66" spans="1:18" ht="15.75" customHeight="1">
      <c r="A66" s="74"/>
      <c r="B66" s="121"/>
      <c r="C66" s="122"/>
      <c r="D66" s="121"/>
      <c r="E66" s="122"/>
      <c r="F66" s="121"/>
      <c r="G66" s="122"/>
      <c r="H66" s="121"/>
      <c r="I66" s="123"/>
      <c r="J66" s="121"/>
      <c r="K66" s="123"/>
      <c r="L66" s="121"/>
      <c r="M66" s="123"/>
      <c r="N66" s="204"/>
      <c r="O66" s="205"/>
      <c r="P66" s="205"/>
      <c r="Q66" s="206"/>
      <c r="R66" s="73" t="s">
        <v>35</v>
      </c>
    </row>
    <row r="67" spans="1:18" ht="15.75" customHeight="1">
      <c r="A67" s="74" t="s">
        <v>87</v>
      </c>
      <c r="B67" s="121">
        <f>_xlfn.COMPOUNDVALUE(869)</f>
        <v>5724</v>
      </c>
      <c r="C67" s="122">
        <v>26992089</v>
      </c>
      <c r="D67" s="121">
        <f>_xlfn.COMPOUNDVALUE(870)</f>
        <v>3529</v>
      </c>
      <c r="E67" s="122">
        <v>2060197</v>
      </c>
      <c r="F67" s="121">
        <f>_xlfn.COMPOUNDVALUE(871)</f>
        <v>9253</v>
      </c>
      <c r="G67" s="122">
        <v>29052287</v>
      </c>
      <c r="H67" s="121">
        <f>_xlfn.COMPOUNDVALUE(872)</f>
        <v>528</v>
      </c>
      <c r="I67" s="123">
        <v>3511576</v>
      </c>
      <c r="J67" s="121">
        <v>655</v>
      </c>
      <c r="K67" s="123">
        <v>66204</v>
      </c>
      <c r="L67" s="121">
        <v>9986</v>
      </c>
      <c r="M67" s="123">
        <v>25606914</v>
      </c>
      <c r="N67" s="204">
        <v>10663</v>
      </c>
      <c r="O67" s="205">
        <v>367</v>
      </c>
      <c r="P67" s="205">
        <v>34</v>
      </c>
      <c r="Q67" s="206">
        <v>11064</v>
      </c>
      <c r="R67" s="73" t="s">
        <v>87</v>
      </c>
    </row>
    <row r="68" spans="1:18" ht="15.75" customHeight="1">
      <c r="A68" s="74" t="s">
        <v>88</v>
      </c>
      <c r="B68" s="121">
        <f>_xlfn.COMPOUNDVALUE(873)</f>
        <v>4623</v>
      </c>
      <c r="C68" s="122">
        <v>19779637</v>
      </c>
      <c r="D68" s="121">
        <f>_xlfn.COMPOUNDVALUE(874)</f>
        <v>3069</v>
      </c>
      <c r="E68" s="122">
        <v>1693621</v>
      </c>
      <c r="F68" s="121">
        <f>_xlfn.COMPOUNDVALUE(875)</f>
        <v>7692</v>
      </c>
      <c r="G68" s="122">
        <v>21473258</v>
      </c>
      <c r="H68" s="121">
        <f>_xlfn.COMPOUNDVALUE(876)</f>
        <v>424</v>
      </c>
      <c r="I68" s="123">
        <v>3620553</v>
      </c>
      <c r="J68" s="121">
        <v>450</v>
      </c>
      <c r="K68" s="123">
        <v>84820</v>
      </c>
      <c r="L68" s="121">
        <v>8273</v>
      </c>
      <c r="M68" s="123">
        <v>17937525</v>
      </c>
      <c r="N68" s="204">
        <v>8565</v>
      </c>
      <c r="O68" s="205">
        <v>259</v>
      </c>
      <c r="P68" s="205">
        <v>25</v>
      </c>
      <c r="Q68" s="206">
        <v>8849</v>
      </c>
      <c r="R68" s="73" t="s">
        <v>88</v>
      </c>
    </row>
    <row r="69" spans="1:18" ht="15.75" customHeight="1">
      <c r="A69" s="74" t="s">
        <v>89</v>
      </c>
      <c r="B69" s="121">
        <f>_xlfn.COMPOUNDVALUE(877)</f>
        <v>5946</v>
      </c>
      <c r="C69" s="122">
        <v>25300170</v>
      </c>
      <c r="D69" s="121">
        <f>_xlfn.COMPOUNDVALUE(878)</f>
        <v>4351</v>
      </c>
      <c r="E69" s="122">
        <v>2419584</v>
      </c>
      <c r="F69" s="121">
        <f>_xlfn.COMPOUNDVALUE(879)</f>
        <v>10297</v>
      </c>
      <c r="G69" s="122">
        <v>27719754</v>
      </c>
      <c r="H69" s="121">
        <f>_xlfn.COMPOUNDVALUE(880)</f>
        <v>659</v>
      </c>
      <c r="I69" s="123">
        <v>1795850</v>
      </c>
      <c r="J69" s="121">
        <v>749</v>
      </c>
      <c r="K69" s="123">
        <v>106733</v>
      </c>
      <c r="L69" s="121">
        <v>11244</v>
      </c>
      <c r="M69" s="123">
        <v>26030636</v>
      </c>
      <c r="N69" s="204">
        <v>11992</v>
      </c>
      <c r="O69" s="205">
        <v>427</v>
      </c>
      <c r="P69" s="205">
        <v>34</v>
      </c>
      <c r="Q69" s="206">
        <v>12453</v>
      </c>
      <c r="R69" s="73" t="s">
        <v>89</v>
      </c>
    </row>
    <row r="70" spans="1:18" ht="15.75" customHeight="1">
      <c r="A70" s="74" t="s">
        <v>90</v>
      </c>
      <c r="B70" s="121">
        <f>_xlfn.COMPOUNDVALUE(881)</f>
        <v>6733</v>
      </c>
      <c r="C70" s="122">
        <v>27337507</v>
      </c>
      <c r="D70" s="121">
        <f>_xlfn.COMPOUNDVALUE(882)</f>
        <v>4377</v>
      </c>
      <c r="E70" s="122">
        <v>2434773</v>
      </c>
      <c r="F70" s="121">
        <f>_xlfn.COMPOUNDVALUE(883)</f>
        <v>11110</v>
      </c>
      <c r="G70" s="122">
        <v>29772280</v>
      </c>
      <c r="H70" s="121">
        <f>_xlfn.COMPOUNDVALUE(884)</f>
        <v>670</v>
      </c>
      <c r="I70" s="123">
        <v>3056765</v>
      </c>
      <c r="J70" s="121">
        <v>814</v>
      </c>
      <c r="K70" s="123">
        <v>170509</v>
      </c>
      <c r="L70" s="121">
        <v>12060</v>
      </c>
      <c r="M70" s="123">
        <v>26886024</v>
      </c>
      <c r="N70" s="204">
        <v>12665</v>
      </c>
      <c r="O70" s="205">
        <v>419</v>
      </c>
      <c r="P70" s="205">
        <v>33</v>
      </c>
      <c r="Q70" s="206">
        <v>13117</v>
      </c>
      <c r="R70" s="73" t="s">
        <v>90</v>
      </c>
    </row>
    <row r="71" spans="1:18" ht="15.75" customHeight="1">
      <c r="A71" s="74" t="s">
        <v>91</v>
      </c>
      <c r="B71" s="121">
        <f>_xlfn.COMPOUNDVALUE(885)</f>
        <v>3201</v>
      </c>
      <c r="C71" s="122">
        <v>19302452</v>
      </c>
      <c r="D71" s="121">
        <f>_xlfn.COMPOUNDVALUE(886)</f>
        <v>1918</v>
      </c>
      <c r="E71" s="122">
        <v>1198325</v>
      </c>
      <c r="F71" s="121">
        <f>_xlfn.COMPOUNDVALUE(887)</f>
        <v>5119</v>
      </c>
      <c r="G71" s="122">
        <v>20500777</v>
      </c>
      <c r="H71" s="121">
        <f>_xlfn.COMPOUNDVALUE(888)</f>
        <v>341</v>
      </c>
      <c r="I71" s="123">
        <v>2328725</v>
      </c>
      <c r="J71" s="121">
        <v>328</v>
      </c>
      <c r="K71" s="123">
        <v>80234</v>
      </c>
      <c r="L71" s="121">
        <v>5603</v>
      </c>
      <c r="M71" s="123">
        <v>18252286</v>
      </c>
      <c r="N71" s="204">
        <v>5696</v>
      </c>
      <c r="O71" s="205">
        <v>287</v>
      </c>
      <c r="P71" s="205">
        <v>18</v>
      </c>
      <c r="Q71" s="206">
        <v>6001</v>
      </c>
      <c r="R71" s="73" t="s">
        <v>91</v>
      </c>
    </row>
    <row r="72" spans="1:18" ht="15.75" customHeight="1">
      <c r="A72" s="142" t="s">
        <v>92</v>
      </c>
      <c r="B72" s="143">
        <v>276015</v>
      </c>
      <c r="C72" s="144">
        <v>6346286688</v>
      </c>
      <c r="D72" s="143">
        <v>129948</v>
      </c>
      <c r="E72" s="144">
        <v>88088737</v>
      </c>
      <c r="F72" s="143">
        <v>405963</v>
      </c>
      <c r="G72" s="144">
        <v>6434375422</v>
      </c>
      <c r="H72" s="143">
        <v>48961</v>
      </c>
      <c r="I72" s="145">
        <v>2222666540</v>
      </c>
      <c r="J72" s="143">
        <v>31130</v>
      </c>
      <c r="K72" s="145">
        <v>12672362</v>
      </c>
      <c r="L72" s="143">
        <v>463497</v>
      </c>
      <c r="M72" s="145">
        <v>4224381242</v>
      </c>
      <c r="N72" s="207">
        <v>470478</v>
      </c>
      <c r="O72" s="208">
        <v>35215</v>
      </c>
      <c r="P72" s="208">
        <v>5963</v>
      </c>
      <c r="Q72" s="209">
        <v>511656</v>
      </c>
      <c r="R72" s="146" t="s">
        <v>93</v>
      </c>
    </row>
    <row r="73" spans="1:18" ht="15.75" customHeight="1">
      <c r="A73" s="157"/>
      <c r="B73" s="158"/>
      <c r="C73" s="159"/>
      <c r="D73" s="158"/>
      <c r="E73" s="159"/>
      <c r="F73" s="158"/>
      <c r="G73" s="159"/>
      <c r="H73" s="158"/>
      <c r="I73" s="160"/>
      <c r="J73" s="158"/>
      <c r="K73" s="160"/>
      <c r="L73" s="158"/>
      <c r="M73" s="160"/>
      <c r="N73" s="213"/>
      <c r="O73" s="214"/>
      <c r="P73" s="214"/>
      <c r="Q73" s="215"/>
      <c r="R73" s="161" t="s">
        <v>35</v>
      </c>
    </row>
    <row r="74" spans="1:18" ht="15.75" customHeight="1">
      <c r="A74" s="72" t="s">
        <v>94</v>
      </c>
      <c r="B74" s="118">
        <f>_xlfn.COMPOUNDVALUE(889)</f>
        <v>6011</v>
      </c>
      <c r="C74" s="119">
        <v>31170342</v>
      </c>
      <c r="D74" s="118">
        <f>_xlfn.COMPOUNDVALUE(890)</f>
        <v>4383</v>
      </c>
      <c r="E74" s="119">
        <v>2485246</v>
      </c>
      <c r="F74" s="118">
        <f>_xlfn.COMPOUNDVALUE(891)</f>
        <v>10394</v>
      </c>
      <c r="G74" s="119">
        <v>33655587</v>
      </c>
      <c r="H74" s="118">
        <f>_xlfn.COMPOUNDVALUE(892)</f>
        <v>561</v>
      </c>
      <c r="I74" s="120">
        <v>12508280</v>
      </c>
      <c r="J74" s="118">
        <v>686</v>
      </c>
      <c r="K74" s="120">
        <v>134210</v>
      </c>
      <c r="L74" s="118">
        <v>11202</v>
      </c>
      <c r="M74" s="120">
        <v>21281517</v>
      </c>
      <c r="N74" s="204">
        <v>11714</v>
      </c>
      <c r="O74" s="205">
        <v>399</v>
      </c>
      <c r="P74" s="205">
        <v>24</v>
      </c>
      <c r="Q74" s="206">
        <v>12137</v>
      </c>
      <c r="R74" s="82" t="s">
        <v>94</v>
      </c>
    </row>
    <row r="75" spans="1:18" ht="15.75" customHeight="1">
      <c r="A75" s="74" t="s">
        <v>95</v>
      </c>
      <c r="B75" s="121">
        <f>_xlfn.COMPOUNDVALUE(893)</f>
        <v>7461</v>
      </c>
      <c r="C75" s="122">
        <v>43402491</v>
      </c>
      <c r="D75" s="121">
        <f>_xlfn.COMPOUNDVALUE(894)</f>
        <v>5710</v>
      </c>
      <c r="E75" s="122">
        <v>3357989</v>
      </c>
      <c r="F75" s="121">
        <f>_xlfn.COMPOUNDVALUE(895)</f>
        <v>13171</v>
      </c>
      <c r="G75" s="122">
        <v>46760480</v>
      </c>
      <c r="H75" s="121">
        <f>_xlfn.COMPOUNDVALUE(896)</f>
        <v>663</v>
      </c>
      <c r="I75" s="123">
        <v>4315201</v>
      </c>
      <c r="J75" s="121">
        <v>817</v>
      </c>
      <c r="K75" s="123">
        <v>150808</v>
      </c>
      <c r="L75" s="121">
        <v>14081</v>
      </c>
      <c r="M75" s="123">
        <v>42596087</v>
      </c>
      <c r="N75" s="204">
        <v>14561</v>
      </c>
      <c r="O75" s="205">
        <v>526</v>
      </c>
      <c r="P75" s="205">
        <v>36</v>
      </c>
      <c r="Q75" s="206">
        <v>15123</v>
      </c>
      <c r="R75" s="73" t="s">
        <v>95</v>
      </c>
    </row>
    <row r="76" spans="1:18" ht="15.75" customHeight="1">
      <c r="A76" s="74" t="s">
        <v>96</v>
      </c>
      <c r="B76" s="121">
        <f>_xlfn.COMPOUNDVALUE(897)</f>
        <v>5192</v>
      </c>
      <c r="C76" s="122">
        <v>41997416</v>
      </c>
      <c r="D76" s="121">
        <f>_xlfn.COMPOUNDVALUE(898)</f>
        <v>4347</v>
      </c>
      <c r="E76" s="122">
        <v>2698906</v>
      </c>
      <c r="F76" s="121">
        <f>_xlfn.COMPOUNDVALUE(899)</f>
        <v>9539</v>
      </c>
      <c r="G76" s="122">
        <v>44696322</v>
      </c>
      <c r="H76" s="121">
        <f>_xlfn.COMPOUNDVALUE(900)</f>
        <v>599</v>
      </c>
      <c r="I76" s="123">
        <v>8625012</v>
      </c>
      <c r="J76" s="121">
        <v>523</v>
      </c>
      <c r="K76" s="123">
        <v>631313</v>
      </c>
      <c r="L76" s="121">
        <v>10335</v>
      </c>
      <c r="M76" s="123">
        <v>36702623</v>
      </c>
      <c r="N76" s="204">
        <v>10968</v>
      </c>
      <c r="O76" s="205">
        <v>448</v>
      </c>
      <c r="P76" s="205">
        <v>49</v>
      </c>
      <c r="Q76" s="206">
        <v>11465</v>
      </c>
      <c r="R76" s="73" t="s">
        <v>96</v>
      </c>
    </row>
    <row r="77" spans="1:18" ht="15.75" customHeight="1">
      <c r="A77" s="74" t="s">
        <v>97</v>
      </c>
      <c r="B77" s="121">
        <f>_xlfn.COMPOUNDVALUE(901)</f>
        <v>4525</v>
      </c>
      <c r="C77" s="122">
        <v>21498258</v>
      </c>
      <c r="D77" s="121">
        <f>_xlfn.COMPOUNDVALUE(902)</f>
        <v>3412</v>
      </c>
      <c r="E77" s="122">
        <v>1879958</v>
      </c>
      <c r="F77" s="121">
        <f>_xlfn.COMPOUNDVALUE(903)</f>
        <v>7937</v>
      </c>
      <c r="G77" s="122">
        <v>23378216</v>
      </c>
      <c r="H77" s="121">
        <f>_xlfn.COMPOUNDVALUE(904)</f>
        <v>335</v>
      </c>
      <c r="I77" s="123">
        <v>2822919</v>
      </c>
      <c r="J77" s="121">
        <v>596</v>
      </c>
      <c r="K77" s="123">
        <v>24778</v>
      </c>
      <c r="L77" s="121">
        <v>8464</v>
      </c>
      <c r="M77" s="123">
        <v>20580075</v>
      </c>
      <c r="N77" s="204">
        <v>8732</v>
      </c>
      <c r="O77" s="205">
        <v>196</v>
      </c>
      <c r="P77" s="205">
        <v>7</v>
      </c>
      <c r="Q77" s="206">
        <v>8935</v>
      </c>
      <c r="R77" s="73" t="s">
        <v>97</v>
      </c>
    </row>
    <row r="78" spans="1:18" ht="15.75" customHeight="1">
      <c r="A78" s="74" t="s">
        <v>98</v>
      </c>
      <c r="B78" s="121">
        <f>_xlfn.COMPOUNDVALUE(905)</f>
        <v>5936</v>
      </c>
      <c r="C78" s="122">
        <v>43050840</v>
      </c>
      <c r="D78" s="121">
        <f>_xlfn.COMPOUNDVALUE(906)</f>
        <v>4569</v>
      </c>
      <c r="E78" s="122">
        <v>2618019</v>
      </c>
      <c r="F78" s="121">
        <f>_xlfn.COMPOUNDVALUE(907)</f>
        <v>10505</v>
      </c>
      <c r="G78" s="122">
        <v>45668859</v>
      </c>
      <c r="H78" s="121">
        <f>_xlfn.COMPOUNDVALUE(908)</f>
        <v>530</v>
      </c>
      <c r="I78" s="123">
        <v>3851255</v>
      </c>
      <c r="J78" s="121">
        <v>592</v>
      </c>
      <c r="K78" s="123">
        <v>185652</v>
      </c>
      <c r="L78" s="121">
        <v>11282</v>
      </c>
      <c r="M78" s="123">
        <v>42003255</v>
      </c>
      <c r="N78" s="204">
        <v>12103</v>
      </c>
      <c r="O78" s="205">
        <v>430</v>
      </c>
      <c r="P78" s="205">
        <v>29</v>
      </c>
      <c r="Q78" s="206">
        <v>12562</v>
      </c>
      <c r="R78" s="73" t="s">
        <v>98</v>
      </c>
    </row>
    <row r="79" spans="1:18" ht="15.75" customHeight="1">
      <c r="A79" s="99"/>
      <c r="B79" s="127"/>
      <c r="C79" s="128"/>
      <c r="D79" s="127"/>
      <c r="E79" s="128"/>
      <c r="F79" s="127"/>
      <c r="G79" s="128"/>
      <c r="H79" s="127"/>
      <c r="I79" s="129"/>
      <c r="J79" s="127"/>
      <c r="K79" s="129"/>
      <c r="L79" s="127"/>
      <c r="M79" s="128"/>
      <c r="N79" s="204"/>
      <c r="O79" s="205"/>
      <c r="P79" s="205"/>
      <c r="Q79" s="206"/>
      <c r="R79" s="101" t="s">
        <v>35</v>
      </c>
    </row>
    <row r="80" spans="1:18" ht="15.75" customHeight="1">
      <c r="A80" s="94" t="s">
        <v>99</v>
      </c>
      <c r="B80" s="118">
        <f>_xlfn.COMPOUNDVALUE(909)</f>
        <v>4242</v>
      </c>
      <c r="C80" s="119">
        <v>17346629</v>
      </c>
      <c r="D80" s="118">
        <f>_xlfn.COMPOUNDVALUE(910)</f>
        <v>3353</v>
      </c>
      <c r="E80" s="119">
        <v>1956159</v>
      </c>
      <c r="F80" s="118">
        <f>_xlfn.COMPOUNDVALUE(911)</f>
        <v>7595</v>
      </c>
      <c r="G80" s="119">
        <v>19302788</v>
      </c>
      <c r="H80" s="118">
        <f>_xlfn.COMPOUNDVALUE(912)</f>
        <v>437</v>
      </c>
      <c r="I80" s="120">
        <v>1519373</v>
      </c>
      <c r="J80" s="118">
        <v>477</v>
      </c>
      <c r="K80" s="120">
        <v>101102</v>
      </c>
      <c r="L80" s="118">
        <v>8162</v>
      </c>
      <c r="M80" s="120">
        <v>17884516</v>
      </c>
      <c r="N80" s="204">
        <v>8640</v>
      </c>
      <c r="O80" s="205">
        <v>316</v>
      </c>
      <c r="P80" s="205">
        <v>21</v>
      </c>
      <c r="Q80" s="206">
        <v>8977</v>
      </c>
      <c r="R80" s="93" t="s">
        <v>99</v>
      </c>
    </row>
    <row r="81" spans="1:18" ht="15.75" customHeight="1">
      <c r="A81" s="74" t="s">
        <v>100</v>
      </c>
      <c r="B81" s="121">
        <f>_xlfn.COMPOUNDVALUE(913)</f>
        <v>3270</v>
      </c>
      <c r="C81" s="122">
        <v>20154462</v>
      </c>
      <c r="D81" s="121">
        <f>_xlfn.COMPOUNDVALUE(914)</f>
        <v>2574</v>
      </c>
      <c r="E81" s="122">
        <v>1469157</v>
      </c>
      <c r="F81" s="121">
        <f>_xlfn.COMPOUNDVALUE(915)</f>
        <v>5844</v>
      </c>
      <c r="G81" s="122">
        <v>21623619</v>
      </c>
      <c r="H81" s="121">
        <f>_xlfn.COMPOUNDVALUE(916)</f>
        <v>390</v>
      </c>
      <c r="I81" s="123">
        <v>7397330</v>
      </c>
      <c r="J81" s="121">
        <v>380</v>
      </c>
      <c r="K81" s="123">
        <v>45836</v>
      </c>
      <c r="L81" s="121">
        <v>6373</v>
      </c>
      <c r="M81" s="123">
        <v>14272125</v>
      </c>
      <c r="N81" s="204">
        <v>6905</v>
      </c>
      <c r="O81" s="205">
        <v>258</v>
      </c>
      <c r="P81" s="205">
        <v>21</v>
      </c>
      <c r="Q81" s="206">
        <v>7184</v>
      </c>
      <c r="R81" s="73" t="s">
        <v>100</v>
      </c>
    </row>
    <row r="82" spans="1:18" ht="15.75" customHeight="1">
      <c r="A82" s="74" t="s">
        <v>101</v>
      </c>
      <c r="B82" s="121">
        <f>_xlfn.COMPOUNDVALUE(917)</f>
        <v>6276</v>
      </c>
      <c r="C82" s="122">
        <v>24706629</v>
      </c>
      <c r="D82" s="121">
        <f>_xlfn.COMPOUNDVALUE(918)</f>
        <v>5394</v>
      </c>
      <c r="E82" s="122">
        <v>2940349</v>
      </c>
      <c r="F82" s="121">
        <f>_xlfn.COMPOUNDVALUE(919)</f>
        <v>11670</v>
      </c>
      <c r="G82" s="122">
        <v>27646978</v>
      </c>
      <c r="H82" s="121">
        <f>_xlfn.COMPOUNDVALUE(920)</f>
        <v>498</v>
      </c>
      <c r="I82" s="123">
        <v>4861562</v>
      </c>
      <c r="J82" s="121">
        <v>700</v>
      </c>
      <c r="K82" s="123">
        <v>128620</v>
      </c>
      <c r="L82" s="121">
        <v>12424</v>
      </c>
      <c r="M82" s="123">
        <v>22914037</v>
      </c>
      <c r="N82" s="204">
        <v>13163</v>
      </c>
      <c r="O82" s="205">
        <v>459</v>
      </c>
      <c r="P82" s="205">
        <v>33</v>
      </c>
      <c r="Q82" s="206">
        <v>13655</v>
      </c>
      <c r="R82" s="73" t="s">
        <v>101</v>
      </c>
    </row>
    <row r="83" spans="1:18" ht="15.75" customHeight="1">
      <c r="A83" s="142" t="s">
        <v>102</v>
      </c>
      <c r="B83" s="143">
        <v>42913</v>
      </c>
      <c r="C83" s="144">
        <v>243327067</v>
      </c>
      <c r="D83" s="143">
        <v>33742</v>
      </c>
      <c r="E83" s="144">
        <v>19405783</v>
      </c>
      <c r="F83" s="143">
        <v>76655</v>
      </c>
      <c r="G83" s="144">
        <v>262732849</v>
      </c>
      <c r="H83" s="143">
        <v>4013</v>
      </c>
      <c r="I83" s="145">
        <v>45900932</v>
      </c>
      <c r="J83" s="143">
        <v>4771</v>
      </c>
      <c r="K83" s="145">
        <v>1402319</v>
      </c>
      <c r="L83" s="143">
        <v>82323</v>
      </c>
      <c r="M83" s="145">
        <v>218234235</v>
      </c>
      <c r="N83" s="207">
        <v>86786</v>
      </c>
      <c r="O83" s="208">
        <v>3032</v>
      </c>
      <c r="P83" s="208">
        <v>220</v>
      </c>
      <c r="Q83" s="209">
        <v>90038</v>
      </c>
      <c r="R83" s="146" t="s">
        <v>103</v>
      </c>
    </row>
    <row r="84" spans="1:18" ht="15.75" customHeight="1">
      <c r="A84" s="157"/>
      <c r="B84" s="158"/>
      <c r="C84" s="159"/>
      <c r="D84" s="158"/>
      <c r="E84" s="159"/>
      <c r="F84" s="158"/>
      <c r="G84" s="159"/>
      <c r="H84" s="158"/>
      <c r="I84" s="160"/>
      <c r="J84" s="158"/>
      <c r="K84" s="160"/>
      <c r="L84" s="158"/>
      <c r="M84" s="160"/>
      <c r="N84" s="213"/>
      <c r="O84" s="214"/>
      <c r="P84" s="214"/>
      <c r="Q84" s="215"/>
      <c r="R84" s="161" t="s">
        <v>35</v>
      </c>
    </row>
    <row r="85" spans="1:18" ht="15.75" customHeight="1">
      <c r="A85" s="152" t="s">
        <v>104</v>
      </c>
      <c r="B85" s="153">
        <v>318928</v>
      </c>
      <c r="C85" s="154">
        <v>6589613752</v>
      </c>
      <c r="D85" s="153">
        <v>163690</v>
      </c>
      <c r="E85" s="154">
        <v>107494518</v>
      </c>
      <c r="F85" s="153">
        <v>482618</v>
      </c>
      <c r="G85" s="154">
        <v>6697108270</v>
      </c>
      <c r="H85" s="153">
        <v>52974</v>
      </c>
      <c r="I85" s="155">
        <v>2268567472</v>
      </c>
      <c r="J85" s="153">
        <v>35901</v>
      </c>
      <c r="K85" s="155">
        <v>14074681</v>
      </c>
      <c r="L85" s="153">
        <v>545820</v>
      </c>
      <c r="M85" s="155">
        <v>4442615479</v>
      </c>
      <c r="N85" s="216">
        <v>557264</v>
      </c>
      <c r="O85" s="217">
        <v>38247</v>
      </c>
      <c r="P85" s="217">
        <v>6183</v>
      </c>
      <c r="Q85" s="218">
        <v>601694</v>
      </c>
      <c r="R85" s="156" t="s">
        <v>105</v>
      </c>
    </row>
    <row r="86" spans="1:18" ht="15.75" customHeight="1">
      <c r="A86" s="147"/>
      <c r="B86" s="148"/>
      <c r="C86" s="149"/>
      <c r="D86" s="148"/>
      <c r="E86" s="149"/>
      <c r="F86" s="150"/>
      <c r="G86" s="149"/>
      <c r="H86" s="150"/>
      <c r="I86" s="149"/>
      <c r="J86" s="150"/>
      <c r="K86" s="149"/>
      <c r="L86" s="150"/>
      <c r="M86" s="149"/>
      <c r="N86" s="210"/>
      <c r="O86" s="211"/>
      <c r="P86" s="211"/>
      <c r="Q86" s="212"/>
      <c r="R86" s="151" t="s">
        <v>35</v>
      </c>
    </row>
    <row r="87" spans="1:18" ht="15.75" customHeight="1">
      <c r="A87" s="72" t="s">
        <v>106</v>
      </c>
      <c r="B87" s="118">
        <f>_xlfn.COMPOUNDVALUE(921)</f>
        <v>3468</v>
      </c>
      <c r="C87" s="119">
        <v>28473016</v>
      </c>
      <c r="D87" s="118">
        <f>_xlfn.COMPOUNDVALUE(922)</f>
        <v>2269</v>
      </c>
      <c r="E87" s="119">
        <v>1342336</v>
      </c>
      <c r="F87" s="118">
        <f>_xlfn.COMPOUNDVALUE(923)</f>
        <v>5737</v>
      </c>
      <c r="G87" s="119">
        <v>29815352</v>
      </c>
      <c r="H87" s="118">
        <f>_xlfn.COMPOUNDVALUE(924)</f>
        <v>348</v>
      </c>
      <c r="I87" s="120">
        <v>2498611</v>
      </c>
      <c r="J87" s="118">
        <v>351</v>
      </c>
      <c r="K87" s="120">
        <v>67501</v>
      </c>
      <c r="L87" s="118">
        <v>6187</v>
      </c>
      <c r="M87" s="120">
        <v>27384241</v>
      </c>
      <c r="N87" s="204">
        <v>6544</v>
      </c>
      <c r="O87" s="205">
        <v>251</v>
      </c>
      <c r="P87" s="205">
        <v>18</v>
      </c>
      <c r="Q87" s="206">
        <v>6813</v>
      </c>
      <c r="R87" s="82" t="s">
        <v>106</v>
      </c>
    </row>
    <row r="88" spans="1:18" ht="15.75" customHeight="1">
      <c r="A88" s="72" t="s">
        <v>107</v>
      </c>
      <c r="B88" s="118">
        <f>_xlfn.COMPOUNDVALUE(925)</f>
        <v>8388</v>
      </c>
      <c r="C88" s="119">
        <v>203968961</v>
      </c>
      <c r="D88" s="118">
        <f>_xlfn.COMPOUNDVALUE(926)</f>
        <v>3914</v>
      </c>
      <c r="E88" s="119">
        <v>2595970</v>
      </c>
      <c r="F88" s="118">
        <f>_xlfn.COMPOUNDVALUE(927)</f>
        <v>12302</v>
      </c>
      <c r="G88" s="119">
        <v>206564931</v>
      </c>
      <c r="H88" s="118">
        <f>_xlfn.COMPOUNDVALUE(928)</f>
        <v>1836</v>
      </c>
      <c r="I88" s="120">
        <v>59336340</v>
      </c>
      <c r="J88" s="118">
        <v>888</v>
      </c>
      <c r="K88" s="120">
        <v>-833699</v>
      </c>
      <c r="L88" s="118">
        <v>14375</v>
      </c>
      <c r="M88" s="120">
        <v>146394892</v>
      </c>
      <c r="N88" s="204">
        <v>14543</v>
      </c>
      <c r="O88" s="205">
        <v>980</v>
      </c>
      <c r="P88" s="205">
        <v>118</v>
      </c>
      <c r="Q88" s="206">
        <v>15641</v>
      </c>
      <c r="R88" s="73" t="s">
        <v>107</v>
      </c>
    </row>
    <row r="89" spans="1:18" ht="15.75" customHeight="1">
      <c r="A89" s="72" t="s">
        <v>108</v>
      </c>
      <c r="B89" s="118">
        <f>_xlfn.COMPOUNDVALUE(929)</f>
        <v>5071</v>
      </c>
      <c r="C89" s="119">
        <v>23546110</v>
      </c>
      <c r="D89" s="118">
        <f>_xlfn.COMPOUNDVALUE(930)</f>
        <v>3834</v>
      </c>
      <c r="E89" s="119">
        <v>2146887</v>
      </c>
      <c r="F89" s="118">
        <f>_xlfn.COMPOUNDVALUE(931)</f>
        <v>8905</v>
      </c>
      <c r="G89" s="119">
        <v>25692997</v>
      </c>
      <c r="H89" s="118">
        <f>_xlfn.COMPOUNDVALUE(932)</f>
        <v>411</v>
      </c>
      <c r="I89" s="120">
        <v>3465562</v>
      </c>
      <c r="J89" s="118">
        <v>698</v>
      </c>
      <c r="K89" s="120">
        <v>101890</v>
      </c>
      <c r="L89" s="118">
        <v>9566</v>
      </c>
      <c r="M89" s="120">
        <v>22329326</v>
      </c>
      <c r="N89" s="204">
        <v>10353</v>
      </c>
      <c r="O89" s="205">
        <v>303</v>
      </c>
      <c r="P89" s="205">
        <v>12</v>
      </c>
      <c r="Q89" s="206">
        <v>10668</v>
      </c>
      <c r="R89" s="73" t="s">
        <v>108</v>
      </c>
    </row>
    <row r="90" spans="1:18" ht="15.75" customHeight="1">
      <c r="A90" s="72" t="s">
        <v>109</v>
      </c>
      <c r="B90" s="118">
        <f>_xlfn.COMPOUNDVALUE(933)</f>
        <v>6929</v>
      </c>
      <c r="C90" s="119">
        <v>33221928</v>
      </c>
      <c r="D90" s="118">
        <f>_xlfn.COMPOUNDVALUE(934)</f>
        <v>4965</v>
      </c>
      <c r="E90" s="119">
        <v>2839667</v>
      </c>
      <c r="F90" s="118">
        <f>_xlfn.COMPOUNDVALUE(935)</f>
        <v>11894</v>
      </c>
      <c r="G90" s="119">
        <v>36061595</v>
      </c>
      <c r="H90" s="118">
        <f>_xlfn.COMPOUNDVALUE(936)</f>
        <v>724</v>
      </c>
      <c r="I90" s="120">
        <v>4154174</v>
      </c>
      <c r="J90" s="118">
        <v>687</v>
      </c>
      <c r="K90" s="120">
        <v>50078</v>
      </c>
      <c r="L90" s="118">
        <v>12837</v>
      </c>
      <c r="M90" s="120">
        <v>31957499</v>
      </c>
      <c r="N90" s="204">
        <v>13294</v>
      </c>
      <c r="O90" s="205">
        <v>497</v>
      </c>
      <c r="P90" s="205">
        <v>29</v>
      </c>
      <c r="Q90" s="206">
        <v>13820</v>
      </c>
      <c r="R90" s="73" t="s">
        <v>109</v>
      </c>
    </row>
    <row r="91" spans="1:18" ht="15.75" customHeight="1">
      <c r="A91" s="72" t="s">
        <v>110</v>
      </c>
      <c r="B91" s="118">
        <f>_xlfn.COMPOUNDVALUE(937)</f>
        <v>7877</v>
      </c>
      <c r="C91" s="119">
        <v>96202226</v>
      </c>
      <c r="D91" s="118">
        <f>_xlfn.COMPOUNDVALUE(938)</f>
        <v>4902</v>
      </c>
      <c r="E91" s="119">
        <v>3019169</v>
      </c>
      <c r="F91" s="118">
        <f>_xlfn.COMPOUNDVALUE(939)</f>
        <v>12779</v>
      </c>
      <c r="G91" s="119">
        <v>99221395</v>
      </c>
      <c r="H91" s="118">
        <f>_xlfn.COMPOUNDVALUE(940)</f>
        <v>1144</v>
      </c>
      <c r="I91" s="120">
        <v>153733801</v>
      </c>
      <c r="J91" s="118">
        <v>801</v>
      </c>
      <c r="K91" s="120">
        <v>50367</v>
      </c>
      <c r="L91" s="118">
        <v>14129</v>
      </c>
      <c r="M91" s="120">
        <v>-54462039</v>
      </c>
      <c r="N91" s="204">
        <v>14030</v>
      </c>
      <c r="O91" s="205">
        <v>744</v>
      </c>
      <c r="P91" s="205">
        <v>90</v>
      </c>
      <c r="Q91" s="206">
        <v>14864</v>
      </c>
      <c r="R91" s="73" t="s">
        <v>110</v>
      </c>
    </row>
    <row r="92" spans="1:18" ht="15.75" customHeight="1">
      <c r="A92" s="72"/>
      <c r="B92" s="118"/>
      <c r="C92" s="119"/>
      <c r="D92" s="118"/>
      <c r="E92" s="119"/>
      <c r="F92" s="118"/>
      <c r="G92" s="119"/>
      <c r="H92" s="118"/>
      <c r="I92" s="120"/>
      <c r="J92" s="118"/>
      <c r="K92" s="120"/>
      <c r="L92" s="118"/>
      <c r="M92" s="120"/>
      <c r="N92" s="204"/>
      <c r="O92" s="205"/>
      <c r="P92" s="205"/>
      <c r="Q92" s="206"/>
      <c r="R92" s="73" t="s">
        <v>35</v>
      </c>
    </row>
    <row r="93" spans="1:18" ht="15.75" customHeight="1">
      <c r="A93" s="72" t="s">
        <v>111</v>
      </c>
      <c r="B93" s="118">
        <f>_xlfn.COMPOUNDVALUE(941)</f>
        <v>4200</v>
      </c>
      <c r="C93" s="119">
        <v>22904654</v>
      </c>
      <c r="D93" s="118">
        <f>_xlfn.COMPOUNDVALUE(942)</f>
        <v>3324</v>
      </c>
      <c r="E93" s="119">
        <v>1950664</v>
      </c>
      <c r="F93" s="118">
        <f>_xlfn.COMPOUNDVALUE(943)</f>
        <v>7524</v>
      </c>
      <c r="G93" s="119">
        <v>24855318</v>
      </c>
      <c r="H93" s="118">
        <f>_xlfn.COMPOUNDVALUE(944)</f>
        <v>424</v>
      </c>
      <c r="I93" s="120">
        <v>5063920</v>
      </c>
      <c r="J93" s="118">
        <v>626</v>
      </c>
      <c r="K93" s="120">
        <v>44137</v>
      </c>
      <c r="L93" s="118">
        <v>8147</v>
      </c>
      <c r="M93" s="120">
        <v>19835535</v>
      </c>
      <c r="N93" s="204">
        <v>8665</v>
      </c>
      <c r="O93" s="205">
        <v>340</v>
      </c>
      <c r="P93" s="205">
        <v>14</v>
      </c>
      <c r="Q93" s="206">
        <v>9019</v>
      </c>
      <c r="R93" s="73" t="s">
        <v>111</v>
      </c>
    </row>
    <row r="94" spans="1:18" ht="15.75" customHeight="1">
      <c r="A94" s="72" t="s">
        <v>164</v>
      </c>
      <c r="B94" s="118">
        <f>_xlfn.COMPOUNDVALUE(945)</f>
        <v>7462</v>
      </c>
      <c r="C94" s="119">
        <v>36554250</v>
      </c>
      <c r="D94" s="118">
        <f>_xlfn.COMPOUNDVALUE(946)</f>
        <v>5754</v>
      </c>
      <c r="E94" s="119">
        <v>3638761</v>
      </c>
      <c r="F94" s="118">
        <f>_xlfn.COMPOUNDVALUE(947)</f>
        <v>13216</v>
      </c>
      <c r="G94" s="119">
        <v>40193011</v>
      </c>
      <c r="H94" s="118">
        <f>_xlfn.COMPOUNDVALUE(948)</f>
        <v>909</v>
      </c>
      <c r="I94" s="120">
        <v>4336280</v>
      </c>
      <c r="J94" s="118">
        <v>676</v>
      </c>
      <c r="K94" s="120">
        <v>148862</v>
      </c>
      <c r="L94" s="118">
        <v>14369</v>
      </c>
      <c r="M94" s="120">
        <v>36005593</v>
      </c>
      <c r="N94" s="204">
        <v>15180</v>
      </c>
      <c r="O94" s="205">
        <v>657</v>
      </c>
      <c r="P94" s="205">
        <v>46</v>
      </c>
      <c r="Q94" s="206">
        <v>15883</v>
      </c>
      <c r="R94" s="73" t="s">
        <v>112</v>
      </c>
    </row>
    <row r="95" spans="1:18" ht="15.75" customHeight="1">
      <c r="A95" s="72" t="s">
        <v>113</v>
      </c>
      <c r="B95" s="118">
        <f>_xlfn.COMPOUNDVALUE(949)</f>
        <v>5476</v>
      </c>
      <c r="C95" s="119">
        <v>106147575</v>
      </c>
      <c r="D95" s="118">
        <f>_xlfn.COMPOUNDVALUE(950)</f>
        <v>3172</v>
      </c>
      <c r="E95" s="119">
        <v>1912511</v>
      </c>
      <c r="F95" s="118">
        <f>_xlfn.COMPOUNDVALUE(951)</f>
        <v>8648</v>
      </c>
      <c r="G95" s="119">
        <v>108060086</v>
      </c>
      <c r="H95" s="118">
        <f>_xlfn.COMPOUNDVALUE(952)</f>
        <v>590</v>
      </c>
      <c r="I95" s="120">
        <v>13536163</v>
      </c>
      <c r="J95" s="118">
        <v>589</v>
      </c>
      <c r="K95" s="120">
        <v>337824</v>
      </c>
      <c r="L95" s="118">
        <v>9448</v>
      </c>
      <c r="M95" s="120">
        <v>94861747</v>
      </c>
      <c r="N95" s="204">
        <v>10093</v>
      </c>
      <c r="O95" s="205">
        <v>350</v>
      </c>
      <c r="P95" s="205">
        <v>30</v>
      </c>
      <c r="Q95" s="206">
        <v>10473</v>
      </c>
      <c r="R95" s="73" t="s">
        <v>113</v>
      </c>
    </row>
    <row r="96" spans="1:18" ht="15.75" customHeight="1">
      <c r="A96" s="72" t="s">
        <v>114</v>
      </c>
      <c r="B96" s="118">
        <f>_xlfn.COMPOUNDVALUE(953)</f>
        <v>6955</v>
      </c>
      <c r="C96" s="119">
        <v>81208554</v>
      </c>
      <c r="D96" s="118">
        <f>_xlfn.COMPOUNDVALUE(954)</f>
        <v>5356</v>
      </c>
      <c r="E96" s="119">
        <v>3280382</v>
      </c>
      <c r="F96" s="118">
        <f>_xlfn.COMPOUNDVALUE(955)</f>
        <v>12311</v>
      </c>
      <c r="G96" s="119">
        <v>84488936</v>
      </c>
      <c r="H96" s="118">
        <f>_xlfn.COMPOUNDVALUE(956)</f>
        <v>644</v>
      </c>
      <c r="I96" s="120">
        <v>6320546</v>
      </c>
      <c r="J96" s="118">
        <v>669</v>
      </c>
      <c r="K96" s="120">
        <v>1223140</v>
      </c>
      <c r="L96" s="118">
        <v>13157</v>
      </c>
      <c r="M96" s="120">
        <v>79391531</v>
      </c>
      <c r="N96" s="204">
        <v>13950</v>
      </c>
      <c r="O96" s="205">
        <v>602</v>
      </c>
      <c r="P96" s="205">
        <v>31</v>
      </c>
      <c r="Q96" s="206">
        <v>14583</v>
      </c>
      <c r="R96" s="73" t="s">
        <v>114</v>
      </c>
    </row>
    <row r="97" spans="1:18" ht="15.75" customHeight="1">
      <c r="A97" s="72" t="s">
        <v>115</v>
      </c>
      <c r="B97" s="118">
        <f>_xlfn.COMPOUNDVALUE(957)</f>
        <v>3147</v>
      </c>
      <c r="C97" s="119">
        <v>9677572</v>
      </c>
      <c r="D97" s="118">
        <f>_xlfn.COMPOUNDVALUE(958)</f>
        <v>2667</v>
      </c>
      <c r="E97" s="119">
        <v>1532802</v>
      </c>
      <c r="F97" s="118">
        <f>_xlfn.COMPOUNDVALUE(959)</f>
        <v>5814</v>
      </c>
      <c r="G97" s="119">
        <v>11210374</v>
      </c>
      <c r="H97" s="118">
        <f>_xlfn.COMPOUNDVALUE(960)</f>
        <v>337</v>
      </c>
      <c r="I97" s="120">
        <v>2167873</v>
      </c>
      <c r="J97" s="118">
        <v>420</v>
      </c>
      <c r="K97" s="120">
        <v>13757</v>
      </c>
      <c r="L97" s="118">
        <v>6269</v>
      </c>
      <c r="M97" s="120">
        <v>9056258</v>
      </c>
      <c r="N97" s="204">
        <v>6487</v>
      </c>
      <c r="O97" s="205">
        <v>312</v>
      </c>
      <c r="P97" s="205">
        <v>19</v>
      </c>
      <c r="Q97" s="206">
        <v>6818</v>
      </c>
      <c r="R97" s="73" t="s">
        <v>115</v>
      </c>
    </row>
    <row r="98" spans="1:18" ht="15.75" customHeight="1">
      <c r="A98" s="72"/>
      <c r="B98" s="118"/>
      <c r="C98" s="119"/>
      <c r="D98" s="118"/>
      <c r="E98" s="119"/>
      <c r="F98" s="118"/>
      <c r="G98" s="119"/>
      <c r="H98" s="118"/>
      <c r="I98" s="120"/>
      <c r="J98" s="118"/>
      <c r="K98" s="120"/>
      <c r="L98" s="118"/>
      <c r="M98" s="120"/>
      <c r="N98" s="204"/>
      <c r="O98" s="205"/>
      <c r="P98" s="205"/>
      <c r="Q98" s="206"/>
      <c r="R98" s="73" t="s">
        <v>35</v>
      </c>
    </row>
    <row r="99" spans="1:18" ht="15.75" customHeight="1">
      <c r="A99" s="72" t="s">
        <v>116</v>
      </c>
      <c r="B99" s="118">
        <f>_xlfn.COMPOUNDVALUE(961)</f>
        <v>4045</v>
      </c>
      <c r="C99" s="119">
        <v>16613228</v>
      </c>
      <c r="D99" s="118">
        <f>_xlfn.COMPOUNDVALUE(962)</f>
        <v>3853</v>
      </c>
      <c r="E99" s="119">
        <v>1970934</v>
      </c>
      <c r="F99" s="118">
        <f>_xlfn.COMPOUNDVALUE(963)</f>
        <v>7898</v>
      </c>
      <c r="G99" s="119">
        <v>18584162</v>
      </c>
      <c r="H99" s="118">
        <f>_xlfn.COMPOUNDVALUE(964)</f>
        <v>274</v>
      </c>
      <c r="I99" s="120">
        <v>1156185</v>
      </c>
      <c r="J99" s="118">
        <v>556</v>
      </c>
      <c r="K99" s="120">
        <v>178284</v>
      </c>
      <c r="L99" s="118">
        <v>8385</v>
      </c>
      <c r="M99" s="120">
        <v>17606261</v>
      </c>
      <c r="N99" s="204">
        <v>8637</v>
      </c>
      <c r="O99" s="205">
        <v>205</v>
      </c>
      <c r="P99" s="205">
        <v>10</v>
      </c>
      <c r="Q99" s="206">
        <v>8852</v>
      </c>
      <c r="R99" s="73" t="s">
        <v>116</v>
      </c>
    </row>
    <row r="100" spans="1:18" ht="15.75" customHeight="1">
      <c r="A100" s="72" t="s">
        <v>117</v>
      </c>
      <c r="B100" s="118">
        <f>_xlfn.COMPOUNDVALUE(965)</f>
        <v>5314</v>
      </c>
      <c r="C100" s="119">
        <v>34950330</v>
      </c>
      <c r="D100" s="118">
        <f>_xlfn.COMPOUNDVALUE(966)</f>
        <v>4417</v>
      </c>
      <c r="E100" s="119">
        <v>2320948</v>
      </c>
      <c r="F100" s="118">
        <f>_xlfn.COMPOUNDVALUE(967)</f>
        <v>9731</v>
      </c>
      <c r="G100" s="119">
        <v>37271277</v>
      </c>
      <c r="H100" s="118">
        <f>_xlfn.COMPOUNDVALUE(968)</f>
        <v>386</v>
      </c>
      <c r="I100" s="120">
        <v>4013472</v>
      </c>
      <c r="J100" s="118">
        <v>510</v>
      </c>
      <c r="K100" s="120">
        <v>74948</v>
      </c>
      <c r="L100" s="118">
        <v>10305</v>
      </c>
      <c r="M100" s="120">
        <v>33332752</v>
      </c>
      <c r="N100" s="204">
        <v>10563</v>
      </c>
      <c r="O100" s="205">
        <v>320</v>
      </c>
      <c r="P100" s="205">
        <v>19</v>
      </c>
      <c r="Q100" s="206">
        <v>10902</v>
      </c>
      <c r="R100" s="73" t="s">
        <v>117</v>
      </c>
    </row>
    <row r="101" spans="1:18" ht="15.75" customHeight="1">
      <c r="A101" s="74" t="s">
        <v>118</v>
      </c>
      <c r="B101" s="121">
        <f>_xlfn.COMPOUNDVALUE(969)</f>
        <v>2908</v>
      </c>
      <c r="C101" s="122">
        <v>10496999</v>
      </c>
      <c r="D101" s="121">
        <f>_xlfn.COMPOUNDVALUE(970)</f>
        <v>2708</v>
      </c>
      <c r="E101" s="122">
        <v>1543298</v>
      </c>
      <c r="F101" s="121">
        <f>_xlfn.COMPOUNDVALUE(971)</f>
        <v>5616</v>
      </c>
      <c r="G101" s="122">
        <v>12040297</v>
      </c>
      <c r="H101" s="121">
        <f>_xlfn.COMPOUNDVALUE(972)</f>
        <v>362</v>
      </c>
      <c r="I101" s="123">
        <v>556099</v>
      </c>
      <c r="J101" s="121">
        <v>414</v>
      </c>
      <c r="K101" s="123">
        <v>64069</v>
      </c>
      <c r="L101" s="121">
        <v>6093</v>
      </c>
      <c r="M101" s="123">
        <v>11548266</v>
      </c>
      <c r="N101" s="204">
        <v>6471</v>
      </c>
      <c r="O101" s="205">
        <v>292</v>
      </c>
      <c r="P101" s="205">
        <v>20</v>
      </c>
      <c r="Q101" s="206">
        <v>6783</v>
      </c>
      <c r="R101" s="73" t="s">
        <v>118</v>
      </c>
    </row>
    <row r="102" spans="1:18" ht="15.75" customHeight="1">
      <c r="A102" s="74" t="s">
        <v>119</v>
      </c>
      <c r="B102" s="121">
        <f>_xlfn.COMPOUNDVALUE(973)</f>
        <v>6982</v>
      </c>
      <c r="C102" s="122">
        <v>32311633</v>
      </c>
      <c r="D102" s="121">
        <f>_xlfn.COMPOUNDVALUE(974)</f>
        <v>5640</v>
      </c>
      <c r="E102" s="122">
        <v>3191127</v>
      </c>
      <c r="F102" s="121">
        <f>_xlfn.COMPOUNDVALUE(975)</f>
        <v>12622</v>
      </c>
      <c r="G102" s="122">
        <v>35502760</v>
      </c>
      <c r="H102" s="121">
        <f>_xlfn.COMPOUNDVALUE(976)</f>
        <v>705</v>
      </c>
      <c r="I102" s="123">
        <v>5475161</v>
      </c>
      <c r="J102" s="121">
        <v>899</v>
      </c>
      <c r="K102" s="123">
        <v>154211</v>
      </c>
      <c r="L102" s="121">
        <v>13656</v>
      </c>
      <c r="M102" s="123">
        <v>30181811</v>
      </c>
      <c r="N102" s="204">
        <v>13892</v>
      </c>
      <c r="O102" s="205">
        <v>580</v>
      </c>
      <c r="P102" s="205">
        <v>31</v>
      </c>
      <c r="Q102" s="206">
        <v>14503</v>
      </c>
      <c r="R102" s="73" t="s">
        <v>119</v>
      </c>
    </row>
    <row r="103" spans="1:18" ht="15.75" customHeight="1">
      <c r="A103" s="74" t="s">
        <v>120</v>
      </c>
      <c r="B103" s="121">
        <f>_xlfn.COMPOUNDVALUE(977)</f>
        <v>4269</v>
      </c>
      <c r="C103" s="122">
        <v>21891269</v>
      </c>
      <c r="D103" s="121">
        <f>_xlfn.COMPOUNDVALUE(978)</f>
        <v>3093</v>
      </c>
      <c r="E103" s="122">
        <v>1663235</v>
      </c>
      <c r="F103" s="121">
        <f>_xlfn.COMPOUNDVALUE(979)</f>
        <v>7362</v>
      </c>
      <c r="G103" s="122">
        <v>23554505</v>
      </c>
      <c r="H103" s="121">
        <f>_xlfn.COMPOUNDVALUE(980)</f>
        <v>248</v>
      </c>
      <c r="I103" s="123">
        <v>846189</v>
      </c>
      <c r="J103" s="121">
        <v>462</v>
      </c>
      <c r="K103" s="123">
        <v>35415</v>
      </c>
      <c r="L103" s="121">
        <v>7726</v>
      </c>
      <c r="M103" s="123">
        <v>22743730</v>
      </c>
      <c r="N103" s="204">
        <v>8032</v>
      </c>
      <c r="O103" s="205">
        <v>180</v>
      </c>
      <c r="P103" s="205">
        <v>23</v>
      </c>
      <c r="Q103" s="206">
        <v>8235</v>
      </c>
      <c r="R103" s="73" t="s">
        <v>120</v>
      </c>
    </row>
    <row r="104" spans="1:18" ht="15.75" customHeight="1">
      <c r="A104" s="74"/>
      <c r="B104" s="121"/>
      <c r="C104" s="122"/>
      <c r="D104" s="121"/>
      <c r="E104" s="122"/>
      <c r="F104" s="121"/>
      <c r="G104" s="122"/>
      <c r="H104" s="121"/>
      <c r="I104" s="123"/>
      <c r="J104" s="121"/>
      <c r="K104" s="123"/>
      <c r="L104" s="121"/>
      <c r="M104" s="123"/>
      <c r="N104" s="204"/>
      <c r="O104" s="205"/>
      <c r="P104" s="205"/>
      <c r="Q104" s="206"/>
      <c r="R104" s="73" t="s">
        <v>35</v>
      </c>
    </row>
    <row r="105" spans="1:18" ht="15.75" customHeight="1">
      <c r="A105" s="74" t="s">
        <v>121</v>
      </c>
      <c r="B105" s="121">
        <f>_xlfn.COMPOUNDVALUE(981)</f>
        <v>7272</v>
      </c>
      <c r="C105" s="122">
        <v>37594120</v>
      </c>
      <c r="D105" s="121">
        <f>_xlfn.COMPOUNDVALUE(982)</f>
        <v>5362</v>
      </c>
      <c r="E105" s="122">
        <v>3058499</v>
      </c>
      <c r="F105" s="121">
        <f>_xlfn.COMPOUNDVALUE(983)</f>
        <v>12634</v>
      </c>
      <c r="G105" s="122">
        <v>40652619</v>
      </c>
      <c r="H105" s="121">
        <f>_xlfn.COMPOUNDVALUE(984)</f>
        <v>570</v>
      </c>
      <c r="I105" s="123">
        <v>5585515</v>
      </c>
      <c r="J105" s="121">
        <v>860</v>
      </c>
      <c r="K105" s="123">
        <v>-58246</v>
      </c>
      <c r="L105" s="121">
        <v>13481</v>
      </c>
      <c r="M105" s="123">
        <v>35008858</v>
      </c>
      <c r="N105" s="204">
        <v>14101</v>
      </c>
      <c r="O105" s="205">
        <v>504</v>
      </c>
      <c r="P105" s="205">
        <v>37</v>
      </c>
      <c r="Q105" s="206">
        <v>14642</v>
      </c>
      <c r="R105" s="73" t="s">
        <v>121</v>
      </c>
    </row>
    <row r="106" spans="1:18" ht="15.75" customHeight="1">
      <c r="A106" s="74" t="s">
        <v>122</v>
      </c>
      <c r="B106" s="121">
        <f>_xlfn.COMPOUNDVALUE(985)</f>
        <v>3418</v>
      </c>
      <c r="C106" s="122">
        <v>25417124</v>
      </c>
      <c r="D106" s="121">
        <f>_xlfn.COMPOUNDVALUE(986)</f>
        <v>2417</v>
      </c>
      <c r="E106" s="122">
        <v>1388507</v>
      </c>
      <c r="F106" s="121">
        <f>_xlfn.COMPOUNDVALUE(987)</f>
        <v>5835</v>
      </c>
      <c r="G106" s="122">
        <v>26805631</v>
      </c>
      <c r="H106" s="121">
        <f>_xlfn.COMPOUNDVALUE(988)</f>
        <v>296</v>
      </c>
      <c r="I106" s="123">
        <v>39604233</v>
      </c>
      <c r="J106" s="121">
        <v>394</v>
      </c>
      <c r="K106" s="123">
        <v>105712</v>
      </c>
      <c r="L106" s="121">
        <v>6255</v>
      </c>
      <c r="M106" s="123">
        <v>-12692890</v>
      </c>
      <c r="N106" s="204">
        <v>6375</v>
      </c>
      <c r="O106" s="205">
        <v>240</v>
      </c>
      <c r="P106" s="205">
        <v>14</v>
      </c>
      <c r="Q106" s="206">
        <v>6629</v>
      </c>
      <c r="R106" s="73" t="s">
        <v>122</v>
      </c>
    </row>
    <row r="107" spans="1:18" ht="15.75" customHeight="1">
      <c r="A107" s="74" t="s">
        <v>123</v>
      </c>
      <c r="B107" s="121">
        <f>_xlfn.COMPOUNDVALUE(989)</f>
        <v>5483</v>
      </c>
      <c r="C107" s="122">
        <v>28158037</v>
      </c>
      <c r="D107" s="121">
        <f>_xlfn.COMPOUNDVALUE(990)</f>
        <v>4246</v>
      </c>
      <c r="E107" s="122">
        <v>2454374</v>
      </c>
      <c r="F107" s="121">
        <f>_xlfn.COMPOUNDVALUE(991)</f>
        <v>9729</v>
      </c>
      <c r="G107" s="122">
        <v>30612411</v>
      </c>
      <c r="H107" s="121">
        <f>_xlfn.COMPOUNDVALUE(992)</f>
        <v>448</v>
      </c>
      <c r="I107" s="123">
        <v>4113098</v>
      </c>
      <c r="J107" s="121">
        <v>693</v>
      </c>
      <c r="K107" s="123">
        <v>303193</v>
      </c>
      <c r="L107" s="121">
        <v>10447</v>
      </c>
      <c r="M107" s="123">
        <v>26802506</v>
      </c>
      <c r="N107" s="204">
        <v>11163</v>
      </c>
      <c r="O107" s="205">
        <v>392</v>
      </c>
      <c r="P107" s="205">
        <v>17</v>
      </c>
      <c r="Q107" s="206">
        <v>11572</v>
      </c>
      <c r="R107" s="73" t="s">
        <v>123</v>
      </c>
    </row>
    <row r="108" spans="1:18" ht="15.75" customHeight="1">
      <c r="A108" s="142" t="s">
        <v>124</v>
      </c>
      <c r="B108" s="143">
        <v>98664</v>
      </c>
      <c r="C108" s="144">
        <v>849337585</v>
      </c>
      <c r="D108" s="143">
        <v>71893</v>
      </c>
      <c r="E108" s="144">
        <v>41850070</v>
      </c>
      <c r="F108" s="143">
        <v>170557</v>
      </c>
      <c r="G108" s="144">
        <v>891187655</v>
      </c>
      <c r="H108" s="143">
        <v>10656</v>
      </c>
      <c r="I108" s="145">
        <v>315963221</v>
      </c>
      <c r="J108" s="143">
        <v>11193</v>
      </c>
      <c r="K108" s="145">
        <v>2061443</v>
      </c>
      <c r="L108" s="143">
        <v>184832</v>
      </c>
      <c r="M108" s="145">
        <v>577285877</v>
      </c>
      <c r="N108" s="207">
        <v>192373</v>
      </c>
      <c r="O108" s="208">
        <v>7749</v>
      </c>
      <c r="P108" s="208">
        <v>578</v>
      </c>
      <c r="Q108" s="209">
        <v>200700</v>
      </c>
      <c r="R108" s="146" t="s">
        <v>125</v>
      </c>
    </row>
    <row r="109" spans="1:18" ht="15.75" customHeight="1">
      <c r="A109" s="147"/>
      <c r="B109" s="148"/>
      <c r="C109" s="149"/>
      <c r="D109" s="148"/>
      <c r="E109" s="149"/>
      <c r="F109" s="150"/>
      <c r="G109" s="149"/>
      <c r="H109" s="150"/>
      <c r="I109" s="149"/>
      <c r="J109" s="150"/>
      <c r="K109" s="149"/>
      <c r="L109" s="150"/>
      <c r="M109" s="149"/>
      <c r="N109" s="210"/>
      <c r="O109" s="211"/>
      <c r="P109" s="211"/>
      <c r="Q109" s="212"/>
      <c r="R109" s="151" t="s">
        <v>35</v>
      </c>
    </row>
    <row r="110" spans="1:18" ht="15.75" customHeight="1">
      <c r="A110" s="72" t="s">
        <v>126</v>
      </c>
      <c r="B110" s="118">
        <f>_xlfn.COMPOUNDVALUE(993)</f>
        <v>6569</v>
      </c>
      <c r="C110" s="119">
        <v>36415985</v>
      </c>
      <c r="D110" s="118">
        <f>_xlfn.COMPOUNDVALUE(994)</f>
        <v>4637</v>
      </c>
      <c r="E110" s="119">
        <v>2494403</v>
      </c>
      <c r="F110" s="118">
        <f>_xlfn.COMPOUNDVALUE(995)</f>
        <v>11206</v>
      </c>
      <c r="G110" s="119">
        <v>38910388</v>
      </c>
      <c r="H110" s="118">
        <f>_xlfn.COMPOUNDVALUE(996)</f>
        <v>489</v>
      </c>
      <c r="I110" s="120">
        <v>2577164</v>
      </c>
      <c r="J110" s="118">
        <v>1013</v>
      </c>
      <c r="K110" s="120">
        <v>195419</v>
      </c>
      <c r="L110" s="118">
        <v>11990</v>
      </c>
      <c r="M110" s="120">
        <v>36528643</v>
      </c>
      <c r="N110" s="204">
        <v>12115</v>
      </c>
      <c r="O110" s="205">
        <v>368</v>
      </c>
      <c r="P110" s="205">
        <v>41</v>
      </c>
      <c r="Q110" s="206">
        <v>12524</v>
      </c>
      <c r="R110" s="82" t="s">
        <v>126</v>
      </c>
    </row>
    <row r="111" spans="1:18" ht="15.75" customHeight="1">
      <c r="A111" s="74" t="s">
        <v>127</v>
      </c>
      <c r="B111" s="121">
        <f>_xlfn.COMPOUNDVALUE(997)</f>
        <v>1753</v>
      </c>
      <c r="C111" s="122">
        <v>6550171</v>
      </c>
      <c r="D111" s="121">
        <f>_xlfn.COMPOUNDVALUE(998)</f>
        <v>1855</v>
      </c>
      <c r="E111" s="122">
        <v>772087</v>
      </c>
      <c r="F111" s="121">
        <f>_xlfn.COMPOUNDVALUE(999)</f>
        <v>3608</v>
      </c>
      <c r="G111" s="122">
        <v>7322258</v>
      </c>
      <c r="H111" s="121">
        <f>_xlfn.COMPOUNDVALUE(1000)</f>
        <v>118</v>
      </c>
      <c r="I111" s="123">
        <v>576924</v>
      </c>
      <c r="J111" s="121">
        <v>190</v>
      </c>
      <c r="K111" s="123">
        <v>-5396</v>
      </c>
      <c r="L111" s="121">
        <v>3759</v>
      </c>
      <c r="M111" s="123">
        <v>6739938</v>
      </c>
      <c r="N111" s="204">
        <v>3983</v>
      </c>
      <c r="O111" s="205">
        <v>113</v>
      </c>
      <c r="P111" s="205">
        <v>0</v>
      </c>
      <c r="Q111" s="206">
        <v>4096</v>
      </c>
      <c r="R111" s="73" t="s">
        <v>127</v>
      </c>
    </row>
    <row r="112" spans="1:18" ht="15.75" customHeight="1">
      <c r="A112" s="74" t="s">
        <v>128</v>
      </c>
      <c r="B112" s="121">
        <f>_xlfn.COMPOUNDVALUE(1001)</f>
        <v>2883</v>
      </c>
      <c r="C112" s="122">
        <v>12316530</v>
      </c>
      <c r="D112" s="121">
        <f>_xlfn.COMPOUNDVALUE(1002)</f>
        <v>2164</v>
      </c>
      <c r="E112" s="122">
        <v>1119330</v>
      </c>
      <c r="F112" s="121">
        <f>_xlfn.COMPOUNDVALUE(1003)</f>
        <v>5047</v>
      </c>
      <c r="G112" s="122">
        <v>13435860</v>
      </c>
      <c r="H112" s="121">
        <f>_xlfn.COMPOUNDVALUE(1004)</f>
        <v>191</v>
      </c>
      <c r="I112" s="123">
        <v>9016029</v>
      </c>
      <c r="J112" s="121">
        <v>392</v>
      </c>
      <c r="K112" s="123">
        <v>37777</v>
      </c>
      <c r="L112" s="121">
        <v>5343</v>
      </c>
      <c r="M112" s="123">
        <v>4457608</v>
      </c>
      <c r="N112" s="204">
        <v>5342</v>
      </c>
      <c r="O112" s="205">
        <v>164</v>
      </c>
      <c r="P112" s="205">
        <v>11</v>
      </c>
      <c r="Q112" s="206">
        <v>5517</v>
      </c>
      <c r="R112" s="73" t="s">
        <v>128</v>
      </c>
    </row>
    <row r="113" spans="1:18" ht="15.75" customHeight="1">
      <c r="A113" s="74" t="s">
        <v>129</v>
      </c>
      <c r="B113" s="121">
        <f>_xlfn.COMPOUNDVALUE(1005)</f>
        <v>608</v>
      </c>
      <c r="C113" s="122">
        <v>2178649</v>
      </c>
      <c r="D113" s="121">
        <f>_xlfn.COMPOUNDVALUE(1006)</f>
        <v>551</v>
      </c>
      <c r="E113" s="122">
        <v>261360</v>
      </c>
      <c r="F113" s="121">
        <f>_xlfn.COMPOUNDVALUE(1007)</f>
        <v>1159</v>
      </c>
      <c r="G113" s="122">
        <v>2440009</v>
      </c>
      <c r="H113" s="121">
        <f>_xlfn.COMPOUNDVALUE(1008)</f>
        <v>21</v>
      </c>
      <c r="I113" s="123">
        <v>23990</v>
      </c>
      <c r="J113" s="121">
        <v>87</v>
      </c>
      <c r="K113" s="123">
        <v>21171</v>
      </c>
      <c r="L113" s="121">
        <v>1200</v>
      </c>
      <c r="M113" s="123">
        <v>2437190</v>
      </c>
      <c r="N113" s="204">
        <v>1294</v>
      </c>
      <c r="O113" s="205">
        <v>23</v>
      </c>
      <c r="P113" s="205">
        <v>4</v>
      </c>
      <c r="Q113" s="206">
        <v>1321</v>
      </c>
      <c r="R113" s="73" t="s">
        <v>129</v>
      </c>
    </row>
    <row r="114" spans="1:18" ht="15.75" customHeight="1">
      <c r="A114" s="75" t="s">
        <v>130</v>
      </c>
      <c r="B114" s="124">
        <v>11813</v>
      </c>
      <c r="C114" s="125">
        <v>57461336</v>
      </c>
      <c r="D114" s="124">
        <v>9207</v>
      </c>
      <c r="E114" s="125">
        <v>4647179</v>
      </c>
      <c r="F114" s="124">
        <v>21020</v>
      </c>
      <c r="G114" s="125">
        <v>62108514</v>
      </c>
      <c r="H114" s="124">
        <v>819</v>
      </c>
      <c r="I114" s="126">
        <v>12194106</v>
      </c>
      <c r="J114" s="124">
        <v>1682</v>
      </c>
      <c r="K114" s="126">
        <v>248972</v>
      </c>
      <c r="L114" s="124">
        <v>22292</v>
      </c>
      <c r="M114" s="126">
        <v>50163380</v>
      </c>
      <c r="N114" s="219">
        <v>22734</v>
      </c>
      <c r="O114" s="220">
        <v>668</v>
      </c>
      <c r="P114" s="220">
        <v>56</v>
      </c>
      <c r="Q114" s="221">
        <v>23458</v>
      </c>
      <c r="R114" s="80" t="s">
        <v>131</v>
      </c>
    </row>
    <row r="115" spans="1:18" ht="15.75" customHeight="1" thickBot="1">
      <c r="A115" s="76"/>
      <c r="B115" s="130"/>
      <c r="C115" s="131"/>
      <c r="D115" s="130"/>
      <c r="E115" s="131"/>
      <c r="F115" s="132"/>
      <c r="G115" s="131"/>
      <c r="H115" s="132"/>
      <c r="I115" s="131"/>
      <c r="J115" s="132"/>
      <c r="K115" s="131"/>
      <c r="L115" s="132"/>
      <c r="M115" s="131"/>
      <c r="N115" s="222"/>
      <c r="O115" s="223"/>
      <c r="P115" s="223"/>
      <c r="Q115" s="224"/>
      <c r="R115" s="77" t="s">
        <v>35</v>
      </c>
    </row>
    <row r="116" spans="1:18" ht="15.75" customHeight="1" thickBot="1" thickTop="1">
      <c r="A116" s="78" t="s">
        <v>34</v>
      </c>
      <c r="B116" s="133">
        <v>492556</v>
      </c>
      <c r="C116" s="134">
        <v>7853885536</v>
      </c>
      <c r="D116" s="133">
        <v>291229</v>
      </c>
      <c r="E116" s="134">
        <v>179090386</v>
      </c>
      <c r="F116" s="133">
        <v>783785</v>
      </c>
      <c r="G116" s="134">
        <v>8032975923</v>
      </c>
      <c r="H116" s="133">
        <v>71664</v>
      </c>
      <c r="I116" s="135">
        <v>2635862140</v>
      </c>
      <c r="J116" s="133">
        <v>56312</v>
      </c>
      <c r="K116" s="135">
        <v>17499910</v>
      </c>
      <c r="L116" s="133">
        <v>872412</v>
      </c>
      <c r="M116" s="135">
        <v>5414613692</v>
      </c>
      <c r="N116" s="225">
        <v>895972</v>
      </c>
      <c r="O116" s="226">
        <v>52101</v>
      </c>
      <c r="P116" s="226">
        <v>7151</v>
      </c>
      <c r="Q116" s="227">
        <v>955224</v>
      </c>
      <c r="R116" s="79" t="s">
        <v>34</v>
      </c>
    </row>
    <row r="117" spans="1:10" ht="13.5">
      <c r="A117" s="270" t="s">
        <v>174</v>
      </c>
      <c r="B117" s="270"/>
      <c r="C117" s="270"/>
      <c r="D117" s="270"/>
      <c r="E117" s="270"/>
      <c r="F117" s="270"/>
      <c r="G117" s="270"/>
      <c r="H117" s="270"/>
      <c r="I117" s="270"/>
      <c r="J117" s="270"/>
    </row>
  </sheetData>
  <sheetProtection/>
  <mergeCells count="16">
    <mergeCell ref="L3:M4"/>
    <mergeCell ref="N3:Q3"/>
    <mergeCell ref="R3:R5"/>
    <mergeCell ref="B4:C4"/>
    <mergeCell ref="D4:E4"/>
    <mergeCell ref="F4:G4"/>
    <mergeCell ref="N4:N5"/>
    <mergeCell ref="O4:O5"/>
    <mergeCell ref="P4:P5"/>
    <mergeCell ref="Q4:Q5"/>
    <mergeCell ref="A117:J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&amp;R&amp;K01+000東京国税局
消費税
(R01)</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安田　和博</cp:lastModifiedBy>
  <cp:lastPrinted>2021-02-03T09:40:21Z</cp:lastPrinted>
  <dcterms:created xsi:type="dcterms:W3CDTF">2003-07-09T01:05:10Z</dcterms:created>
  <dcterms:modified xsi:type="dcterms:W3CDTF">2021-06-02T23:28:17Z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