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<sst xmlns="http://schemas.openxmlformats.org/spreadsheetml/2006/main" count="793" uniqueCount="191">
  <si>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</si>
  <si>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</si>
  <si>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</si>
  <si>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</si>
  <si>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</si>
  <si>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</si>
  <si>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</si>
  <si>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</si>
  <si>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</si>
  <si>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</si>
  <si>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</si>
  <si>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</si>
  <si>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</si>
  <si>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</si>
  <si>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</si>
  <si>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</si>
  <si>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</si>
  <si>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合　　　　　　　　　計</t>
  </si>
  <si>
    <t>法　　　　　　　人</t>
  </si>
  <si>
    <t>合　　　　　　　計</t>
  </si>
  <si>
    <t>件　　数</t>
  </si>
  <si>
    <t>税　　額</t>
  </si>
  <si>
    <t>(3)　課税事業者等届出件数</t>
  </si>
  <si>
    <t>千円</t>
  </si>
  <si>
    <t>件</t>
  </si>
  <si>
    <t>(2)　課税状況の累年比較</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</si>
  <si>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</si>
  <si>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</si>
  <si>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</si>
  <si>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</si>
  <si>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</si>
  <si>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</si>
  <si>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</si>
  <si>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</si>
  <si>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</si>
  <si>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</si>
  <si>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</si>
  <si>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</si>
  <si>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</si>
  <si>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</si>
  <si>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</si>
  <si>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</si>
  <si>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</si>
  <si>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</si>
  <si>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</si>
  <si>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</si>
  <si>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</si>
  <si>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</si>
  <si>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</si>
  <si>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</si>
  <si>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</si>
  <si>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</si>
  <si>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</si>
  <si>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</si>
  <si>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</si>
  <si>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</si>
  <si>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</si>
  <si>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</si>
  <si>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</si>
  <si>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</si>
  <si>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</si>
  <si>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</si>
  <si>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</si>
  <si>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</si>
  <si>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</si>
  <si>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</si>
  <si>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</si>
  <si>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</si>
  <si>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</si>
  <si>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</si>
  <si>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</si>
  <si>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</si>
  <si>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</si>
  <si>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</si>
  <si>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</si>
  <si>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</si>
  <si>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</si>
  <si>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</si>
  <si>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</si>
  <si>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</si>
  <si>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</si>
  <si>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</si>
  <si>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</si>
  <si>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</si>
  <si>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</si>
  <si>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</si>
  <si>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</si>
  <si>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</si>
  <si>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</si>
  <si>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</si>
  <si>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</si>
  <si>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</si>
  <si>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</si>
  <si>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</si>
  <si>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</si>
  <si>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</si>
  <si>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</si>
  <si>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</si>
  <si>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</si>
  <si>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</si>
  <si>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</si>
  <si>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</si>
  <si>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</si>
  <si>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</si>
  <si>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</si>
  <si>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</si>
  <si>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</si>
  <si>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</si>
  <si>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</si>
  <si>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</si>
  <si>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</si>
  <si>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</si>
  <si>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</si>
  <si>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</si>
  <si>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</si>
  <si>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</si>
  <si>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</si>
  <si>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</si>
  <si>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</si>
  <si>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</si>
  <si>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</si>
  <si>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</si>
  <si>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</si>
  <si>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</si>
  <si>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</si>
  <si>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</si>
  <si>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</si>
  <si>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</si>
  <si>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</si>
  <si>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</si>
  <si>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</si>
  <si>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</si>
  <si>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</si>
  <si>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</si>
  <si>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</si>
  <si>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</si>
  <si>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　イ　個人事業者</t>
  </si>
  <si>
    <t>税務署名</t>
  </si>
  <si>
    <t>税額</t>
  </si>
  <si>
    <t>税　額　①</t>
  </si>
  <si>
    <t>税　額　②</t>
  </si>
  <si>
    <t>税　額　③</t>
  </si>
  <si>
    <t>税　　　額
(①－②＋③)</t>
  </si>
  <si>
    <t>都区内計</t>
  </si>
  <si>
    <t>東京都計</t>
  </si>
  <si>
    <t>神奈川県計</t>
  </si>
  <si>
    <t>総　計</t>
  </si>
  <si>
    <t>課　税　事　業　者　等　届　出　件　数</t>
  </si>
  <si>
    <t>課税事業者
選択届出</t>
  </si>
  <si>
    <t>新設法人に
該当する旨
の届出</t>
  </si>
  <si>
    <t>税　　額
(①－②＋③)</t>
  </si>
  <si>
    <t>調査対象等：</t>
  </si>
  <si>
    <t>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</si>
  <si>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</si>
  <si>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</si>
  <si>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</si>
  <si>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</si>
  <si>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</si>
  <si>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</si>
  <si>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</si>
  <si>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</si>
  <si>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</si>
  <si>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</si>
  <si>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</si>
  <si>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</si>
  <si>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柏</t>
  </si>
  <si>
    <t>芝</t>
  </si>
  <si>
    <t>緑</t>
  </si>
  <si>
    <t>千葉県計</t>
  </si>
  <si>
    <t>都区内計</t>
  </si>
  <si>
    <t>多摩地区計</t>
  </si>
  <si>
    <t>東京都計</t>
  </si>
  <si>
    <t>神奈川県計</t>
  </si>
  <si>
    <t>山梨県計</t>
  </si>
  <si>
    <t>総　計</t>
  </si>
  <si>
    <t>平成26年度</t>
  </si>
  <si>
    <t>平成27年度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</si>
  <si>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</si>
  <si>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</si>
  <si>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　  （注）１</t>
  </si>
  <si>
    <t>　　 　 　２</t>
  </si>
  <si>
    <t>平成28年度</t>
  </si>
  <si>
    <t>実件</t>
  </si>
  <si>
    <t>(4)　税務署別課税状況等</t>
  </si>
  <si>
    <t>(4)　税務署別課税状況等（続）</t>
  </si>
  <si>
    <t>「件数」欄の「実」は、実件数を示す。</t>
  </si>
  <si>
    <t>平成29年度</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</si>
  <si>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</si>
  <si>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</si>
  <si>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</si>
  <si>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平成30年度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</si>
</sst>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b/>
      <sz val="9"/>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hair"/>
      <bottom style="hair"/>
    </border>
    <border>
      <left style="medium"/>
      <right/>
      <top style="thin">
        <color indexed="55"/>
      </top>
      <bottom style="double"/>
    </border>
    <border>
      <left style="thin"/>
      <right style="medium"/>
      <top style="thin">
        <color indexed="55"/>
      </top>
      <bottom style="double"/>
    </border>
    <border>
      <left style="hair"/>
      <right style="thin"/>
      <top style="thin">
        <color indexed="55"/>
      </top>
      <bottom style="thin">
        <color indexed="55"/>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9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distributed" vertical="center"/>
    </xf>
    <xf numFmtId="0" fontId="6" fillId="0" borderId="25" xfId="0" applyFont="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3" fontId="2" fillId="34" borderId="30"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2"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xf>
    <xf numFmtId="0" fontId="2" fillId="0" borderId="33"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7" fillId="0" borderId="35"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6" xfId="0" applyNumberFormat="1" applyFont="1" applyFill="1" applyBorder="1" applyAlignment="1">
      <alignment horizontal="right" vertical="center"/>
    </xf>
    <xf numFmtId="0" fontId="2" fillId="0" borderId="35"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7" fillId="34" borderId="40" xfId="0" applyFont="1" applyFill="1" applyBorder="1" applyAlignment="1">
      <alignment horizontal="right"/>
    </xf>
    <xf numFmtId="0" fontId="2" fillId="0" borderId="41" xfId="0" applyFont="1" applyBorder="1" applyAlignment="1">
      <alignment horizontal="left" vertical="top" wrapText="1"/>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42" xfId="61" applyFont="1" applyBorder="1" applyAlignment="1">
      <alignment horizontal="distributed" vertical="center" indent="1"/>
      <protection/>
    </xf>
    <xf numFmtId="0" fontId="2" fillId="0" borderId="43" xfId="61" applyFont="1" applyBorder="1" applyAlignment="1">
      <alignment horizontal="distributed" vertical="center" indent="1"/>
      <protection/>
    </xf>
    <xf numFmtId="0" fontId="2" fillId="0" borderId="43" xfId="61" applyFont="1" applyBorder="1" applyAlignment="1">
      <alignment horizontal="center" vertical="center" wrapText="1"/>
      <protection/>
    </xf>
    <xf numFmtId="0" fontId="7" fillId="35" borderId="35"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32"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7" fillId="35" borderId="40" xfId="61" applyFont="1" applyFill="1" applyBorder="1" applyAlignment="1">
      <alignment horizontal="distributed"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6" fillId="36" borderId="53" xfId="61" applyFont="1" applyFill="1" applyBorder="1" applyAlignment="1">
      <alignment horizontal="distributed" vertical="center"/>
      <protection/>
    </xf>
    <xf numFmtId="0" fontId="2" fillId="36" borderId="54" xfId="61" applyFont="1" applyFill="1" applyBorder="1" applyAlignment="1">
      <alignment horizontal="distributed" vertical="center"/>
      <protection/>
    </xf>
    <xf numFmtId="0" fontId="2" fillId="36" borderId="55" xfId="61" applyFont="1" applyFill="1" applyBorder="1" applyAlignment="1">
      <alignment horizontal="distributed" vertical="center"/>
      <protection/>
    </xf>
    <xf numFmtId="0" fontId="2" fillId="0" borderId="56" xfId="61" applyFont="1" applyBorder="1" applyAlignment="1">
      <alignment horizontal="distributed" vertical="center" indent="1"/>
      <protection/>
    </xf>
    <xf numFmtId="0" fontId="2" fillId="0" borderId="56" xfId="61" applyFont="1" applyBorder="1" applyAlignment="1">
      <alignment horizontal="centerContinuous" vertical="center" wrapText="1"/>
      <protection/>
    </xf>
    <xf numFmtId="0" fontId="7" fillId="33" borderId="44" xfId="61" applyFont="1" applyFill="1" applyBorder="1" applyAlignment="1">
      <alignment horizontal="right" vertical="top"/>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9" xfId="61" applyFont="1" applyFill="1" applyBorder="1" applyAlignment="1">
      <alignment horizontal="distributed" vertical="top"/>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0" fontId="2" fillId="36" borderId="62" xfId="61" applyFont="1" applyFill="1" applyBorder="1" applyAlignment="1">
      <alignment horizontal="distributed" vertical="center"/>
      <protection/>
    </xf>
    <xf numFmtId="0" fontId="12" fillId="37" borderId="60" xfId="61" applyFont="1" applyFill="1" applyBorder="1" applyAlignment="1">
      <alignment horizontal="distributed" vertical="center"/>
      <protection/>
    </xf>
    <xf numFmtId="0" fontId="7" fillId="35" borderId="63"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4" xfId="61" applyFont="1" applyFill="1" applyBorder="1" applyAlignment="1">
      <alignment horizontal="distributed" vertical="center"/>
      <protection/>
    </xf>
    <xf numFmtId="0" fontId="2" fillId="36" borderId="65" xfId="61" applyFont="1" applyFill="1" applyBorder="1" applyAlignment="1">
      <alignment horizontal="distributed" vertical="center"/>
      <protection/>
    </xf>
    <xf numFmtId="0" fontId="2" fillId="36" borderId="66" xfId="61" applyFont="1" applyFill="1" applyBorder="1" applyAlignment="1">
      <alignment horizontal="distributed" vertical="center"/>
      <protection/>
    </xf>
    <xf numFmtId="3" fontId="2" fillId="34"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6" fillId="34" borderId="68" xfId="0" applyNumberFormat="1" applyFont="1" applyFill="1" applyBorder="1" applyAlignment="1">
      <alignment horizontal="right" vertical="center"/>
    </xf>
    <xf numFmtId="3" fontId="6" fillId="33" borderId="23"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4" borderId="73" xfId="0" applyNumberFormat="1" applyFont="1" applyFill="1" applyBorder="1" applyAlignment="1">
      <alignment vertical="center"/>
    </xf>
    <xf numFmtId="3" fontId="2" fillId="34" borderId="68" xfId="0" applyNumberFormat="1" applyFont="1" applyFill="1" applyBorder="1" applyAlignment="1">
      <alignment vertical="center"/>
    </xf>
    <xf numFmtId="3" fontId="6" fillId="34" borderId="74" xfId="0" applyNumberFormat="1" applyFont="1" applyFill="1" applyBorder="1" applyAlignment="1">
      <alignment horizontal="right" vertical="center"/>
    </xf>
    <xf numFmtId="3" fontId="6" fillId="33" borderId="75" xfId="0" applyNumberFormat="1" applyFont="1" applyFill="1" applyBorder="1" applyAlignment="1">
      <alignment horizontal="right" vertical="center"/>
    </xf>
    <xf numFmtId="3" fontId="6" fillId="33" borderId="76" xfId="0" applyNumberFormat="1" applyFont="1" applyFill="1" applyBorder="1" applyAlignment="1">
      <alignment horizontal="right" vertical="center"/>
    </xf>
    <xf numFmtId="3" fontId="2" fillId="34"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0" fontId="0" fillId="0" borderId="0" xfId="61" applyFont="1">
      <alignment/>
      <protection/>
    </xf>
    <xf numFmtId="177" fontId="2" fillId="34" borderId="36" xfId="61" applyNumberFormat="1" applyFont="1" applyFill="1" applyBorder="1" applyAlignment="1">
      <alignment horizontal="right" vertical="center"/>
      <protection/>
    </xf>
    <xf numFmtId="177" fontId="2" fillId="33" borderId="33" xfId="61" applyNumberFormat="1" applyFont="1" applyFill="1" applyBorder="1" applyAlignment="1">
      <alignment horizontal="right" vertical="center"/>
      <protection/>
    </xf>
    <xf numFmtId="177" fontId="2" fillId="33" borderId="80"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4" borderId="80" xfId="61" applyNumberFormat="1" applyFont="1" applyFill="1" applyBorder="1" applyAlignment="1">
      <alignment horizontal="right" vertical="center"/>
      <protection/>
    </xf>
    <xf numFmtId="177" fontId="2" fillId="34" borderId="81" xfId="61" applyNumberFormat="1" applyFont="1" applyFill="1" applyBorder="1" applyAlignment="1">
      <alignment horizontal="right" vertical="center"/>
      <protection/>
    </xf>
    <xf numFmtId="177" fontId="2" fillId="33" borderId="23" xfId="61" applyNumberFormat="1" applyFont="1" applyFill="1" applyBorder="1" applyAlignment="1">
      <alignment horizontal="right" vertical="center"/>
      <protection/>
    </xf>
    <xf numFmtId="177" fontId="2" fillId="33" borderId="82" xfId="61" applyNumberFormat="1" applyFont="1" applyFill="1" applyBorder="1" applyAlignment="1">
      <alignment horizontal="right" vertical="center"/>
      <protection/>
    </xf>
    <xf numFmtId="177" fontId="6" fillId="34" borderId="83" xfId="61" applyNumberFormat="1" applyFont="1" applyFill="1" applyBorder="1" applyAlignment="1">
      <alignment horizontal="right" vertical="center"/>
      <protection/>
    </xf>
    <xf numFmtId="177" fontId="6" fillId="33" borderId="84" xfId="61" applyNumberFormat="1" applyFont="1" applyFill="1" applyBorder="1" applyAlignment="1">
      <alignment horizontal="right" vertical="center"/>
      <protection/>
    </xf>
    <xf numFmtId="177" fontId="6" fillId="33" borderId="85"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177" fontId="6" fillId="34" borderId="85"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3" borderId="88" xfId="61" applyNumberFormat="1" applyFont="1" applyFill="1" applyBorder="1" applyAlignment="1">
      <alignment horizontal="right" vertical="center"/>
      <protection/>
    </xf>
    <xf numFmtId="177" fontId="2" fillId="33"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2"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177" fontId="2" fillId="0" borderId="95" xfId="61" applyNumberFormat="1" applyFont="1" applyFill="1" applyBorder="1" applyAlignment="1">
      <alignment horizontal="right" vertical="center"/>
      <protection/>
    </xf>
    <xf numFmtId="177" fontId="6" fillId="34" borderId="20"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3" borderId="96" xfId="61" applyNumberFormat="1" applyFont="1" applyFill="1" applyBorder="1" applyAlignment="1">
      <alignment horizontal="right" vertical="center"/>
      <protection/>
    </xf>
    <xf numFmtId="177" fontId="6" fillId="34" borderId="97" xfId="61" applyNumberFormat="1" applyFont="1" applyFill="1" applyBorder="1" applyAlignment="1">
      <alignment horizontal="right" vertical="center"/>
      <protection/>
    </xf>
    <xf numFmtId="177" fontId="6" fillId="34" borderId="98" xfId="61" applyNumberFormat="1" applyFont="1" applyFill="1" applyBorder="1" applyAlignment="1">
      <alignment horizontal="right" vertical="center"/>
      <protection/>
    </xf>
    <xf numFmtId="177" fontId="6" fillId="34" borderId="9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8" fillId="37" borderId="100" xfId="61" applyFont="1" applyFill="1" applyBorder="1" applyAlignment="1">
      <alignment horizontal="distributed" vertical="center"/>
      <protection/>
    </xf>
    <xf numFmtId="0" fontId="8" fillId="37" borderId="101" xfId="61" applyFont="1" applyFill="1" applyBorder="1" applyAlignment="1">
      <alignment horizontal="center" vertical="center"/>
      <protection/>
    </xf>
    <xf numFmtId="177" fontId="8" fillId="28" borderId="102" xfId="61" applyNumberFormat="1" applyFont="1" applyFill="1" applyBorder="1" applyAlignment="1">
      <alignment horizontal="right" vertical="center"/>
      <protection/>
    </xf>
    <xf numFmtId="177" fontId="8" fillId="38" borderId="103" xfId="61" applyNumberFormat="1" applyFont="1" applyFill="1" applyBorder="1" applyAlignment="1">
      <alignment horizontal="right" vertical="center"/>
      <protection/>
    </xf>
    <xf numFmtId="0" fontId="6" fillId="36" borderId="104" xfId="61" applyFont="1" applyFill="1" applyBorder="1" applyAlignment="1">
      <alignment horizontal="distributed" vertical="center"/>
      <protection/>
    </xf>
    <xf numFmtId="177" fontId="6" fillId="34" borderId="105"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106" xfId="61" applyNumberFormat="1" applyFont="1" applyFill="1" applyBorder="1" applyAlignment="1">
      <alignment horizontal="right" vertical="center"/>
      <protection/>
    </xf>
    <xf numFmtId="0" fontId="6" fillId="36" borderId="107" xfId="61" applyFont="1" applyFill="1" applyBorder="1" applyAlignment="1">
      <alignment horizontal="distributed" vertical="center"/>
      <protection/>
    </xf>
    <xf numFmtId="0" fontId="8" fillId="0" borderId="108" xfId="61" applyFont="1" applyFill="1" applyBorder="1" applyAlignment="1">
      <alignment horizontal="distributed" vertical="center"/>
      <protection/>
    </xf>
    <xf numFmtId="177" fontId="8" fillId="0" borderId="109" xfId="61" applyNumberFormat="1" applyFont="1" applyFill="1" applyBorder="1" applyAlignment="1">
      <alignment horizontal="right" vertical="center"/>
      <protection/>
    </xf>
    <xf numFmtId="177" fontId="8" fillId="0" borderId="110" xfId="61" applyNumberFormat="1" applyFont="1" applyFill="1" applyBorder="1" applyAlignment="1">
      <alignment horizontal="right" vertical="center"/>
      <protection/>
    </xf>
    <xf numFmtId="177" fontId="8" fillId="0" borderId="111" xfId="61" applyNumberFormat="1" applyFont="1" applyFill="1" applyBorder="1" applyAlignment="1">
      <alignment horizontal="right" vertical="center"/>
      <protection/>
    </xf>
    <xf numFmtId="0" fontId="8" fillId="0" borderId="112" xfId="61" applyFont="1" applyFill="1" applyBorder="1" applyAlignment="1">
      <alignment horizontal="center" vertical="center"/>
      <protection/>
    </xf>
    <xf numFmtId="0" fontId="6" fillId="36" borderId="113" xfId="61" applyFont="1" applyFill="1" applyBorder="1" applyAlignment="1">
      <alignment horizontal="distributed" vertical="center"/>
      <protection/>
    </xf>
    <xf numFmtId="177" fontId="6" fillId="34" borderId="19" xfId="61" applyNumberFormat="1" applyFont="1" applyFill="1" applyBorder="1" applyAlignment="1">
      <alignment horizontal="right" vertical="center"/>
      <protection/>
    </xf>
    <xf numFmtId="177" fontId="6" fillId="33" borderId="114" xfId="61" applyNumberFormat="1" applyFont="1" applyFill="1" applyBorder="1" applyAlignment="1">
      <alignment horizontal="right" vertical="center"/>
      <protection/>
    </xf>
    <xf numFmtId="177" fontId="6" fillId="33" borderId="115" xfId="61" applyNumberFormat="1" applyFont="1" applyFill="1" applyBorder="1" applyAlignment="1">
      <alignment horizontal="right" vertical="center"/>
      <protection/>
    </xf>
    <xf numFmtId="0" fontId="6" fillId="36" borderId="116" xfId="61" applyFont="1" applyFill="1" applyBorder="1" applyAlignment="1">
      <alignment horizontal="distributed" vertical="center"/>
      <protection/>
    </xf>
    <xf numFmtId="0" fontId="8" fillId="37" borderId="108" xfId="61" applyFont="1" applyFill="1" applyBorder="1" applyAlignment="1">
      <alignment horizontal="distributed" vertical="center"/>
      <protection/>
    </xf>
    <xf numFmtId="177" fontId="8" fillId="28" borderId="111" xfId="61" applyNumberFormat="1" applyFont="1" applyFill="1" applyBorder="1" applyAlignment="1">
      <alignment horizontal="right" vertical="center"/>
      <protection/>
    </xf>
    <xf numFmtId="177" fontId="8" fillId="38" borderId="110" xfId="61" applyNumberFormat="1" applyFont="1" applyFill="1" applyBorder="1" applyAlignment="1">
      <alignment horizontal="right" vertical="center"/>
      <protection/>
    </xf>
    <xf numFmtId="177" fontId="8" fillId="38" borderId="117" xfId="61" applyNumberFormat="1" applyFont="1" applyFill="1" applyBorder="1" applyAlignment="1">
      <alignment horizontal="right" vertical="center"/>
      <protection/>
    </xf>
    <xf numFmtId="0" fontId="8" fillId="37" borderId="112" xfId="61" applyFont="1" applyFill="1" applyBorder="1" applyAlignment="1">
      <alignment horizontal="center" vertical="center"/>
      <protection/>
    </xf>
    <xf numFmtId="0" fontId="6" fillId="37" borderId="104" xfId="61" applyFont="1" applyFill="1" applyBorder="1" applyAlignment="1">
      <alignment horizontal="distributed" vertical="center"/>
      <protection/>
    </xf>
    <xf numFmtId="177" fontId="6" fillId="28" borderId="105" xfId="61" applyNumberFormat="1" applyFont="1" applyFill="1" applyBorder="1" applyAlignment="1">
      <alignment horizontal="right" vertical="center"/>
      <protection/>
    </xf>
    <xf numFmtId="177" fontId="6" fillId="38" borderId="71"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177" fontId="6" fillId="34" borderId="106" xfId="61" applyNumberFormat="1" applyFont="1" applyFill="1" applyBorder="1" applyAlignment="1">
      <alignment horizontal="right" vertical="center"/>
      <protection/>
    </xf>
    <xf numFmtId="177" fontId="2" fillId="0" borderId="111" xfId="61" applyNumberFormat="1" applyFont="1" applyFill="1" applyBorder="1" applyAlignment="1">
      <alignment horizontal="right" vertical="center"/>
      <protection/>
    </xf>
    <xf numFmtId="177" fontId="2" fillId="0" borderId="118" xfId="61" applyNumberFormat="1" applyFont="1" applyFill="1" applyBorder="1" applyAlignment="1">
      <alignment horizontal="right" vertical="center"/>
      <protection/>
    </xf>
    <xf numFmtId="177" fontId="2" fillId="0" borderId="117" xfId="61" applyNumberFormat="1" applyFont="1" applyFill="1" applyBorder="1" applyAlignment="1">
      <alignment horizontal="right" vertical="center"/>
      <protection/>
    </xf>
    <xf numFmtId="177" fontId="2" fillId="28" borderId="111" xfId="61" applyNumberFormat="1" applyFont="1" applyFill="1" applyBorder="1" applyAlignment="1">
      <alignment horizontal="right" vertical="center"/>
      <protection/>
    </xf>
    <xf numFmtId="177" fontId="2" fillId="28" borderId="118" xfId="61" applyNumberFormat="1" applyFont="1" applyFill="1" applyBorder="1" applyAlignment="1">
      <alignment horizontal="right" vertical="center"/>
      <protection/>
    </xf>
    <xf numFmtId="177" fontId="2" fillId="28" borderId="117" xfId="61" applyNumberFormat="1" applyFont="1" applyFill="1" applyBorder="1" applyAlignment="1">
      <alignment horizontal="right" vertical="center"/>
      <protection/>
    </xf>
    <xf numFmtId="177" fontId="6" fillId="34" borderId="119" xfId="61" applyNumberFormat="1" applyFont="1" applyFill="1" applyBorder="1" applyAlignment="1">
      <alignment horizontal="right" vertical="center"/>
      <protection/>
    </xf>
    <xf numFmtId="177" fontId="6" fillId="34" borderId="115" xfId="61" applyNumberFormat="1" applyFont="1" applyFill="1" applyBorder="1" applyAlignment="1">
      <alignment horizontal="right" vertical="center"/>
      <protection/>
    </xf>
    <xf numFmtId="3" fontId="2" fillId="34" borderId="120" xfId="0" applyNumberFormat="1" applyFont="1" applyFill="1" applyBorder="1" applyAlignment="1">
      <alignment horizontal="right" vertical="center"/>
    </xf>
    <xf numFmtId="3" fontId="2" fillId="34" borderId="121" xfId="0" applyNumberFormat="1" applyFont="1" applyFill="1" applyBorder="1" applyAlignment="1">
      <alignment vertical="center"/>
    </xf>
    <xf numFmtId="3" fontId="2" fillId="34" borderId="122" xfId="0" applyNumberFormat="1" applyFont="1" applyFill="1" applyBorder="1" applyAlignment="1">
      <alignment vertical="center"/>
    </xf>
    <xf numFmtId="3" fontId="2" fillId="34" borderId="58" xfId="0" applyNumberFormat="1" applyFont="1" applyFill="1" applyBorder="1" applyAlignment="1">
      <alignment vertical="center"/>
    </xf>
    <xf numFmtId="0" fontId="2" fillId="36" borderId="116" xfId="61" applyFont="1" applyFill="1" applyBorder="1" applyAlignment="1">
      <alignment horizontal="distributed" vertical="center"/>
      <protection/>
    </xf>
    <xf numFmtId="0" fontId="2" fillId="36" borderId="123" xfId="61" applyFont="1" applyFill="1" applyBorder="1" applyAlignment="1">
      <alignment horizontal="distributed" vertical="center"/>
      <protection/>
    </xf>
    <xf numFmtId="0" fontId="8" fillId="0" borderId="124" xfId="61" applyFont="1" applyFill="1" applyBorder="1" applyAlignment="1">
      <alignment horizontal="distributed" vertical="center"/>
      <protection/>
    </xf>
    <xf numFmtId="177" fontId="8" fillId="0" borderId="90" xfId="61" applyNumberFormat="1" applyFont="1" applyFill="1" applyBorder="1" applyAlignment="1">
      <alignment horizontal="right" vertical="center"/>
      <protection/>
    </xf>
    <xf numFmtId="177" fontId="8" fillId="0" borderId="91" xfId="61" applyNumberFormat="1" applyFont="1" applyFill="1" applyBorder="1" applyAlignment="1">
      <alignment horizontal="right" vertical="center"/>
      <protection/>
    </xf>
    <xf numFmtId="177" fontId="8" fillId="0" borderId="92" xfId="61" applyNumberFormat="1" applyFont="1" applyFill="1" applyBorder="1" applyAlignment="1">
      <alignment horizontal="right" vertical="center"/>
      <protection/>
    </xf>
    <xf numFmtId="0" fontId="8" fillId="0" borderId="125" xfId="61" applyFont="1" applyFill="1" applyBorder="1" applyAlignment="1">
      <alignment horizontal="center" vertical="center"/>
      <protection/>
    </xf>
    <xf numFmtId="3" fontId="50" fillId="34" borderId="67" xfId="0" applyNumberFormat="1" applyFont="1" applyFill="1" applyBorder="1" applyAlignment="1">
      <alignment horizontal="right" vertical="center"/>
    </xf>
    <xf numFmtId="3" fontId="50" fillId="34" borderId="68" xfId="0" applyNumberFormat="1" applyFont="1" applyFill="1" applyBorder="1" applyAlignment="1">
      <alignment horizontal="right" vertical="center"/>
    </xf>
    <xf numFmtId="3" fontId="51" fillId="34" borderId="68" xfId="0" applyNumberFormat="1" applyFont="1" applyFill="1" applyBorder="1" applyAlignment="1">
      <alignment horizontal="right" vertical="center"/>
    </xf>
    <xf numFmtId="3" fontId="50" fillId="34" borderId="70" xfId="0" applyNumberFormat="1" applyFont="1" applyFill="1" applyBorder="1" applyAlignment="1">
      <alignment horizontal="right" vertical="center"/>
    </xf>
    <xf numFmtId="0" fontId="51" fillId="0" borderId="25" xfId="0" applyFont="1" applyBorder="1" applyAlignment="1">
      <alignment horizontal="right" vertical="center"/>
    </xf>
    <xf numFmtId="3" fontId="50" fillId="34" borderId="26" xfId="0" applyNumberFormat="1" applyFont="1" applyFill="1" applyBorder="1" applyAlignment="1">
      <alignment horizontal="right" vertical="center"/>
    </xf>
    <xf numFmtId="3" fontId="50" fillId="34" borderId="30" xfId="0" applyNumberFormat="1" applyFont="1" applyFill="1" applyBorder="1" applyAlignment="1">
      <alignment horizontal="right" vertical="center"/>
    </xf>
    <xf numFmtId="177" fontId="50" fillId="33" borderId="33" xfId="61" applyNumberFormat="1" applyFont="1" applyFill="1" applyBorder="1" applyAlignment="1">
      <alignment horizontal="right" vertical="center"/>
      <protection/>
    </xf>
    <xf numFmtId="177" fontId="50" fillId="33" borderId="23" xfId="61" applyNumberFormat="1" applyFont="1" applyFill="1" applyBorder="1" applyAlignment="1">
      <alignment horizontal="right" vertical="center"/>
      <protection/>
    </xf>
    <xf numFmtId="177" fontId="50" fillId="33" borderId="80" xfId="61" applyNumberFormat="1" applyFont="1" applyFill="1" applyBorder="1" applyAlignment="1">
      <alignment horizontal="right" vertical="center"/>
      <protection/>
    </xf>
    <xf numFmtId="177" fontId="50" fillId="33" borderId="82" xfId="61" applyNumberFormat="1" applyFont="1" applyFill="1" applyBorder="1" applyAlignment="1">
      <alignment horizontal="right" vertical="center"/>
      <protection/>
    </xf>
    <xf numFmtId="177" fontId="50" fillId="34" borderId="81" xfId="61" applyNumberFormat="1" applyFont="1" applyFill="1" applyBorder="1" applyAlignment="1">
      <alignment horizontal="right" vertical="center"/>
      <protection/>
    </xf>
    <xf numFmtId="177" fontId="51" fillId="34" borderId="105" xfId="61" applyNumberFormat="1" applyFont="1" applyFill="1" applyBorder="1" applyAlignment="1">
      <alignment horizontal="right" vertical="center"/>
      <protection/>
    </xf>
    <xf numFmtId="177" fontId="50" fillId="34" borderId="36" xfId="61" applyNumberFormat="1" applyFont="1" applyFill="1" applyBorder="1" applyAlignment="1">
      <alignment horizontal="right" vertical="center"/>
      <protection/>
    </xf>
    <xf numFmtId="177" fontId="51" fillId="33" borderId="84" xfId="61" applyNumberFormat="1" applyFont="1" applyFill="1" applyBorder="1" applyAlignment="1">
      <alignment horizontal="right" vertical="center"/>
      <protection/>
    </xf>
    <xf numFmtId="177" fontId="52" fillId="38" borderId="126" xfId="61" applyNumberFormat="1" applyFont="1" applyFill="1" applyBorder="1" applyAlignment="1">
      <alignment horizontal="right" vertical="center"/>
      <protection/>
    </xf>
    <xf numFmtId="177" fontId="50" fillId="33" borderId="88" xfId="61" applyNumberFormat="1" applyFont="1" applyFill="1" applyBorder="1" applyAlignment="1">
      <alignment horizontal="right" vertical="center"/>
      <protection/>
    </xf>
    <xf numFmtId="177" fontId="51" fillId="33" borderId="71" xfId="61" applyNumberFormat="1" applyFont="1" applyFill="1" applyBorder="1" applyAlignment="1">
      <alignment horizontal="right" vertical="center"/>
      <protection/>
    </xf>
    <xf numFmtId="177" fontId="51" fillId="33" borderId="85" xfId="61" applyNumberFormat="1" applyFont="1" applyFill="1" applyBorder="1" applyAlignment="1">
      <alignment horizontal="right" vertical="center"/>
      <protection/>
    </xf>
    <xf numFmtId="177" fontId="52" fillId="38" borderId="103" xfId="61" applyNumberFormat="1" applyFont="1" applyFill="1" applyBorder="1" applyAlignment="1">
      <alignment horizontal="right" vertical="center"/>
      <protection/>
    </xf>
    <xf numFmtId="177" fontId="50" fillId="33" borderId="89" xfId="61" applyNumberFormat="1" applyFont="1" applyFill="1" applyBorder="1" applyAlignment="1">
      <alignment horizontal="right" vertical="center"/>
      <protection/>
    </xf>
    <xf numFmtId="177" fontId="51" fillId="33" borderId="106" xfId="61" applyNumberFormat="1" applyFont="1" applyFill="1" applyBorder="1" applyAlignment="1">
      <alignment horizontal="right" vertical="center"/>
      <protection/>
    </xf>
    <xf numFmtId="177" fontId="52" fillId="38" borderId="117" xfId="61" applyNumberFormat="1" applyFont="1" applyFill="1" applyBorder="1" applyAlignment="1">
      <alignment horizontal="right" vertical="center"/>
      <protection/>
    </xf>
    <xf numFmtId="177" fontId="51" fillId="34" borderId="83" xfId="61" applyNumberFormat="1" applyFont="1" applyFill="1" applyBorder="1" applyAlignment="1">
      <alignment horizontal="right" vertical="center"/>
      <protection/>
    </xf>
    <xf numFmtId="177" fontId="52" fillId="28" borderId="111" xfId="61" applyNumberFormat="1" applyFont="1" applyFill="1" applyBorder="1" applyAlignment="1">
      <alignment horizontal="right" vertical="center"/>
      <protection/>
    </xf>
    <xf numFmtId="177" fontId="51" fillId="34" borderId="19" xfId="61" applyNumberFormat="1" applyFont="1" applyFill="1" applyBorder="1" applyAlignment="1">
      <alignment horizontal="right" vertical="center"/>
      <protection/>
    </xf>
    <xf numFmtId="177" fontId="52" fillId="0" borderId="111" xfId="61" applyNumberFormat="1" applyFont="1" applyFill="1" applyBorder="1" applyAlignment="1">
      <alignment horizontal="right" vertical="center"/>
      <protection/>
    </xf>
    <xf numFmtId="177" fontId="51" fillId="34" borderId="20" xfId="61" applyNumberFormat="1" applyFont="1" applyFill="1" applyBorder="1" applyAlignment="1">
      <alignment horizontal="right" vertical="center"/>
      <protection/>
    </xf>
    <xf numFmtId="177" fontId="51" fillId="33" borderId="78" xfId="61" applyNumberFormat="1" applyFont="1" applyFill="1" applyBorder="1" applyAlignment="1">
      <alignment horizontal="right" vertical="center"/>
      <protection/>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13" xfId="0" applyFont="1" applyBorder="1" applyAlignment="1">
      <alignment horizontal="center" vertical="center"/>
    </xf>
    <xf numFmtId="0" fontId="2" fillId="0" borderId="129" xfId="0" applyFont="1" applyBorder="1" applyAlignment="1">
      <alignment horizontal="center" vertical="center"/>
    </xf>
    <xf numFmtId="0" fontId="2" fillId="0" borderId="41"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30" xfId="0" applyFont="1" applyBorder="1" applyAlignment="1">
      <alignment horizontal="distributed" vertical="center"/>
    </xf>
    <xf numFmtId="0" fontId="6" fillId="0" borderId="131" xfId="0" applyFont="1" applyBorder="1" applyAlignment="1">
      <alignment horizontal="distributed" vertical="center"/>
    </xf>
    <xf numFmtId="0" fontId="2" fillId="0" borderId="5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distributed" vertical="center" wrapText="1"/>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0" xfId="0" applyFont="1" applyAlignment="1">
      <alignment horizontal="left" vertical="top"/>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27" xfId="61" applyFont="1" applyBorder="1" applyAlignment="1">
      <alignment horizontal="distributed" vertical="center"/>
      <protection/>
    </xf>
    <xf numFmtId="0" fontId="2" fillId="0" borderId="113" xfId="61" applyFont="1" applyBorder="1" applyAlignment="1">
      <alignment horizontal="distributed" vertical="center"/>
      <protection/>
    </xf>
    <xf numFmtId="0" fontId="2" fillId="0" borderId="145" xfId="61" applyFont="1" applyBorder="1" applyAlignment="1">
      <alignment horizontal="distributed" vertical="center"/>
      <protection/>
    </xf>
    <xf numFmtId="0" fontId="2" fillId="0" borderId="146" xfId="61" applyFont="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149" xfId="61" applyFont="1" applyBorder="1" applyAlignment="1">
      <alignment horizontal="center" vertical="center"/>
      <protection/>
    </xf>
    <xf numFmtId="0" fontId="2" fillId="0" borderId="150" xfId="61" applyFont="1" applyBorder="1" applyAlignment="1">
      <alignment horizontal="center" vertical="center"/>
      <protection/>
    </xf>
    <xf numFmtId="0" fontId="2" fillId="0" borderId="147" xfId="61" applyFont="1" applyBorder="1" applyAlignment="1">
      <alignment horizontal="center" vertical="center" wrapText="1"/>
      <protection/>
    </xf>
    <xf numFmtId="0" fontId="2" fillId="0" borderId="16" xfId="61" applyFont="1" applyBorder="1" applyAlignment="1">
      <alignment horizontal="distributed" vertical="center" wrapText="1"/>
      <protection/>
    </xf>
    <xf numFmtId="0" fontId="2" fillId="0" borderId="116" xfId="61" applyFont="1" applyBorder="1" applyAlignment="1">
      <alignment horizontal="distributed" vertical="center" wrapText="1"/>
      <protection/>
    </xf>
    <xf numFmtId="0" fontId="2" fillId="0" borderId="151" xfId="61" applyFont="1" applyBorder="1" applyAlignment="1">
      <alignment horizontal="distributed" vertical="center" wrapText="1"/>
      <protection/>
    </xf>
    <xf numFmtId="0" fontId="2" fillId="0" borderId="152" xfId="61" applyFont="1" applyBorder="1" applyAlignment="1">
      <alignment horizontal="center" vertical="center"/>
      <protection/>
    </xf>
    <xf numFmtId="0" fontId="2" fillId="0" borderId="153" xfId="61" applyFont="1" applyBorder="1" applyAlignment="1">
      <alignment horizontal="center" vertical="center"/>
      <protection/>
    </xf>
    <xf numFmtId="0" fontId="2" fillId="0" borderId="41" xfId="61" applyFont="1" applyBorder="1" applyAlignment="1">
      <alignment horizontal="left" vertical="center"/>
      <protection/>
    </xf>
    <xf numFmtId="0" fontId="2" fillId="0" borderId="154" xfId="61" applyFont="1" applyBorder="1" applyAlignment="1">
      <alignment horizontal="left" vertical="center"/>
      <protection/>
    </xf>
    <xf numFmtId="0" fontId="2" fillId="0" borderId="155" xfId="61" applyFont="1" applyBorder="1" applyAlignment="1">
      <alignment horizontal="center" vertical="center"/>
      <protection/>
    </xf>
    <xf numFmtId="0" fontId="2" fillId="0" borderId="156" xfId="61" applyFont="1" applyBorder="1" applyAlignment="1">
      <alignment horizontal="center" vertical="center"/>
      <protection/>
    </xf>
    <xf numFmtId="0" fontId="2" fillId="0" borderId="157" xfId="61" applyFont="1" applyBorder="1" applyAlignment="1">
      <alignment horizontal="distributed" vertical="center" wrapText="1"/>
      <protection/>
    </xf>
    <xf numFmtId="0" fontId="2" fillId="0" borderId="158" xfId="61" applyFont="1" applyBorder="1" applyAlignment="1">
      <alignment horizontal="distributed" vertical="center"/>
      <protection/>
    </xf>
    <xf numFmtId="0" fontId="2" fillId="0" borderId="159" xfId="61" applyFont="1" applyBorder="1" applyAlignment="1">
      <alignment horizontal="distributed" vertical="center" wrapText="1"/>
      <protection/>
    </xf>
    <xf numFmtId="0" fontId="2" fillId="0" borderId="160" xfId="61" applyFont="1" applyBorder="1" applyAlignment="1">
      <alignment horizontal="distributed" vertical="center"/>
      <protection/>
    </xf>
    <xf numFmtId="0" fontId="2" fillId="0" borderId="161" xfId="61" applyFont="1" applyBorder="1" applyAlignment="1">
      <alignment horizontal="distributed" vertical="center" wrapText="1"/>
      <protection/>
    </xf>
    <xf numFmtId="0" fontId="2" fillId="0" borderId="162" xfId="61" applyFont="1" applyBorder="1" applyAlignment="1">
      <alignment horizontal="distributed" vertical="center" wrapText="1"/>
      <protection/>
    </xf>
    <xf numFmtId="0" fontId="2" fillId="0" borderId="56" xfId="61" applyFont="1" applyBorder="1" applyAlignment="1">
      <alignment horizontal="center" vertical="center"/>
      <protection/>
    </xf>
    <xf numFmtId="0" fontId="2" fillId="0" borderId="146"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workbookViewId="0" topLeftCell="A1">
      <selection activeCell="A2" sqref="A2"/>
    </sheetView>
  </sheetViews>
  <sheetFormatPr defaultColWidth="5.875" defaultRowHeight="13.5"/>
  <cols>
    <col min="1" max="1" width="11.50390625" style="1" customWidth="1"/>
    <col min="2" max="2" width="16.00390625" style="1" customWidth="1"/>
    <col min="3" max="3" width="3.00390625" style="1" customWidth="1"/>
    <col min="4" max="4" width="8.375" style="1" customWidth="1"/>
    <col min="5" max="5" width="10.625" style="1" customWidth="1"/>
    <col min="6" max="6" width="3.00390625" style="1" customWidth="1"/>
    <col min="7" max="7" width="7.875" style="1" customWidth="1"/>
    <col min="8" max="8" width="15.375" style="1" customWidth="1"/>
    <col min="9" max="9" width="3.00390625" style="1" customWidth="1"/>
    <col min="10" max="10" width="7.375" style="1" customWidth="1"/>
    <col min="11" max="11" width="15.25390625" style="1" customWidth="1"/>
    <col min="12" max="16384" width="5.875" style="1" customWidth="1"/>
  </cols>
  <sheetData>
    <row r="1" spans="1:11" ht="15">
      <c r="A1" s="241" t="s">
        <v>0</v>
      </c>
      <c r="B1" s="241"/>
      <c r="C1" s="241"/>
      <c r="D1" s="241"/>
      <c r="E1" s="241"/>
      <c r="F1" s="241"/>
      <c r="G1" s="241"/>
      <c r="H1" s="241"/>
      <c r="I1" s="241"/>
      <c r="J1" s="241"/>
      <c r="K1" s="241"/>
    </row>
    <row r="2" spans="1:11" ht="15">
      <c r="A2" s="58"/>
      <c r="B2" s="58"/>
      <c r="C2" s="58"/>
      <c r="D2" s="58"/>
      <c r="E2" s="58"/>
      <c r="F2" s="58"/>
      <c r="G2" s="58"/>
      <c r="H2" s="58"/>
      <c r="I2" s="58"/>
      <c r="J2" s="58"/>
      <c r="K2" s="58"/>
    </row>
    <row r="3" spans="1:11" ht="12" thickBot="1">
      <c r="A3" s="254" t="s">
        <v>153</v>
      </c>
      <c r="B3" s="254"/>
      <c r="C3" s="254"/>
      <c r="D3" s="254"/>
      <c r="E3" s="254"/>
      <c r="F3" s="254"/>
      <c r="G3" s="254"/>
      <c r="H3" s="254"/>
      <c r="I3" s="254"/>
      <c r="J3" s="254"/>
      <c r="K3" s="254"/>
    </row>
    <row r="4" spans="1:11" ht="24" customHeight="1">
      <c r="A4" s="235" t="s">
        <v>1</v>
      </c>
      <c r="B4" s="236"/>
      <c r="C4" s="248" t="s">
        <v>154</v>
      </c>
      <c r="D4" s="249"/>
      <c r="E4" s="255"/>
      <c r="F4" s="248" t="s">
        <v>155</v>
      </c>
      <c r="G4" s="249"/>
      <c r="H4" s="255"/>
      <c r="I4" s="248" t="s">
        <v>156</v>
      </c>
      <c r="J4" s="249"/>
      <c r="K4" s="250"/>
    </row>
    <row r="5" spans="1:11" ht="24" customHeight="1">
      <c r="A5" s="237"/>
      <c r="B5" s="238"/>
      <c r="C5" s="233" t="s">
        <v>2</v>
      </c>
      <c r="D5" s="234"/>
      <c r="E5" s="6" t="s">
        <v>3</v>
      </c>
      <c r="F5" s="233" t="s">
        <v>2</v>
      </c>
      <c r="G5" s="234"/>
      <c r="H5" s="6" t="s">
        <v>3</v>
      </c>
      <c r="I5" s="233" t="s">
        <v>2</v>
      </c>
      <c r="J5" s="234"/>
      <c r="K5" s="15" t="s">
        <v>3</v>
      </c>
    </row>
    <row r="6" spans="1:11" ht="12" customHeight="1">
      <c r="A6" s="44"/>
      <c r="B6" s="47"/>
      <c r="C6" s="45"/>
      <c r="D6" s="37" t="s">
        <v>24</v>
      </c>
      <c r="E6" s="36" t="s">
        <v>23</v>
      </c>
      <c r="F6" s="45"/>
      <c r="G6" s="37" t="s">
        <v>24</v>
      </c>
      <c r="H6" s="36" t="s">
        <v>23</v>
      </c>
      <c r="I6" s="45"/>
      <c r="J6" s="37" t="s">
        <v>24</v>
      </c>
      <c r="K6" s="46" t="s">
        <v>23</v>
      </c>
    </row>
    <row r="7" spans="1:11" ht="30" customHeight="1">
      <c r="A7" s="251" t="s">
        <v>157</v>
      </c>
      <c r="B7" s="41" t="s">
        <v>158</v>
      </c>
      <c r="C7" s="16"/>
      <c r="D7" s="204">
        <v>91837</v>
      </c>
      <c r="E7" s="42">
        <v>82448013</v>
      </c>
      <c r="F7" s="19"/>
      <c r="G7" s="106">
        <v>405651</v>
      </c>
      <c r="H7" s="42">
        <v>7517959896</v>
      </c>
      <c r="I7" s="19"/>
      <c r="J7" s="106">
        <v>497488</v>
      </c>
      <c r="K7" s="43">
        <v>7600407909</v>
      </c>
    </row>
    <row r="8" spans="1:11" ht="30" customHeight="1">
      <c r="A8" s="252"/>
      <c r="B8" s="24" t="s">
        <v>159</v>
      </c>
      <c r="C8" s="16"/>
      <c r="D8" s="205">
        <v>144042</v>
      </c>
      <c r="E8" s="108">
        <v>72807689</v>
      </c>
      <c r="F8" s="19"/>
      <c r="G8" s="107">
        <v>149680</v>
      </c>
      <c r="H8" s="108">
        <v>98796717</v>
      </c>
      <c r="I8" s="19"/>
      <c r="J8" s="107">
        <v>293722</v>
      </c>
      <c r="K8" s="109">
        <v>171604405</v>
      </c>
    </row>
    <row r="9" spans="1:11" s="3" customFormat="1" ht="30" customHeight="1">
      <c r="A9" s="252"/>
      <c r="B9" s="25" t="s">
        <v>160</v>
      </c>
      <c r="C9" s="17"/>
      <c r="D9" s="206">
        <v>235879</v>
      </c>
      <c r="E9" s="111">
        <v>155255702</v>
      </c>
      <c r="F9" s="17"/>
      <c r="G9" s="110">
        <v>555331</v>
      </c>
      <c r="H9" s="111">
        <v>7616756613</v>
      </c>
      <c r="I9" s="17"/>
      <c r="J9" s="110">
        <v>791210</v>
      </c>
      <c r="K9" s="112">
        <v>7772012315</v>
      </c>
    </row>
    <row r="10" spans="1:11" ht="30" customHeight="1">
      <c r="A10" s="253"/>
      <c r="B10" s="26" t="s">
        <v>161</v>
      </c>
      <c r="C10" s="16"/>
      <c r="D10" s="207">
        <v>8266</v>
      </c>
      <c r="E10" s="114">
        <v>10323007</v>
      </c>
      <c r="F10" s="16"/>
      <c r="G10" s="113">
        <v>62144</v>
      </c>
      <c r="H10" s="114">
        <v>2519240161</v>
      </c>
      <c r="I10" s="16"/>
      <c r="J10" s="113">
        <v>70410</v>
      </c>
      <c r="K10" s="115">
        <v>2529563168</v>
      </c>
    </row>
    <row r="11" spans="1:11" ht="30" customHeight="1">
      <c r="A11" s="246" t="s">
        <v>162</v>
      </c>
      <c r="B11" s="59" t="s">
        <v>163</v>
      </c>
      <c r="C11" s="9"/>
      <c r="D11" s="116">
        <v>17051</v>
      </c>
      <c r="E11" s="21">
        <v>5570234</v>
      </c>
      <c r="F11" s="38"/>
      <c r="G11" s="117">
        <v>33662</v>
      </c>
      <c r="H11" s="21">
        <v>43278172</v>
      </c>
      <c r="I11" s="38"/>
      <c r="J11" s="117">
        <v>50713</v>
      </c>
      <c r="K11" s="22">
        <v>48848406</v>
      </c>
    </row>
    <row r="12" spans="1:11" ht="30" customHeight="1">
      <c r="A12" s="247"/>
      <c r="B12" s="60" t="s">
        <v>164</v>
      </c>
      <c r="C12" s="39"/>
      <c r="D12" s="107">
        <v>4392</v>
      </c>
      <c r="E12" s="108">
        <v>1338943</v>
      </c>
      <c r="F12" s="40"/>
      <c r="G12" s="118">
        <v>6972</v>
      </c>
      <c r="H12" s="108">
        <v>29570497</v>
      </c>
      <c r="I12" s="40"/>
      <c r="J12" s="118">
        <v>11364</v>
      </c>
      <c r="K12" s="109">
        <v>30909440</v>
      </c>
    </row>
    <row r="13" spans="1:11" s="3" customFormat="1" ht="30" customHeight="1">
      <c r="A13" s="242" t="s">
        <v>6</v>
      </c>
      <c r="B13" s="243"/>
      <c r="C13" s="27" t="s">
        <v>14</v>
      </c>
      <c r="D13" s="119">
        <v>254417</v>
      </c>
      <c r="E13" s="120">
        <v>149163987</v>
      </c>
      <c r="F13" s="208" t="s">
        <v>14</v>
      </c>
      <c r="G13" s="119">
        <v>624470</v>
      </c>
      <c r="H13" s="120">
        <v>5111224126</v>
      </c>
      <c r="I13" s="208" t="s">
        <v>14</v>
      </c>
      <c r="J13" s="119">
        <v>878887</v>
      </c>
      <c r="K13" s="121">
        <v>5260388113</v>
      </c>
    </row>
    <row r="14" spans="1:11" ht="30" customHeight="1" thickBot="1">
      <c r="A14" s="244" t="s">
        <v>7</v>
      </c>
      <c r="B14" s="245"/>
      <c r="C14" s="18"/>
      <c r="D14" s="122">
        <v>19457</v>
      </c>
      <c r="E14" s="123">
        <v>1055604</v>
      </c>
      <c r="F14" s="20"/>
      <c r="G14" s="122">
        <v>27427</v>
      </c>
      <c r="H14" s="123">
        <v>5142719</v>
      </c>
      <c r="I14" s="20"/>
      <c r="J14" s="122">
        <v>46884</v>
      </c>
      <c r="K14" s="124">
        <v>6198323</v>
      </c>
    </row>
    <row r="15" spans="1:11" s="4" customFormat="1" ht="34.5" customHeight="1">
      <c r="A15" s="57" t="s">
        <v>151</v>
      </c>
      <c r="B15" s="239" t="s">
        <v>187</v>
      </c>
      <c r="C15" s="239"/>
      <c r="D15" s="239"/>
      <c r="E15" s="239"/>
      <c r="F15" s="239"/>
      <c r="G15" s="239"/>
      <c r="H15" s="239"/>
      <c r="I15" s="239"/>
      <c r="J15" s="239"/>
      <c r="K15" s="239"/>
    </row>
    <row r="16" spans="2:11" ht="41.25" customHeight="1">
      <c r="B16" s="240" t="s">
        <v>188</v>
      </c>
      <c r="C16" s="240"/>
      <c r="D16" s="240"/>
      <c r="E16" s="240"/>
      <c r="F16" s="240"/>
      <c r="G16" s="240"/>
      <c r="H16" s="240"/>
      <c r="I16" s="240"/>
      <c r="J16" s="240"/>
      <c r="K16" s="240"/>
    </row>
    <row r="17" spans="1:2" ht="12.75" customHeight="1">
      <c r="A17" s="1" t="s">
        <v>179</v>
      </c>
      <c r="B17" s="1" t="s">
        <v>152</v>
      </c>
    </row>
    <row r="18" spans="1:2" ht="11.25">
      <c r="A18" s="63" t="s">
        <v>180</v>
      </c>
      <c r="B18" s="1" t="s">
        <v>185</v>
      </c>
    </row>
  </sheetData>
  <sheetProtection/>
  <mergeCells count="15">
    <mergeCell ref="A7:A10"/>
    <mergeCell ref="A3:K3"/>
    <mergeCell ref="I5:J5"/>
    <mergeCell ref="C4:E4"/>
    <mergeCell ref="F4:H4"/>
    <mergeCell ref="C5:D5"/>
    <mergeCell ref="F5:G5"/>
    <mergeCell ref="A4:B5"/>
    <mergeCell ref="B15:K15"/>
    <mergeCell ref="B16:K16"/>
    <mergeCell ref="A1:K1"/>
    <mergeCell ref="A13:B13"/>
    <mergeCell ref="A14:B14"/>
    <mergeCell ref="A11:A12"/>
    <mergeCell ref="I4:K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4" r:id="rId1"/>
  <headerFooter alignWithMargins="0">
    <oddFooter>&amp;R&amp;K01+000東京国税局
消費税
(H30)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C1" sqref="C1"/>
    </sheetView>
  </sheetViews>
  <sheetFormatPr defaultColWidth="9.00390625" defaultRowHeight="13.5"/>
  <cols>
    <col min="1" max="1" width="10.625" style="62" customWidth="1"/>
    <col min="2" max="2" width="15.625" style="62" customWidth="1"/>
    <col min="3" max="3" width="8.625" style="62" customWidth="1"/>
    <col min="4" max="4" width="10.625" style="62" customWidth="1"/>
    <col min="5" max="5" width="8.625" style="62" customWidth="1"/>
    <col min="6" max="6" width="12.875" style="62" bestFit="1" customWidth="1"/>
    <col min="7" max="7" width="8.625" style="62" customWidth="1"/>
    <col min="8" max="8" width="12.875" style="62" bestFit="1" customWidth="1"/>
    <col min="9" max="16384" width="9.00390625" style="62" customWidth="1"/>
  </cols>
  <sheetData>
    <row r="1" s="1" customFormat="1" ht="12" thickBot="1">
      <c r="A1" s="1" t="s">
        <v>25</v>
      </c>
    </row>
    <row r="2" spans="1:8" s="1" customFormat="1" ht="15" customHeight="1">
      <c r="A2" s="235" t="s">
        <v>1</v>
      </c>
      <c r="B2" s="236"/>
      <c r="C2" s="256" t="s">
        <v>15</v>
      </c>
      <c r="D2" s="256"/>
      <c r="E2" s="256" t="s">
        <v>18</v>
      </c>
      <c r="F2" s="256"/>
      <c r="G2" s="257" t="s">
        <v>19</v>
      </c>
      <c r="H2" s="258"/>
    </row>
    <row r="3" spans="1:8" s="1" customFormat="1" ht="15" customHeight="1">
      <c r="A3" s="237"/>
      <c r="B3" s="238"/>
      <c r="C3" s="9" t="s">
        <v>20</v>
      </c>
      <c r="D3" s="6" t="s">
        <v>21</v>
      </c>
      <c r="E3" s="9" t="s">
        <v>20</v>
      </c>
      <c r="F3" s="7" t="s">
        <v>21</v>
      </c>
      <c r="G3" s="9" t="s">
        <v>20</v>
      </c>
      <c r="H3" s="8" t="s">
        <v>21</v>
      </c>
    </row>
    <row r="4" spans="1:8" s="10" customFormat="1" ht="15" customHeight="1">
      <c r="A4" s="49"/>
      <c r="B4" s="6"/>
      <c r="C4" s="50" t="s">
        <v>4</v>
      </c>
      <c r="D4" s="51" t="s">
        <v>5</v>
      </c>
      <c r="E4" s="50" t="s">
        <v>4</v>
      </c>
      <c r="F4" s="51" t="s">
        <v>5</v>
      </c>
      <c r="G4" s="50" t="s">
        <v>4</v>
      </c>
      <c r="H4" s="52" t="s">
        <v>5</v>
      </c>
    </row>
    <row r="5" spans="1:8" s="61" customFormat="1" ht="30" customHeight="1">
      <c r="A5" s="261" t="s">
        <v>175</v>
      </c>
      <c r="B5" s="41" t="s">
        <v>12</v>
      </c>
      <c r="C5" s="48">
        <v>230373</v>
      </c>
      <c r="D5" s="42">
        <v>131569900</v>
      </c>
      <c r="E5" s="48">
        <v>538063</v>
      </c>
      <c r="F5" s="42">
        <v>6259806616</v>
      </c>
      <c r="G5" s="48">
        <v>768436</v>
      </c>
      <c r="H5" s="43">
        <v>6391376516</v>
      </c>
    </row>
    <row r="6" spans="1:8" s="61" customFormat="1" ht="30" customHeight="1">
      <c r="A6" s="262"/>
      <c r="B6" s="26" t="s">
        <v>13</v>
      </c>
      <c r="C6" s="29">
        <v>6715</v>
      </c>
      <c r="D6" s="30">
        <v>8743154</v>
      </c>
      <c r="E6" s="29">
        <v>50053</v>
      </c>
      <c r="F6" s="30">
        <v>2160825496</v>
      </c>
      <c r="G6" s="29">
        <v>56768</v>
      </c>
      <c r="H6" s="31">
        <v>2169568650</v>
      </c>
    </row>
    <row r="7" spans="1:8" s="61" customFormat="1" ht="30" customHeight="1">
      <c r="A7" s="261" t="s">
        <v>176</v>
      </c>
      <c r="B7" s="23" t="s">
        <v>12</v>
      </c>
      <c r="C7" s="28">
        <v>231730</v>
      </c>
      <c r="D7" s="21">
        <v>147319992</v>
      </c>
      <c r="E7" s="28">
        <v>541584</v>
      </c>
      <c r="F7" s="21">
        <v>6919877094</v>
      </c>
      <c r="G7" s="28">
        <v>773314</v>
      </c>
      <c r="H7" s="22">
        <v>7067197087</v>
      </c>
    </row>
    <row r="8" spans="1:8" s="61" customFormat="1" ht="30" customHeight="1">
      <c r="A8" s="262"/>
      <c r="B8" s="26" t="s">
        <v>13</v>
      </c>
      <c r="C8" s="29">
        <v>7304</v>
      </c>
      <c r="D8" s="30">
        <v>11117846</v>
      </c>
      <c r="E8" s="29">
        <v>53509</v>
      </c>
      <c r="F8" s="30">
        <v>2134273947</v>
      </c>
      <c r="G8" s="29">
        <v>60813</v>
      </c>
      <c r="H8" s="31">
        <v>2145391793</v>
      </c>
    </row>
    <row r="9" spans="1:8" s="61" customFormat="1" ht="30" customHeight="1">
      <c r="A9" s="261" t="s">
        <v>181</v>
      </c>
      <c r="B9" s="23" t="s">
        <v>12</v>
      </c>
      <c r="C9" s="28">
        <v>234677</v>
      </c>
      <c r="D9" s="21">
        <v>152553540</v>
      </c>
      <c r="E9" s="28">
        <v>546816</v>
      </c>
      <c r="F9" s="21">
        <v>7375055285</v>
      </c>
      <c r="G9" s="28">
        <v>781493</v>
      </c>
      <c r="H9" s="22">
        <v>7527608825</v>
      </c>
    </row>
    <row r="10" spans="1:8" s="61" customFormat="1" ht="30" customHeight="1">
      <c r="A10" s="262"/>
      <c r="B10" s="26" t="s">
        <v>13</v>
      </c>
      <c r="C10" s="29">
        <v>7619</v>
      </c>
      <c r="D10" s="30">
        <v>10145160</v>
      </c>
      <c r="E10" s="29">
        <v>56132</v>
      </c>
      <c r="F10" s="30">
        <v>2235731183</v>
      </c>
      <c r="G10" s="29">
        <v>63751</v>
      </c>
      <c r="H10" s="31">
        <v>2245876344</v>
      </c>
    </row>
    <row r="11" spans="1:8" s="61" customFormat="1" ht="30" customHeight="1">
      <c r="A11" s="261" t="s">
        <v>186</v>
      </c>
      <c r="B11" s="23" t="s">
        <v>12</v>
      </c>
      <c r="C11" s="28">
        <v>235496</v>
      </c>
      <c r="D11" s="21">
        <v>153567882</v>
      </c>
      <c r="E11" s="28">
        <v>550178</v>
      </c>
      <c r="F11" s="21">
        <v>7592167685</v>
      </c>
      <c r="G11" s="28">
        <v>785674</v>
      </c>
      <c r="H11" s="22">
        <v>7745735567</v>
      </c>
    </row>
    <row r="12" spans="1:8" s="61" customFormat="1" ht="30" customHeight="1">
      <c r="A12" s="262"/>
      <c r="B12" s="26" t="s">
        <v>13</v>
      </c>
      <c r="C12" s="29">
        <v>7942</v>
      </c>
      <c r="D12" s="30">
        <v>11458490</v>
      </c>
      <c r="E12" s="29">
        <v>59099</v>
      </c>
      <c r="F12" s="30">
        <v>2387960747</v>
      </c>
      <c r="G12" s="29">
        <v>67041</v>
      </c>
      <c r="H12" s="31">
        <v>2399419237</v>
      </c>
    </row>
    <row r="13" spans="1:8" s="1" customFormat="1" ht="30" customHeight="1">
      <c r="A13" s="259" t="s">
        <v>190</v>
      </c>
      <c r="B13" s="23" t="s">
        <v>12</v>
      </c>
      <c r="C13" s="209">
        <v>235879</v>
      </c>
      <c r="D13" s="21">
        <v>155255702</v>
      </c>
      <c r="E13" s="28">
        <v>555331</v>
      </c>
      <c r="F13" s="21">
        <v>7616756613</v>
      </c>
      <c r="G13" s="28">
        <v>791210</v>
      </c>
      <c r="H13" s="22">
        <v>7772012315</v>
      </c>
    </row>
    <row r="14" spans="1:8" s="1" customFormat="1" ht="30" customHeight="1" thickBot="1">
      <c r="A14" s="260"/>
      <c r="B14" s="32" t="s">
        <v>13</v>
      </c>
      <c r="C14" s="210">
        <v>8266</v>
      </c>
      <c r="D14" s="34">
        <v>10323007</v>
      </c>
      <c r="E14" s="33">
        <v>62144</v>
      </c>
      <c r="F14" s="34">
        <v>2519240161</v>
      </c>
      <c r="G14" s="33">
        <v>70410</v>
      </c>
      <c r="H14" s="35">
        <v>2529563168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&amp;R&amp;K01+000東京国税局
消費税
(H30)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C1" sqref="C1"/>
    </sheetView>
  </sheetViews>
  <sheetFormatPr defaultColWidth="9.00390625" defaultRowHeight="13.5"/>
  <cols>
    <col min="1" max="2" width="18.625" style="62" customWidth="1"/>
    <col min="3" max="3" width="23.625" style="62" customWidth="1"/>
    <col min="4" max="4" width="18.625" style="62" customWidth="1"/>
    <col min="5" max="16384" width="9.00390625" style="62" customWidth="1"/>
  </cols>
  <sheetData>
    <row r="1" s="1" customFormat="1" ht="20.25" customHeight="1" thickBot="1">
      <c r="A1" s="1" t="s">
        <v>22</v>
      </c>
    </row>
    <row r="2" spans="1:4" s="4" customFormat="1" ht="19.5" customHeight="1">
      <c r="A2" s="11" t="s">
        <v>8</v>
      </c>
      <c r="B2" s="12" t="s">
        <v>9</v>
      </c>
      <c r="C2" s="14" t="s">
        <v>10</v>
      </c>
      <c r="D2" s="13" t="s">
        <v>17</v>
      </c>
    </row>
    <row r="3" spans="1:4" s="10" customFormat="1" ht="15" customHeight="1">
      <c r="A3" s="53" t="s">
        <v>4</v>
      </c>
      <c r="B3" s="54" t="s">
        <v>4</v>
      </c>
      <c r="C3" s="55" t="s">
        <v>4</v>
      </c>
      <c r="D3" s="56" t="s">
        <v>4</v>
      </c>
    </row>
    <row r="4" spans="1:9" s="4" customFormat="1" ht="30" customHeight="1" thickBot="1">
      <c r="A4" s="193">
        <v>883891</v>
      </c>
      <c r="B4" s="194">
        <v>49994</v>
      </c>
      <c r="C4" s="195">
        <v>7217</v>
      </c>
      <c r="D4" s="196">
        <v>941102</v>
      </c>
      <c r="E4" s="5"/>
      <c r="G4" s="5"/>
      <c r="I4" s="5"/>
    </row>
    <row r="5" spans="1:4" s="4" customFormat="1" ht="15" customHeight="1">
      <c r="A5" s="263" t="s">
        <v>189</v>
      </c>
      <c r="B5" s="263"/>
      <c r="C5" s="263"/>
      <c r="D5" s="263"/>
    </row>
    <row r="6" spans="1:4" s="4" customFormat="1" ht="15" customHeight="1">
      <c r="A6" s="264" t="s">
        <v>11</v>
      </c>
      <c r="B6" s="264"/>
      <c r="C6" s="264"/>
      <c r="D6" s="26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&amp;R&amp;K01+000東京国税局
消費税
(H30)</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workbookViewId="0" topLeftCell="A1">
      <selection activeCell="C1" sqref="C1"/>
    </sheetView>
  </sheetViews>
  <sheetFormatPr defaultColWidth="9.00390625" defaultRowHeight="13.5"/>
  <cols>
    <col min="1" max="1" width="11.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4.125" style="125" customWidth="1"/>
    <col min="8" max="8" width="10.625" style="125" customWidth="1"/>
    <col min="9" max="9" width="14.125" style="125" customWidth="1"/>
    <col min="10" max="10" width="10.625" style="125" customWidth="1"/>
    <col min="11" max="11" width="14.125" style="125" customWidth="1"/>
    <col min="12" max="12" width="10.625" style="125" customWidth="1"/>
    <col min="13" max="13" width="12.625" style="125" customWidth="1"/>
    <col min="14" max="14" width="11.375" style="125" customWidth="1"/>
    <col min="15" max="16384" width="9.00390625" style="125" customWidth="1"/>
  </cols>
  <sheetData>
    <row r="1" spans="1:14" ht="13.5">
      <c r="A1" s="64" t="s">
        <v>183</v>
      </c>
      <c r="B1" s="64"/>
      <c r="C1" s="64"/>
      <c r="D1" s="64"/>
      <c r="E1" s="64"/>
      <c r="F1" s="64"/>
      <c r="G1" s="64"/>
      <c r="H1" s="65"/>
      <c r="I1" s="65"/>
      <c r="J1" s="65"/>
      <c r="K1" s="65"/>
      <c r="L1" s="65"/>
      <c r="M1" s="65"/>
      <c r="N1" s="65"/>
    </row>
    <row r="2" spans="1:14" ht="14.25" thickBot="1">
      <c r="A2" s="265" t="s">
        <v>136</v>
      </c>
      <c r="B2" s="265"/>
      <c r="C2" s="265"/>
      <c r="D2" s="265"/>
      <c r="E2" s="265"/>
      <c r="F2" s="265"/>
      <c r="G2" s="265"/>
      <c r="H2" s="65"/>
      <c r="I2" s="65"/>
      <c r="J2" s="65"/>
      <c r="K2" s="65"/>
      <c r="L2" s="65"/>
      <c r="M2" s="65"/>
      <c r="N2" s="65"/>
    </row>
    <row r="3" spans="1:14" ht="19.5" customHeight="1">
      <c r="A3" s="266" t="s">
        <v>27</v>
      </c>
      <c r="B3" s="269" t="s">
        <v>28</v>
      </c>
      <c r="C3" s="269"/>
      <c r="D3" s="269"/>
      <c r="E3" s="269"/>
      <c r="F3" s="269"/>
      <c r="G3" s="269"/>
      <c r="H3" s="270" t="s">
        <v>13</v>
      </c>
      <c r="I3" s="271"/>
      <c r="J3" s="274" t="s">
        <v>29</v>
      </c>
      <c r="K3" s="271"/>
      <c r="L3" s="270" t="s">
        <v>30</v>
      </c>
      <c r="M3" s="271"/>
      <c r="N3" s="275" t="s">
        <v>137</v>
      </c>
    </row>
    <row r="4" spans="1:14" ht="17.25" customHeight="1">
      <c r="A4" s="267"/>
      <c r="B4" s="278" t="s">
        <v>16</v>
      </c>
      <c r="C4" s="278"/>
      <c r="D4" s="272" t="s">
        <v>32</v>
      </c>
      <c r="E4" s="279"/>
      <c r="F4" s="272" t="s">
        <v>33</v>
      </c>
      <c r="G4" s="279"/>
      <c r="H4" s="272"/>
      <c r="I4" s="273"/>
      <c r="J4" s="272"/>
      <c r="K4" s="273"/>
      <c r="L4" s="272"/>
      <c r="M4" s="273"/>
      <c r="N4" s="276"/>
    </row>
    <row r="5" spans="1:14" s="154" customFormat="1" ht="28.5" customHeight="1">
      <c r="A5" s="268"/>
      <c r="B5" s="67" t="s">
        <v>36</v>
      </c>
      <c r="C5" s="68" t="s">
        <v>138</v>
      </c>
      <c r="D5" s="67" t="s">
        <v>36</v>
      </c>
      <c r="E5" s="68" t="s">
        <v>138</v>
      </c>
      <c r="F5" s="67" t="s">
        <v>36</v>
      </c>
      <c r="G5" s="68" t="s">
        <v>139</v>
      </c>
      <c r="H5" s="67" t="s">
        <v>36</v>
      </c>
      <c r="I5" s="87" t="s">
        <v>140</v>
      </c>
      <c r="J5" s="67" t="s">
        <v>36</v>
      </c>
      <c r="K5" s="87" t="s">
        <v>141</v>
      </c>
      <c r="L5" s="67" t="s">
        <v>36</v>
      </c>
      <c r="M5" s="88" t="s">
        <v>142</v>
      </c>
      <c r="N5" s="277"/>
    </row>
    <row r="6" spans="1:14" s="92" customFormat="1" ht="10.5">
      <c r="A6" s="101"/>
      <c r="B6" s="102" t="s">
        <v>4</v>
      </c>
      <c r="C6" s="72" t="s">
        <v>5</v>
      </c>
      <c r="D6" s="102" t="s">
        <v>4</v>
      </c>
      <c r="E6" s="72" t="s">
        <v>5</v>
      </c>
      <c r="F6" s="102" t="s">
        <v>4</v>
      </c>
      <c r="G6" s="72" t="s">
        <v>5</v>
      </c>
      <c r="H6" s="102" t="s">
        <v>4</v>
      </c>
      <c r="I6" s="89" t="s">
        <v>5</v>
      </c>
      <c r="J6" s="102" t="s">
        <v>4</v>
      </c>
      <c r="K6" s="89" t="s">
        <v>5</v>
      </c>
      <c r="L6" s="102" t="s">
        <v>182</v>
      </c>
      <c r="M6" s="89" t="s">
        <v>5</v>
      </c>
      <c r="N6" s="96"/>
    </row>
    <row r="7" spans="1:14" s="93" customFormat="1" ht="15.75" customHeight="1">
      <c r="A7" s="98" t="s">
        <v>39</v>
      </c>
      <c r="B7" s="126">
        <f>_xlfn.COMPOUNDVALUE(673)</f>
        <v>1118</v>
      </c>
      <c r="C7" s="211">
        <v>786440</v>
      </c>
      <c r="D7" s="126">
        <f>_xlfn.COMPOUNDVALUE(674)</f>
        <v>1533</v>
      </c>
      <c r="E7" s="211">
        <v>770018</v>
      </c>
      <c r="F7" s="126">
        <f>_xlfn.COMPOUNDVALUE(675)</f>
        <v>2651</v>
      </c>
      <c r="G7" s="211">
        <v>1556457</v>
      </c>
      <c r="H7" s="126">
        <f>_xlfn.COMPOUNDVALUE(676)</f>
        <v>85</v>
      </c>
      <c r="I7" s="213">
        <v>112236</v>
      </c>
      <c r="J7" s="126">
        <v>241</v>
      </c>
      <c r="K7" s="128">
        <v>85986</v>
      </c>
      <c r="L7" s="126">
        <v>2888</v>
      </c>
      <c r="M7" s="128">
        <v>1530207</v>
      </c>
      <c r="N7" s="100" t="s">
        <v>39</v>
      </c>
    </row>
    <row r="8" spans="1:14" s="93" customFormat="1" ht="15.75" customHeight="1">
      <c r="A8" s="76" t="s">
        <v>40</v>
      </c>
      <c r="B8" s="126">
        <f>_xlfn.COMPOUNDVALUE(677)</f>
        <v>1010</v>
      </c>
      <c r="C8" s="211">
        <v>638268</v>
      </c>
      <c r="D8" s="126">
        <f>_xlfn.COMPOUNDVALUE(678)</f>
        <v>1460</v>
      </c>
      <c r="E8" s="211">
        <v>659544</v>
      </c>
      <c r="F8" s="126">
        <f>_xlfn.COMPOUNDVALUE(679)</f>
        <v>2470</v>
      </c>
      <c r="G8" s="211">
        <v>1297813</v>
      </c>
      <c r="H8" s="126">
        <f>_xlfn.COMPOUNDVALUE(680)</f>
        <v>84</v>
      </c>
      <c r="I8" s="213">
        <v>98540</v>
      </c>
      <c r="J8" s="126">
        <v>212</v>
      </c>
      <c r="K8" s="128">
        <v>43247</v>
      </c>
      <c r="L8" s="126">
        <v>2676</v>
      </c>
      <c r="M8" s="128">
        <v>1242520</v>
      </c>
      <c r="N8" s="86" t="s">
        <v>40</v>
      </c>
    </row>
    <row r="9" spans="1:14" s="93" customFormat="1" ht="15.75" customHeight="1">
      <c r="A9" s="76" t="s">
        <v>41</v>
      </c>
      <c r="B9" s="126">
        <f>_xlfn.COMPOUNDVALUE(681)</f>
        <v>1111</v>
      </c>
      <c r="C9" s="211">
        <v>694090</v>
      </c>
      <c r="D9" s="126">
        <f>_xlfn.COMPOUNDVALUE(682)</f>
        <v>1793</v>
      </c>
      <c r="E9" s="211">
        <v>882310</v>
      </c>
      <c r="F9" s="126">
        <f>_xlfn.COMPOUNDVALUE(683)</f>
        <v>2904</v>
      </c>
      <c r="G9" s="211">
        <v>1576400</v>
      </c>
      <c r="H9" s="126">
        <f>_xlfn.COMPOUNDVALUE(684)</f>
        <v>123</v>
      </c>
      <c r="I9" s="213">
        <v>133242</v>
      </c>
      <c r="J9" s="126">
        <v>263</v>
      </c>
      <c r="K9" s="128">
        <v>57372</v>
      </c>
      <c r="L9" s="126">
        <v>3110</v>
      </c>
      <c r="M9" s="128">
        <v>1500530</v>
      </c>
      <c r="N9" s="86" t="s">
        <v>41</v>
      </c>
    </row>
    <row r="10" spans="1:14" s="93" customFormat="1" ht="15.75" customHeight="1">
      <c r="A10" s="76" t="s">
        <v>42</v>
      </c>
      <c r="B10" s="126">
        <f>_xlfn.COMPOUNDVALUE(685)</f>
        <v>835</v>
      </c>
      <c r="C10" s="211">
        <v>718049</v>
      </c>
      <c r="D10" s="126">
        <f>_xlfn.COMPOUNDVALUE(686)</f>
        <v>2403</v>
      </c>
      <c r="E10" s="211">
        <v>892628</v>
      </c>
      <c r="F10" s="126">
        <f>_xlfn.COMPOUNDVALUE(687)</f>
        <v>3238</v>
      </c>
      <c r="G10" s="211">
        <v>1610676</v>
      </c>
      <c r="H10" s="126">
        <f>_xlfn.COMPOUNDVALUE(688)</f>
        <v>47</v>
      </c>
      <c r="I10" s="213">
        <v>34885</v>
      </c>
      <c r="J10" s="126">
        <v>250</v>
      </c>
      <c r="K10" s="128">
        <v>37360</v>
      </c>
      <c r="L10" s="126">
        <v>3375</v>
      </c>
      <c r="M10" s="128">
        <v>1613151</v>
      </c>
      <c r="N10" s="86" t="s">
        <v>42</v>
      </c>
    </row>
    <row r="11" spans="1:14" s="93" customFormat="1" ht="15.75" customHeight="1">
      <c r="A11" s="76" t="s">
        <v>43</v>
      </c>
      <c r="B11" s="126">
        <f>_xlfn.COMPOUNDVALUE(689)</f>
        <v>1434</v>
      </c>
      <c r="C11" s="211">
        <v>969206</v>
      </c>
      <c r="D11" s="126">
        <f>_xlfn.COMPOUNDVALUE(690)</f>
        <v>2257</v>
      </c>
      <c r="E11" s="211">
        <v>1141074</v>
      </c>
      <c r="F11" s="126">
        <f>_xlfn.COMPOUNDVALUE(691)</f>
        <v>3691</v>
      </c>
      <c r="G11" s="211">
        <v>2110280</v>
      </c>
      <c r="H11" s="126">
        <f>_xlfn.COMPOUNDVALUE(692)</f>
        <v>144</v>
      </c>
      <c r="I11" s="213">
        <v>194032</v>
      </c>
      <c r="J11" s="126">
        <v>464</v>
      </c>
      <c r="K11" s="128">
        <v>95658</v>
      </c>
      <c r="L11" s="126">
        <v>4078</v>
      </c>
      <c r="M11" s="128">
        <v>2011906</v>
      </c>
      <c r="N11" s="86" t="s">
        <v>43</v>
      </c>
    </row>
    <row r="12" spans="1:14" s="93" customFormat="1" ht="15.75" customHeight="1">
      <c r="A12" s="76"/>
      <c r="B12" s="126"/>
      <c r="C12" s="211"/>
      <c r="D12" s="126"/>
      <c r="E12" s="211"/>
      <c r="F12" s="126"/>
      <c r="G12" s="211"/>
      <c r="H12" s="126"/>
      <c r="I12" s="213"/>
      <c r="J12" s="126"/>
      <c r="K12" s="128"/>
      <c r="L12" s="126"/>
      <c r="M12" s="128"/>
      <c r="N12" s="86" t="s">
        <v>38</v>
      </c>
    </row>
    <row r="13" spans="1:14" s="93" customFormat="1" ht="15.75" customHeight="1">
      <c r="A13" s="76" t="s">
        <v>44</v>
      </c>
      <c r="B13" s="126">
        <f>_xlfn.COMPOUNDVALUE(693)</f>
        <v>1279</v>
      </c>
      <c r="C13" s="211">
        <v>952253</v>
      </c>
      <c r="D13" s="126">
        <f>_xlfn.COMPOUNDVALUE(694)</f>
        <v>2025</v>
      </c>
      <c r="E13" s="211">
        <v>940150</v>
      </c>
      <c r="F13" s="126">
        <f>_xlfn.COMPOUNDVALUE(695)</f>
        <v>3304</v>
      </c>
      <c r="G13" s="211">
        <v>1892403</v>
      </c>
      <c r="H13" s="126">
        <f>_xlfn.COMPOUNDVALUE(696)</f>
        <v>110</v>
      </c>
      <c r="I13" s="213">
        <v>115955</v>
      </c>
      <c r="J13" s="126">
        <v>342</v>
      </c>
      <c r="K13" s="128">
        <v>64738</v>
      </c>
      <c r="L13" s="126">
        <v>3588</v>
      </c>
      <c r="M13" s="128">
        <v>1841186</v>
      </c>
      <c r="N13" s="86" t="s">
        <v>44</v>
      </c>
    </row>
    <row r="14" spans="1:14" s="93" customFormat="1" ht="15.75" customHeight="1">
      <c r="A14" s="76" t="s">
        <v>45</v>
      </c>
      <c r="B14" s="126">
        <f>_xlfn.COMPOUNDVALUE(697)</f>
        <v>540</v>
      </c>
      <c r="C14" s="211">
        <v>277457</v>
      </c>
      <c r="D14" s="126">
        <f>_xlfn.COMPOUNDVALUE(698)</f>
        <v>877</v>
      </c>
      <c r="E14" s="211">
        <v>331719</v>
      </c>
      <c r="F14" s="126">
        <f>_xlfn.COMPOUNDVALUE(699)</f>
        <v>1417</v>
      </c>
      <c r="G14" s="211">
        <v>609176</v>
      </c>
      <c r="H14" s="126">
        <f>_xlfn.COMPOUNDVALUE(700)</f>
        <v>40</v>
      </c>
      <c r="I14" s="213">
        <v>18459</v>
      </c>
      <c r="J14" s="126">
        <v>163</v>
      </c>
      <c r="K14" s="128">
        <v>23368</v>
      </c>
      <c r="L14" s="126">
        <v>1512</v>
      </c>
      <c r="M14" s="128">
        <v>614085</v>
      </c>
      <c r="N14" s="86" t="s">
        <v>45</v>
      </c>
    </row>
    <row r="15" spans="1:14" s="93" customFormat="1" ht="15.75" customHeight="1">
      <c r="A15" s="76" t="s">
        <v>46</v>
      </c>
      <c r="B15" s="126">
        <f>_xlfn.COMPOUNDVALUE(701)</f>
        <v>905</v>
      </c>
      <c r="C15" s="211">
        <v>542323</v>
      </c>
      <c r="D15" s="126">
        <f>_xlfn.COMPOUNDVALUE(702)</f>
        <v>1421</v>
      </c>
      <c r="E15" s="211">
        <v>566745</v>
      </c>
      <c r="F15" s="126">
        <f>_xlfn.COMPOUNDVALUE(703)</f>
        <v>2326</v>
      </c>
      <c r="G15" s="211">
        <v>1109068</v>
      </c>
      <c r="H15" s="126">
        <f>_xlfn.COMPOUNDVALUE(704)</f>
        <v>61</v>
      </c>
      <c r="I15" s="213">
        <v>46242</v>
      </c>
      <c r="J15" s="126">
        <v>324</v>
      </c>
      <c r="K15" s="128">
        <v>41739</v>
      </c>
      <c r="L15" s="126">
        <v>2504</v>
      </c>
      <c r="M15" s="128">
        <v>1104565</v>
      </c>
      <c r="N15" s="86" t="s">
        <v>46</v>
      </c>
    </row>
    <row r="16" spans="1:14" s="93" customFormat="1" ht="15.75" customHeight="1">
      <c r="A16" s="78" t="s">
        <v>47</v>
      </c>
      <c r="B16" s="131">
        <f>_xlfn.COMPOUNDVALUE(705)</f>
        <v>1657</v>
      </c>
      <c r="C16" s="212">
        <v>1122729</v>
      </c>
      <c r="D16" s="131">
        <f>_xlfn.COMPOUNDVALUE(706)</f>
        <v>2702</v>
      </c>
      <c r="E16" s="212">
        <v>1321008</v>
      </c>
      <c r="F16" s="131">
        <f>_xlfn.COMPOUNDVALUE(707)</f>
        <v>4359</v>
      </c>
      <c r="G16" s="212">
        <v>2443737</v>
      </c>
      <c r="H16" s="131">
        <f>_xlfn.COMPOUNDVALUE(708)</f>
        <v>156</v>
      </c>
      <c r="I16" s="214">
        <v>211701</v>
      </c>
      <c r="J16" s="131">
        <v>426</v>
      </c>
      <c r="K16" s="133">
        <v>139560</v>
      </c>
      <c r="L16" s="131">
        <v>4730</v>
      </c>
      <c r="M16" s="133">
        <v>2371596</v>
      </c>
      <c r="N16" s="77" t="s">
        <v>47</v>
      </c>
    </row>
    <row r="17" spans="1:14" s="93" customFormat="1" ht="15.75" customHeight="1">
      <c r="A17" s="78" t="s">
        <v>48</v>
      </c>
      <c r="B17" s="131">
        <f>_xlfn.COMPOUNDVALUE(709)</f>
        <v>555</v>
      </c>
      <c r="C17" s="212">
        <v>714555</v>
      </c>
      <c r="D17" s="131">
        <f>_xlfn.COMPOUNDVALUE(710)</f>
        <v>1055</v>
      </c>
      <c r="E17" s="212">
        <v>376091</v>
      </c>
      <c r="F17" s="131">
        <f>_xlfn.COMPOUNDVALUE(711)</f>
        <v>1610</v>
      </c>
      <c r="G17" s="212">
        <v>1090646</v>
      </c>
      <c r="H17" s="131">
        <f>_xlfn.COMPOUNDVALUE(712)</f>
        <v>35</v>
      </c>
      <c r="I17" s="214">
        <v>20686</v>
      </c>
      <c r="J17" s="131">
        <v>160</v>
      </c>
      <c r="K17" s="133">
        <v>21036</v>
      </c>
      <c r="L17" s="131">
        <v>1700</v>
      </c>
      <c r="M17" s="133">
        <v>1090996</v>
      </c>
      <c r="N17" s="77" t="s">
        <v>48</v>
      </c>
    </row>
    <row r="18" spans="1:14" s="93" customFormat="1" ht="15.75" customHeight="1">
      <c r="A18" s="78"/>
      <c r="B18" s="131"/>
      <c r="C18" s="212"/>
      <c r="D18" s="131"/>
      <c r="E18" s="212"/>
      <c r="F18" s="131"/>
      <c r="G18" s="212"/>
      <c r="H18" s="131"/>
      <c r="I18" s="214"/>
      <c r="J18" s="131"/>
      <c r="K18" s="133"/>
      <c r="L18" s="131"/>
      <c r="M18" s="133"/>
      <c r="N18" s="77" t="s">
        <v>38</v>
      </c>
    </row>
    <row r="19" spans="1:14" s="93" customFormat="1" ht="15.75" customHeight="1">
      <c r="A19" s="78" t="s">
        <v>49</v>
      </c>
      <c r="B19" s="131">
        <f>_xlfn.COMPOUNDVALUE(713)</f>
        <v>713</v>
      </c>
      <c r="C19" s="212">
        <v>351555</v>
      </c>
      <c r="D19" s="131">
        <f>_xlfn.COMPOUNDVALUE(714)</f>
        <v>1189</v>
      </c>
      <c r="E19" s="212">
        <v>464971</v>
      </c>
      <c r="F19" s="131">
        <f>_xlfn.COMPOUNDVALUE(715)</f>
        <v>1902</v>
      </c>
      <c r="G19" s="212">
        <v>816525</v>
      </c>
      <c r="H19" s="131">
        <f>_xlfn.COMPOUNDVALUE(716)</f>
        <v>54</v>
      </c>
      <c r="I19" s="214">
        <v>46560</v>
      </c>
      <c r="J19" s="131">
        <v>232</v>
      </c>
      <c r="K19" s="133">
        <v>31761</v>
      </c>
      <c r="L19" s="131">
        <v>2050</v>
      </c>
      <c r="M19" s="133">
        <v>801726</v>
      </c>
      <c r="N19" s="77" t="s">
        <v>49</v>
      </c>
    </row>
    <row r="20" spans="1:14" s="93" customFormat="1" ht="15.75" customHeight="1">
      <c r="A20" s="78" t="s">
        <v>50</v>
      </c>
      <c r="B20" s="215">
        <f>_xlfn.COMPOUNDVALUE(717)</f>
        <v>1763</v>
      </c>
      <c r="C20" s="212">
        <v>1016281</v>
      </c>
      <c r="D20" s="131">
        <f>_xlfn.COMPOUNDVALUE(718)</f>
        <v>3024</v>
      </c>
      <c r="E20" s="212">
        <v>1242158</v>
      </c>
      <c r="F20" s="215">
        <f>_xlfn.COMPOUNDVALUE(719)</f>
        <v>4787</v>
      </c>
      <c r="G20" s="212">
        <v>2258439</v>
      </c>
      <c r="H20" s="215">
        <f>_xlfn.COMPOUNDVALUE(720)</f>
        <v>170</v>
      </c>
      <c r="I20" s="214">
        <v>224786</v>
      </c>
      <c r="J20" s="131">
        <v>429</v>
      </c>
      <c r="K20" s="133">
        <v>89791</v>
      </c>
      <c r="L20" s="131">
        <v>5235</v>
      </c>
      <c r="M20" s="133">
        <v>2123444</v>
      </c>
      <c r="N20" s="77" t="s">
        <v>50</v>
      </c>
    </row>
    <row r="21" spans="1:14" s="93" customFormat="1" ht="15.75" customHeight="1">
      <c r="A21" s="78" t="s">
        <v>51</v>
      </c>
      <c r="B21" s="215">
        <f>_xlfn.COMPOUNDVALUE(721)</f>
        <v>645</v>
      </c>
      <c r="C21" s="212">
        <v>370884</v>
      </c>
      <c r="D21" s="131">
        <f>_xlfn.COMPOUNDVALUE(722)</f>
        <v>1487</v>
      </c>
      <c r="E21" s="212">
        <v>556222</v>
      </c>
      <c r="F21" s="215">
        <f>_xlfn.COMPOUNDVALUE(723)</f>
        <v>2132</v>
      </c>
      <c r="G21" s="212">
        <v>927106</v>
      </c>
      <c r="H21" s="215">
        <f>_xlfn.COMPOUNDVALUE(724)</f>
        <v>72</v>
      </c>
      <c r="I21" s="214">
        <v>54271</v>
      </c>
      <c r="J21" s="131">
        <v>176</v>
      </c>
      <c r="K21" s="133">
        <v>31735</v>
      </c>
      <c r="L21" s="131">
        <v>2272</v>
      </c>
      <c r="M21" s="133">
        <v>904570</v>
      </c>
      <c r="N21" s="77" t="s">
        <v>51</v>
      </c>
    </row>
    <row r="22" spans="1:14" s="93" customFormat="1" ht="15.75" customHeight="1">
      <c r="A22" s="78" t="s">
        <v>165</v>
      </c>
      <c r="B22" s="215">
        <f>_xlfn.COMPOUNDVALUE(725)</f>
        <v>1641</v>
      </c>
      <c r="C22" s="212">
        <v>1151424</v>
      </c>
      <c r="D22" s="131">
        <f>_xlfn.COMPOUNDVALUE(726)</f>
        <v>2747</v>
      </c>
      <c r="E22" s="212">
        <v>1277376</v>
      </c>
      <c r="F22" s="215">
        <f>_xlfn.COMPOUNDVALUE(727)</f>
        <v>4388</v>
      </c>
      <c r="G22" s="212">
        <v>2428800</v>
      </c>
      <c r="H22" s="215">
        <f>_xlfn.COMPOUNDVALUE(728)</f>
        <v>131</v>
      </c>
      <c r="I22" s="214">
        <v>210037</v>
      </c>
      <c r="J22" s="131">
        <v>353</v>
      </c>
      <c r="K22" s="133">
        <v>46603</v>
      </c>
      <c r="L22" s="131">
        <v>4701</v>
      </c>
      <c r="M22" s="133">
        <v>2265366</v>
      </c>
      <c r="N22" s="77" t="s">
        <v>52</v>
      </c>
    </row>
    <row r="23" spans="1:14" s="93" customFormat="1" ht="15.75" customHeight="1">
      <c r="A23" s="160" t="s">
        <v>53</v>
      </c>
      <c r="B23" s="216">
        <v>15206</v>
      </c>
      <c r="C23" s="162">
        <v>10305512</v>
      </c>
      <c r="D23" s="161">
        <v>25973</v>
      </c>
      <c r="E23" s="162">
        <v>11422014</v>
      </c>
      <c r="F23" s="216">
        <v>41179</v>
      </c>
      <c r="G23" s="162">
        <v>21727526</v>
      </c>
      <c r="H23" s="216">
        <v>1312</v>
      </c>
      <c r="I23" s="163">
        <v>1521632</v>
      </c>
      <c r="J23" s="161">
        <v>4035</v>
      </c>
      <c r="K23" s="163">
        <v>809955</v>
      </c>
      <c r="L23" s="161">
        <v>44419</v>
      </c>
      <c r="M23" s="163">
        <v>21015849</v>
      </c>
      <c r="N23" s="164" t="s">
        <v>54</v>
      </c>
    </row>
    <row r="24" spans="1:14" s="93" customFormat="1" ht="15.75" customHeight="1">
      <c r="A24" s="165"/>
      <c r="B24" s="166"/>
      <c r="C24" s="167"/>
      <c r="D24" s="166"/>
      <c r="E24" s="167"/>
      <c r="F24" s="168"/>
      <c r="G24" s="167"/>
      <c r="H24" s="168"/>
      <c r="I24" s="167"/>
      <c r="J24" s="168"/>
      <c r="K24" s="167"/>
      <c r="L24" s="168"/>
      <c r="M24" s="167"/>
      <c r="N24" s="169"/>
    </row>
    <row r="25" spans="1:14" s="93" customFormat="1" ht="15.75" customHeight="1">
      <c r="A25" s="76" t="s">
        <v>55</v>
      </c>
      <c r="B25" s="126">
        <f>_xlfn.COMPOUNDVALUE(729)</f>
        <v>1238</v>
      </c>
      <c r="C25" s="211">
        <v>4968140</v>
      </c>
      <c r="D25" s="126">
        <f>_xlfn.COMPOUNDVALUE(730)</f>
        <v>1752</v>
      </c>
      <c r="E25" s="211">
        <v>1279128</v>
      </c>
      <c r="F25" s="126">
        <f>_xlfn.COMPOUNDVALUE(731)</f>
        <v>2990</v>
      </c>
      <c r="G25" s="211">
        <v>6247268</v>
      </c>
      <c r="H25" s="126">
        <f>_xlfn.COMPOUNDVALUE(732)</f>
        <v>83</v>
      </c>
      <c r="I25" s="213">
        <v>193836</v>
      </c>
      <c r="J25" s="126">
        <v>253</v>
      </c>
      <c r="K25" s="128">
        <v>-5670</v>
      </c>
      <c r="L25" s="126">
        <v>3114</v>
      </c>
      <c r="M25" s="128">
        <v>6047762</v>
      </c>
      <c r="N25" s="86" t="s">
        <v>55</v>
      </c>
    </row>
    <row r="26" spans="1:14" s="93" customFormat="1" ht="15.75" customHeight="1">
      <c r="A26" s="76" t="s">
        <v>56</v>
      </c>
      <c r="B26" s="126">
        <f>_xlfn.COMPOUNDVALUE(733)</f>
        <v>613</v>
      </c>
      <c r="C26" s="211">
        <v>849133</v>
      </c>
      <c r="D26" s="126">
        <f>_xlfn.COMPOUNDVALUE(734)</f>
        <v>1068</v>
      </c>
      <c r="E26" s="211">
        <v>728258</v>
      </c>
      <c r="F26" s="126">
        <f>_xlfn.COMPOUNDVALUE(735)</f>
        <v>1681</v>
      </c>
      <c r="G26" s="211">
        <v>1577391</v>
      </c>
      <c r="H26" s="126">
        <f>_xlfn.COMPOUNDVALUE(736)</f>
        <v>35</v>
      </c>
      <c r="I26" s="213">
        <v>33699</v>
      </c>
      <c r="J26" s="126">
        <v>122</v>
      </c>
      <c r="K26" s="128">
        <v>15761</v>
      </c>
      <c r="L26" s="126">
        <v>1746</v>
      </c>
      <c r="M26" s="128">
        <v>1559453</v>
      </c>
      <c r="N26" s="86" t="s">
        <v>56</v>
      </c>
    </row>
    <row r="27" spans="1:14" s="93" customFormat="1" ht="15.75" customHeight="1">
      <c r="A27" s="76" t="s">
        <v>57</v>
      </c>
      <c r="B27" s="126">
        <f>_xlfn.COMPOUNDVALUE(737)</f>
        <v>554</v>
      </c>
      <c r="C27" s="211">
        <v>700275</v>
      </c>
      <c r="D27" s="126">
        <f>_xlfn.COMPOUNDVALUE(738)</f>
        <v>823</v>
      </c>
      <c r="E27" s="211">
        <v>531379</v>
      </c>
      <c r="F27" s="126">
        <f>_xlfn.COMPOUNDVALUE(739)</f>
        <v>1377</v>
      </c>
      <c r="G27" s="211">
        <v>1231653</v>
      </c>
      <c r="H27" s="126">
        <f>_xlfn.COMPOUNDVALUE(740)</f>
        <v>69</v>
      </c>
      <c r="I27" s="213">
        <v>123793</v>
      </c>
      <c r="J27" s="126">
        <v>94</v>
      </c>
      <c r="K27" s="128">
        <v>5379</v>
      </c>
      <c r="L27" s="126">
        <v>1467</v>
      </c>
      <c r="M27" s="128">
        <v>1113239</v>
      </c>
      <c r="N27" s="86" t="s">
        <v>57</v>
      </c>
    </row>
    <row r="28" spans="1:14" s="93" customFormat="1" ht="15.75" customHeight="1">
      <c r="A28" s="76" t="s">
        <v>58</v>
      </c>
      <c r="B28" s="126">
        <f>_xlfn.COMPOUNDVALUE(741)</f>
        <v>1269</v>
      </c>
      <c r="C28" s="211">
        <v>1589852</v>
      </c>
      <c r="D28" s="126">
        <f>_xlfn.COMPOUNDVALUE(742)</f>
        <v>1484</v>
      </c>
      <c r="E28" s="211">
        <v>963398</v>
      </c>
      <c r="F28" s="126">
        <f>_xlfn.COMPOUNDVALUE(743)</f>
        <v>2753</v>
      </c>
      <c r="G28" s="211">
        <v>2553250</v>
      </c>
      <c r="H28" s="126">
        <f>_xlfn.COMPOUNDVALUE(744)</f>
        <v>119</v>
      </c>
      <c r="I28" s="213">
        <v>320712</v>
      </c>
      <c r="J28" s="126">
        <v>234</v>
      </c>
      <c r="K28" s="128">
        <v>36319</v>
      </c>
      <c r="L28" s="126">
        <v>2960</v>
      </c>
      <c r="M28" s="128">
        <v>2268857</v>
      </c>
      <c r="N28" s="86" t="s">
        <v>58</v>
      </c>
    </row>
    <row r="29" spans="1:14" s="93" customFormat="1" ht="15.75" customHeight="1">
      <c r="A29" s="76" t="s">
        <v>166</v>
      </c>
      <c r="B29" s="126">
        <f>_xlfn.COMPOUNDVALUE(745)</f>
        <v>1902</v>
      </c>
      <c r="C29" s="211">
        <v>2895537</v>
      </c>
      <c r="D29" s="126">
        <f>_xlfn.COMPOUNDVALUE(746)</f>
        <v>2206</v>
      </c>
      <c r="E29" s="211">
        <v>1338345</v>
      </c>
      <c r="F29" s="126">
        <f>_xlfn.COMPOUNDVALUE(747)</f>
        <v>4108</v>
      </c>
      <c r="G29" s="211">
        <v>4233882</v>
      </c>
      <c r="H29" s="126">
        <f>_xlfn.COMPOUNDVALUE(748)</f>
        <v>209</v>
      </c>
      <c r="I29" s="213">
        <v>184966</v>
      </c>
      <c r="J29" s="126">
        <v>316</v>
      </c>
      <c r="K29" s="128">
        <v>48642</v>
      </c>
      <c r="L29" s="126">
        <v>4462</v>
      </c>
      <c r="M29" s="128">
        <v>4097558</v>
      </c>
      <c r="N29" s="86" t="s">
        <v>59</v>
      </c>
    </row>
    <row r="30" spans="1:14" s="93" customFormat="1" ht="15.75" customHeight="1">
      <c r="A30" s="76"/>
      <c r="B30" s="126"/>
      <c r="C30" s="211"/>
      <c r="D30" s="126"/>
      <c r="E30" s="211"/>
      <c r="F30" s="126"/>
      <c r="G30" s="211"/>
      <c r="H30" s="126"/>
      <c r="I30" s="213"/>
      <c r="J30" s="126"/>
      <c r="K30" s="128"/>
      <c r="L30" s="126"/>
      <c r="M30" s="128"/>
      <c r="N30" s="86" t="s">
        <v>38</v>
      </c>
    </row>
    <row r="31" spans="1:14" s="93" customFormat="1" ht="15.75" customHeight="1">
      <c r="A31" s="76" t="s">
        <v>60</v>
      </c>
      <c r="B31" s="126">
        <f>_xlfn.COMPOUNDVALUE(749)</f>
        <v>1679</v>
      </c>
      <c r="C31" s="211">
        <v>4301512</v>
      </c>
      <c r="D31" s="126">
        <f>_xlfn.COMPOUNDVALUE(750)</f>
        <v>1884</v>
      </c>
      <c r="E31" s="211">
        <v>1197799</v>
      </c>
      <c r="F31" s="126">
        <f>_xlfn.COMPOUNDVALUE(751)</f>
        <v>3563</v>
      </c>
      <c r="G31" s="211">
        <v>5499311</v>
      </c>
      <c r="H31" s="126">
        <f>_xlfn.COMPOUNDVALUE(752)</f>
        <v>186</v>
      </c>
      <c r="I31" s="213">
        <v>351547</v>
      </c>
      <c r="J31" s="126">
        <v>315</v>
      </c>
      <c r="K31" s="128">
        <v>72998</v>
      </c>
      <c r="L31" s="126">
        <v>3872</v>
      </c>
      <c r="M31" s="128">
        <v>5220762</v>
      </c>
      <c r="N31" s="86" t="s">
        <v>60</v>
      </c>
    </row>
    <row r="32" spans="1:14" s="93" customFormat="1" ht="15.75" customHeight="1">
      <c r="A32" s="76" t="s">
        <v>61</v>
      </c>
      <c r="B32" s="126">
        <f>_xlfn.COMPOUNDVALUE(753)</f>
        <v>1036</v>
      </c>
      <c r="C32" s="211">
        <v>1119445</v>
      </c>
      <c r="D32" s="126">
        <f>_xlfn.COMPOUNDVALUE(754)</f>
        <v>1477</v>
      </c>
      <c r="E32" s="211">
        <v>855503</v>
      </c>
      <c r="F32" s="126">
        <f>_xlfn.COMPOUNDVALUE(755)</f>
        <v>2513</v>
      </c>
      <c r="G32" s="211">
        <v>1974948</v>
      </c>
      <c r="H32" s="126">
        <f>_xlfn.COMPOUNDVALUE(756)</f>
        <v>106</v>
      </c>
      <c r="I32" s="213">
        <v>83111</v>
      </c>
      <c r="J32" s="126">
        <v>205</v>
      </c>
      <c r="K32" s="128">
        <v>35749</v>
      </c>
      <c r="L32" s="126">
        <v>2685</v>
      </c>
      <c r="M32" s="128">
        <v>1927586</v>
      </c>
      <c r="N32" s="86" t="s">
        <v>61</v>
      </c>
    </row>
    <row r="33" spans="1:14" s="93" customFormat="1" ht="15.75" customHeight="1">
      <c r="A33" s="76" t="s">
        <v>62</v>
      </c>
      <c r="B33" s="126">
        <f>_xlfn.COMPOUNDVALUE(757)</f>
        <v>1057</v>
      </c>
      <c r="C33" s="211">
        <v>1403918</v>
      </c>
      <c r="D33" s="126">
        <f>_xlfn.COMPOUNDVALUE(758)</f>
        <v>1597</v>
      </c>
      <c r="E33" s="211">
        <v>1023284</v>
      </c>
      <c r="F33" s="126">
        <f>_xlfn.COMPOUNDVALUE(759)</f>
        <v>2654</v>
      </c>
      <c r="G33" s="211">
        <v>2427201</v>
      </c>
      <c r="H33" s="126">
        <f>_xlfn.COMPOUNDVALUE(760)</f>
        <v>73</v>
      </c>
      <c r="I33" s="213">
        <v>70253</v>
      </c>
      <c r="J33" s="126">
        <v>238</v>
      </c>
      <c r="K33" s="128">
        <v>28486</v>
      </c>
      <c r="L33" s="126">
        <v>2812</v>
      </c>
      <c r="M33" s="128">
        <v>2385434</v>
      </c>
      <c r="N33" s="86" t="s">
        <v>62</v>
      </c>
    </row>
    <row r="34" spans="1:14" s="93" customFormat="1" ht="15.75" customHeight="1">
      <c r="A34" s="76" t="s">
        <v>63</v>
      </c>
      <c r="B34" s="126">
        <f>_xlfn.COMPOUNDVALUE(761)</f>
        <v>1156</v>
      </c>
      <c r="C34" s="211">
        <v>1465951</v>
      </c>
      <c r="D34" s="126">
        <f>_xlfn.COMPOUNDVALUE(762)</f>
        <v>1386</v>
      </c>
      <c r="E34" s="211">
        <v>877087</v>
      </c>
      <c r="F34" s="126">
        <f>_xlfn.COMPOUNDVALUE(763)</f>
        <v>2542</v>
      </c>
      <c r="G34" s="211">
        <v>2343038</v>
      </c>
      <c r="H34" s="126">
        <f>_xlfn.COMPOUNDVALUE(764)</f>
        <v>300</v>
      </c>
      <c r="I34" s="213">
        <v>86940</v>
      </c>
      <c r="J34" s="126">
        <v>355</v>
      </c>
      <c r="K34" s="128">
        <v>86248</v>
      </c>
      <c r="L34" s="126">
        <v>3033</v>
      </c>
      <c r="M34" s="128">
        <v>2342346</v>
      </c>
      <c r="N34" s="86" t="s">
        <v>63</v>
      </c>
    </row>
    <row r="35" spans="1:14" s="93" customFormat="1" ht="15.75" customHeight="1">
      <c r="A35" s="76" t="s">
        <v>64</v>
      </c>
      <c r="B35" s="126">
        <f>_xlfn.COMPOUNDVALUE(765)</f>
        <v>449</v>
      </c>
      <c r="C35" s="211">
        <v>590924</v>
      </c>
      <c r="D35" s="126">
        <f>_xlfn.COMPOUNDVALUE(766)</f>
        <v>876</v>
      </c>
      <c r="E35" s="211">
        <v>528253</v>
      </c>
      <c r="F35" s="126">
        <f>_xlfn.COMPOUNDVALUE(767)</f>
        <v>1325</v>
      </c>
      <c r="G35" s="211">
        <v>1119178</v>
      </c>
      <c r="H35" s="126">
        <f>_xlfn.COMPOUNDVALUE(768)</f>
        <v>51</v>
      </c>
      <c r="I35" s="213">
        <v>56900</v>
      </c>
      <c r="J35" s="126">
        <v>73</v>
      </c>
      <c r="K35" s="128">
        <v>17381</v>
      </c>
      <c r="L35" s="126">
        <v>1402</v>
      </c>
      <c r="M35" s="128">
        <v>1079659</v>
      </c>
      <c r="N35" s="86" t="s">
        <v>64</v>
      </c>
    </row>
    <row r="36" spans="1:14" s="93" customFormat="1" ht="15.75" customHeight="1">
      <c r="A36" s="76"/>
      <c r="B36" s="126"/>
      <c r="C36" s="211"/>
      <c r="D36" s="126"/>
      <c r="E36" s="211"/>
      <c r="F36" s="126"/>
      <c r="G36" s="211"/>
      <c r="H36" s="126"/>
      <c r="I36" s="213"/>
      <c r="J36" s="126"/>
      <c r="K36" s="128"/>
      <c r="L36" s="126"/>
      <c r="M36" s="128"/>
      <c r="N36" s="86" t="s">
        <v>38</v>
      </c>
    </row>
    <row r="37" spans="1:14" s="93" customFormat="1" ht="15.75" customHeight="1">
      <c r="A37" s="76" t="s">
        <v>65</v>
      </c>
      <c r="B37" s="126">
        <f>_xlfn.COMPOUNDVALUE(769)</f>
        <v>489</v>
      </c>
      <c r="C37" s="211">
        <v>481296</v>
      </c>
      <c r="D37" s="126">
        <f>_xlfn.COMPOUNDVALUE(770)</f>
        <v>908</v>
      </c>
      <c r="E37" s="211">
        <v>533243</v>
      </c>
      <c r="F37" s="126">
        <f>_xlfn.COMPOUNDVALUE(771)</f>
        <v>1397</v>
      </c>
      <c r="G37" s="211">
        <v>1014539</v>
      </c>
      <c r="H37" s="126">
        <f>_xlfn.COMPOUNDVALUE(772)</f>
        <v>41</v>
      </c>
      <c r="I37" s="213">
        <v>37782</v>
      </c>
      <c r="J37" s="126">
        <v>102</v>
      </c>
      <c r="K37" s="128">
        <v>25058</v>
      </c>
      <c r="L37" s="126">
        <v>1478</v>
      </c>
      <c r="M37" s="128">
        <v>1001815</v>
      </c>
      <c r="N37" s="86" t="s">
        <v>65</v>
      </c>
    </row>
    <row r="38" spans="1:14" s="93" customFormat="1" ht="15.75" customHeight="1">
      <c r="A38" s="76" t="s">
        <v>66</v>
      </c>
      <c r="B38" s="126">
        <f>_xlfn.COMPOUNDVALUE(773)</f>
        <v>564</v>
      </c>
      <c r="C38" s="211">
        <v>501898</v>
      </c>
      <c r="D38" s="126">
        <f>_xlfn.COMPOUNDVALUE(774)</f>
        <v>809</v>
      </c>
      <c r="E38" s="211">
        <v>459489</v>
      </c>
      <c r="F38" s="126">
        <f>_xlfn.COMPOUNDVALUE(775)</f>
        <v>1373</v>
      </c>
      <c r="G38" s="211">
        <v>961387</v>
      </c>
      <c r="H38" s="126">
        <f>_xlfn.COMPOUNDVALUE(776)</f>
        <v>47</v>
      </c>
      <c r="I38" s="213">
        <v>198472</v>
      </c>
      <c r="J38" s="126">
        <v>137</v>
      </c>
      <c r="K38" s="128">
        <v>11482</v>
      </c>
      <c r="L38" s="126">
        <v>1456</v>
      </c>
      <c r="M38" s="128">
        <v>774397</v>
      </c>
      <c r="N38" s="86" t="s">
        <v>66</v>
      </c>
    </row>
    <row r="39" spans="1:14" s="93" customFormat="1" ht="15.75" customHeight="1">
      <c r="A39" s="76" t="s">
        <v>67</v>
      </c>
      <c r="B39" s="126">
        <f>_xlfn.COMPOUNDVALUE(777)</f>
        <v>604</v>
      </c>
      <c r="C39" s="211">
        <v>438904</v>
      </c>
      <c r="D39" s="126">
        <f>_xlfn.COMPOUNDVALUE(778)</f>
        <v>995</v>
      </c>
      <c r="E39" s="211">
        <v>459260</v>
      </c>
      <c r="F39" s="126">
        <f>_xlfn.COMPOUNDVALUE(779)</f>
        <v>1599</v>
      </c>
      <c r="G39" s="211">
        <v>898164</v>
      </c>
      <c r="H39" s="126">
        <f>_xlfn.COMPOUNDVALUE(780)</f>
        <v>130</v>
      </c>
      <c r="I39" s="213">
        <v>57758</v>
      </c>
      <c r="J39" s="126">
        <v>131</v>
      </c>
      <c r="K39" s="128">
        <v>12975</v>
      </c>
      <c r="L39" s="126">
        <v>1776</v>
      </c>
      <c r="M39" s="128">
        <v>853381</v>
      </c>
      <c r="N39" s="86" t="s">
        <v>67</v>
      </c>
    </row>
    <row r="40" spans="1:14" s="93" customFormat="1" ht="15.75" customHeight="1">
      <c r="A40" s="76" t="s">
        <v>68</v>
      </c>
      <c r="B40" s="126">
        <f>_xlfn.COMPOUNDVALUE(781)</f>
        <v>626</v>
      </c>
      <c r="C40" s="211">
        <v>470131</v>
      </c>
      <c r="D40" s="126">
        <f>_xlfn.COMPOUNDVALUE(782)</f>
        <v>831</v>
      </c>
      <c r="E40" s="211">
        <v>448376</v>
      </c>
      <c r="F40" s="126">
        <f>_xlfn.COMPOUNDVALUE(783)</f>
        <v>1457</v>
      </c>
      <c r="G40" s="211">
        <v>918507</v>
      </c>
      <c r="H40" s="126">
        <f>_xlfn.COMPOUNDVALUE(784)</f>
        <v>86</v>
      </c>
      <c r="I40" s="213">
        <v>293288</v>
      </c>
      <c r="J40" s="126">
        <v>102</v>
      </c>
      <c r="K40" s="128">
        <v>40411</v>
      </c>
      <c r="L40" s="126">
        <v>1611</v>
      </c>
      <c r="M40" s="128">
        <v>665630</v>
      </c>
      <c r="N40" s="86" t="s">
        <v>68</v>
      </c>
    </row>
    <row r="41" spans="1:14" s="93" customFormat="1" ht="15.75" customHeight="1">
      <c r="A41" s="76" t="s">
        <v>69</v>
      </c>
      <c r="B41" s="126">
        <f>_xlfn.COMPOUNDVALUE(785)</f>
        <v>405</v>
      </c>
      <c r="C41" s="211">
        <v>233681</v>
      </c>
      <c r="D41" s="126">
        <f>_xlfn.COMPOUNDVALUE(786)</f>
        <v>491</v>
      </c>
      <c r="E41" s="211">
        <v>221216</v>
      </c>
      <c r="F41" s="126">
        <f>_xlfn.COMPOUNDVALUE(787)</f>
        <v>896</v>
      </c>
      <c r="G41" s="211">
        <v>454896</v>
      </c>
      <c r="H41" s="126">
        <f>_xlfn.COMPOUNDVALUE(788)</f>
        <v>22</v>
      </c>
      <c r="I41" s="213">
        <v>26272</v>
      </c>
      <c r="J41" s="126">
        <v>51</v>
      </c>
      <c r="K41" s="128">
        <v>10487</v>
      </c>
      <c r="L41" s="126">
        <v>956</v>
      </c>
      <c r="M41" s="128">
        <v>439111</v>
      </c>
      <c r="N41" s="197" t="s">
        <v>69</v>
      </c>
    </row>
    <row r="42" spans="1:14" s="93" customFormat="1" ht="15.75" customHeight="1">
      <c r="A42" s="103"/>
      <c r="B42" s="126"/>
      <c r="C42" s="211"/>
      <c r="D42" s="126"/>
      <c r="E42" s="211"/>
      <c r="F42" s="126"/>
      <c r="G42" s="211"/>
      <c r="H42" s="126"/>
      <c r="I42" s="213"/>
      <c r="J42" s="126"/>
      <c r="K42" s="128"/>
      <c r="L42" s="126"/>
      <c r="M42" s="128"/>
      <c r="N42" s="198" t="s">
        <v>38</v>
      </c>
    </row>
    <row r="43" spans="1:14" s="93" customFormat="1" ht="15.75" customHeight="1">
      <c r="A43" s="98" t="s">
        <v>70</v>
      </c>
      <c r="B43" s="126">
        <f>_xlfn.COMPOUNDVALUE(789)</f>
        <v>864</v>
      </c>
      <c r="C43" s="211">
        <v>643617</v>
      </c>
      <c r="D43" s="126">
        <f>_xlfn.COMPOUNDVALUE(790)</f>
        <v>1159</v>
      </c>
      <c r="E43" s="211">
        <v>615666</v>
      </c>
      <c r="F43" s="126">
        <f>_xlfn.COMPOUNDVALUE(791)</f>
        <v>2023</v>
      </c>
      <c r="G43" s="211">
        <v>1259283</v>
      </c>
      <c r="H43" s="126">
        <f>_xlfn.COMPOUNDVALUE(792)</f>
        <v>103</v>
      </c>
      <c r="I43" s="213">
        <v>100052</v>
      </c>
      <c r="J43" s="126">
        <v>183</v>
      </c>
      <c r="K43" s="128">
        <v>18157</v>
      </c>
      <c r="L43" s="126">
        <v>2212</v>
      </c>
      <c r="M43" s="128">
        <v>1177388</v>
      </c>
      <c r="N43" s="100" t="s">
        <v>70</v>
      </c>
    </row>
    <row r="44" spans="1:14" s="93" customFormat="1" ht="15.75" customHeight="1">
      <c r="A44" s="76" t="s">
        <v>71</v>
      </c>
      <c r="B44" s="126">
        <f>_xlfn.COMPOUNDVALUE(793)</f>
        <v>603</v>
      </c>
      <c r="C44" s="211">
        <v>378002</v>
      </c>
      <c r="D44" s="126">
        <f>_xlfn.COMPOUNDVALUE(794)</f>
        <v>862</v>
      </c>
      <c r="E44" s="211">
        <v>395599</v>
      </c>
      <c r="F44" s="126">
        <f>_xlfn.COMPOUNDVALUE(795)</f>
        <v>1465</v>
      </c>
      <c r="G44" s="211">
        <v>773602</v>
      </c>
      <c r="H44" s="126">
        <f>_xlfn.COMPOUNDVALUE(796)</f>
        <v>57</v>
      </c>
      <c r="I44" s="213">
        <v>30763</v>
      </c>
      <c r="J44" s="126">
        <v>126</v>
      </c>
      <c r="K44" s="128">
        <v>18062</v>
      </c>
      <c r="L44" s="126">
        <v>1575</v>
      </c>
      <c r="M44" s="128">
        <v>760901</v>
      </c>
      <c r="N44" s="86" t="s">
        <v>71</v>
      </c>
    </row>
    <row r="45" spans="1:14" s="93" customFormat="1" ht="15.75" customHeight="1">
      <c r="A45" s="76" t="s">
        <v>72</v>
      </c>
      <c r="B45" s="126">
        <f>_xlfn.COMPOUNDVALUE(797)</f>
        <v>485</v>
      </c>
      <c r="C45" s="211">
        <v>273646</v>
      </c>
      <c r="D45" s="126">
        <f>_xlfn.COMPOUNDVALUE(798)</f>
        <v>687</v>
      </c>
      <c r="E45" s="211">
        <v>346073</v>
      </c>
      <c r="F45" s="126">
        <f>_xlfn.COMPOUNDVALUE(799)</f>
        <v>1172</v>
      </c>
      <c r="G45" s="211">
        <v>619719</v>
      </c>
      <c r="H45" s="126">
        <f>_xlfn.COMPOUNDVALUE(800)</f>
        <v>40</v>
      </c>
      <c r="I45" s="213">
        <v>29092</v>
      </c>
      <c r="J45" s="126">
        <v>84</v>
      </c>
      <c r="K45" s="128">
        <v>15769</v>
      </c>
      <c r="L45" s="126">
        <v>1256</v>
      </c>
      <c r="M45" s="128">
        <v>606396</v>
      </c>
      <c r="N45" s="86" t="s">
        <v>72</v>
      </c>
    </row>
    <row r="46" spans="1:14" s="93" customFormat="1" ht="15.75" customHeight="1">
      <c r="A46" s="76" t="s">
        <v>73</v>
      </c>
      <c r="B46" s="126">
        <f>_xlfn.COMPOUNDVALUE(801)</f>
        <v>1613</v>
      </c>
      <c r="C46" s="211">
        <v>1723890</v>
      </c>
      <c r="D46" s="126">
        <f>_xlfn.COMPOUNDVALUE(802)</f>
        <v>2124</v>
      </c>
      <c r="E46" s="211">
        <v>1275853</v>
      </c>
      <c r="F46" s="126">
        <f>_xlfn.COMPOUNDVALUE(803)</f>
        <v>3737</v>
      </c>
      <c r="G46" s="211">
        <v>2999744</v>
      </c>
      <c r="H46" s="126">
        <f>_xlfn.COMPOUNDVALUE(804)</f>
        <v>141</v>
      </c>
      <c r="I46" s="213">
        <v>141264</v>
      </c>
      <c r="J46" s="126">
        <v>333</v>
      </c>
      <c r="K46" s="128">
        <v>35996</v>
      </c>
      <c r="L46" s="126">
        <v>4051</v>
      </c>
      <c r="M46" s="128">
        <v>2894476</v>
      </c>
      <c r="N46" s="86" t="s">
        <v>73</v>
      </c>
    </row>
    <row r="47" spans="1:14" s="93" customFormat="1" ht="15.75" customHeight="1">
      <c r="A47" s="76" t="s">
        <v>74</v>
      </c>
      <c r="B47" s="126">
        <f>_xlfn.COMPOUNDVALUE(805)</f>
        <v>685</v>
      </c>
      <c r="C47" s="211">
        <v>536379</v>
      </c>
      <c r="D47" s="126">
        <f>_xlfn.COMPOUNDVALUE(806)</f>
        <v>1075</v>
      </c>
      <c r="E47" s="211">
        <v>530332</v>
      </c>
      <c r="F47" s="126">
        <f>_xlfn.COMPOUNDVALUE(807)</f>
        <v>1760</v>
      </c>
      <c r="G47" s="211">
        <v>1066711</v>
      </c>
      <c r="H47" s="126">
        <f>_xlfn.COMPOUNDVALUE(808)</f>
        <v>68</v>
      </c>
      <c r="I47" s="213">
        <v>67179</v>
      </c>
      <c r="J47" s="126">
        <v>132</v>
      </c>
      <c r="K47" s="128">
        <v>25023</v>
      </c>
      <c r="L47" s="126">
        <v>1896</v>
      </c>
      <c r="M47" s="128">
        <v>1024555</v>
      </c>
      <c r="N47" s="86" t="s">
        <v>74</v>
      </c>
    </row>
    <row r="48" spans="1:14" s="93" customFormat="1" ht="15.75" customHeight="1">
      <c r="A48" s="76"/>
      <c r="B48" s="126"/>
      <c r="C48" s="211"/>
      <c r="D48" s="126"/>
      <c r="E48" s="211"/>
      <c r="F48" s="126"/>
      <c r="G48" s="211"/>
      <c r="H48" s="126"/>
      <c r="I48" s="213"/>
      <c r="J48" s="126"/>
      <c r="K48" s="128"/>
      <c r="L48" s="126"/>
      <c r="M48" s="128"/>
      <c r="N48" s="86" t="s">
        <v>38</v>
      </c>
    </row>
    <row r="49" spans="1:14" s="93" customFormat="1" ht="15.75" customHeight="1">
      <c r="A49" s="76" t="s">
        <v>75</v>
      </c>
      <c r="B49" s="126">
        <f>_xlfn.COMPOUNDVALUE(809)</f>
        <v>622</v>
      </c>
      <c r="C49" s="211">
        <v>741775</v>
      </c>
      <c r="D49" s="126">
        <f>_xlfn.COMPOUNDVALUE(810)</f>
        <v>957</v>
      </c>
      <c r="E49" s="211">
        <v>513268</v>
      </c>
      <c r="F49" s="126">
        <f>_xlfn.COMPOUNDVALUE(811)</f>
        <v>1579</v>
      </c>
      <c r="G49" s="211">
        <v>1255043</v>
      </c>
      <c r="H49" s="126">
        <f>_xlfn.COMPOUNDVALUE(812)</f>
        <v>67</v>
      </c>
      <c r="I49" s="213">
        <v>164464</v>
      </c>
      <c r="J49" s="126">
        <v>157</v>
      </c>
      <c r="K49" s="128">
        <v>16693</v>
      </c>
      <c r="L49" s="126">
        <v>1734</v>
      </c>
      <c r="M49" s="128">
        <v>1107272</v>
      </c>
      <c r="N49" s="86" t="s">
        <v>75</v>
      </c>
    </row>
    <row r="50" spans="1:14" s="93" customFormat="1" ht="15.75" customHeight="1">
      <c r="A50" s="76" t="s">
        <v>76</v>
      </c>
      <c r="B50" s="126">
        <f>_xlfn.COMPOUNDVALUE(813)</f>
        <v>797</v>
      </c>
      <c r="C50" s="211">
        <v>534682</v>
      </c>
      <c r="D50" s="126">
        <f>_xlfn.COMPOUNDVALUE(814)</f>
        <v>1130</v>
      </c>
      <c r="E50" s="211">
        <v>533988</v>
      </c>
      <c r="F50" s="126">
        <f>_xlfn.COMPOUNDVALUE(815)</f>
        <v>1927</v>
      </c>
      <c r="G50" s="211">
        <v>1068671</v>
      </c>
      <c r="H50" s="126">
        <f>_xlfn.COMPOUNDVALUE(816)</f>
        <v>61</v>
      </c>
      <c r="I50" s="213">
        <v>94588</v>
      </c>
      <c r="J50" s="126">
        <v>230</v>
      </c>
      <c r="K50" s="128">
        <v>28030</v>
      </c>
      <c r="L50" s="126">
        <v>2098</v>
      </c>
      <c r="M50" s="128">
        <v>1002113</v>
      </c>
      <c r="N50" s="86" t="s">
        <v>76</v>
      </c>
    </row>
    <row r="51" spans="1:14" s="93" customFormat="1" ht="15.75" customHeight="1">
      <c r="A51" s="76" t="s">
        <v>77</v>
      </c>
      <c r="B51" s="126">
        <f>_xlfn.COMPOUNDVALUE(817)</f>
        <v>1500</v>
      </c>
      <c r="C51" s="211">
        <v>1371679</v>
      </c>
      <c r="D51" s="126">
        <f>_xlfn.COMPOUNDVALUE(818)</f>
        <v>2113</v>
      </c>
      <c r="E51" s="211">
        <v>1176017</v>
      </c>
      <c r="F51" s="126">
        <f>_xlfn.COMPOUNDVALUE(819)</f>
        <v>3613</v>
      </c>
      <c r="G51" s="211">
        <v>2547697</v>
      </c>
      <c r="H51" s="126">
        <f>_xlfn.COMPOUNDVALUE(820)</f>
        <v>152</v>
      </c>
      <c r="I51" s="213">
        <v>136187</v>
      </c>
      <c r="J51" s="126">
        <v>267</v>
      </c>
      <c r="K51" s="128">
        <v>96918</v>
      </c>
      <c r="L51" s="126">
        <v>3921</v>
      </c>
      <c r="M51" s="128">
        <v>2508428</v>
      </c>
      <c r="N51" s="86" t="s">
        <v>77</v>
      </c>
    </row>
    <row r="52" spans="1:14" s="93" customFormat="1" ht="15.75" customHeight="1">
      <c r="A52" s="76" t="s">
        <v>78</v>
      </c>
      <c r="B52" s="217">
        <f>_xlfn.COMPOUNDVALUE(821)</f>
        <v>1314</v>
      </c>
      <c r="C52" s="211">
        <v>1244361</v>
      </c>
      <c r="D52" s="126">
        <f>_xlfn.COMPOUNDVALUE(822)</f>
        <v>1938</v>
      </c>
      <c r="E52" s="211">
        <v>1063439</v>
      </c>
      <c r="F52" s="217">
        <f>_xlfn.COMPOUNDVALUE(823)</f>
        <v>3252</v>
      </c>
      <c r="G52" s="211">
        <v>2307800</v>
      </c>
      <c r="H52" s="217">
        <f>_xlfn.COMPOUNDVALUE(824)</f>
        <v>120</v>
      </c>
      <c r="I52" s="213">
        <v>93019</v>
      </c>
      <c r="J52" s="126">
        <v>294</v>
      </c>
      <c r="K52" s="128">
        <v>47689</v>
      </c>
      <c r="L52" s="126">
        <v>3503</v>
      </c>
      <c r="M52" s="128">
        <v>2262470</v>
      </c>
      <c r="N52" s="86" t="s">
        <v>78</v>
      </c>
    </row>
    <row r="53" spans="1:14" s="93" customFormat="1" ht="15.75" customHeight="1">
      <c r="A53" s="76" t="s">
        <v>79</v>
      </c>
      <c r="B53" s="217">
        <f>_xlfn.COMPOUNDVALUE(825)</f>
        <v>1222</v>
      </c>
      <c r="C53" s="211">
        <v>1451973</v>
      </c>
      <c r="D53" s="126">
        <f>_xlfn.COMPOUNDVALUE(826)</f>
        <v>1847</v>
      </c>
      <c r="E53" s="211">
        <v>1071643</v>
      </c>
      <c r="F53" s="217">
        <f>_xlfn.COMPOUNDVALUE(827)</f>
        <v>3069</v>
      </c>
      <c r="G53" s="211">
        <v>2523616</v>
      </c>
      <c r="H53" s="217">
        <f>_xlfn.COMPOUNDVALUE(828)</f>
        <v>112</v>
      </c>
      <c r="I53" s="213">
        <v>89135</v>
      </c>
      <c r="J53" s="126">
        <v>251</v>
      </c>
      <c r="K53" s="128">
        <v>25846</v>
      </c>
      <c r="L53" s="126">
        <v>3293</v>
      </c>
      <c r="M53" s="128">
        <v>2460327</v>
      </c>
      <c r="N53" s="86" t="s">
        <v>79</v>
      </c>
    </row>
    <row r="54" spans="1:14" s="93" customFormat="1" ht="15.75" customHeight="1">
      <c r="A54" s="76"/>
      <c r="B54" s="126"/>
      <c r="C54" s="211"/>
      <c r="D54" s="126"/>
      <c r="E54" s="211"/>
      <c r="F54" s="126"/>
      <c r="G54" s="211"/>
      <c r="H54" s="126"/>
      <c r="I54" s="213"/>
      <c r="J54" s="126"/>
      <c r="K54" s="128"/>
      <c r="L54" s="126"/>
      <c r="M54" s="128"/>
      <c r="N54" s="86" t="s">
        <v>38</v>
      </c>
    </row>
    <row r="55" spans="1:14" s="93" customFormat="1" ht="15.75" customHeight="1">
      <c r="A55" s="76" t="s">
        <v>80</v>
      </c>
      <c r="B55" s="126">
        <f>_xlfn.COMPOUNDVALUE(829)</f>
        <v>2433</v>
      </c>
      <c r="C55" s="211">
        <v>3804402</v>
      </c>
      <c r="D55" s="126">
        <f>_xlfn.COMPOUNDVALUE(830)</f>
        <v>3064</v>
      </c>
      <c r="E55" s="211">
        <v>1982898</v>
      </c>
      <c r="F55" s="126">
        <f>_xlfn.COMPOUNDVALUE(831)</f>
        <v>5497</v>
      </c>
      <c r="G55" s="211">
        <v>5787299</v>
      </c>
      <c r="H55" s="126">
        <f>_xlfn.COMPOUNDVALUE(832)</f>
        <v>214</v>
      </c>
      <c r="I55" s="213">
        <v>317551</v>
      </c>
      <c r="J55" s="126">
        <v>457</v>
      </c>
      <c r="K55" s="128">
        <v>87301</v>
      </c>
      <c r="L55" s="126">
        <v>5915</v>
      </c>
      <c r="M55" s="128">
        <v>5557049</v>
      </c>
      <c r="N55" s="86" t="s">
        <v>80</v>
      </c>
    </row>
    <row r="56" spans="1:14" s="93" customFormat="1" ht="15.75" customHeight="1">
      <c r="A56" s="76" t="s">
        <v>81</v>
      </c>
      <c r="B56" s="126">
        <f>_xlfn.COMPOUNDVALUE(833)</f>
        <v>1168</v>
      </c>
      <c r="C56" s="211">
        <v>869971</v>
      </c>
      <c r="D56" s="126">
        <f>_xlfn.COMPOUNDVALUE(834)</f>
        <v>1658</v>
      </c>
      <c r="E56" s="211">
        <v>892377</v>
      </c>
      <c r="F56" s="126">
        <f>_xlfn.COMPOUNDVALUE(835)</f>
        <v>2826</v>
      </c>
      <c r="G56" s="211">
        <v>1762348</v>
      </c>
      <c r="H56" s="126">
        <f>_xlfn.COMPOUNDVALUE(836)</f>
        <v>96</v>
      </c>
      <c r="I56" s="213">
        <v>145185</v>
      </c>
      <c r="J56" s="126">
        <v>255</v>
      </c>
      <c r="K56" s="128">
        <v>48094</v>
      </c>
      <c r="L56" s="126">
        <v>3048</v>
      </c>
      <c r="M56" s="128">
        <v>1665257</v>
      </c>
      <c r="N56" s="86" t="s">
        <v>81</v>
      </c>
    </row>
    <row r="57" spans="1:14" s="93" customFormat="1" ht="15.75" customHeight="1">
      <c r="A57" s="76" t="s">
        <v>82</v>
      </c>
      <c r="B57" s="126">
        <f>_xlfn.COMPOUNDVALUE(837)</f>
        <v>1113</v>
      </c>
      <c r="C57" s="211">
        <v>1002289</v>
      </c>
      <c r="D57" s="126">
        <f>_xlfn.COMPOUNDVALUE(838)</f>
        <v>1678</v>
      </c>
      <c r="E57" s="211">
        <v>869160</v>
      </c>
      <c r="F57" s="126">
        <f>_xlfn.COMPOUNDVALUE(839)</f>
        <v>2791</v>
      </c>
      <c r="G57" s="211">
        <v>1871449</v>
      </c>
      <c r="H57" s="126">
        <f>_xlfn.COMPOUNDVALUE(840)</f>
        <v>88</v>
      </c>
      <c r="I57" s="213">
        <v>66361</v>
      </c>
      <c r="J57" s="126">
        <v>298</v>
      </c>
      <c r="K57" s="128">
        <v>105264</v>
      </c>
      <c r="L57" s="126">
        <v>3035</v>
      </c>
      <c r="M57" s="128">
        <v>1910352</v>
      </c>
      <c r="N57" s="86" t="s">
        <v>82</v>
      </c>
    </row>
    <row r="58" spans="1:14" s="93" customFormat="1" ht="15.75" customHeight="1">
      <c r="A58" s="76" t="s">
        <v>83</v>
      </c>
      <c r="B58" s="126">
        <f>_xlfn.COMPOUNDVALUE(841)</f>
        <v>811</v>
      </c>
      <c r="C58" s="211">
        <v>864644</v>
      </c>
      <c r="D58" s="126">
        <f>_xlfn.COMPOUNDVALUE(842)</f>
        <v>1360</v>
      </c>
      <c r="E58" s="211">
        <v>758833</v>
      </c>
      <c r="F58" s="126">
        <f>_xlfn.COMPOUNDVALUE(843)</f>
        <v>2171</v>
      </c>
      <c r="G58" s="211">
        <v>1623477</v>
      </c>
      <c r="H58" s="126">
        <f>_xlfn.COMPOUNDVALUE(844)</f>
        <v>79</v>
      </c>
      <c r="I58" s="213">
        <v>49746</v>
      </c>
      <c r="J58" s="126">
        <v>222</v>
      </c>
      <c r="K58" s="128">
        <v>23721</v>
      </c>
      <c r="L58" s="126">
        <v>2335</v>
      </c>
      <c r="M58" s="128">
        <v>1597452</v>
      </c>
      <c r="N58" s="86" t="s">
        <v>83</v>
      </c>
    </row>
    <row r="59" spans="1:14" s="93" customFormat="1" ht="15.75" customHeight="1">
      <c r="A59" s="76" t="s">
        <v>84</v>
      </c>
      <c r="B59" s="126">
        <f>_xlfn.COMPOUNDVALUE(845)</f>
        <v>1314</v>
      </c>
      <c r="C59" s="211">
        <v>1507814</v>
      </c>
      <c r="D59" s="126">
        <f>_xlfn.COMPOUNDVALUE(846)</f>
        <v>1843</v>
      </c>
      <c r="E59" s="211">
        <v>1055201</v>
      </c>
      <c r="F59" s="126">
        <f>_xlfn.COMPOUNDVALUE(847)</f>
        <v>3157</v>
      </c>
      <c r="G59" s="211">
        <v>2563015</v>
      </c>
      <c r="H59" s="126">
        <f>_xlfn.COMPOUNDVALUE(848)</f>
        <v>104</v>
      </c>
      <c r="I59" s="213">
        <v>173048</v>
      </c>
      <c r="J59" s="126">
        <v>309</v>
      </c>
      <c r="K59" s="128">
        <v>57614</v>
      </c>
      <c r="L59" s="126">
        <v>3357</v>
      </c>
      <c r="M59" s="128">
        <v>2447581</v>
      </c>
      <c r="N59" s="86" t="s">
        <v>84</v>
      </c>
    </row>
    <row r="60" spans="1:14" s="93" customFormat="1" ht="15.75" customHeight="1">
      <c r="A60" s="76"/>
      <c r="B60" s="126"/>
      <c r="C60" s="211"/>
      <c r="D60" s="126"/>
      <c r="E60" s="211"/>
      <c r="F60" s="126"/>
      <c r="G60" s="211"/>
      <c r="H60" s="126"/>
      <c r="I60" s="213"/>
      <c r="J60" s="126"/>
      <c r="K60" s="128"/>
      <c r="L60" s="126"/>
      <c r="M60" s="128"/>
      <c r="N60" s="86" t="s">
        <v>38</v>
      </c>
    </row>
    <row r="61" spans="1:14" s="93" customFormat="1" ht="15.75" customHeight="1">
      <c r="A61" s="76" t="s">
        <v>85</v>
      </c>
      <c r="B61" s="126">
        <f>_xlfn.COMPOUNDVALUE(849)</f>
        <v>1034</v>
      </c>
      <c r="C61" s="211">
        <v>630009</v>
      </c>
      <c r="D61" s="126">
        <f>_xlfn.COMPOUNDVALUE(850)</f>
        <v>1342</v>
      </c>
      <c r="E61" s="211">
        <v>651225</v>
      </c>
      <c r="F61" s="126">
        <f>_xlfn.COMPOUNDVALUE(851)</f>
        <v>2376</v>
      </c>
      <c r="G61" s="211">
        <v>1281234</v>
      </c>
      <c r="H61" s="126">
        <f>_xlfn.COMPOUNDVALUE(852)</f>
        <v>78</v>
      </c>
      <c r="I61" s="213">
        <v>91257</v>
      </c>
      <c r="J61" s="126">
        <v>167</v>
      </c>
      <c r="K61" s="128">
        <v>56931</v>
      </c>
      <c r="L61" s="126">
        <v>2550</v>
      </c>
      <c r="M61" s="128">
        <v>1246908</v>
      </c>
      <c r="N61" s="86" t="s">
        <v>85</v>
      </c>
    </row>
    <row r="62" spans="1:14" s="93" customFormat="1" ht="15.75" customHeight="1">
      <c r="A62" s="76" t="s">
        <v>86</v>
      </c>
      <c r="B62" s="126">
        <f>_xlfn.COMPOUNDVALUE(853)</f>
        <v>708</v>
      </c>
      <c r="C62" s="211">
        <v>482107</v>
      </c>
      <c r="D62" s="126">
        <f>_xlfn.COMPOUNDVALUE(854)</f>
        <v>1005</v>
      </c>
      <c r="E62" s="211">
        <v>446764</v>
      </c>
      <c r="F62" s="126">
        <f>_xlfn.COMPOUNDVALUE(855)</f>
        <v>1713</v>
      </c>
      <c r="G62" s="211">
        <v>928872</v>
      </c>
      <c r="H62" s="126">
        <f>_xlfn.COMPOUNDVALUE(856)</f>
        <v>85</v>
      </c>
      <c r="I62" s="213">
        <v>93493</v>
      </c>
      <c r="J62" s="126">
        <v>173</v>
      </c>
      <c r="K62" s="128">
        <v>33832</v>
      </c>
      <c r="L62" s="126">
        <v>1884</v>
      </c>
      <c r="M62" s="128">
        <v>869211</v>
      </c>
      <c r="N62" s="86" t="s">
        <v>86</v>
      </c>
    </row>
    <row r="63" spans="1:14" s="93" customFormat="1" ht="15.75" customHeight="1">
      <c r="A63" s="76" t="s">
        <v>87</v>
      </c>
      <c r="B63" s="126">
        <f>_xlfn.COMPOUNDVALUE(857)</f>
        <v>1743</v>
      </c>
      <c r="C63" s="211">
        <v>1245714</v>
      </c>
      <c r="D63" s="126">
        <f>_xlfn.COMPOUNDVALUE(858)</f>
        <v>2226</v>
      </c>
      <c r="E63" s="211">
        <v>1114825</v>
      </c>
      <c r="F63" s="126">
        <f>_xlfn.COMPOUNDVALUE(859)</f>
        <v>3969</v>
      </c>
      <c r="G63" s="211">
        <v>2360538</v>
      </c>
      <c r="H63" s="126">
        <f>_xlfn.COMPOUNDVALUE(860)</f>
        <v>110</v>
      </c>
      <c r="I63" s="213">
        <v>160615</v>
      </c>
      <c r="J63" s="126">
        <v>286</v>
      </c>
      <c r="K63" s="128">
        <v>59059</v>
      </c>
      <c r="L63" s="126">
        <v>4232</v>
      </c>
      <c r="M63" s="128">
        <v>2258982</v>
      </c>
      <c r="N63" s="86" t="s">
        <v>87</v>
      </c>
    </row>
    <row r="64" spans="1:14" s="93" customFormat="1" ht="15.75" customHeight="1">
      <c r="A64" s="76" t="s">
        <v>88</v>
      </c>
      <c r="B64" s="126">
        <f>_xlfn.COMPOUNDVALUE(861)</f>
        <v>1226</v>
      </c>
      <c r="C64" s="211">
        <v>962227</v>
      </c>
      <c r="D64" s="126">
        <f>_xlfn.COMPOUNDVALUE(862)</f>
        <v>2042</v>
      </c>
      <c r="E64" s="211">
        <v>1091279</v>
      </c>
      <c r="F64" s="126">
        <f>_xlfn.COMPOUNDVALUE(863)</f>
        <v>3268</v>
      </c>
      <c r="G64" s="211">
        <v>2053506</v>
      </c>
      <c r="H64" s="126">
        <f>_xlfn.COMPOUNDVALUE(864)</f>
        <v>113</v>
      </c>
      <c r="I64" s="213">
        <v>94240</v>
      </c>
      <c r="J64" s="126">
        <v>341</v>
      </c>
      <c r="K64" s="128">
        <v>56417</v>
      </c>
      <c r="L64" s="126">
        <v>3603</v>
      </c>
      <c r="M64" s="128">
        <v>2015683</v>
      </c>
      <c r="N64" s="86" t="s">
        <v>88</v>
      </c>
    </row>
    <row r="65" spans="1:14" s="93" customFormat="1" ht="15.75" customHeight="1">
      <c r="A65" s="78" t="s">
        <v>89</v>
      </c>
      <c r="B65" s="131">
        <f>_xlfn.COMPOUNDVALUE(865)</f>
        <v>811</v>
      </c>
      <c r="C65" s="212">
        <v>568524</v>
      </c>
      <c r="D65" s="131">
        <f>_xlfn.COMPOUNDVALUE(866)</f>
        <v>1391</v>
      </c>
      <c r="E65" s="212">
        <v>714588</v>
      </c>
      <c r="F65" s="131">
        <f>_xlfn.COMPOUNDVALUE(867)</f>
        <v>2202</v>
      </c>
      <c r="G65" s="212">
        <v>1283112</v>
      </c>
      <c r="H65" s="131">
        <f>_xlfn.COMPOUNDVALUE(868)</f>
        <v>89</v>
      </c>
      <c r="I65" s="214">
        <v>122510</v>
      </c>
      <c r="J65" s="131">
        <v>298</v>
      </c>
      <c r="K65" s="133">
        <v>131410</v>
      </c>
      <c r="L65" s="131">
        <v>2403</v>
      </c>
      <c r="M65" s="133">
        <v>1292012</v>
      </c>
      <c r="N65" s="77" t="s">
        <v>89</v>
      </c>
    </row>
    <row r="66" spans="1:14" s="93" customFormat="1" ht="15.75" customHeight="1">
      <c r="A66" s="78"/>
      <c r="B66" s="131"/>
      <c r="C66" s="132"/>
      <c r="D66" s="131"/>
      <c r="E66" s="132"/>
      <c r="F66" s="131"/>
      <c r="G66" s="132"/>
      <c r="H66" s="131"/>
      <c r="I66" s="133"/>
      <c r="J66" s="131"/>
      <c r="K66" s="133"/>
      <c r="L66" s="131"/>
      <c r="M66" s="133"/>
      <c r="N66" s="77" t="s">
        <v>38</v>
      </c>
    </row>
    <row r="67" spans="1:14" s="93" customFormat="1" ht="15.75" customHeight="1">
      <c r="A67" s="78" t="s">
        <v>90</v>
      </c>
      <c r="B67" s="131">
        <f>_xlfn.COMPOUNDVALUE(869)</f>
        <v>1263</v>
      </c>
      <c r="C67" s="212">
        <v>784007</v>
      </c>
      <c r="D67" s="131">
        <f>_xlfn.COMPOUNDVALUE(870)</f>
        <v>1817</v>
      </c>
      <c r="E67" s="212">
        <v>896692</v>
      </c>
      <c r="F67" s="131">
        <f>_xlfn.COMPOUNDVALUE(871)</f>
        <v>3080</v>
      </c>
      <c r="G67" s="212">
        <v>1680698</v>
      </c>
      <c r="H67" s="131">
        <f>_xlfn.COMPOUNDVALUE(872)</f>
        <v>102</v>
      </c>
      <c r="I67" s="214">
        <v>113350</v>
      </c>
      <c r="J67" s="131">
        <v>308</v>
      </c>
      <c r="K67" s="133">
        <v>43546</v>
      </c>
      <c r="L67" s="131">
        <v>3306</v>
      </c>
      <c r="M67" s="133">
        <v>1610894</v>
      </c>
      <c r="N67" s="77" t="s">
        <v>90</v>
      </c>
    </row>
    <row r="68" spans="1:14" s="93" customFormat="1" ht="15.75" customHeight="1">
      <c r="A68" s="78" t="s">
        <v>91</v>
      </c>
      <c r="B68" s="131">
        <f>_xlfn.COMPOUNDVALUE(873)</f>
        <v>984</v>
      </c>
      <c r="C68" s="212">
        <v>570633</v>
      </c>
      <c r="D68" s="131">
        <f>_xlfn.COMPOUNDVALUE(874)</f>
        <v>1551</v>
      </c>
      <c r="E68" s="212">
        <v>735319</v>
      </c>
      <c r="F68" s="131">
        <f>_xlfn.COMPOUNDVALUE(875)</f>
        <v>2535</v>
      </c>
      <c r="G68" s="212">
        <v>1305952</v>
      </c>
      <c r="H68" s="131">
        <f>_xlfn.COMPOUNDVALUE(876)</f>
        <v>68</v>
      </c>
      <c r="I68" s="214">
        <v>131636</v>
      </c>
      <c r="J68" s="131">
        <v>228</v>
      </c>
      <c r="K68" s="133">
        <v>49322</v>
      </c>
      <c r="L68" s="131">
        <v>2740</v>
      </c>
      <c r="M68" s="133">
        <v>1223638</v>
      </c>
      <c r="N68" s="77" t="s">
        <v>91</v>
      </c>
    </row>
    <row r="69" spans="1:14" s="93" customFormat="1" ht="15.75" customHeight="1">
      <c r="A69" s="78" t="s">
        <v>92</v>
      </c>
      <c r="B69" s="131">
        <f>_xlfn.COMPOUNDVALUE(877)</f>
        <v>1255</v>
      </c>
      <c r="C69" s="212">
        <v>829807</v>
      </c>
      <c r="D69" s="131">
        <f>_xlfn.COMPOUNDVALUE(878)</f>
        <v>2101</v>
      </c>
      <c r="E69" s="212">
        <v>1005281</v>
      </c>
      <c r="F69" s="131">
        <f>_xlfn.COMPOUNDVALUE(879)</f>
        <v>3356</v>
      </c>
      <c r="G69" s="212">
        <v>1835087</v>
      </c>
      <c r="H69" s="131">
        <f>_xlfn.COMPOUNDVALUE(880)</f>
        <v>103</v>
      </c>
      <c r="I69" s="214">
        <v>80748</v>
      </c>
      <c r="J69" s="131">
        <v>296</v>
      </c>
      <c r="K69" s="133">
        <v>84499</v>
      </c>
      <c r="L69" s="131">
        <v>3645</v>
      </c>
      <c r="M69" s="133">
        <v>1838838</v>
      </c>
      <c r="N69" s="77" t="s">
        <v>92</v>
      </c>
    </row>
    <row r="70" spans="1:14" s="93" customFormat="1" ht="15.75" customHeight="1">
      <c r="A70" s="78" t="s">
        <v>93</v>
      </c>
      <c r="B70" s="131">
        <f>_xlfn.COMPOUNDVALUE(881)</f>
        <v>1346</v>
      </c>
      <c r="C70" s="212">
        <v>1072222</v>
      </c>
      <c r="D70" s="131">
        <f>_xlfn.COMPOUNDVALUE(882)</f>
        <v>2028</v>
      </c>
      <c r="E70" s="212">
        <v>946031</v>
      </c>
      <c r="F70" s="131">
        <f>_xlfn.COMPOUNDVALUE(883)</f>
        <v>3374</v>
      </c>
      <c r="G70" s="212">
        <v>2018252</v>
      </c>
      <c r="H70" s="131">
        <f>_xlfn.COMPOUNDVALUE(884)</f>
        <v>83</v>
      </c>
      <c r="I70" s="214">
        <v>179213</v>
      </c>
      <c r="J70" s="131">
        <v>245</v>
      </c>
      <c r="K70" s="133">
        <v>52117</v>
      </c>
      <c r="L70" s="131">
        <v>3620</v>
      </c>
      <c r="M70" s="133">
        <v>1891156</v>
      </c>
      <c r="N70" s="77" t="s">
        <v>93</v>
      </c>
    </row>
    <row r="71" spans="1:14" s="93" customFormat="1" ht="15.75" customHeight="1">
      <c r="A71" s="78" t="s">
        <v>94</v>
      </c>
      <c r="B71" s="131">
        <f>_xlfn.COMPOUNDVALUE(885)</f>
        <v>643</v>
      </c>
      <c r="C71" s="212">
        <v>530322</v>
      </c>
      <c r="D71" s="131">
        <f>_xlfn.COMPOUNDVALUE(886)</f>
        <v>938</v>
      </c>
      <c r="E71" s="212">
        <v>520164</v>
      </c>
      <c r="F71" s="131">
        <f>_xlfn.COMPOUNDVALUE(887)</f>
        <v>1581</v>
      </c>
      <c r="G71" s="212">
        <v>1050485</v>
      </c>
      <c r="H71" s="131">
        <f>_xlfn.COMPOUNDVALUE(888)</f>
        <v>48</v>
      </c>
      <c r="I71" s="214">
        <v>93267</v>
      </c>
      <c r="J71" s="131">
        <v>157</v>
      </c>
      <c r="K71" s="133">
        <v>50557</v>
      </c>
      <c r="L71" s="131">
        <v>1713</v>
      </c>
      <c r="M71" s="133">
        <v>1007775</v>
      </c>
      <c r="N71" s="77" t="s">
        <v>94</v>
      </c>
    </row>
    <row r="72" spans="1:14" s="93" customFormat="1" ht="15.75" customHeight="1">
      <c r="A72" s="79" t="s">
        <v>143</v>
      </c>
      <c r="B72" s="134">
        <v>41198</v>
      </c>
      <c r="C72" s="218">
        <v>46635293</v>
      </c>
      <c r="D72" s="134">
        <v>58523</v>
      </c>
      <c r="E72" s="218">
        <v>32646533</v>
      </c>
      <c r="F72" s="134">
        <v>99721</v>
      </c>
      <c r="G72" s="218">
        <v>79281823</v>
      </c>
      <c r="H72" s="227">
        <v>3938</v>
      </c>
      <c r="I72" s="222">
        <v>4977292</v>
      </c>
      <c r="J72" s="134">
        <v>8825</v>
      </c>
      <c r="K72" s="136">
        <v>1709573</v>
      </c>
      <c r="L72" s="134">
        <v>107755</v>
      </c>
      <c r="M72" s="136">
        <v>76014104</v>
      </c>
      <c r="N72" s="84" t="s">
        <v>96</v>
      </c>
    </row>
    <row r="73" spans="1:14" s="93" customFormat="1" ht="15.75" customHeight="1">
      <c r="A73" s="156"/>
      <c r="B73" s="158"/>
      <c r="C73" s="219"/>
      <c r="D73" s="158"/>
      <c r="E73" s="219"/>
      <c r="F73" s="158"/>
      <c r="G73" s="219"/>
      <c r="H73" s="158"/>
      <c r="I73" s="223"/>
      <c r="J73" s="158"/>
      <c r="K73" s="159"/>
      <c r="L73" s="158"/>
      <c r="M73" s="159"/>
      <c r="N73" s="157" t="s">
        <v>38</v>
      </c>
    </row>
    <row r="74" spans="1:14" s="93" customFormat="1" ht="15.75" customHeight="1">
      <c r="A74" s="76" t="s">
        <v>97</v>
      </c>
      <c r="B74" s="126">
        <f>_xlfn.COMPOUNDVALUE(889)</f>
        <v>1359</v>
      </c>
      <c r="C74" s="211">
        <v>833065</v>
      </c>
      <c r="D74" s="126">
        <f>_xlfn.COMPOUNDVALUE(890)</f>
        <v>2252</v>
      </c>
      <c r="E74" s="211">
        <v>1064974</v>
      </c>
      <c r="F74" s="126">
        <f>_xlfn.COMPOUNDVALUE(891)</f>
        <v>3611</v>
      </c>
      <c r="G74" s="211">
        <v>1898039</v>
      </c>
      <c r="H74" s="126">
        <f>_xlfn.COMPOUNDVALUE(892)</f>
        <v>84</v>
      </c>
      <c r="I74" s="213">
        <v>90293</v>
      </c>
      <c r="J74" s="126">
        <v>351</v>
      </c>
      <c r="K74" s="128">
        <v>66877</v>
      </c>
      <c r="L74" s="126">
        <v>3867</v>
      </c>
      <c r="M74" s="128">
        <v>1874623</v>
      </c>
      <c r="N74" s="85" t="s">
        <v>97</v>
      </c>
    </row>
    <row r="75" spans="1:14" s="93" customFormat="1" ht="15.75" customHeight="1">
      <c r="A75" s="78" t="s">
        <v>98</v>
      </c>
      <c r="B75" s="131">
        <f>_xlfn.COMPOUNDVALUE(893)</f>
        <v>1715</v>
      </c>
      <c r="C75" s="212">
        <v>1345940</v>
      </c>
      <c r="D75" s="131">
        <f>_xlfn.COMPOUNDVALUE(894)</f>
        <v>3107</v>
      </c>
      <c r="E75" s="212">
        <v>1514301</v>
      </c>
      <c r="F75" s="131">
        <f>_xlfn.COMPOUNDVALUE(895)</f>
        <v>4822</v>
      </c>
      <c r="G75" s="212">
        <v>2860241</v>
      </c>
      <c r="H75" s="131">
        <f>_xlfn.COMPOUNDVALUE(896)</f>
        <v>128</v>
      </c>
      <c r="I75" s="214">
        <v>132135</v>
      </c>
      <c r="J75" s="131">
        <v>456</v>
      </c>
      <c r="K75" s="133">
        <v>76940</v>
      </c>
      <c r="L75" s="131">
        <v>5183</v>
      </c>
      <c r="M75" s="133">
        <v>2805046</v>
      </c>
      <c r="N75" s="77" t="s">
        <v>98</v>
      </c>
    </row>
    <row r="76" spans="1:14" s="93" customFormat="1" ht="15.75" customHeight="1">
      <c r="A76" s="78" t="s">
        <v>99</v>
      </c>
      <c r="B76" s="131">
        <f>_xlfn.COMPOUNDVALUE(897)</f>
        <v>1299</v>
      </c>
      <c r="C76" s="212">
        <v>1287633</v>
      </c>
      <c r="D76" s="131">
        <f>_xlfn.COMPOUNDVALUE(898)</f>
        <v>2427</v>
      </c>
      <c r="E76" s="212">
        <v>1363148</v>
      </c>
      <c r="F76" s="131">
        <f>_xlfn.COMPOUNDVALUE(899)</f>
        <v>3726</v>
      </c>
      <c r="G76" s="212">
        <v>2650782</v>
      </c>
      <c r="H76" s="131">
        <f>_xlfn.COMPOUNDVALUE(900)</f>
        <v>112</v>
      </c>
      <c r="I76" s="214">
        <v>140689</v>
      </c>
      <c r="J76" s="131">
        <v>297</v>
      </c>
      <c r="K76" s="133">
        <v>41687</v>
      </c>
      <c r="L76" s="131">
        <v>3973</v>
      </c>
      <c r="M76" s="133">
        <v>2551780</v>
      </c>
      <c r="N76" s="77" t="s">
        <v>99</v>
      </c>
    </row>
    <row r="77" spans="1:14" s="93" customFormat="1" ht="15.75" customHeight="1">
      <c r="A77" s="78" t="s">
        <v>100</v>
      </c>
      <c r="B77" s="131">
        <f>_xlfn.COMPOUNDVALUE(901)</f>
        <v>1231</v>
      </c>
      <c r="C77" s="212">
        <v>745808</v>
      </c>
      <c r="D77" s="131">
        <f>_xlfn.COMPOUNDVALUE(902)</f>
        <v>1869</v>
      </c>
      <c r="E77" s="212">
        <v>835755</v>
      </c>
      <c r="F77" s="131">
        <f>_xlfn.COMPOUNDVALUE(903)</f>
        <v>3100</v>
      </c>
      <c r="G77" s="212">
        <v>1581564</v>
      </c>
      <c r="H77" s="131">
        <f>_xlfn.COMPOUNDVALUE(904)</f>
        <v>76</v>
      </c>
      <c r="I77" s="214">
        <v>60413</v>
      </c>
      <c r="J77" s="131">
        <v>330</v>
      </c>
      <c r="K77" s="133">
        <v>72423</v>
      </c>
      <c r="L77" s="131">
        <v>3316</v>
      </c>
      <c r="M77" s="133">
        <v>1593574</v>
      </c>
      <c r="N77" s="77" t="s">
        <v>100</v>
      </c>
    </row>
    <row r="78" spans="1:14" s="93" customFormat="1" ht="15.75" customHeight="1">
      <c r="A78" s="78" t="s">
        <v>101</v>
      </c>
      <c r="B78" s="131">
        <f>_xlfn.COMPOUNDVALUE(905)</f>
        <v>1481</v>
      </c>
      <c r="C78" s="212">
        <v>975097</v>
      </c>
      <c r="D78" s="131">
        <f>_xlfn.COMPOUNDVALUE(906)</f>
        <v>2450</v>
      </c>
      <c r="E78" s="212">
        <v>1233138</v>
      </c>
      <c r="F78" s="131">
        <f>_xlfn.COMPOUNDVALUE(907)</f>
        <v>3931</v>
      </c>
      <c r="G78" s="212">
        <v>2208235</v>
      </c>
      <c r="H78" s="131">
        <f>_xlfn.COMPOUNDVALUE(908)</f>
        <v>100</v>
      </c>
      <c r="I78" s="214">
        <v>112173</v>
      </c>
      <c r="J78" s="131">
        <v>326</v>
      </c>
      <c r="K78" s="133">
        <v>90319</v>
      </c>
      <c r="L78" s="131">
        <v>4182</v>
      </c>
      <c r="M78" s="133">
        <v>2186381</v>
      </c>
      <c r="N78" s="77" t="s">
        <v>101</v>
      </c>
    </row>
    <row r="79" spans="1:14" s="93" customFormat="1" ht="15.75" customHeight="1">
      <c r="A79" s="103"/>
      <c r="B79" s="139"/>
      <c r="C79" s="220"/>
      <c r="D79" s="139"/>
      <c r="E79" s="220"/>
      <c r="F79" s="139"/>
      <c r="G79" s="220"/>
      <c r="H79" s="139"/>
      <c r="I79" s="224"/>
      <c r="J79" s="139"/>
      <c r="K79" s="141"/>
      <c r="L79" s="139"/>
      <c r="M79" s="140"/>
      <c r="N79" s="105" t="s">
        <v>38</v>
      </c>
    </row>
    <row r="80" spans="1:14" s="93" customFormat="1" ht="15.75" customHeight="1">
      <c r="A80" s="98" t="s">
        <v>102</v>
      </c>
      <c r="B80" s="126">
        <f>_xlfn.COMPOUNDVALUE(909)</f>
        <v>1002</v>
      </c>
      <c r="C80" s="211">
        <v>947507</v>
      </c>
      <c r="D80" s="126">
        <f>_xlfn.COMPOUNDVALUE(910)</f>
        <v>1740</v>
      </c>
      <c r="E80" s="211">
        <v>878242</v>
      </c>
      <c r="F80" s="126">
        <f>_xlfn.COMPOUNDVALUE(911)</f>
        <v>2742</v>
      </c>
      <c r="G80" s="211">
        <v>1825750</v>
      </c>
      <c r="H80" s="126">
        <f>_xlfn.COMPOUNDVALUE(912)</f>
        <v>76</v>
      </c>
      <c r="I80" s="213">
        <v>113700</v>
      </c>
      <c r="J80" s="126">
        <v>269</v>
      </c>
      <c r="K80" s="128">
        <v>41051</v>
      </c>
      <c r="L80" s="126">
        <v>2930</v>
      </c>
      <c r="M80" s="128">
        <v>1753101</v>
      </c>
      <c r="N80" s="100" t="s">
        <v>102</v>
      </c>
    </row>
    <row r="81" spans="1:14" s="93" customFormat="1" ht="15.75" customHeight="1">
      <c r="A81" s="78" t="s">
        <v>103</v>
      </c>
      <c r="B81" s="215">
        <f>_xlfn.COMPOUNDVALUE(913)</f>
        <v>868</v>
      </c>
      <c r="C81" s="212">
        <v>623924</v>
      </c>
      <c r="D81" s="131">
        <f>_xlfn.COMPOUNDVALUE(914)</f>
        <v>1422</v>
      </c>
      <c r="E81" s="212">
        <v>686311</v>
      </c>
      <c r="F81" s="215">
        <f>_xlfn.COMPOUNDVALUE(915)</f>
        <v>2290</v>
      </c>
      <c r="G81" s="212">
        <v>1310235</v>
      </c>
      <c r="H81" s="215">
        <f>_xlfn.COMPOUNDVALUE(916)</f>
        <v>96</v>
      </c>
      <c r="I81" s="214">
        <v>213891</v>
      </c>
      <c r="J81" s="131">
        <v>290</v>
      </c>
      <c r="K81" s="133">
        <v>44422</v>
      </c>
      <c r="L81" s="131">
        <v>2555</v>
      </c>
      <c r="M81" s="133">
        <v>1140766</v>
      </c>
      <c r="N81" s="77" t="s">
        <v>103</v>
      </c>
    </row>
    <row r="82" spans="1:14" s="93" customFormat="1" ht="15.75" customHeight="1">
      <c r="A82" s="78" t="s">
        <v>104</v>
      </c>
      <c r="B82" s="215">
        <f>_xlfn.COMPOUNDVALUE(917)</f>
        <v>1774</v>
      </c>
      <c r="C82" s="212">
        <v>1156680</v>
      </c>
      <c r="D82" s="131">
        <f>_xlfn.COMPOUNDVALUE(918)</f>
        <v>2943</v>
      </c>
      <c r="E82" s="212">
        <v>1395031</v>
      </c>
      <c r="F82" s="215">
        <f>_xlfn.COMPOUNDVALUE(919)</f>
        <v>4717</v>
      </c>
      <c r="G82" s="212">
        <v>2551710</v>
      </c>
      <c r="H82" s="215">
        <f>_xlfn.COMPOUNDVALUE(920)</f>
        <v>134</v>
      </c>
      <c r="I82" s="214">
        <v>143640</v>
      </c>
      <c r="J82" s="131">
        <v>416</v>
      </c>
      <c r="K82" s="133">
        <v>93790</v>
      </c>
      <c r="L82" s="131">
        <v>5061</v>
      </c>
      <c r="M82" s="133">
        <v>2501860</v>
      </c>
      <c r="N82" s="77" t="s">
        <v>104</v>
      </c>
    </row>
    <row r="83" spans="1:14" s="93" customFormat="1" ht="15.75" customHeight="1">
      <c r="A83" s="160" t="s">
        <v>105</v>
      </c>
      <c r="B83" s="216">
        <v>10729</v>
      </c>
      <c r="C83" s="221">
        <v>7915654</v>
      </c>
      <c r="D83" s="161">
        <v>18210</v>
      </c>
      <c r="E83" s="221">
        <v>8970900</v>
      </c>
      <c r="F83" s="216">
        <v>28939</v>
      </c>
      <c r="G83" s="221">
        <v>16886556</v>
      </c>
      <c r="H83" s="216">
        <v>806</v>
      </c>
      <c r="I83" s="225">
        <v>1006934</v>
      </c>
      <c r="J83" s="161">
        <v>2735</v>
      </c>
      <c r="K83" s="163">
        <v>527509</v>
      </c>
      <c r="L83" s="161">
        <v>31067</v>
      </c>
      <c r="M83" s="163">
        <v>16407131</v>
      </c>
      <c r="N83" s="164" t="s">
        <v>106</v>
      </c>
    </row>
    <row r="84" spans="1:14" s="93" customFormat="1" ht="15.75" customHeight="1">
      <c r="A84" s="175"/>
      <c r="B84" s="228"/>
      <c r="C84" s="177"/>
      <c r="D84" s="176"/>
      <c r="E84" s="177"/>
      <c r="F84" s="228"/>
      <c r="G84" s="177"/>
      <c r="H84" s="228"/>
      <c r="I84" s="226"/>
      <c r="J84" s="176"/>
      <c r="K84" s="178"/>
      <c r="L84" s="176"/>
      <c r="M84" s="178"/>
      <c r="N84" s="179" t="s">
        <v>38</v>
      </c>
    </row>
    <row r="85" spans="1:14" s="93" customFormat="1" ht="15.75" customHeight="1">
      <c r="A85" s="170" t="s">
        <v>144</v>
      </c>
      <c r="B85" s="229">
        <v>51927</v>
      </c>
      <c r="C85" s="172">
        <v>54550945</v>
      </c>
      <c r="D85" s="171">
        <v>76733</v>
      </c>
      <c r="E85" s="172">
        <v>41617431</v>
      </c>
      <c r="F85" s="229">
        <v>128660</v>
      </c>
      <c r="G85" s="172">
        <v>96168376</v>
      </c>
      <c r="H85" s="229">
        <v>4744</v>
      </c>
      <c r="I85" s="173">
        <v>5984226</v>
      </c>
      <c r="J85" s="171">
        <v>11560</v>
      </c>
      <c r="K85" s="173">
        <v>2237074</v>
      </c>
      <c r="L85" s="171">
        <v>138822</v>
      </c>
      <c r="M85" s="173">
        <v>92421224</v>
      </c>
      <c r="N85" s="174" t="s">
        <v>108</v>
      </c>
    </row>
    <row r="86" spans="1:14" s="93" customFormat="1" ht="15.75" customHeight="1">
      <c r="A86" s="165"/>
      <c r="B86" s="166"/>
      <c r="C86" s="167"/>
      <c r="D86" s="166"/>
      <c r="E86" s="167"/>
      <c r="F86" s="168"/>
      <c r="G86" s="167"/>
      <c r="H86" s="230"/>
      <c r="I86" s="167"/>
      <c r="J86" s="168"/>
      <c r="K86" s="167"/>
      <c r="L86" s="168"/>
      <c r="M86" s="167"/>
      <c r="N86" s="169"/>
    </row>
    <row r="87" spans="1:14" s="93" customFormat="1" ht="15.75" customHeight="1">
      <c r="A87" s="76" t="s">
        <v>109</v>
      </c>
      <c r="B87" s="126">
        <f>_xlfn.COMPOUNDVALUE(921)</f>
        <v>672</v>
      </c>
      <c r="C87" s="211">
        <v>373357</v>
      </c>
      <c r="D87" s="126">
        <f>_xlfn.COMPOUNDVALUE(922)</f>
        <v>981</v>
      </c>
      <c r="E87" s="211">
        <v>419788</v>
      </c>
      <c r="F87" s="126">
        <f>_xlfn.COMPOUNDVALUE(923)</f>
        <v>1653</v>
      </c>
      <c r="G87" s="211">
        <v>793145</v>
      </c>
      <c r="H87" s="126">
        <f>_xlfn.COMPOUNDVALUE(924)</f>
        <v>51</v>
      </c>
      <c r="I87" s="213">
        <v>142954</v>
      </c>
      <c r="J87" s="126">
        <v>121</v>
      </c>
      <c r="K87" s="128">
        <v>17806</v>
      </c>
      <c r="L87" s="126">
        <v>1774</v>
      </c>
      <c r="M87" s="128">
        <v>667997</v>
      </c>
      <c r="N87" s="86" t="s">
        <v>109</v>
      </c>
    </row>
    <row r="88" spans="1:14" s="93" customFormat="1" ht="15.75" customHeight="1">
      <c r="A88" s="76" t="s">
        <v>110</v>
      </c>
      <c r="B88" s="126">
        <f>_xlfn.COMPOUNDVALUE(925)</f>
        <v>1062</v>
      </c>
      <c r="C88" s="211">
        <v>1075354</v>
      </c>
      <c r="D88" s="217">
        <f>_xlfn.COMPOUNDVALUE(926)</f>
        <v>1454</v>
      </c>
      <c r="E88" s="211">
        <v>863218</v>
      </c>
      <c r="F88" s="217">
        <f>_xlfn.COMPOUNDVALUE(927)</f>
        <v>2516</v>
      </c>
      <c r="G88" s="211">
        <v>1938572</v>
      </c>
      <c r="H88" s="217">
        <f>_xlfn.COMPOUNDVALUE(928)</f>
        <v>164</v>
      </c>
      <c r="I88" s="213">
        <v>151783</v>
      </c>
      <c r="J88" s="126">
        <v>191</v>
      </c>
      <c r="K88" s="128">
        <v>70172</v>
      </c>
      <c r="L88" s="126">
        <v>2788</v>
      </c>
      <c r="M88" s="128">
        <v>1856961</v>
      </c>
      <c r="N88" s="86" t="s">
        <v>110</v>
      </c>
    </row>
    <row r="89" spans="1:14" s="93" customFormat="1" ht="15.75" customHeight="1">
      <c r="A89" s="76" t="s">
        <v>111</v>
      </c>
      <c r="B89" s="126">
        <f>_xlfn.COMPOUNDVALUE(929)</f>
        <v>1087</v>
      </c>
      <c r="C89" s="211">
        <v>687982</v>
      </c>
      <c r="D89" s="126">
        <f>_xlfn.COMPOUNDVALUE(930)</f>
        <v>1928</v>
      </c>
      <c r="E89" s="211">
        <v>901447</v>
      </c>
      <c r="F89" s="217">
        <f>_xlfn.COMPOUNDVALUE(931)</f>
        <v>3015</v>
      </c>
      <c r="G89" s="211">
        <v>1589429</v>
      </c>
      <c r="H89" s="217">
        <f>_xlfn.COMPOUNDVALUE(932)</f>
        <v>88</v>
      </c>
      <c r="I89" s="213">
        <v>67319</v>
      </c>
      <c r="J89" s="126">
        <v>375</v>
      </c>
      <c r="K89" s="128">
        <v>72298</v>
      </c>
      <c r="L89" s="126">
        <v>3279</v>
      </c>
      <c r="M89" s="128">
        <v>1594408</v>
      </c>
      <c r="N89" s="86" t="s">
        <v>111</v>
      </c>
    </row>
    <row r="90" spans="1:14" s="93" customFormat="1" ht="15.75" customHeight="1">
      <c r="A90" s="76" t="s">
        <v>112</v>
      </c>
      <c r="B90" s="217">
        <f>_xlfn.COMPOUNDVALUE(933)</f>
        <v>1549</v>
      </c>
      <c r="C90" s="211">
        <v>1064779</v>
      </c>
      <c r="D90" s="126">
        <f>_xlfn.COMPOUNDVALUE(934)</f>
        <v>2303</v>
      </c>
      <c r="E90" s="211">
        <v>1142331</v>
      </c>
      <c r="F90" s="217">
        <f>_xlfn.COMPOUNDVALUE(935)</f>
        <v>3852</v>
      </c>
      <c r="G90" s="211">
        <v>2207110</v>
      </c>
      <c r="H90" s="217">
        <f>_xlfn.COMPOUNDVALUE(936)</f>
        <v>158</v>
      </c>
      <c r="I90" s="213">
        <v>239360</v>
      </c>
      <c r="J90" s="126">
        <v>373</v>
      </c>
      <c r="K90" s="128">
        <v>91628</v>
      </c>
      <c r="L90" s="126">
        <v>4193</v>
      </c>
      <c r="M90" s="128">
        <v>2059378</v>
      </c>
      <c r="N90" s="86" t="s">
        <v>112</v>
      </c>
    </row>
    <row r="91" spans="1:14" s="93" customFormat="1" ht="15.75" customHeight="1">
      <c r="A91" s="76" t="s">
        <v>113</v>
      </c>
      <c r="B91" s="217">
        <f>_xlfn.COMPOUNDVALUE(937)</f>
        <v>1330</v>
      </c>
      <c r="C91" s="211">
        <v>1278152</v>
      </c>
      <c r="D91" s="126">
        <f>_xlfn.COMPOUNDVALUE(938)</f>
        <v>2266</v>
      </c>
      <c r="E91" s="211">
        <v>1190304</v>
      </c>
      <c r="F91" s="217">
        <f>_xlfn.COMPOUNDVALUE(939)</f>
        <v>3596</v>
      </c>
      <c r="G91" s="211">
        <v>2468455</v>
      </c>
      <c r="H91" s="217">
        <f>_xlfn.COMPOUNDVALUE(940)</f>
        <v>162</v>
      </c>
      <c r="I91" s="213">
        <v>179182</v>
      </c>
      <c r="J91" s="126">
        <v>345</v>
      </c>
      <c r="K91" s="128">
        <v>57417</v>
      </c>
      <c r="L91" s="126">
        <v>3930</v>
      </c>
      <c r="M91" s="128">
        <v>2346690</v>
      </c>
      <c r="N91" s="86" t="s">
        <v>113</v>
      </c>
    </row>
    <row r="92" spans="1:14" s="93" customFormat="1" ht="15.75" customHeight="1">
      <c r="A92" s="76"/>
      <c r="B92" s="217"/>
      <c r="C92" s="211"/>
      <c r="D92" s="126"/>
      <c r="E92" s="211"/>
      <c r="F92" s="217"/>
      <c r="G92" s="211"/>
      <c r="H92" s="217"/>
      <c r="I92" s="213"/>
      <c r="J92" s="126"/>
      <c r="K92" s="128"/>
      <c r="L92" s="126"/>
      <c r="M92" s="128"/>
      <c r="N92" s="86" t="s">
        <v>38</v>
      </c>
    </row>
    <row r="93" spans="1:14" s="93" customFormat="1" ht="15.75" customHeight="1">
      <c r="A93" s="76" t="s">
        <v>114</v>
      </c>
      <c r="B93" s="217">
        <f>_xlfn.COMPOUNDVALUE(941)</f>
        <v>1002</v>
      </c>
      <c r="C93" s="211">
        <v>712232</v>
      </c>
      <c r="D93" s="126">
        <f>_xlfn.COMPOUNDVALUE(942)</f>
        <v>1758</v>
      </c>
      <c r="E93" s="211">
        <v>903470</v>
      </c>
      <c r="F93" s="217">
        <f>_xlfn.COMPOUNDVALUE(943)</f>
        <v>2760</v>
      </c>
      <c r="G93" s="211">
        <v>1615702</v>
      </c>
      <c r="H93" s="217">
        <f>_xlfn.COMPOUNDVALUE(944)</f>
        <v>115</v>
      </c>
      <c r="I93" s="213">
        <v>188668</v>
      </c>
      <c r="J93" s="126">
        <v>332</v>
      </c>
      <c r="K93" s="128">
        <v>58781</v>
      </c>
      <c r="L93" s="126">
        <v>3001</v>
      </c>
      <c r="M93" s="128">
        <v>1485815</v>
      </c>
      <c r="N93" s="86" t="s">
        <v>114</v>
      </c>
    </row>
    <row r="94" spans="1:14" s="93" customFormat="1" ht="15.75" customHeight="1">
      <c r="A94" s="76" t="s">
        <v>167</v>
      </c>
      <c r="B94" s="217">
        <f>_xlfn.COMPOUNDVALUE(945)</f>
        <v>1745</v>
      </c>
      <c r="C94" s="211">
        <v>1719276</v>
      </c>
      <c r="D94" s="126">
        <f>_xlfn.COMPOUNDVALUE(946)</f>
        <v>3073</v>
      </c>
      <c r="E94" s="211">
        <v>1691037</v>
      </c>
      <c r="F94" s="217">
        <f>_xlfn.COMPOUNDVALUE(947)</f>
        <v>4818</v>
      </c>
      <c r="G94" s="211">
        <v>3410312</v>
      </c>
      <c r="H94" s="217">
        <f>_xlfn.COMPOUNDVALUE(948)</f>
        <v>167</v>
      </c>
      <c r="I94" s="213">
        <v>234235</v>
      </c>
      <c r="J94" s="126">
        <v>395</v>
      </c>
      <c r="K94" s="128">
        <v>62503</v>
      </c>
      <c r="L94" s="126">
        <v>5233</v>
      </c>
      <c r="M94" s="128">
        <v>3238580</v>
      </c>
      <c r="N94" s="86" t="s">
        <v>115</v>
      </c>
    </row>
    <row r="95" spans="1:14" s="93" customFormat="1" ht="15.75" customHeight="1">
      <c r="A95" s="76" t="s">
        <v>116</v>
      </c>
      <c r="B95" s="217">
        <f>_xlfn.COMPOUNDVALUE(949)</f>
        <v>1008</v>
      </c>
      <c r="C95" s="211">
        <v>590143</v>
      </c>
      <c r="D95" s="126">
        <f>_xlfn.COMPOUNDVALUE(950)</f>
        <v>1327</v>
      </c>
      <c r="E95" s="211">
        <v>638776</v>
      </c>
      <c r="F95" s="217">
        <f>_xlfn.COMPOUNDVALUE(951)</f>
        <v>2335</v>
      </c>
      <c r="G95" s="211">
        <v>1228919</v>
      </c>
      <c r="H95" s="217">
        <f>_xlfn.COMPOUNDVALUE(952)</f>
        <v>96</v>
      </c>
      <c r="I95" s="213">
        <v>106107</v>
      </c>
      <c r="J95" s="126">
        <v>260</v>
      </c>
      <c r="K95" s="128">
        <v>71352</v>
      </c>
      <c r="L95" s="126">
        <v>2581</v>
      </c>
      <c r="M95" s="128">
        <v>1194164</v>
      </c>
      <c r="N95" s="86" t="s">
        <v>116</v>
      </c>
    </row>
    <row r="96" spans="1:14" s="93" customFormat="1" ht="15.75" customHeight="1">
      <c r="A96" s="76" t="s">
        <v>117</v>
      </c>
      <c r="B96" s="126">
        <f>_xlfn.COMPOUNDVALUE(953)</f>
        <v>1650</v>
      </c>
      <c r="C96" s="211">
        <v>1255720</v>
      </c>
      <c r="D96" s="126">
        <f>_xlfn.COMPOUNDVALUE(954)</f>
        <v>2759</v>
      </c>
      <c r="E96" s="211">
        <v>1488340</v>
      </c>
      <c r="F96" s="126">
        <f>_xlfn.COMPOUNDVALUE(955)</f>
        <v>4409</v>
      </c>
      <c r="G96" s="211">
        <v>2744061</v>
      </c>
      <c r="H96" s="126">
        <f>_xlfn.COMPOUNDVALUE(956)</f>
        <v>160</v>
      </c>
      <c r="I96" s="213">
        <v>320746</v>
      </c>
      <c r="J96" s="126">
        <v>287</v>
      </c>
      <c r="K96" s="128">
        <v>100659</v>
      </c>
      <c r="L96" s="126">
        <v>4738</v>
      </c>
      <c r="M96" s="128">
        <v>2523974</v>
      </c>
      <c r="N96" s="86" t="s">
        <v>117</v>
      </c>
    </row>
    <row r="97" spans="1:14" s="93" customFormat="1" ht="15.75" customHeight="1">
      <c r="A97" s="76" t="s">
        <v>118</v>
      </c>
      <c r="B97" s="126">
        <f>_xlfn.COMPOUNDVALUE(957)</f>
        <v>914</v>
      </c>
      <c r="C97" s="211">
        <v>685828</v>
      </c>
      <c r="D97" s="126">
        <f>_xlfn.COMPOUNDVALUE(958)</f>
        <v>1411</v>
      </c>
      <c r="E97" s="211">
        <v>699443</v>
      </c>
      <c r="F97" s="126">
        <f>_xlfn.COMPOUNDVALUE(959)</f>
        <v>2325</v>
      </c>
      <c r="G97" s="211">
        <v>1385270</v>
      </c>
      <c r="H97" s="126">
        <f>_xlfn.COMPOUNDVALUE(960)</f>
        <v>85</v>
      </c>
      <c r="I97" s="213">
        <v>180288</v>
      </c>
      <c r="J97" s="126">
        <v>164</v>
      </c>
      <c r="K97" s="128">
        <v>14247</v>
      </c>
      <c r="L97" s="126">
        <v>2464</v>
      </c>
      <c r="M97" s="128">
        <v>1219229</v>
      </c>
      <c r="N97" s="86" t="s">
        <v>118</v>
      </c>
    </row>
    <row r="98" spans="1:14" s="93" customFormat="1" ht="15.75" customHeight="1">
      <c r="A98" s="76"/>
      <c r="B98" s="126"/>
      <c r="C98" s="211"/>
      <c r="D98" s="126"/>
      <c r="E98" s="211"/>
      <c r="F98" s="126"/>
      <c r="G98" s="211"/>
      <c r="H98" s="126"/>
      <c r="I98" s="213"/>
      <c r="J98" s="126"/>
      <c r="K98" s="128"/>
      <c r="L98" s="126"/>
      <c r="M98" s="128"/>
      <c r="N98" s="86" t="s">
        <v>38</v>
      </c>
    </row>
    <row r="99" spans="1:14" s="93" customFormat="1" ht="15.75" customHeight="1">
      <c r="A99" s="76" t="s">
        <v>119</v>
      </c>
      <c r="B99" s="126">
        <f>_xlfn.COMPOUNDVALUE(961)</f>
        <v>951</v>
      </c>
      <c r="C99" s="211">
        <v>557589</v>
      </c>
      <c r="D99" s="126">
        <f>_xlfn.COMPOUNDVALUE(962)</f>
        <v>2198</v>
      </c>
      <c r="E99" s="211">
        <v>932632</v>
      </c>
      <c r="F99" s="126">
        <f>_xlfn.COMPOUNDVALUE(963)</f>
        <v>3149</v>
      </c>
      <c r="G99" s="211">
        <v>1490221</v>
      </c>
      <c r="H99" s="126">
        <f>_xlfn.COMPOUNDVALUE(964)</f>
        <v>60</v>
      </c>
      <c r="I99" s="213">
        <v>40179</v>
      </c>
      <c r="J99" s="126">
        <v>270</v>
      </c>
      <c r="K99" s="128">
        <v>47719</v>
      </c>
      <c r="L99" s="126">
        <v>3369</v>
      </c>
      <c r="M99" s="128">
        <v>1497761</v>
      </c>
      <c r="N99" s="86" t="s">
        <v>119</v>
      </c>
    </row>
    <row r="100" spans="1:14" s="93" customFormat="1" ht="15.75" customHeight="1">
      <c r="A100" s="76" t="s">
        <v>120</v>
      </c>
      <c r="B100" s="126">
        <f>_xlfn.COMPOUNDVALUE(965)</f>
        <v>1131</v>
      </c>
      <c r="C100" s="211">
        <v>632861</v>
      </c>
      <c r="D100" s="126">
        <f>_xlfn.COMPOUNDVALUE(966)</f>
        <v>2203</v>
      </c>
      <c r="E100" s="211">
        <v>957205</v>
      </c>
      <c r="F100" s="126">
        <f>_xlfn.COMPOUNDVALUE(967)</f>
        <v>3334</v>
      </c>
      <c r="G100" s="211">
        <v>1590066</v>
      </c>
      <c r="H100" s="126">
        <f>_xlfn.COMPOUNDVALUE(968)</f>
        <v>95</v>
      </c>
      <c r="I100" s="213">
        <v>124014</v>
      </c>
      <c r="J100" s="126">
        <v>292</v>
      </c>
      <c r="K100" s="128">
        <v>44850</v>
      </c>
      <c r="L100" s="126">
        <v>3553</v>
      </c>
      <c r="M100" s="128">
        <v>1510902</v>
      </c>
      <c r="N100" s="86" t="s">
        <v>120</v>
      </c>
    </row>
    <row r="101" spans="1:14" s="93" customFormat="1" ht="15.75" customHeight="1">
      <c r="A101" s="78" t="s">
        <v>121</v>
      </c>
      <c r="B101" s="131">
        <f>_xlfn.COMPOUNDVALUE(969)</f>
        <v>768</v>
      </c>
      <c r="C101" s="212">
        <v>584900</v>
      </c>
      <c r="D101" s="131">
        <f>_xlfn.COMPOUNDVALUE(970)</f>
        <v>1422</v>
      </c>
      <c r="E101" s="212">
        <v>674984</v>
      </c>
      <c r="F101" s="131">
        <f>_xlfn.COMPOUNDVALUE(971)</f>
        <v>2190</v>
      </c>
      <c r="G101" s="212">
        <v>1259884</v>
      </c>
      <c r="H101" s="131">
        <f>_xlfn.COMPOUNDVALUE(972)</f>
        <v>95</v>
      </c>
      <c r="I101" s="214">
        <v>93337</v>
      </c>
      <c r="J101" s="131">
        <v>219</v>
      </c>
      <c r="K101" s="133">
        <v>11905</v>
      </c>
      <c r="L101" s="131">
        <v>2378</v>
      </c>
      <c r="M101" s="133">
        <v>1178452</v>
      </c>
      <c r="N101" s="77" t="s">
        <v>121</v>
      </c>
    </row>
    <row r="102" spans="1:14" s="93" customFormat="1" ht="15.75" customHeight="1">
      <c r="A102" s="78" t="s">
        <v>122</v>
      </c>
      <c r="B102" s="131">
        <f>_xlfn.COMPOUNDVALUE(973)</f>
        <v>1736</v>
      </c>
      <c r="C102" s="212">
        <v>1259216</v>
      </c>
      <c r="D102" s="131">
        <f>_xlfn.COMPOUNDVALUE(974)</f>
        <v>2960</v>
      </c>
      <c r="E102" s="212">
        <v>1444062</v>
      </c>
      <c r="F102" s="131">
        <f>_xlfn.COMPOUNDVALUE(975)</f>
        <v>4696</v>
      </c>
      <c r="G102" s="212">
        <v>2703278</v>
      </c>
      <c r="H102" s="131">
        <f>_xlfn.COMPOUNDVALUE(976)</f>
        <v>149</v>
      </c>
      <c r="I102" s="214">
        <v>246986</v>
      </c>
      <c r="J102" s="131">
        <v>406</v>
      </c>
      <c r="K102" s="133">
        <v>95252</v>
      </c>
      <c r="L102" s="131">
        <v>5057</v>
      </c>
      <c r="M102" s="133">
        <v>2551544</v>
      </c>
      <c r="N102" s="77" t="s">
        <v>122</v>
      </c>
    </row>
    <row r="103" spans="1:14" s="93" customFormat="1" ht="15.75" customHeight="1">
      <c r="A103" s="78" t="s">
        <v>123</v>
      </c>
      <c r="B103" s="131">
        <f>_xlfn.COMPOUNDVALUE(977)</f>
        <v>930</v>
      </c>
      <c r="C103" s="212">
        <v>484266</v>
      </c>
      <c r="D103" s="131">
        <f>_xlfn.COMPOUNDVALUE(978)</f>
        <v>1519</v>
      </c>
      <c r="E103" s="212">
        <v>628659</v>
      </c>
      <c r="F103" s="131">
        <f>_xlfn.COMPOUNDVALUE(979)</f>
        <v>2449</v>
      </c>
      <c r="G103" s="212">
        <v>1112925</v>
      </c>
      <c r="H103" s="131">
        <f>_xlfn.COMPOUNDVALUE(980)</f>
        <v>81</v>
      </c>
      <c r="I103" s="214">
        <v>49306</v>
      </c>
      <c r="J103" s="131">
        <v>180</v>
      </c>
      <c r="K103" s="133">
        <v>33630</v>
      </c>
      <c r="L103" s="131">
        <v>2607</v>
      </c>
      <c r="M103" s="133">
        <v>1097249</v>
      </c>
      <c r="N103" s="77" t="s">
        <v>123</v>
      </c>
    </row>
    <row r="104" spans="1:14" s="93" customFormat="1" ht="15.75" customHeight="1">
      <c r="A104" s="78"/>
      <c r="B104" s="131"/>
      <c r="C104" s="132"/>
      <c r="D104" s="131"/>
      <c r="E104" s="212"/>
      <c r="F104" s="131"/>
      <c r="G104" s="132"/>
      <c r="H104" s="131"/>
      <c r="I104" s="214"/>
      <c r="J104" s="131"/>
      <c r="K104" s="133"/>
      <c r="L104" s="131"/>
      <c r="M104" s="133"/>
      <c r="N104" s="77" t="s">
        <v>38</v>
      </c>
    </row>
    <row r="105" spans="1:14" s="93" customFormat="1" ht="15.75" customHeight="1">
      <c r="A105" s="78" t="s">
        <v>124</v>
      </c>
      <c r="B105" s="131">
        <f>_xlfn.COMPOUNDVALUE(981)</f>
        <v>1590</v>
      </c>
      <c r="C105" s="212">
        <v>1051052</v>
      </c>
      <c r="D105" s="215">
        <f>_xlfn.COMPOUNDVALUE(982)</f>
        <v>2639</v>
      </c>
      <c r="E105" s="212">
        <v>1260823</v>
      </c>
      <c r="F105" s="215">
        <f>_xlfn.COMPOUNDVALUE(983)</f>
        <v>4229</v>
      </c>
      <c r="G105" s="212">
        <v>2311875</v>
      </c>
      <c r="H105" s="131">
        <f>_xlfn.COMPOUNDVALUE(984)</f>
        <v>118</v>
      </c>
      <c r="I105" s="214">
        <v>137518</v>
      </c>
      <c r="J105" s="131">
        <v>334</v>
      </c>
      <c r="K105" s="133">
        <v>84160</v>
      </c>
      <c r="L105" s="131">
        <v>4557</v>
      </c>
      <c r="M105" s="133">
        <v>2258517</v>
      </c>
      <c r="N105" s="77" t="s">
        <v>124</v>
      </c>
    </row>
    <row r="106" spans="1:14" s="93" customFormat="1" ht="15.75" customHeight="1">
      <c r="A106" s="78" t="s">
        <v>125</v>
      </c>
      <c r="B106" s="131">
        <f>_xlfn.COMPOUNDVALUE(985)</f>
        <v>672</v>
      </c>
      <c r="C106" s="212">
        <v>422729</v>
      </c>
      <c r="D106" s="215">
        <f>_xlfn.COMPOUNDVALUE(986)</f>
        <v>1181</v>
      </c>
      <c r="E106" s="212">
        <v>554278</v>
      </c>
      <c r="F106" s="215">
        <f>_xlfn.COMPOUNDVALUE(987)</f>
        <v>1853</v>
      </c>
      <c r="G106" s="212">
        <v>977006</v>
      </c>
      <c r="H106" s="131">
        <f>_xlfn.COMPOUNDVALUE(988)</f>
        <v>48</v>
      </c>
      <c r="I106" s="214">
        <v>68417</v>
      </c>
      <c r="J106" s="131">
        <v>145</v>
      </c>
      <c r="K106" s="133">
        <v>53741</v>
      </c>
      <c r="L106" s="131">
        <v>1988</v>
      </c>
      <c r="M106" s="133">
        <v>962330</v>
      </c>
      <c r="N106" s="77" t="s">
        <v>125</v>
      </c>
    </row>
    <row r="107" spans="1:14" s="93" customFormat="1" ht="15.75" customHeight="1">
      <c r="A107" s="78" t="s">
        <v>126</v>
      </c>
      <c r="B107" s="131">
        <f>_xlfn.COMPOUNDVALUE(989)</f>
        <v>1221</v>
      </c>
      <c r="C107" s="212">
        <v>790153</v>
      </c>
      <c r="D107" s="215">
        <f>_xlfn.COMPOUNDVALUE(990)</f>
        <v>2119</v>
      </c>
      <c r="E107" s="212">
        <v>1003694</v>
      </c>
      <c r="F107" s="215">
        <f>_xlfn.COMPOUNDVALUE(991)</f>
        <v>3340</v>
      </c>
      <c r="G107" s="212">
        <v>1793847</v>
      </c>
      <c r="H107" s="131">
        <f>_xlfn.COMPOUNDVALUE(992)</f>
        <v>101</v>
      </c>
      <c r="I107" s="214">
        <v>143792</v>
      </c>
      <c r="J107" s="131">
        <v>358</v>
      </c>
      <c r="K107" s="133">
        <v>65358</v>
      </c>
      <c r="L107" s="131">
        <v>3612</v>
      </c>
      <c r="M107" s="133">
        <v>1715413</v>
      </c>
      <c r="N107" s="77" t="s">
        <v>126</v>
      </c>
    </row>
    <row r="108" spans="1:14" s="93" customFormat="1" ht="15.75" customHeight="1">
      <c r="A108" s="160" t="s">
        <v>145</v>
      </c>
      <c r="B108" s="216">
        <v>21018</v>
      </c>
      <c r="C108" s="221">
        <v>15225586</v>
      </c>
      <c r="D108" s="216">
        <v>35501</v>
      </c>
      <c r="E108" s="221">
        <v>17394490</v>
      </c>
      <c r="F108" s="216">
        <v>56519</v>
      </c>
      <c r="G108" s="221">
        <v>32620076</v>
      </c>
      <c r="H108" s="216">
        <v>1993</v>
      </c>
      <c r="I108" s="225">
        <v>2714190</v>
      </c>
      <c r="J108" s="161">
        <v>5047</v>
      </c>
      <c r="K108" s="163">
        <v>1053476</v>
      </c>
      <c r="L108" s="161">
        <v>61102</v>
      </c>
      <c r="M108" s="163">
        <v>30959362</v>
      </c>
      <c r="N108" s="164" t="s">
        <v>128</v>
      </c>
    </row>
    <row r="109" spans="1:14" s="93" customFormat="1" ht="15.75" customHeight="1">
      <c r="A109" s="165"/>
      <c r="B109" s="166"/>
      <c r="C109" s="167"/>
      <c r="D109" s="166"/>
      <c r="E109" s="167"/>
      <c r="F109" s="168"/>
      <c r="G109" s="167"/>
      <c r="H109" s="230"/>
      <c r="I109" s="167"/>
      <c r="J109" s="168"/>
      <c r="K109" s="167"/>
      <c r="L109" s="168"/>
      <c r="M109" s="167"/>
      <c r="N109" s="169"/>
    </row>
    <row r="110" spans="1:14" s="93" customFormat="1" ht="15.75" customHeight="1">
      <c r="A110" s="76" t="s">
        <v>129</v>
      </c>
      <c r="B110" s="126">
        <f>_xlfn.COMPOUNDVALUE(993)</f>
        <v>1992</v>
      </c>
      <c r="C110" s="211">
        <v>1303668</v>
      </c>
      <c r="D110" s="217">
        <f>_xlfn.COMPOUNDVALUE(994)</f>
        <v>2837</v>
      </c>
      <c r="E110" s="211">
        <v>1198657</v>
      </c>
      <c r="F110" s="217">
        <f>_xlfn.COMPOUNDVALUE(995)</f>
        <v>4829</v>
      </c>
      <c r="G110" s="211">
        <v>2502326</v>
      </c>
      <c r="H110" s="217">
        <f>_xlfn.COMPOUNDVALUE(996)</f>
        <v>119</v>
      </c>
      <c r="I110" s="213">
        <v>57935</v>
      </c>
      <c r="J110" s="126">
        <v>392</v>
      </c>
      <c r="K110" s="128">
        <v>65457</v>
      </c>
      <c r="L110" s="126">
        <v>5141</v>
      </c>
      <c r="M110" s="128">
        <v>2509848</v>
      </c>
      <c r="N110" s="86" t="s">
        <v>129</v>
      </c>
    </row>
    <row r="111" spans="1:14" s="93" customFormat="1" ht="15.75" customHeight="1">
      <c r="A111" s="78" t="s">
        <v>130</v>
      </c>
      <c r="B111" s="131">
        <f>_xlfn.COMPOUNDVALUE(997)</f>
        <v>570</v>
      </c>
      <c r="C111" s="212">
        <v>345757</v>
      </c>
      <c r="D111" s="215">
        <f>_xlfn.COMPOUNDVALUE(998)</f>
        <v>1318</v>
      </c>
      <c r="E111" s="212">
        <v>469610</v>
      </c>
      <c r="F111" s="215">
        <f>_xlfn.COMPOUNDVALUE(999)</f>
        <v>1888</v>
      </c>
      <c r="G111" s="212">
        <v>815367</v>
      </c>
      <c r="H111" s="215">
        <f>_xlfn.COMPOUNDVALUE(1000)</f>
        <v>43</v>
      </c>
      <c r="I111" s="214">
        <v>22682</v>
      </c>
      <c r="J111" s="131">
        <v>151</v>
      </c>
      <c r="K111" s="133">
        <v>30831</v>
      </c>
      <c r="L111" s="131">
        <v>2005</v>
      </c>
      <c r="M111" s="133">
        <v>823516</v>
      </c>
      <c r="N111" s="77" t="s">
        <v>130</v>
      </c>
    </row>
    <row r="112" spans="1:14" s="93" customFormat="1" ht="15.75" customHeight="1">
      <c r="A112" s="78" t="s">
        <v>131</v>
      </c>
      <c r="B112" s="131">
        <f>_xlfn.COMPOUNDVALUE(1001)</f>
        <v>950</v>
      </c>
      <c r="C112" s="212">
        <v>589834</v>
      </c>
      <c r="D112" s="215">
        <f>_xlfn.COMPOUNDVALUE(1002)</f>
        <v>1298</v>
      </c>
      <c r="E112" s="212">
        <v>561231</v>
      </c>
      <c r="F112" s="215">
        <f>_xlfn.COMPOUNDVALUE(1003)</f>
        <v>2248</v>
      </c>
      <c r="G112" s="212">
        <v>1151065</v>
      </c>
      <c r="H112" s="215">
        <f>_xlfn.COMPOUNDVALUE(1004)</f>
        <v>47</v>
      </c>
      <c r="I112" s="214">
        <v>22070</v>
      </c>
      <c r="J112" s="131">
        <v>213</v>
      </c>
      <c r="K112" s="133">
        <v>27930</v>
      </c>
      <c r="L112" s="131">
        <v>2355</v>
      </c>
      <c r="M112" s="133">
        <v>1156925</v>
      </c>
      <c r="N112" s="77" t="s">
        <v>131</v>
      </c>
    </row>
    <row r="113" spans="1:14" s="93" customFormat="1" ht="15.75" customHeight="1">
      <c r="A113" s="78" t="s">
        <v>132</v>
      </c>
      <c r="B113" s="131">
        <f>_xlfn.COMPOUNDVALUE(1005)</f>
        <v>174</v>
      </c>
      <c r="C113" s="212">
        <v>126711</v>
      </c>
      <c r="D113" s="215">
        <f>_xlfn.COMPOUNDVALUE(1006)</f>
        <v>382</v>
      </c>
      <c r="E113" s="212">
        <v>144256</v>
      </c>
      <c r="F113" s="215">
        <f>_xlfn.COMPOUNDVALUE(1007)</f>
        <v>556</v>
      </c>
      <c r="G113" s="212">
        <v>270967</v>
      </c>
      <c r="H113" s="215">
        <f>_xlfn.COMPOUNDVALUE(1008)</f>
        <v>8</v>
      </c>
      <c r="I113" s="214">
        <v>272</v>
      </c>
      <c r="J113" s="131">
        <v>45</v>
      </c>
      <c r="K113" s="133">
        <v>6568</v>
      </c>
      <c r="L113" s="131">
        <v>573</v>
      </c>
      <c r="M113" s="133">
        <v>277263</v>
      </c>
      <c r="N113" s="77" t="s">
        <v>132</v>
      </c>
    </row>
    <row r="114" spans="1:14" s="93" customFormat="1" ht="15.75" customHeight="1">
      <c r="A114" s="79" t="s">
        <v>133</v>
      </c>
      <c r="B114" s="134">
        <v>3686</v>
      </c>
      <c r="C114" s="135">
        <v>2365971</v>
      </c>
      <c r="D114" s="134">
        <v>5835</v>
      </c>
      <c r="E114" s="135">
        <v>2373754</v>
      </c>
      <c r="F114" s="134">
        <v>9521</v>
      </c>
      <c r="G114" s="135">
        <v>4739724</v>
      </c>
      <c r="H114" s="134">
        <v>217</v>
      </c>
      <c r="I114" s="136">
        <v>102959</v>
      </c>
      <c r="J114" s="134">
        <v>801</v>
      </c>
      <c r="K114" s="136">
        <v>130786</v>
      </c>
      <c r="L114" s="134">
        <v>10074</v>
      </c>
      <c r="M114" s="136">
        <v>4767552</v>
      </c>
      <c r="N114" s="84" t="s">
        <v>134</v>
      </c>
    </row>
    <row r="115" spans="1:15" s="93" customFormat="1" ht="15.75" customHeight="1" thickBot="1">
      <c r="A115" s="80"/>
      <c r="B115" s="142"/>
      <c r="C115" s="143"/>
      <c r="D115" s="142"/>
      <c r="E115" s="143"/>
      <c r="F115" s="144"/>
      <c r="G115" s="143"/>
      <c r="H115" s="144"/>
      <c r="I115" s="143"/>
      <c r="J115" s="144"/>
      <c r="K115" s="143"/>
      <c r="L115" s="144"/>
      <c r="M115" s="143"/>
      <c r="N115" s="90"/>
      <c r="O115" s="94"/>
    </row>
    <row r="116" spans="1:14" s="93" customFormat="1" ht="15.75" customHeight="1" thickBot="1" thickTop="1">
      <c r="A116" s="82" t="s">
        <v>146</v>
      </c>
      <c r="B116" s="231">
        <v>91837</v>
      </c>
      <c r="C116" s="149">
        <v>82448013</v>
      </c>
      <c r="D116" s="231">
        <v>144042</v>
      </c>
      <c r="E116" s="232">
        <v>72807689</v>
      </c>
      <c r="F116" s="231">
        <v>235879</v>
      </c>
      <c r="G116" s="149">
        <v>155255702</v>
      </c>
      <c r="H116" s="231">
        <v>8266</v>
      </c>
      <c r="I116" s="150">
        <v>10323007</v>
      </c>
      <c r="J116" s="148">
        <v>21443</v>
      </c>
      <c r="K116" s="150">
        <v>4231291</v>
      </c>
      <c r="L116" s="148">
        <v>254417</v>
      </c>
      <c r="M116" s="150">
        <v>149163987</v>
      </c>
      <c r="N116" s="91" t="s">
        <v>37</v>
      </c>
    </row>
    <row r="117" spans="1:14" ht="13.5">
      <c r="A117" s="280" t="s">
        <v>177</v>
      </c>
      <c r="B117" s="280"/>
      <c r="C117" s="280"/>
      <c r="D117" s="280"/>
      <c r="E117" s="280"/>
      <c r="F117" s="280"/>
      <c r="G117" s="280"/>
      <c r="H117" s="280"/>
      <c r="I117" s="280"/>
      <c r="J117" s="66"/>
      <c r="K117" s="66"/>
      <c r="L117" s="65"/>
      <c r="M117" s="65"/>
      <c r="N117" s="65"/>
    </row>
    <row r="119" spans="2:10" ht="13.5">
      <c r="B119" s="155"/>
      <c r="C119" s="155"/>
      <c r="D119" s="155"/>
      <c r="E119" s="155"/>
      <c r="F119" s="155"/>
      <c r="G119" s="155"/>
      <c r="H119" s="155"/>
      <c r="J119" s="155"/>
    </row>
    <row r="120" spans="2:10" ht="13.5">
      <c r="B120" s="155"/>
      <c r="C120" s="155"/>
      <c r="D120" s="155"/>
      <c r="E120" s="155"/>
      <c r="F120" s="155"/>
      <c r="G120" s="155"/>
      <c r="H120" s="155"/>
      <c r="J120" s="155"/>
    </row>
    <row r="121" spans="2:10" ht="13.5">
      <c r="B121" s="155"/>
      <c r="C121" s="155"/>
      <c r="D121" s="155"/>
      <c r="E121" s="155"/>
      <c r="F121" s="155"/>
      <c r="G121" s="155"/>
      <c r="H121" s="155"/>
      <c r="J121" s="155"/>
    </row>
    <row r="122" spans="2:10" ht="13.5">
      <c r="B122" s="155"/>
      <c r="C122" s="155"/>
      <c r="D122" s="155"/>
      <c r="E122" s="155"/>
      <c r="F122" s="155"/>
      <c r="G122" s="155"/>
      <c r="H122" s="155"/>
      <c r="J122" s="155"/>
    </row>
    <row r="123" spans="2:10" ht="13.5">
      <c r="B123" s="155"/>
      <c r="C123" s="155"/>
      <c r="D123" s="155"/>
      <c r="E123" s="155"/>
      <c r="F123" s="155"/>
      <c r="G123" s="155"/>
      <c r="H123" s="155"/>
      <c r="J123" s="155"/>
    </row>
    <row r="124" spans="2:10" ht="13.5">
      <c r="B124" s="155"/>
      <c r="C124" s="155"/>
      <c r="D124" s="155"/>
      <c r="E124" s="155"/>
      <c r="F124" s="155"/>
      <c r="G124" s="155"/>
      <c r="H124" s="155"/>
      <c r="J124" s="155"/>
    </row>
    <row r="125" spans="2:10" ht="13.5">
      <c r="B125" s="155"/>
      <c r="C125" s="155"/>
      <c r="D125" s="155"/>
      <c r="E125" s="155"/>
      <c r="F125" s="155"/>
      <c r="G125" s="155"/>
      <c r="H125" s="155"/>
      <c r="J125" s="155"/>
    </row>
    <row r="126" spans="2:10" ht="13.5">
      <c r="B126" s="155"/>
      <c r="C126" s="155"/>
      <c r="D126" s="155"/>
      <c r="E126" s="155"/>
      <c r="F126" s="155"/>
      <c r="G126" s="155"/>
      <c r="H126" s="155"/>
      <c r="J126" s="155"/>
    </row>
    <row r="127" spans="2:10" ht="13.5">
      <c r="B127" s="155"/>
      <c r="C127" s="155"/>
      <c r="D127" s="155"/>
      <c r="E127" s="155"/>
      <c r="F127" s="155"/>
      <c r="G127" s="155"/>
      <c r="H127" s="155"/>
      <c r="J127" s="155"/>
    </row>
    <row r="128" spans="2:10" ht="13.5">
      <c r="B128" s="155"/>
      <c r="C128" s="155"/>
      <c r="D128" s="155"/>
      <c r="E128" s="155"/>
      <c r="F128" s="155"/>
      <c r="G128" s="155"/>
      <c r="H128" s="155"/>
      <c r="J128" s="155"/>
    </row>
    <row r="129" spans="2:10" ht="13.5">
      <c r="B129" s="155"/>
      <c r="C129" s="155"/>
      <c r="D129" s="155"/>
      <c r="E129" s="155"/>
      <c r="F129" s="155"/>
      <c r="G129" s="155"/>
      <c r="H129" s="155"/>
      <c r="J129" s="155"/>
    </row>
    <row r="130" spans="2:10" ht="13.5">
      <c r="B130" s="155"/>
      <c r="C130" s="155"/>
      <c r="D130" s="155"/>
      <c r="E130" s="155"/>
      <c r="F130" s="155"/>
      <c r="G130" s="155"/>
      <c r="H130" s="155"/>
      <c r="J130" s="155"/>
    </row>
    <row r="131" spans="2:10" ht="13.5">
      <c r="B131" s="155"/>
      <c r="C131" s="155"/>
      <c r="D131" s="155"/>
      <c r="E131" s="155"/>
      <c r="F131" s="155"/>
      <c r="G131" s="155"/>
      <c r="H131" s="155"/>
      <c r="J131" s="155"/>
    </row>
  </sheetData>
  <sheetProtection/>
  <mergeCells count="11">
    <mergeCell ref="N3:N5"/>
    <mergeCell ref="B4:C4"/>
    <mergeCell ref="D4:E4"/>
    <mergeCell ref="F4:G4"/>
    <mergeCell ref="A117:I117"/>
    <mergeCell ref="A2:G2"/>
    <mergeCell ref="A3:A5"/>
    <mergeCell ref="B3:G3"/>
    <mergeCell ref="H3:I4"/>
    <mergeCell ref="J3:K4"/>
    <mergeCell ref="L3:M4"/>
  </mergeCells>
  <printOptions horizontalCentered="1"/>
  <pageMargins left="0.7874015748031497" right="0.7874015748031497" top="0.8661417322834646" bottom="0.8267716535433072" header="0.5118110236220472" footer="0.3937007874015748"/>
  <pageSetup fitToHeight="3" horizontalDpi="600" verticalDpi="600" orientation="landscape" paperSize="9" scale="71" r:id="rId1"/>
  <headerFooter alignWithMargins="0">
    <oddFooter>&amp;R&amp;K01+000東京国税局
消費税
(H30)</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workbookViewId="0" topLeftCell="A1">
      <selection activeCell="C1" sqref="C1"/>
    </sheetView>
  </sheetViews>
  <sheetFormatPr defaultColWidth="9.00390625" defaultRowHeight="13.5"/>
  <cols>
    <col min="1" max="1" width="11.125" style="125" customWidth="1"/>
    <col min="2" max="2" width="10.625" style="125" customWidth="1"/>
    <col min="3" max="3" width="12.625" style="125" customWidth="1"/>
    <col min="4" max="4" width="10.625" style="125" customWidth="1"/>
    <col min="5" max="5" width="12.625" style="125" customWidth="1"/>
    <col min="6" max="6" width="10.625" style="125" customWidth="1"/>
    <col min="7" max="7" width="14.125" style="125" customWidth="1"/>
    <col min="8" max="8" width="10.625" style="125" customWidth="1"/>
    <col min="9" max="9" width="14.125" style="125" customWidth="1"/>
    <col min="10" max="10" width="10.625" style="125" customWidth="1"/>
    <col min="11" max="11" width="14.125" style="125" customWidth="1"/>
    <col min="12" max="12" width="10.625" style="125" customWidth="1"/>
    <col min="13" max="13" width="12.625" style="125" customWidth="1"/>
    <col min="14" max="14" width="11.375" style="125" customWidth="1"/>
    <col min="15" max="16384" width="9.00390625" style="125" customWidth="1"/>
  </cols>
  <sheetData>
    <row r="1" spans="1:13" ht="13.5">
      <c r="A1" s="64" t="s">
        <v>184</v>
      </c>
      <c r="B1" s="64"/>
      <c r="C1" s="64"/>
      <c r="D1" s="64"/>
      <c r="E1" s="64"/>
      <c r="F1" s="64"/>
      <c r="G1" s="64"/>
      <c r="H1" s="64"/>
      <c r="I1" s="64"/>
      <c r="J1" s="64"/>
      <c r="K1" s="64"/>
      <c r="L1" s="65"/>
      <c r="M1" s="65"/>
    </row>
    <row r="2" spans="1:13" ht="14.25" thickBot="1">
      <c r="A2" s="281" t="s">
        <v>135</v>
      </c>
      <c r="B2" s="281"/>
      <c r="C2" s="281"/>
      <c r="D2" s="281"/>
      <c r="E2" s="281"/>
      <c r="F2" s="281"/>
      <c r="G2" s="281"/>
      <c r="H2" s="281"/>
      <c r="I2" s="281"/>
      <c r="J2" s="66"/>
      <c r="K2" s="66"/>
      <c r="L2" s="65"/>
      <c r="M2" s="65"/>
    </row>
    <row r="3" spans="1:14" ht="19.5" customHeight="1">
      <c r="A3" s="266" t="s">
        <v>27</v>
      </c>
      <c r="B3" s="269" t="s">
        <v>28</v>
      </c>
      <c r="C3" s="269"/>
      <c r="D3" s="269"/>
      <c r="E3" s="269"/>
      <c r="F3" s="269"/>
      <c r="G3" s="269"/>
      <c r="H3" s="270" t="s">
        <v>13</v>
      </c>
      <c r="I3" s="271"/>
      <c r="J3" s="274" t="s">
        <v>29</v>
      </c>
      <c r="K3" s="271"/>
      <c r="L3" s="270" t="s">
        <v>30</v>
      </c>
      <c r="M3" s="271"/>
      <c r="N3" s="275" t="s">
        <v>31</v>
      </c>
    </row>
    <row r="4" spans="1:14" ht="17.25" customHeight="1">
      <c r="A4" s="267"/>
      <c r="B4" s="272" t="s">
        <v>16</v>
      </c>
      <c r="C4" s="279"/>
      <c r="D4" s="272" t="s">
        <v>32</v>
      </c>
      <c r="E4" s="279"/>
      <c r="F4" s="272" t="s">
        <v>33</v>
      </c>
      <c r="G4" s="279"/>
      <c r="H4" s="272"/>
      <c r="I4" s="273"/>
      <c r="J4" s="272"/>
      <c r="K4" s="273"/>
      <c r="L4" s="272"/>
      <c r="M4" s="273"/>
      <c r="N4" s="276"/>
    </row>
    <row r="5" spans="1:14" ht="28.5" customHeight="1">
      <c r="A5" s="268"/>
      <c r="B5" s="67" t="s">
        <v>36</v>
      </c>
      <c r="C5" s="68" t="s">
        <v>138</v>
      </c>
      <c r="D5" s="67" t="s">
        <v>36</v>
      </c>
      <c r="E5" s="68" t="s">
        <v>138</v>
      </c>
      <c r="F5" s="67" t="s">
        <v>36</v>
      </c>
      <c r="G5" s="68" t="s">
        <v>139</v>
      </c>
      <c r="H5" s="67" t="s">
        <v>36</v>
      </c>
      <c r="I5" s="87" t="s">
        <v>140</v>
      </c>
      <c r="J5" s="67" t="s">
        <v>36</v>
      </c>
      <c r="K5" s="87" t="s">
        <v>141</v>
      </c>
      <c r="L5" s="67" t="s">
        <v>36</v>
      </c>
      <c r="M5" s="88" t="s">
        <v>142</v>
      </c>
      <c r="N5" s="277"/>
    </row>
    <row r="6" spans="1:14" s="95" customFormat="1" ht="10.5">
      <c r="A6" s="101"/>
      <c r="B6" s="71" t="s">
        <v>4</v>
      </c>
      <c r="C6" s="72" t="s">
        <v>5</v>
      </c>
      <c r="D6" s="71" t="s">
        <v>4</v>
      </c>
      <c r="E6" s="72" t="s">
        <v>5</v>
      </c>
      <c r="F6" s="71" t="s">
        <v>4</v>
      </c>
      <c r="G6" s="72" t="s">
        <v>5</v>
      </c>
      <c r="H6" s="71" t="s">
        <v>4</v>
      </c>
      <c r="I6" s="89" t="s">
        <v>5</v>
      </c>
      <c r="J6" s="71" t="s">
        <v>4</v>
      </c>
      <c r="K6" s="89" t="s">
        <v>5</v>
      </c>
      <c r="L6" s="71" t="s">
        <v>182</v>
      </c>
      <c r="M6" s="89" t="s">
        <v>5</v>
      </c>
      <c r="N6" s="96"/>
    </row>
    <row r="7" spans="1:14" ht="15.75" customHeight="1">
      <c r="A7" s="99" t="s">
        <v>39</v>
      </c>
      <c r="B7" s="126">
        <f>_xlfn.COMPOUNDVALUE(1)</f>
        <v>4812</v>
      </c>
      <c r="C7" s="127">
        <v>37692663</v>
      </c>
      <c r="D7" s="126">
        <f>_xlfn.COMPOUNDVALUE(2)</f>
        <v>1888</v>
      </c>
      <c r="E7" s="127">
        <v>1200310</v>
      </c>
      <c r="F7" s="126">
        <f>_xlfn.COMPOUNDVALUE(3)</f>
        <v>6700</v>
      </c>
      <c r="G7" s="127">
        <v>38892973</v>
      </c>
      <c r="H7" s="126">
        <f>_xlfn.COMPOUNDVALUE(4)</f>
        <v>548</v>
      </c>
      <c r="I7" s="128">
        <v>2730304</v>
      </c>
      <c r="J7" s="126">
        <v>485</v>
      </c>
      <c r="K7" s="128">
        <v>119657</v>
      </c>
      <c r="L7" s="126">
        <v>7332</v>
      </c>
      <c r="M7" s="128">
        <v>36282326</v>
      </c>
      <c r="N7" s="86" t="s">
        <v>39</v>
      </c>
    </row>
    <row r="8" spans="1:14" ht="15.75" customHeight="1">
      <c r="A8" s="76" t="s">
        <v>40</v>
      </c>
      <c r="B8" s="126">
        <f>_xlfn.COMPOUNDVALUE(5)</f>
        <v>4019</v>
      </c>
      <c r="C8" s="127">
        <v>24193694</v>
      </c>
      <c r="D8" s="126">
        <f>_xlfn.COMPOUNDVALUE(6)</f>
        <v>1748</v>
      </c>
      <c r="E8" s="127">
        <v>1119793</v>
      </c>
      <c r="F8" s="126">
        <f>_xlfn.COMPOUNDVALUE(7)</f>
        <v>5767</v>
      </c>
      <c r="G8" s="127">
        <v>25313487</v>
      </c>
      <c r="H8" s="126">
        <f>_xlfn.COMPOUNDVALUE(8)</f>
        <v>374</v>
      </c>
      <c r="I8" s="128">
        <v>1441316</v>
      </c>
      <c r="J8" s="126">
        <v>434</v>
      </c>
      <c r="K8" s="128">
        <v>122345</v>
      </c>
      <c r="L8" s="126">
        <v>6198</v>
      </c>
      <c r="M8" s="128">
        <v>23994516</v>
      </c>
      <c r="N8" s="86" t="s">
        <v>40</v>
      </c>
    </row>
    <row r="9" spans="1:14" ht="15.75" customHeight="1">
      <c r="A9" s="76" t="s">
        <v>41</v>
      </c>
      <c r="B9" s="126">
        <f>_xlfn.COMPOUNDVALUE(9)</f>
        <v>4440</v>
      </c>
      <c r="C9" s="127">
        <v>78284868</v>
      </c>
      <c r="D9" s="126">
        <f>_xlfn.COMPOUNDVALUE(10)</f>
        <v>1804</v>
      </c>
      <c r="E9" s="127">
        <v>1120375</v>
      </c>
      <c r="F9" s="126">
        <f>_xlfn.COMPOUNDVALUE(11)</f>
        <v>6244</v>
      </c>
      <c r="G9" s="127">
        <v>79405243</v>
      </c>
      <c r="H9" s="126">
        <f>_xlfn.COMPOUNDVALUE(12)</f>
        <v>553</v>
      </c>
      <c r="I9" s="128">
        <v>5732162</v>
      </c>
      <c r="J9" s="126">
        <v>408</v>
      </c>
      <c r="K9" s="128">
        <v>-1065009</v>
      </c>
      <c r="L9" s="126">
        <v>6878</v>
      </c>
      <c r="M9" s="128">
        <v>72608072</v>
      </c>
      <c r="N9" s="86" t="s">
        <v>41</v>
      </c>
    </row>
    <row r="10" spans="1:14" ht="15.75" customHeight="1">
      <c r="A10" s="76" t="s">
        <v>42</v>
      </c>
      <c r="B10" s="126">
        <f>_xlfn.COMPOUNDVALUE(13)</f>
        <v>1742</v>
      </c>
      <c r="C10" s="127">
        <v>9198372</v>
      </c>
      <c r="D10" s="126">
        <f>_xlfn.COMPOUNDVALUE(14)</f>
        <v>739</v>
      </c>
      <c r="E10" s="127">
        <v>421593</v>
      </c>
      <c r="F10" s="126">
        <f>_xlfn.COMPOUNDVALUE(15)</f>
        <v>2481</v>
      </c>
      <c r="G10" s="127">
        <v>9619965</v>
      </c>
      <c r="H10" s="126">
        <f>_xlfn.COMPOUNDVALUE(16)</f>
        <v>146</v>
      </c>
      <c r="I10" s="128">
        <v>854618</v>
      </c>
      <c r="J10" s="126">
        <v>189</v>
      </c>
      <c r="K10" s="128">
        <v>38401</v>
      </c>
      <c r="L10" s="126">
        <v>2651</v>
      </c>
      <c r="M10" s="128">
        <v>8803748</v>
      </c>
      <c r="N10" s="86" t="s">
        <v>42</v>
      </c>
    </row>
    <row r="11" spans="1:14" ht="15.75" customHeight="1">
      <c r="A11" s="76" t="s">
        <v>43</v>
      </c>
      <c r="B11" s="126">
        <f>_xlfn.COMPOUNDVALUE(17)</f>
        <v>4672</v>
      </c>
      <c r="C11" s="127">
        <v>48591092</v>
      </c>
      <c r="D11" s="126">
        <f>_xlfn.COMPOUNDVALUE(18)</f>
        <v>1983</v>
      </c>
      <c r="E11" s="127">
        <v>1249001</v>
      </c>
      <c r="F11" s="126">
        <f>_xlfn.COMPOUNDVALUE(19)</f>
        <v>6655</v>
      </c>
      <c r="G11" s="127">
        <v>49840092</v>
      </c>
      <c r="H11" s="126">
        <f>_xlfn.COMPOUNDVALUE(20)</f>
        <v>534</v>
      </c>
      <c r="I11" s="128">
        <v>2729549</v>
      </c>
      <c r="J11" s="126">
        <v>412</v>
      </c>
      <c r="K11" s="128">
        <v>111648</v>
      </c>
      <c r="L11" s="126">
        <v>7255</v>
      </c>
      <c r="M11" s="128">
        <v>47222191</v>
      </c>
      <c r="N11" s="86" t="s">
        <v>43</v>
      </c>
    </row>
    <row r="12" spans="1:14" ht="15.75" customHeight="1">
      <c r="A12" s="76"/>
      <c r="B12" s="126"/>
      <c r="C12" s="127"/>
      <c r="D12" s="126"/>
      <c r="E12" s="127"/>
      <c r="F12" s="126"/>
      <c r="G12" s="127"/>
      <c r="H12" s="126"/>
      <c r="I12" s="128"/>
      <c r="J12" s="126"/>
      <c r="K12" s="128"/>
      <c r="L12" s="126"/>
      <c r="M12" s="128"/>
      <c r="N12" s="86" t="s">
        <v>38</v>
      </c>
    </row>
    <row r="13" spans="1:14" ht="15.75" customHeight="1">
      <c r="A13" s="76" t="s">
        <v>44</v>
      </c>
      <c r="B13" s="126">
        <f>_xlfn.COMPOUNDVALUE(21)</f>
        <v>4243</v>
      </c>
      <c r="C13" s="127">
        <v>24625887</v>
      </c>
      <c r="D13" s="126">
        <f>_xlfn.COMPOUNDVALUE(22)</f>
        <v>1974</v>
      </c>
      <c r="E13" s="127">
        <v>1221979</v>
      </c>
      <c r="F13" s="126">
        <f>_xlfn.COMPOUNDVALUE(23)</f>
        <v>6217</v>
      </c>
      <c r="G13" s="127">
        <v>25847865</v>
      </c>
      <c r="H13" s="126">
        <f>_xlfn.COMPOUNDVALUE(24)</f>
        <v>464</v>
      </c>
      <c r="I13" s="128">
        <v>3391492</v>
      </c>
      <c r="J13" s="126">
        <v>415</v>
      </c>
      <c r="K13" s="128">
        <v>226675</v>
      </c>
      <c r="L13" s="126">
        <v>6762</v>
      </c>
      <c r="M13" s="128">
        <v>22683048</v>
      </c>
      <c r="N13" s="86" t="s">
        <v>44</v>
      </c>
    </row>
    <row r="14" spans="1:14" ht="15.75" customHeight="1">
      <c r="A14" s="76" t="s">
        <v>45</v>
      </c>
      <c r="B14" s="126">
        <f>_xlfn.COMPOUNDVALUE(25)</f>
        <v>1215</v>
      </c>
      <c r="C14" s="127">
        <v>4615456</v>
      </c>
      <c r="D14" s="126">
        <f>_xlfn.COMPOUNDVALUE(26)</f>
        <v>501</v>
      </c>
      <c r="E14" s="127">
        <v>268724</v>
      </c>
      <c r="F14" s="126">
        <f>_xlfn.COMPOUNDVALUE(27)</f>
        <v>1716</v>
      </c>
      <c r="G14" s="127">
        <v>4884180</v>
      </c>
      <c r="H14" s="126">
        <f>_xlfn.COMPOUNDVALUE(28)</f>
        <v>66</v>
      </c>
      <c r="I14" s="128">
        <v>293628</v>
      </c>
      <c r="J14" s="126">
        <v>117</v>
      </c>
      <c r="K14" s="128">
        <v>33373</v>
      </c>
      <c r="L14" s="126">
        <v>1800</v>
      </c>
      <c r="M14" s="128">
        <v>4623925</v>
      </c>
      <c r="N14" s="86" t="s">
        <v>45</v>
      </c>
    </row>
    <row r="15" spans="1:14" ht="15.75" customHeight="1">
      <c r="A15" s="76" t="s">
        <v>46</v>
      </c>
      <c r="B15" s="126">
        <f>_xlfn.COMPOUNDVALUE(29)</f>
        <v>2810</v>
      </c>
      <c r="C15" s="127">
        <v>15422921</v>
      </c>
      <c r="D15" s="126">
        <f>_xlfn.COMPOUNDVALUE(30)</f>
        <v>1309</v>
      </c>
      <c r="E15" s="127">
        <v>828646</v>
      </c>
      <c r="F15" s="126">
        <f>_xlfn.COMPOUNDVALUE(31)</f>
        <v>4119</v>
      </c>
      <c r="G15" s="127">
        <v>16251567</v>
      </c>
      <c r="H15" s="126">
        <f>_xlfn.COMPOUNDVALUE(32)</f>
        <v>167</v>
      </c>
      <c r="I15" s="128">
        <v>2451509</v>
      </c>
      <c r="J15" s="126">
        <v>246</v>
      </c>
      <c r="K15" s="128">
        <v>47189</v>
      </c>
      <c r="L15" s="126">
        <v>4322</v>
      </c>
      <c r="M15" s="128">
        <v>13847247</v>
      </c>
      <c r="N15" s="86" t="s">
        <v>46</v>
      </c>
    </row>
    <row r="16" spans="1:14" ht="15.75" customHeight="1">
      <c r="A16" s="78" t="s">
        <v>47</v>
      </c>
      <c r="B16" s="131">
        <f>_xlfn.COMPOUNDVALUE(33)</f>
        <v>5126</v>
      </c>
      <c r="C16" s="132">
        <v>24714723</v>
      </c>
      <c r="D16" s="131">
        <f>_xlfn.COMPOUNDVALUE(34)</f>
        <v>2494</v>
      </c>
      <c r="E16" s="132">
        <v>1486372</v>
      </c>
      <c r="F16" s="131">
        <f>_xlfn.COMPOUNDVALUE(35)</f>
        <v>7620</v>
      </c>
      <c r="G16" s="132">
        <v>26201095</v>
      </c>
      <c r="H16" s="131">
        <f>_xlfn.COMPOUNDVALUE(36)</f>
        <v>601</v>
      </c>
      <c r="I16" s="133">
        <v>4243809</v>
      </c>
      <c r="J16" s="131">
        <v>461</v>
      </c>
      <c r="K16" s="133">
        <v>66750</v>
      </c>
      <c r="L16" s="131">
        <v>8312</v>
      </c>
      <c r="M16" s="133">
        <v>22024036</v>
      </c>
      <c r="N16" s="77" t="s">
        <v>47</v>
      </c>
    </row>
    <row r="17" spans="1:14" ht="15.75" customHeight="1">
      <c r="A17" s="78" t="s">
        <v>48</v>
      </c>
      <c r="B17" s="131">
        <f>_xlfn.COMPOUNDVALUE(37)</f>
        <v>1103</v>
      </c>
      <c r="C17" s="132">
        <v>5666494</v>
      </c>
      <c r="D17" s="131">
        <f>_xlfn.COMPOUNDVALUE(38)</f>
        <v>406</v>
      </c>
      <c r="E17" s="132">
        <v>232730</v>
      </c>
      <c r="F17" s="131">
        <f>_xlfn.COMPOUNDVALUE(39)</f>
        <v>1509</v>
      </c>
      <c r="G17" s="132">
        <v>5899224</v>
      </c>
      <c r="H17" s="131">
        <f>_xlfn.COMPOUNDVALUE(40)</f>
        <v>73</v>
      </c>
      <c r="I17" s="133">
        <v>566977</v>
      </c>
      <c r="J17" s="131">
        <v>152</v>
      </c>
      <c r="K17" s="133">
        <v>20536</v>
      </c>
      <c r="L17" s="131">
        <v>1612</v>
      </c>
      <c r="M17" s="133">
        <v>5352783</v>
      </c>
      <c r="N17" s="77" t="s">
        <v>48</v>
      </c>
    </row>
    <row r="18" spans="1:14" ht="15.75" customHeight="1">
      <c r="A18" s="78"/>
      <c r="B18" s="131"/>
      <c r="C18" s="132"/>
      <c r="D18" s="131"/>
      <c r="E18" s="132"/>
      <c r="F18" s="131"/>
      <c r="G18" s="132"/>
      <c r="H18" s="131"/>
      <c r="I18" s="133"/>
      <c r="J18" s="131"/>
      <c r="K18" s="133"/>
      <c r="L18" s="131"/>
      <c r="M18" s="133"/>
      <c r="N18" s="77" t="s">
        <v>38</v>
      </c>
    </row>
    <row r="19" spans="1:14" ht="15.75" customHeight="1">
      <c r="A19" s="78" t="s">
        <v>49</v>
      </c>
      <c r="B19" s="131">
        <f>_xlfn.COMPOUNDVALUE(41)</f>
        <v>1915</v>
      </c>
      <c r="C19" s="132">
        <v>8347499</v>
      </c>
      <c r="D19" s="131">
        <f>_xlfn.COMPOUNDVALUE(42)</f>
        <v>817</v>
      </c>
      <c r="E19" s="132">
        <v>455784</v>
      </c>
      <c r="F19" s="131">
        <f>_xlfn.COMPOUNDVALUE(43)</f>
        <v>2732</v>
      </c>
      <c r="G19" s="132">
        <v>8803282</v>
      </c>
      <c r="H19" s="131">
        <f>_xlfn.COMPOUNDVALUE(44)</f>
        <v>168</v>
      </c>
      <c r="I19" s="133">
        <v>507523</v>
      </c>
      <c r="J19" s="131">
        <v>186</v>
      </c>
      <c r="K19" s="133">
        <v>84365</v>
      </c>
      <c r="L19" s="131">
        <v>2959</v>
      </c>
      <c r="M19" s="133">
        <v>8380124</v>
      </c>
      <c r="N19" s="77" t="s">
        <v>49</v>
      </c>
    </row>
    <row r="20" spans="1:14" ht="15.75" customHeight="1">
      <c r="A20" s="78" t="s">
        <v>50</v>
      </c>
      <c r="B20" s="131">
        <f>_xlfn.COMPOUNDVALUE(45)</f>
        <v>5441</v>
      </c>
      <c r="C20" s="132">
        <v>28002355</v>
      </c>
      <c r="D20" s="131">
        <f>_xlfn.COMPOUNDVALUE(46)</f>
        <v>2165</v>
      </c>
      <c r="E20" s="132">
        <v>1359440</v>
      </c>
      <c r="F20" s="131">
        <f>_xlfn.COMPOUNDVALUE(47)</f>
        <v>7606</v>
      </c>
      <c r="G20" s="132">
        <v>29361795</v>
      </c>
      <c r="H20" s="131">
        <f>_xlfn.COMPOUNDVALUE(48)</f>
        <v>1123</v>
      </c>
      <c r="I20" s="133">
        <v>9955069</v>
      </c>
      <c r="J20" s="131">
        <v>485</v>
      </c>
      <c r="K20" s="133">
        <v>278953</v>
      </c>
      <c r="L20" s="131">
        <v>8847</v>
      </c>
      <c r="M20" s="133">
        <v>19685679</v>
      </c>
      <c r="N20" s="77" t="s">
        <v>50</v>
      </c>
    </row>
    <row r="21" spans="1:14" ht="15.75" customHeight="1">
      <c r="A21" s="78" t="s">
        <v>51</v>
      </c>
      <c r="B21" s="131">
        <f>_xlfn.COMPOUNDVALUE(49)</f>
        <v>1883</v>
      </c>
      <c r="C21" s="132">
        <v>8007477</v>
      </c>
      <c r="D21" s="131">
        <f>_xlfn.COMPOUNDVALUE(50)</f>
        <v>771</v>
      </c>
      <c r="E21" s="132">
        <v>458711</v>
      </c>
      <c r="F21" s="131">
        <f>_xlfn.COMPOUNDVALUE(51)</f>
        <v>2654</v>
      </c>
      <c r="G21" s="132">
        <v>8466188</v>
      </c>
      <c r="H21" s="131">
        <f>_xlfn.COMPOUNDVALUE(52)</f>
        <v>176</v>
      </c>
      <c r="I21" s="133">
        <v>335405</v>
      </c>
      <c r="J21" s="131">
        <v>221</v>
      </c>
      <c r="K21" s="133">
        <v>41586</v>
      </c>
      <c r="L21" s="131">
        <v>2869</v>
      </c>
      <c r="M21" s="133">
        <v>8172369</v>
      </c>
      <c r="N21" s="77" t="s">
        <v>51</v>
      </c>
    </row>
    <row r="22" spans="1:14" ht="15.75" customHeight="1">
      <c r="A22" s="78" t="s">
        <v>165</v>
      </c>
      <c r="B22" s="131">
        <f>_xlfn.COMPOUNDVALUE(53)</f>
        <v>5296</v>
      </c>
      <c r="C22" s="132">
        <v>28967555</v>
      </c>
      <c r="D22" s="131">
        <f>_xlfn.COMPOUNDVALUE(54)</f>
        <v>2339</v>
      </c>
      <c r="E22" s="132">
        <v>1450286</v>
      </c>
      <c r="F22" s="131">
        <f>_xlfn.COMPOUNDVALUE(55)</f>
        <v>7635</v>
      </c>
      <c r="G22" s="132">
        <v>30417841</v>
      </c>
      <c r="H22" s="131">
        <f>_xlfn.COMPOUNDVALUE(56)</f>
        <v>676</v>
      </c>
      <c r="I22" s="133">
        <v>2470425</v>
      </c>
      <c r="J22" s="131">
        <v>532</v>
      </c>
      <c r="K22" s="133">
        <v>78431</v>
      </c>
      <c r="L22" s="131">
        <v>8425</v>
      </c>
      <c r="M22" s="133">
        <v>28025847</v>
      </c>
      <c r="N22" s="77" t="s">
        <v>52</v>
      </c>
    </row>
    <row r="23" spans="1:14" ht="15.75" customHeight="1">
      <c r="A23" s="160" t="s">
        <v>168</v>
      </c>
      <c r="B23" s="161">
        <v>48717</v>
      </c>
      <c r="C23" s="162">
        <v>346331055</v>
      </c>
      <c r="D23" s="161">
        <v>20938</v>
      </c>
      <c r="E23" s="162">
        <v>12873742</v>
      </c>
      <c r="F23" s="161">
        <v>69655</v>
      </c>
      <c r="G23" s="162">
        <v>359204798</v>
      </c>
      <c r="H23" s="161">
        <v>5669</v>
      </c>
      <c r="I23" s="163">
        <v>37703788</v>
      </c>
      <c r="J23" s="161">
        <v>4743</v>
      </c>
      <c r="K23" s="163">
        <v>204898</v>
      </c>
      <c r="L23" s="161">
        <v>76222</v>
      </c>
      <c r="M23" s="163">
        <v>321705908</v>
      </c>
      <c r="N23" s="164" t="s">
        <v>54</v>
      </c>
    </row>
    <row r="24" spans="1:14" ht="15.75" customHeight="1">
      <c r="A24" s="165"/>
      <c r="B24" s="166"/>
      <c r="C24" s="167"/>
      <c r="D24" s="166"/>
      <c r="E24" s="167"/>
      <c r="F24" s="168"/>
      <c r="G24" s="167"/>
      <c r="H24" s="168"/>
      <c r="I24" s="167"/>
      <c r="J24" s="168"/>
      <c r="K24" s="167"/>
      <c r="L24" s="168"/>
      <c r="M24" s="167"/>
      <c r="N24" s="169"/>
    </row>
    <row r="25" spans="1:14" ht="15.75" customHeight="1">
      <c r="A25" s="76" t="s">
        <v>55</v>
      </c>
      <c r="B25" s="126">
        <f>_xlfn.COMPOUNDVALUE(57)</f>
        <v>11127</v>
      </c>
      <c r="C25" s="127">
        <v>1267524097</v>
      </c>
      <c r="D25" s="126">
        <f>_xlfn.COMPOUNDVALUE(58)</f>
        <v>1714</v>
      </c>
      <c r="E25" s="127">
        <v>2641054</v>
      </c>
      <c r="F25" s="126">
        <f>_xlfn.COMPOUNDVALUE(59)</f>
        <v>12841</v>
      </c>
      <c r="G25" s="127">
        <v>1270165151</v>
      </c>
      <c r="H25" s="126">
        <f>_xlfn.COMPOUNDVALUE(60)</f>
        <v>4345</v>
      </c>
      <c r="I25" s="128">
        <v>583545624</v>
      </c>
      <c r="J25" s="126">
        <v>1156</v>
      </c>
      <c r="K25" s="128">
        <v>-705545</v>
      </c>
      <c r="L25" s="126">
        <v>17353</v>
      </c>
      <c r="M25" s="128">
        <v>685913982</v>
      </c>
      <c r="N25" s="86" t="s">
        <v>55</v>
      </c>
    </row>
    <row r="26" spans="1:14" ht="15.75" customHeight="1">
      <c r="A26" s="76" t="s">
        <v>56</v>
      </c>
      <c r="B26" s="126">
        <f>_xlfn.COMPOUNDVALUE(61)</f>
        <v>11731</v>
      </c>
      <c r="C26" s="127">
        <v>311959783</v>
      </c>
      <c r="D26" s="126">
        <f>_xlfn.COMPOUNDVALUE(62)</f>
        <v>2415</v>
      </c>
      <c r="E26" s="127">
        <v>2032081</v>
      </c>
      <c r="F26" s="126">
        <f>_xlfn.COMPOUNDVALUE(63)</f>
        <v>14146</v>
      </c>
      <c r="G26" s="127">
        <v>313991864</v>
      </c>
      <c r="H26" s="126">
        <f>_xlfn.COMPOUNDVALUE(64)</f>
        <v>2409</v>
      </c>
      <c r="I26" s="128">
        <v>67001415</v>
      </c>
      <c r="J26" s="126">
        <v>1187</v>
      </c>
      <c r="K26" s="128">
        <v>1049605</v>
      </c>
      <c r="L26" s="126">
        <v>16721</v>
      </c>
      <c r="M26" s="128">
        <v>248040054</v>
      </c>
      <c r="N26" s="86" t="s">
        <v>56</v>
      </c>
    </row>
    <row r="27" spans="1:14" ht="15.75" customHeight="1">
      <c r="A27" s="76" t="s">
        <v>57</v>
      </c>
      <c r="B27" s="126">
        <f>_xlfn.COMPOUNDVALUE(65)</f>
        <v>9477</v>
      </c>
      <c r="C27" s="127">
        <v>327239528</v>
      </c>
      <c r="D27" s="126">
        <f>_xlfn.COMPOUNDVALUE(66)</f>
        <v>1767</v>
      </c>
      <c r="E27" s="127">
        <v>1281758</v>
      </c>
      <c r="F27" s="126">
        <f>_xlfn.COMPOUNDVALUE(67)</f>
        <v>11244</v>
      </c>
      <c r="G27" s="127">
        <v>328521286</v>
      </c>
      <c r="H27" s="126">
        <f>_xlfn.COMPOUNDVALUE(68)</f>
        <v>2530</v>
      </c>
      <c r="I27" s="128">
        <v>129790300</v>
      </c>
      <c r="J27" s="126">
        <v>976</v>
      </c>
      <c r="K27" s="128">
        <v>1279716</v>
      </c>
      <c r="L27" s="126">
        <v>13885</v>
      </c>
      <c r="M27" s="128">
        <v>200010702</v>
      </c>
      <c r="N27" s="86" t="s">
        <v>57</v>
      </c>
    </row>
    <row r="28" spans="1:14" ht="15.75" customHeight="1">
      <c r="A28" s="76" t="s">
        <v>58</v>
      </c>
      <c r="B28" s="126">
        <f>_xlfn.COMPOUNDVALUE(69)</f>
        <v>11765</v>
      </c>
      <c r="C28" s="127">
        <v>402858749</v>
      </c>
      <c r="D28" s="126">
        <f>_xlfn.COMPOUNDVALUE(70)</f>
        <v>2362</v>
      </c>
      <c r="E28" s="127">
        <v>1942615</v>
      </c>
      <c r="F28" s="126">
        <f>_xlfn.COMPOUNDVALUE(71)</f>
        <v>14127</v>
      </c>
      <c r="G28" s="127">
        <v>404801363</v>
      </c>
      <c r="H28" s="126">
        <f>_xlfn.COMPOUNDVALUE(72)</f>
        <v>2848</v>
      </c>
      <c r="I28" s="128">
        <v>101037251</v>
      </c>
      <c r="J28" s="126">
        <v>1371</v>
      </c>
      <c r="K28" s="128">
        <v>1250743</v>
      </c>
      <c r="L28" s="126">
        <v>17182</v>
      </c>
      <c r="M28" s="128">
        <v>305014855</v>
      </c>
      <c r="N28" s="86" t="s">
        <v>58</v>
      </c>
    </row>
    <row r="29" spans="1:14" ht="15.75" customHeight="1">
      <c r="A29" s="76" t="s">
        <v>166</v>
      </c>
      <c r="B29" s="126">
        <f>_xlfn.COMPOUNDVALUE(73)</f>
        <v>15897</v>
      </c>
      <c r="C29" s="127">
        <v>904835335</v>
      </c>
      <c r="D29" s="126">
        <f>_xlfn.COMPOUNDVALUE(74)</f>
        <v>2846</v>
      </c>
      <c r="E29" s="127">
        <v>2733644</v>
      </c>
      <c r="F29" s="126">
        <f>_xlfn.COMPOUNDVALUE(75)</f>
        <v>18743</v>
      </c>
      <c r="G29" s="127">
        <v>907568979</v>
      </c>
      <c r="H29" s="126">
        <f>_xlfn.COMPOUNDVALUE(76)</f>
        <v>4990</v>
      </c>
      <c r="I29" s="128">
        <v>457887794</v>
      </c>
      <c r="J29" s="126">
        <v>1556</v>
      </c>
      <c r="K29" s="128">
        <v>756201</v>
      </c>
      <c r="L29" s="126">
        <v>23959</v>
      </c>
      <c r="M29" s="128">
        <v>450437386</v>
      </c>
      <c r="N29" s="86" t="s">
        <v>59</v>
      </c>
    </row>
    <row r="30" spans="1:14" ht="15.75" customHeight="1">
      <c r="A30" s="76"/>
      <c r="B30" s="126"/>
      <c r="C30" s="127"/>
      <c r="D30" s="126"/>
      <c r="E30" s="127"/>
      <c r="F30" s="126"/>
      <c r="G30" s="127"/>
      <c r="H30" s="126"/>
      <c r="I30" s="128"/>
      <c r="J30" s="126"/>
      <c r="K30" s="128"/>
      <c r="L30" s="126"/>
      <c r="M30" s="128"/>
      <c r="N30" s="86" t="s">
        <v>38</v>
      </c>
    </row>
    <row r="31" spans="1:14" ht="15.75" customHeight="1">
      <c r="A31" s="76" t="s">
        <v>60</v>
      </c>
      <c r="B31" s="126">
        <f>_xlfn.COMPOUNDVALUE(77)</f>
        <v>15003</v>
      </c>
      <c r="C31" s="127">
        <v>354834638</v>
      </c>
      <c r="D31" s="126">
        <f>_xlfn.COMPOUNDVALUE(78)</f>
        <v>3008</v>
      </c>
      <c r="E31" s="127">
        <v>2457451</v>
      </c>
      <c r="F31" s="126">
        <f>_xlfn.COMPOUNDVALUE(79)</f>
        <v>18011</v>
      </c>
      <c r="G31" s="127">
        <v>357292088</v>
      </c>
      <c r="H31" s="126">
        <f>_xlfn.COMPOUNDVALUE(80)</f>
        <v>3563</v>
      </c>
      <c r="I31" s="128">
        <v>262041841</v>
      </c>
      <c r="J31" s="126">
        <v>1457</v>
      </c>
      <c r="K31" s="128">
        <v>1903033</v>
      </c>
      <c r="L31" s="126">
        <v>21869</v>
      </c>
      <c r="M31" s="128">
        <v>97153280</v>
      </c>
      <c r="N31" s="86" t="s">
        <v>60</v>
      </c>
    </row>
    <row r="32" spans="1:14" ht="15.75" customHeight="1">
      <c r="A32" s="76" t="s">
        <v>61</v>
      </c>
      <c r="B32" s="126">
        <f>_xlfn.COMPOUNDVALUE(81)</f>
        <v>7319</v>
      </c>
      <c r="C32" s="127">
        <v>250347537</v>
      </c>
      <c r="D32" s="126">
        <f>_xlfn.COMPOUNDVALUE(82)</f>
        <v>1802</v>
      </c>
      <c r="E32" s="127">
        <v>1266944</v>
      </c>
      <c r="F32" s="126">
        <f>_xlfn.COMPOUNDVALUE(83)</f>
        <v>9121</v>
      </c>
      <c r="G32" s="127">
        <v>251614480</v>
      </c>
      <c r="H32" s="126">
        <f>_xlfn.COMPOUNDVALUE(84)</f>
        <v>1544</v>
      </c>
      <c r="I32" s="128">
        <v>77619907</v>
      </c>
      <c r="J32" s="126">
        <v>815</v>
      </c>
      <c r="K32" s="128">
        <v>1201880</v>
      </c>
      <c r="L32" s="126">
        <v>10793</v>
      </c>
      <c r="M32" s="128">
        <v>175196453</v>
      </c>
      <c r="N32" s="86" t="s">
        <v>61</v>
      </c>
    </row>
    <row r="33" spans="1:14" ht="15.75" customHeight="1">
      <c r="A33" s="76" t="s">
        <v>62</v>
      </c>
      <c r="B33" s="126">
        <f>_xlfn.COMPOUNDVALUE(85)</f>
        <v>8177</v>
      </c>
      <c r="C33" s="127">
        <v>140058527</v>
      </c>
      <c r="D33" s="126">
        <f>_xlfn.COMPOUNDVALUE(86)</f>
        <v>2338</v>
      </c>
      <c r="E33" s="127">
        <v>1802187</v>
      </c>
      <c r="F33" s="126">
        <f>_xlfn.COMPOUNDVALUE(87)</f>
        <v>10515</v>
      </c>
      <c r="G33" s="127">
        <v>141860714</v>
      </c>
      <c r="H33" s="126">
        <f>_xlfn.COMPOUNDVALUE(88)</f>
        <v>1343</v>
      </c>
      <c r="I33" s="128">
        <v>26841716</v>
      </c>
      <c r="J33" s="126">
        <v>859</v>
      </c>
      <c r="K33" s="128">
        <v>255700</v>
      </c>
      <c r="L33" s="126">
        <v>11995</v>
      </c>
      <c r="M33" s="128">
        <v>115274698</v>
      </c>
      <c r="N33" s="86" t="s">
        <v>62</v>
      </c>
    </row>
    <row r="34" spans="1:14" ht="15.75" customHeight="1">
      <c r="A34" s="76" t="s">
        <v>63</v>
      </c>
      <c r="B34" s="126">
        <f>_xlfn.COMPOUNDVALUE(89)</f>
        <v>9522</v>
      </c>
      <c r="C34" s="127">
        <v>352304544</v>
      </c>
      <c r="D34" s="126">
        <f>_xlfn.COMPOUNDVALUE(90)</f>
        <v>2246</v>
      </c>
      <c r="E34" s="127">
        <v>2210058</v>
      </c>
      <c r="F34" s="126">
        <f>_xlfn.COMPOUNDVALUE(91)</f>
        <v>11768</v>
      </c>
      <c r="G34" s="127">
        <v>354514602</v>
      </c>
      <c r="H34" s="126">
        <f>_xlfn.COMPOUNDVALUE(92)</f>
        <v>1887</v>
      </c>
      <c r="I34" s="128">
        <v>40106014</v>
      </c>
      <c r="J34" s="126">
        <v>1105</v>
      </c>
      <c r="K34" s="128">
        <v>-322941</v>
      </c>
      <c r="L34" s="126">
        <v>13872</v>
      </c>
      <c r="M34" s="128">
        <v>314085647</v>
      </c>
      <c r="N34" s="86" t="s">
        <v>63</v>
      </c>
    </row>
    <row r="35" spans="1:14" ht="15.75" customHeight="1">
      <c r="A35" s="76" t="s">
        <v>64</v>
      </c>
      <c r="B35" s="126">
        <f>_xlfn.COMPOUNDVALUE(93)</f>
        <v>2478</v>
      </c>
      <c r="C35" s="127">
        <v>47976932</v>
      </c>
      <c r="D35" s="126">
        <f>_xlfn.COMPOUNDVALUE(94)</f>
        <v>932</v>
      </c>
      <c r="E35" s="127">
        <v>665813</v>
      </c>
      <c r="F35" s="126">
        <f>_xlfn.COMPOUNDVALUE(95)</f>
        <v>3410</v>
      </c>
      <c r="G35" s="127">
        <v>48642744</v>
      </c>
      <c r="H35" s="126">
        <f>_xlfn.COMPOUNDVALUE(96)</f>
        <v>395</v>
      </c>
      <c r="I35" s="128">
        <v>6963227</v>
      </c>
      <c r="J35" s="126">
        <v>245</v>
      </c>
      <c r="K35" s="128">
        <v>-45762</v>
      </c>
      <c r="L35" s="126">
        <v>3838</v>
      </c>
      <c r="M35" s="128">
        <v>41633755</v>
      </c>
      <c r="N35" s="86" t="s">
        <v>64</v>
      </c>
    </row>
    <row r="36" spans="1:14" ht="15.75" customHeight="1">
      <c r="A36" s="76"/>
      <c r="B36" s="126"/>
      <c r="C36" s="127"/>
      <c r="D36" s="126"/>
      <c r="E36" s="127"/>
      <c r="F36" s="126"/>
      <c r="G36" s="127"/>
      <c r="H36" s="126"/>
      <c r="I36" s="128"/>
      <c r="J36" s="126"/>
      <c r="K36" s="128"/>
      <c r="L36" s="126"/>
      <c r="M36" s="128"/>
      <c r="N36" s="86" t="s">
        <v>38</v>
      </c>
    </row>
    <row r="37" spans="1:14" ht="15.75" customHeight="1">
      <c r="A37" s="76" t="s">
        <v>65</v>
      </c>
      <c r="B37" s="126">
        <f>_xlfn.COMPOUNDVALUE(97)</f>
        <v>3246</v>
      </c>
      <c r="C37" s="127">
        <v>43887858</v>
      </c>
      <c r="D37" s="126">
        <f>_xlfn.COMPOUNDVALUE(98)</f>
        <v>1056</v>
      </c>
      <c r="E37" s="127">
        <v>683263</v>
      </c>
      <c r="F37" s="126">
        <f>_xlfn.COMPOUNDVALUE(99)</f>
        <v>4302</v>
      </c>
      <c r="G37" s="127">
        <v>44571120</v>
      </c>
      <c r="H37" s="126">
        <f>_xlfn.COMPOUNDVALUE(100)</f>
        <v>474</v>
      </c>
      <c r="I37" s="128">
        <v>5050498</v>
      </c>
      <c r="J37" s="126">
        <v>313</v>
      </c>
      <c r="K37" s="128">
        <v>20680</v>
      </c>
      <c r="L37" s="126">
        <v>4814</v>
      </c>
      <c r="M37" s="128">
        <v>39541302</v>
      </c>
      <c r="N37" s="86" t="s">
        <v>65</v>
      </c>
    </row>
    <row r="38" spans="1:14" ht="15.75" customHeight="1">
      <c r="A38" s="76" t="s">
        <v>66</v>
      </c>
      <c r="B38" s="126">
        <f>_xlfn.COMPOUNDVALUE(101)</f>
        <v>5245</v>
      </c>
      <c r="C38" s="127">
        <v>92400762</v>
      </c>
      <c r="D38" s="126">
        <f>_xlfn.COMPOUNDVALUE(102)</f>
        <v>1469</v>
      </c>
      <c r="E38" s="127">
        <v>948981</v>
      </c>
      <c r="F38" s="126">
        <f>_xlfn.COMPOUNDVALUE(103)</f>
        <v>6714</v>
      </c>
      <c r="G38" s="127">
        <v>93349743</v>
      </c>
      <c r="H38" s="126">
        <f>_xlfn.COMPOUNDVALUE(104)</f>
        <v>1135</v>
      </c>
      <c r="I38" s="128">
        <v>25716856</v>
      </c>
      <c r="J38" s="126">
        <v>546</v>
      </c>
      <c r="K38" s="128">
        <v>322452</v>
      </c>
      <c r="L38" s="126">
        <v>7934</v>
      </c>
      <c r="M38" s="128">
        <v>67955339</v>
      </c>
      <c r="N38" s="86" t="s">
        <v>66</v>
      </c>
    </row>
    <row r="39" spans="1:14" ht="15.75" customHeight="1">
      <c r="A39" s="76" t="s">
        <v>67</v>
      </c>
      <c r="B39" s="126">
        <f>_xlfn.COMPOUNDVALUE(105)</f>
        <v>5053</v>
      </c>
      <c r="C39" s="127">
        <v>75914410</v>
      </c>
      <c r="D39" s="126">
        <f>_xlfn.COMPOUNDVALUE(106)</f>
        <v>1721</v>
      </c>
      <c r="E39" s="127">
        <v>1011248</v>
      </c>
      <c r="F39" s="126">
        <f>_xlfn.COMPOUNDVALUE(107)</f>
        <v>6774</v>
      </c>
      <c r="G39" s="127">
        <v>76925658</v>
      </c>
      <c r="H39" s="126">
        <f>_xlfn.COMPOUNDVALUE(108)</f>
        <v>842</v>
      </c>
      <c r="I39" s="128">
        <v>6140399</v>
      </c>
      <c r="J39" s="126">
        <v>578</v>
      </c>
      <c r="K39" s="128">
        <v>438867</v>
      </c>
      <c r="L39" s="126">
        <v>7727</v>
      </c>
      <c r="M39" s="128">
        <v>71224126</v>
      </c>
      <c r="N39" s="86" t="s">
        <v>67</v>
      </c>
    </row>
    <row r="40" spans="1:14" ht="15.75" customHeight="1">
      <c r="A40" s="76" t="s">
        <v>68</v>
      </c>
      <c r="B40" s="126">
        <f>_xlfn.COMPOUNDVALUE(109)</f>
        <v>4169</v>
      </c>
      <c r="C40" s="127">
        <v>93404811</v>
      </c>
      <c r="D40" s="126">
        <f>_xlfn.COMPOUNDVALUE(110)</f>
        <v>1332</v>
      </c>
      <c r="E40" s="127">
        <v>762863</v>
      </c>
      <c r="F40" s="126">
        <f>_xlfn.COMPOUNDVALUE(111)</f>
        <v>5501</v>
      </c>
      <c r="G40" s="127">
        <v>94167674</v>
      </c>
      <c r="H40" s="126">
        <f>_xlfn.COMPOUNDVALUE(112)</f>
        <v>507</v>
      </c>
      <c r="I40" s="128">
        <v>5254499</v>
      </c>
      <c r="J40" s="126">
        <v>368</v>
      </c>
      <c r="K40" s="128">
        <v>487715</v>
      </c>
      <c r="L40" s="126">
        <v>6099</v>
      </c>
      <c r="M40" s="128">
        <v>89400890</v>
      </c>
      <c r="N40" s="86" t="s">
        <v>68</v>
      </c>
    </row>
    <row r="41" spans="1:14" ht="15.75" customHeight="1">
      <c r="A41" s="76" t="s">
        <v>69</v>
      </c>
      <c r="B41" s="126">
        <f>_xlfn.COMPOUNDVALUE(113)</f>
        <v>1469</v>
      </c>
      <c r="C41" s="127">
        <v>11217454</v>
      </c>
      <c r="D41" s="126">
        <f>_xlfn.COMPOUNDVALUE(114)</f>
        <v>717</v>
      </c>
      <c r="E41" s="127">
        <v>368030</v>
      </c>
      <c r="F41" s="126">
        <f>_xlfn.COMPOUNDVALUE(115)</f>
        <v>2186</v>
      </c>
      <c r="G41" s="127">
        <v>11585483</v>
      </c>
      <c r="H41" s="126">
        <f>_xlfn.COMPOUNDVALUE(116)</f>
        <v>142</v>
      </c>
      <c r="I41" s="128">
        <v>439290</v>
      </c>
      <c r="J41" s="126">
        <v>200</v>
      </c>
      <c r="K41" s="128">
        <v>28514</v>
      </c>
      <c r="L41" s="126">
        <v>2364</v>
      </c>
      <c r="M41" s="128">
        <v>11174707</v>
      </c>
      <c r="N41" s="86" t="s">
        <v>69</v>
      </c>
    </row>
    <row r="42" spans="1:14" ht="15.75" customHeight="1">
      <c r="A42" s="103"/>
      <c r="B42" s="126"/>
      <c r="C42" s="127"/>
      <c r="D42" s="126"/>
      <c r="E42" s="127"/>
      <c r="F42" s="126"/>
      <c r="G42" s="127"/>
      <c r="H42" s="126"/>
      <c r="I42" s="128"/>
      <c r="J42" s="126"/>
      <c r="K42" s="128"/>
      <c r="L42" s="126"/>
      <c r="M42" s="128"/>
      <c r="N42" s="105" t="s">
        <v>38</v>
      </c>
    </row>
    <row r="43" spans="1:14" ht="15.75" customHeight="1">
      <c r="A43" s="99" t="s">
        <v>70</v>
      </c>
      <c r="B43" s="126">
        <f>_xlfn.COMPOUNDVALUE(117)</f>
        <v>5116</v>
      </c>
      <c r="C43" s="127">
        <v>157265853</v>
      </c>
      <c r="D43" s="126">
        <f>_xlfn.COMPOUNDVALUE(118)</f>
        <v>1546</v>
      </c>
      <c r="E43" s="127">
        <v>915321</v>
      </c>
      <c r="F43" s="126">
        <f>_xlfn.COMPOUNDVALUE(119)</f>
        <v>6662</v>
      </c>
      <c r="G43" s="127">
        <v>158181174</v>
      </c>
      <c r="H43" s="126">
        <f>_xlfn.COMPOUNDVALUE(120)</f>
        <v>877</v>
      </c>
      <c r="I43" s="128">
        <v>37688539</v>
      </c>
      <c r="J43" s="126">
        <v>577</v>
      </c>
      <c r="K43" s="128">
        <v>1085077</v>
      </c>
      <c r="L43" s="126">
        <v>7633</v>
      </c>
      <c r="M43" s="128">
        <v>121577712</v>
      </c>
      <c r="N43" s="86" t="s">
        <v>70</v>
      </c>
    </row>
    <row r="44" spans="1:14" ht="15.75" customHeight="1">
      <c r="A44" s="76" t="s">
        <v>71</v>
      </c>
      <c r="B44" s="126">
        <f>_xlfn.COMPOUNDVALUE(121)</f>
        <v>2558</v>
      </c>
      <c r="C44" s="127">
        <v>56527949</v>
      </c>
      <c r="D44" s="126">
        <f>_xlfn.COMPOUNDVALUE(122)</f>
        <v>1035</v>
      </c>
      <c r="E44" s="127">
        <v>607204</v>
      </c>
      <c r="F44" s="126">
        <f>_xlfn.COMPOUNDVALUE(123)</f>
        <v>3593</v>
      </c>
      <c r="G44" s="127">
        <v>57135153</v>
      </c>
      <c r="H44" s="126">
        <f>_xlfn.COMPOUNDVALUE(124)</f>
        <v>359</v>
      </c>
      <c r="I44" s="128">
        <v>3466687</v>
      </c>
      <c r="J44" s="126">
        <v>226</v>
      </c>
      <c r="K44" s="128">
        <v>46578</v>
      </c>
      <c r="L44" s="126">
        <v>4004</v>
      </c>
      <c r="M44" s="128">
        <v>53715044</v>
      </c>
      <c r="N44" s="86" t="s">
        <v>71</v>
      </c>
    </row>
    <row r="45" spans="1:14" ht="15.75" customHeight="1">
      <c r="A45" s="76" t="s">
        <v>72</v>
      </c>
      <c r="B45" s="126">
        <f>_xlfn.COMPOUNDVALUE(125)</f>
        <v>1717</v>
      </c>
      <c r="C45" s="127">
        <v>11664988</v>
      </c>
      <c r="D45" s="126">
        <f>_xlfn.COMPOUNDVALUE(126)</f>
        <v>927</v>
      </c>
      <c r="E45" s="127">
        <v>526984</v>
      </c>
      <c r="F45" s="126">
        <f>_xlfn.COMPOUNDVALUE(127)</f>
        <v>2644</v>
      </c>
      <c r="G45" s="127">
        <v>12191972</v>
      </c>
      <c r="H45" s="126">
        <f>_xlfn.COMPOUNDVALUE(128)</f>
        <v>235</v>
      </c>
      <c r="I45" s="128">
        <v>1313216</v>
      </c>
      <c r="J45" s="126">
        <v>139</v>
      </c>
      <c r="K45" s="128">
        <v>2775</v>
      </c>
      <c r="L45" s="126">
        <v>2896</v>
      </c>
      <c r="M45" s="128">
        <v>10881531</v>
      </c>
      <c r="N45" s="86" t="s">
        <v>72</v>
      </c>
    </row>
    <row r="46" spans="1:14" ht="15.75" customHeight="1">
      <c r="A46" s="76" t="s">
        <v>73</v>
      </c>
      <c r="B46" s="126">
        <f>_xlfn.COMPOUNDVALUE(129)</f>
        <v>5821</v>
      </c>
      <c r="C46" s="127">
        <v>82635782</v>
      </c>
      <c r="D46" s="126">
        <f>_xlfn.COMPOUNDVALUE(130)</f>
        <v>2104</v>
      </c>
      <c r="E46" s="127">
        <v>1381663</v>
      </c>
      <c r="F46" s="126">
        <f>_xlfn.COMPOUNDVALUE(131)</f>
        <v>7925</v>
      </c>
      <c r="G46" s="127">
        <v>84017445</v>
      </c>
      <c r="H46" s="126">
        <f>_xlfn.COMPOUNDVALUE(132)</f>
        <v>808</v>
      </c>
      <c r="I46" s="128">
        <v>6704843</v>
      </c>
      <c r="J46" s="126">
        <v>626</v>
      </c>
      <c r="K46" s="128">
        <v>128775</v>
      </c>
      <c r="L46" s="126">
        <v>8845</v>
      </c>
      <c r="M46" s="128">
        <v>77441377</v>
      </c>
      <c r="N46" s="86" t="s">
        <v>73</v>
      </c>
    </row>
    <row r="47" spans="1:14" ht="15.75" customHeight="1">
      <c r="A47" s="76" t="s">
        <v>74</v>
      </c>
      <c r="B47" s="126">
        <f>_xlfn.COMPOUNDVALUE(133)</f>
        <v>3678</v>
      </c>
      <c r="C47" s="127">
        <v>47115378</v>
      </c>
      <c r="D47" s="126">
        <f>_xlfn.COMPOUNDVALUE(134)</f>
        <v>1488</v>
      </c>
      <c r="E47" s="127">
        <v>860788</v>
      </c>
      <c r="F47" s="126">
        <f>_xlfn.COMPOUNDVALUE(135)</f>
        <v>5166</v>
      </c>
      <c r="G47" s="127">
        <v>47976166</v>
      </c>
      <c r="H47" s="126">
        <f>_xlfn.COMPOUNDVALUE(136)</f>
        <v>362</v>
      </c>
      <c r="I47" s="128">
        <v>13701761</v>
      </c>
      <c r="J47" s="126">
        <v>366</v>
      </c>
      <c r="K47" s="128">
        <v>-12878</v>
      </c>
      <c r="L47" s="126">
        <v>5579</v>
      </c>
      <c r="M47" s="128">
        <v>34261527</v>
      </c>
      <c r="N47" s="86" t="s">
        <v>74</v>
      </c>
    </row>
    <row r="48" spans="1:14" ht="15.75" customHeight="1">
      <c r="A48" s="76"/>
      <c r="B48" s="126"/>
      <c r="C48" s="127"/>
      <c r="D48" s="126"/>
      <c r="E48" s="127"/>
      <c r="F48" s="126"/>
      <c r="G48" s="127"/>
      <c r="H48" s="126"/>
      <c r="I48" s="128"/>
      <c r="J48" s="126"/>
      <c r="K48" s="128"/>
      <c r="L48" s="126"/>
      <c r="M48" s="128"/>
      <c r="N48" s="86" t="s">
        <v>38</v>
      </c>
    </row>
    <row r="49" spans="1:14" ht="15.75" customHeight="1">
      <c r="A49" s="76" t="s">
        <v>75</v>
      </c>
      <c r="B49" s="126">
        <f>_xlfn.COMPOUNDVALUE(137)</f>
        <v>1941</v>
      </c>
      <c r="C49" s="127">
        <v>11833106</v>
      </c>
      <c r="D49" s="126">
        <f>_xlfn.COMPOUNDVALUE(138)</f>
        <v>942</v>
      </c>
      <c r="E49" s="127">
        <v>590191</v>
      </c>
      <c r="F49" s="126">
        <f>_xlfn.COMPOUNDVALUE(139)</f>
        <v>2883</v>
      </c>
      <c r="G49" s="127">
        <v>12423297</v>
      </c>
      <c r="H49" s="126">
        <f>_xlfn.COMPOUNDVALUE(140)</f>
        <v>289</v>
      </c>
      <c r="I49" s="128">
        <v>8270420</v>
      </c>
      <c r="J49" s="126">
        <v>206</v>
      </c>
      <c r="K49" s="128">
        <v>16899</v>
      </c>
      <c r="L49" s="126">
        <v>3208</v>
      </c>
      <c r="M49" s="128">
        <v>4169776</v>
      </c>
      <c r="N49" s="86" t="s">
        <v>75</v>
      </c>
    </row>
    <row r="50" spans="1:14" ht="15.75" customHeight="1">
      <c r="A50" s="76" t="s">
        <v>76</v>
      </c>
      <c r="B50" s="126">
        <f>_xlfn.COMPOUNDVALUE(141)</f>
        <v>3977</v>
      </c>
      <c r="C50" s="127">
        <v>59282786</v>
      </c>
      <c r="D50" s="126">
        <f>_xlfn.COMPOUNDVALUE(142)</f>
        <v>1948</v>
      </c>
      <c r="E50" s="127">
        <v>1127482</v>
      </c>
      <c r="F50" s="126">
        <f>_xlfn.COMPOUNDVALUE(143)</f>
        <v>5925</v>
      </c>
      <c r="G50" s="127">
        <v>60410268</v>
      </c>
      <c r="H50" s="126">
        <f>_xlfn.COMPOUNDVALUE(144)</f>
        <v>366</v>
      </c>
      <c r="I50" s="128">
        <v>45775546</v>
      </c>
      <c r="J50" s="126">
        <v>374</v>
      </c>
      <c r="K50" s="128">
        <v>256062</v>
      </c>
      <c r="L50" s="126">
        <v>6346</v>
      </c>
      <c r="M50" s="128">
        <v>14890784</v>
      </c>
      <c r="N50" s="86" t="s">
        <v>76</v>
      </c>
    </row>
    <row r="51" spans="1:14" ht="15.75" customHeight="1">
      <c r="A51" s="76" t="s">
        <v>77</v>
      </c>
      <c r="B51" s="126">
        <f>_xlfn.COMPOUNDVALUE(145)</f>
        <v>3878</v>
      </c>
      <c r="C51" s="127">
        <v>22577807</v>
      </c>
      <c r="D51" s="126">
        <f>_xlfn.COMPOUNDVALUE(146)</f>
        <v>1750</v>
      </c>
      <c r="E51" s="127">
        <v>1084476</v>
      </c>
      <c r="F51" s="126">
        <f>_xlfn.COMPOUNDVALUE(147)</f>
        <v>5628</v>
      </c>
      <c r="G51" s="127">
        <v>23662283</v>
      </c>
      <c r="H51" s="126">
        <f>_xlfn.COMPOUNDVALUE(148)</f>
        <v>520</v>
      </c>
      <c r="I51" s="128">
        <v>1671432</v>
      </c>
      <c r="J51" s="126">
        <v>406</v>
      </c>
      <c r="K51" s="128">
        <v>112961</v>
      </c>
      <c r="L51" s="126">
        <v>6225</v>
      </c>
      <c r="M51" s="128">
        <v>22103812</v>
      </c>
      <c r="N51" s="86" t="s">
        <v>77</v>
      </c>
    </row>
    <row r="52" spans="1:14" ht="15.75" customHeight="1">
      <c r="A52" s="76" t="s">
        <v>78</v>
      </c>
      <c r="B52" s="126">
        <f>_xlfn.COMPOUNDVALUE(149)</f>
        <v>3396</v>
      </c>
      <c r="C52" s="127">
        <v>19627837</v>
      </c>
      <c r="D52" s="126">
        <f>_xlfn.COMPOUNDVALUE(150)</f>
        <v>1649</v>
      </c>
      <c r="E52" s="127">
        <v>1033159</v>
      </c>
      <c r="F52" s="126">
        <f>_xlfn.COMPOUNDVALUE(151)</f>
        <v>5045</v>
      </c>
      <c r="G52" s="127">
        <v>20660996</v>
      </c>
      <c r="H52" s="126">
        <f>_xlfn.COMPOUNDVALUE(152)</f>
        <v>410</v>
      </c>
      <c r="I52" s="128">
        <v>831536</v>
      </c>
      <c r="J52" s="126">
        <v>359</v>
      </c>
      <c r="K52" s="128">
        <v>63317</v>
      </c>
      <c r="L52" s="126">
        <v>5529</v>
      </c>
      <c r="M52" s="128">
        <v>19892777</v>
      </c>
      <c r="N52" s="86" t="s">
        <v>78</v>
      </c>
    </row>
    <row r="53" spans="1:14" ht="15.75" customHeight="1">
      <c r="A53" s="76" t="s">
        <v>79</v>
      </c>
      <c r="B53" s="126">
        <f>_xlfn.COMPOUNDVALUE(153)</f>
        <v>3487</v>
      </c>
      <c r="C53" s="127">
        <v>40969044</v>
      </c>
      <c r="D53" s="126">
        <f>_xlfn.COMPOUNDVALUE(154)</f>
        <v>1549</v>
      </c>
      <c r="E53" s="127">
        <v>1053691</v>
      </c>
      <c r="F53" s="126">
        <f>_xlfn.COMPOUNDVALUE(155)</f>
        <v>5036</v>
      </c>
      <c r="G53" s="127">
        <v>42022735</v>
      </c>
      <c r="H53" s="126">
        <f>_xlfn.COMPOUNDVALUE(156)</f>
        <v>517</v>
      </c>
      <c r="I53" s="128">
        <v>5198036</v>
      </c>
      <c r="J53" s="126">
        <v>342</v>
      </c>
      <c r="K53" s="128">
        <v>142464</v>
      </c>
      <c r="L53" s="126">
        <v>5597</v>
      </c>
      <c r="M53" s="128">
        <v>36967163</v>
      </c>
      <c r="N53" s="86" t="s">
        <v>79</v>
      </c>
    </row>
    <row r="54" spans="1:14" ht="15.75" customHeight="1">
      <c r="A54" s="76"/>
      <c r="B54" s="126"/>
      <c r="C54" s="127"/>
      <c r="D54" s="126"/>
      <c r="E54" s="127"/>
      <c r="F54" s="126"/>
      <c r="G54" s="127"/>
      <c r="H54" s="126"/>
      <c r="I54" s="128"/>
      <c r="J54" s="126"/>
      <c r="K54" s="128"/>
      <c r="L54" s="126"/>
      <c r="M54" s="128"/>
      <c r="N54" s="86" t="s">
        <v>38</v>
      </c>
    </row>
    <row r="55" spans="1:14" ht="15.75" customHeight="1">
      <c r="A55" s="76" t="s">
        <v>80</v>
      </c>
      <c r="B55" s="126">
        <f>_xlfn.COMPOUNDVALUE(157)</f>
        <v>21154</v>
      </c>
      <c r="C55" s="127">
        <v>487325324</v>
      </c>
      <c r="D55" s="126">
        <f>_xlfn.COMPOUNDVALUE(158)</f>
        <v>5100</v>
      </c>
      <c r="E55" s="127">
        <v>4086577</v>
      </c>
      <c r="F55" s="126">
        <f>_xlfn.COMPOUNDVALUE(159)</f>
        <v>26254</v>
      </c>
      <c r="G55" s="127">
        <v>491411900</v>
      </c>
      <c r="H55" s="126">
        <f>_xlfn.COMPOUNDVALUE(160)</f>
        <v>3019</v>
      </c>
      <c r="I55" s="128">
        <v>113071590</v>
      </c>
      <c r="J55" s="126">
        <v>1987</v>
      </c>
      <c r="K55" s="128">
        <v>283437</v>
      </c>
      <c r="L55" s="126">
        <v>29664</v>
      </c>
      <c r="M55" s="128">
        <v>378623747</v>
      </c>
      <c r="N55" s="86" t="s">
        <v>80</v>
      </c>
    </row>
    <row r="56" spans="1:14" ht="15.75" customHeight="1">
      <c r="A56" s="76" t="s">
        <v>81</v>
      </c>
      <c r="B56" s="126">
        <f>_xlfn.COMPOUNDVALUE(161)</f>
        <v>4272</v>
      </c>
      <c r="C56" s="127">
        <v>68985505</v>
      </c>
      <c r="D56" s="126">
        <f>_xlfn.COMPOUNDVALUE(162)</f>
        <v>1728</v>
      </c>
      <c r="E56" s="127">
        <v>1119482</v>
      </c>
      <c r="F56" s="126">
        <f>_xlfn.COMPOUNDVALUE(163)</f>
        <v>6000</v>
      </c>
      <c r="G56" s="127">
        <v>70104986</v>
      </c>
      <c r="H56" s="126">
        <f>_xlfn.COMPOUNDVALUE(164)</f>
        <v>617</v>
      </c>
      <c r="I56" s="128">
        <v>3935531</v>
      </c>
      <c r="J56" s="126">
        <v>447</v>
      </c>
      <c r="K56" s="128">
        <v>18412</v>
      </c>
      <c r="L56" s="126">
        <v>6688</v>
      </c>
      <c r="M56" s="128">
        <v>66187867</v>
      </c>
      <c r="N56" s="86" t="s">
        <v>81</v>
      </c>
    </row>
    <row r="57" spans="1:14" ht="15.75" customHeight="1">
      <c r="A57" s="76" t="s">
        <v>82</v>
      </c>
      <c r="B57" s="126">
        <f>_xlfn.COMPOUNDVALUE(165)</f>
        <v>3229</v>
      </c>
      <c r="C57" s="127">
        <v>21457191</v>
      </c>
      <c r="D57" s="126">
        <f>_xlfn.COMPOUNDVALUE(166)</f>
        <v>1442</v>
      </c>
      <c r="E57" s="127">
        <v>914932</v>
      </c>
      <c r="F57" s="126">
        <f>_xlfn.COMPOUNDVALUE(167)</f>
        <v>4671</v>
      </c>
      <c r="G57" s="127">
        <v>22372124</v>
      </c>
      <c r="H57" s="126">
        <f>_xlfn.COMPOUNDVALUE(168)</f>
        <v>393</v>
      </c>
      <c r="I57" s="128">
        <v>1660342</v>
      </c>
      <c r="J57" s="126">
        <v>307</v>
      </c>
      <c r="K57" s="128">
        <v>23495</v>
      </c>
      <c r="L57" s="126">
        <v>5114</v>
      </c>
      <c r="M57" s="128">
        <v>20735277</v>
      </c>
      <c r="N57" s="86" t="s">
        <v>82</v>
      </c>
    </row>
    <row r="58" spans="1:14" ht="15.75" customHeight="1">
      <c r="A58" s="76" t="s">
        <v>83</v>
      </c>
      <c r="B58" s="126">
        <f>_xlfn.COMPOUNDVALUE(169)</f>
        <v>2446</v>
      </c>
      <c r="C58" s="127">
        <v>16900647</v>
      </c>
      <c r="D58" s="126">
        <f>_xlfn.COMPOUNDVALUE(170)</f>
        <v>1167</v>
      </c>
      <c r="E58" s="127">
        <v>714985</v>
      </c>
      <c r="F58" s="126">
        <f>_xlfn.COMPOUNDVALUE(171)</f>
        <v>3613</v>
      </c>
      <c r="G58" s="127">
        <v>17615632</v>
      </c>
      <c r="H58" s="126">
        <f>_xlfn.COMPOUNDVALUE(172)</f>
        <v>323</v>
      </c>
      <c r="I58" s="128">
        <v>868848</v>
      </c>
      <c r="J58" s="126">
        <v>233</v>
      </c>
      <c r="K58" s="128">
        <v>20471</v>
      </c>
      <c r="L58" s="126">
        <v>3974</v>
      </c>
      <c r="M58" s="128">
        <v>16767255</v>
      </c>
      <c r="N58" s="86" t="s">
        <v>83</v>
      </c>
    </row>
    <row r="59" spans="1:14" ht="15.75" customHeight="1">
      <c r="A59" s="76" t="s">
        <v>84</v>
      </c>
      <c r="B59" s="126">
        <f>_xlfn.COMPOUNDVALUE(173)</f>
        <v>8451</v>
      </c>
      <c r="C59" s="127">
        <v>110154347</v>
      </c>
      <c r="D59" s="126">
        <f>_xlfn.COMPOUNDVALUE(174)</f>
        <v>2610</v>
      </c>
      <c r="E59" s="127">
        <v>1903031</v>
      </c>
      <c r="F59" s="126">
        <f>_xlfn.COMPOUNDVALUE(175)</f>
        <v>11061</v>
      </c>
      <c r="G59" s="127">
        <v>112057378</v>
      </c>
      <c r="H59" s="126">
        <f>_xlfn.COMPOUNDVALUE(176)</f>
        <v>1555</v>
      </c>
      <c r="I59" s="128">
        <v>13039167</v>
      </c>
      <c r="J59" s="126">
        <v>1094</v>
      </c>
      <c r="K59" s="128">
        <v>555190</v>
      </c>
      <c r="L59" s="126">
        <v>12846</v>
      </c>
      <c r="M59" s="128">
        <v>99573401</v>
      </c>
      <c r="N59" s="86" t="s">
        <v>84</v>
      </c>
    </row>
    <row r="60" spans="1:14" ht="15.75" customHeight="1">
      <c r="A60" s="76"/>
      <c r="B60" s="126"/>
      <c r="C60" s="127"/>
      <c r="D60" s="126"/>
      <c r="E60" s="127"/>
      <c r="F60" s="126"/>
      <c r="G60" s="127"/>
      <c r="H60" s="126"/>
      <c r="I60" s="128"/>
      <c r="J60" s="126"/>
      <c r="K60" s="128"/>
      <c r="L60" s="126"/>
      <c r="M60" s="128"/>
      <c r="N60" s="86" t="s">
        <v>38</v>
      </c>
    </row>
    <row r="61" spans="1:14" ht="15.75" customHeight="1">
      <c r="A61" s="76" t="s">
        <v>85</v>
      </c>
      <c r="B61" s="126">
        <f>_xlfn.COMPOUNDVALUE(177)</f>
        <v>3756</v>
      </c>
      <c r="C61" s="127">
        <v>49267146</v>
      </c>
      <c r="D61" s="126">
        <f>_xlfn.COMPOUNDVALUE(178)</f>
        <v>1675</v>
      </c>
      <c r="E61" s="127">
        <v>971112</v>
      </c>
      <c r="F61" s="126">
        <f>_xlfn.COMPOUNDVALUE(179)</f>
        <v>5431</v>
      </c>
      <c r="G61" s="127">
        <v>50238258</v>
      </c>
      <c r="H61" s="126">
        <f>_xlfn.COMPOUNDVALUE(180)</f>
        <v>532</v>
      </c>
      <c r="I61" s="128">
        <v>4890690</v>
      </c>
      <c r="J61" s="126">
        <v>397</v>
      </c>
      <c r="K61" s="128">
        <v>129693</v>
      </c>
      <c r="L61" s="126">
        <v>6023</v>
      </c>
      <c r="M61" s="128">
        <v>45477261</v>
      </c>
      <c r="N61" s="86" t="s">
        <v>85</v>
      </c>
    </row>
    <row r="62" spans="1:14" ht="15.75" customHeight="1">
      <c r="A62" s="76" t="s">
        <v>86</v>
      </c>
      <c r="B62" s="126">
        <f>_xlfn.COMPOUNDVALUE(181)</f>
        <v>3363</v>
      </c>
      <c r="C62" s="127">
        <v>26485719</v>
      </c>
      <c r="D62" s="126">
        <f>_xlfn.COMPOUNDVALUE(182)</f>
        <v>1379</v>
      </c>
      <c r="E62" s="127">
        <v>777822</v>
      </c>
      <c r="F62" s="126">
        <f>_xlfn.COMPOUNDVALUE(183)</f>
        <v>4742</v>
      </c>
      <c r="G62" s="127">
        <v>27263541</v>
      </c>
      <c r="H62" s="126">
        <f>_xlfn.COMPOUNDVALUE(184)</f>
        <v>453</v>
      </c>
      <c r="I62" s="128">
        <v>1835174</v>
      </c>
      <c r="J62" s="126">
        <v>348</v>
      </c>
      <c r="K62" s="128">
        <v>-82929</v>
      </c>
      <c r="L62" s="126">
        <v>5289</v>
      </c>
      <c r="M62" s="128">
        <v>25345438</v>
      </c>
      <c r="N62" s="86" t="s">
        <v>86</v>
      </c>
    </row>
    <row r="63" spans="1:14" ht="15.75" customHeight="1">
      <c r="A63" s="76" t="s">
        <v>87</v>
      </c>
      <c r="B63" s="126">
        <f>_xlfn.COMPOUNDVALUE(185)</f>
        <v>5996</v>
      </c>
      <c r="C63" s="127">
        <v>46721933</v>
      </c>
      <c r="D63" s="126">
        <f>_xlfn.COMPOUNDVALUE(186)</f>
        <v>2511</v>
      </c>
      <c r="E63" s="127">
        <v>1501871</v>
      </c>
      <c r="F63" s="126">
        <f>_xlfn.COMPOUNDVALUE(187)</f>
        <v>8507</v>
      </c>
      <c r="G63" s="127">
        <v>48223804</v>
      </c>
      <c r="H63" s="126">
        <f>_xlfn.COMPOUNDVALUE(188)</f>
        <v>662</v>
      </c>
      <c r="I63" s="128">
        <v>4104429</v>
      </c>
      <c r="J63" s="126">
        <v>614</v>
      </c>
      <c r="K63" s="128">
        <v>48084</v>
      </c>
      <c r="L63" s="126">
        <v>9277</v>
      </c>
      <c r="M63" s="128">
        <v>44167459</v>
      </c>
      <c r="N63" s="86" t="s">
        <v>87</v>
      </c>
    </row>
    <row r="64" spans="1:14" ht="15.75" customHeight="1">
      <c r="A64" s="76" t="s">
        <v>88</v>
      </c>
      <c r="B64" s="126">
        <f>_xlfn.COMPOUNDVALUE(189)</f>
        <v>4173</v>
      </c>
      <c r="C64" s="127">
        <v>20701966</v>
      </c>
      <c r="D64" s="126">
        <f>_xlfn.COMPOUNDVALUE(190)</f>
        <v>1854</v>
      </c>
      <c r="E64" s="127">
        <v>1104981</v>
      </c>
      <c r="F64" s="126">
        <f>_xlfn.COMPOUNDVALUE(191)</f>
        <v>6027</v>
      </c>
      <c r="G64" s="127">
        <v>21806947</v>
      </c>
      <c r="H64" s="126">
        <f>_xlfn.COMPOUNDVALUE(192)</f>
        <v>475</v>
      </c>
      <c r="I64" s="128">
        <v>1550453</v>
      </c>
      <c r="J64" s="126">
        <v>434</v>
      </c>
      <c r="K64" s="128">
        <v>122897</v>
      </c>
      <c r="L64" s="126">
        <v>6568</v>
      </c>
      <c r="M64" s="128">
        <v>20379391</v>
      </c>
      <c r="N64" s="86" t="s">
        <v>88</v>
      </c>
    </row>
    <row r="65" spans="1:14" ht="15.75" customHeight="1">
      <c r="A65" s="78" t="s">
        <v>89</v>
      </c>
      <c r="B65" s="131">
        <f>_xlfn.COMPOUNDVALUE(193)</f>
        <v>2362</v>
      </c>
      <c r="C65" s="132">
        <v>8585049</v>
      </c>
      <c r="D65" s="131">
        <f>_xlfn.COMPOUNDVALUE(194)</f>
        <v>1224</v>
      </c>
      <c r="E65" s="132">
        <v>731623</v>
      </c>
      <c r="F65" s="131">
        <f>_xlfn.COMPOUNDVALUE(195)</f>
        <v>3586</v>
      </c>
      <c r="G65" s="132">
        <v>9316672</v>
      </c>
      <c r="H65" s="131">
        <f>_xlfn.COMPOUNDVALUE(196)</f>
        <v>220</v>
      </c>
      <c r="I65" s="133">
        <v>733004</v>
      </c>
      <c r="J65" s="131">
        <v>175</v>
      </c>
      <c r="K65" s="133">
        <v>25090</v>
      </c>
      <c r="L65" s="131">
        <v>3844</v>
      </c>
      <c r="M65" s="133">
        <v>8608758</v>
      </c>
      <c r="N65" s="77" t="s">
        <v>89</v>
      </c>
    </row>
    <row r="66" spans="1:14" ht="15.75" customHeight="1">
      <c r="A66" s="78"/>
      <c r="B66" s="131"/>
      <c r="C66" s="132"/>
      <c r="D66" s="131"/>
      <c r="E66" s="132"/>
      <c r="F66" s="131"/>
      <c r="G66" s="132"/>
      <c r="H66" s="131"/>
      <c r="I66" s="133"/>
      <c r="J66" s="131"/>
      <c r="K66" s="133"/>
      <c r="L66" s="131"/>
      <c r="M66" s="133"/>
      <c r="N66" s="77" t="s">
        <v>38</v>
      </c>
    </row>
    <row r="67" spans="1:14" ht="15.75" customHeight="1">
      <c r="A67" s="78" t="s">
        <v>90</v>
      </c>
      <c r="B67" s="131">
        <f>_xlfn.COMPOUNDVALUE(197)</f>
        <v>4541</v>
      </c>
      <c r="C67" s="132">
        <v>25132168</v>
      </c>
      <c r="D67" s="131">
        <f>_xlfn.COMPOUNDVALUE(198)</f>
        <v>1776</v>
      </c>
      <c r="E67" s="132">
        <v>1086020</v>
      </c>
      <c r="F67" s="131">
        <f>_xlfn.COMPOUNDVALUE(199)</f>
        <v>6317</v>
      </c>
      <c r="G67" s="132">
        <v>26218188</v>
      </c>
      <c r="H67" s="131">
        <f>_xlfn.COMPOUNDVALUE(200)</f>
        <v>407</v>
      </c>
      <c r="I67" s="133">
        <v>2810878</v>
      </c>
      <c r="J67" s="131">
        <v>531</v>
      </c>
      <c r="K67" s="133">
        <v>124559</v>
      </c>
      <c r="L67" s="131">
        <v>6819</v>
      </c>
      <c r="M67" s="133">
        <v>23531869</v>
      </c>
      <c r="N67" s="77" t="s">
        <v>90</v>
      </c>
    </row>
    <row r="68" spans="1:14" ht="15.75" customHeight="1">
      <c r="A68" s="78" t="s">
        <v>91</v>
      </c>
      <c r="B68" s="131">
        <f>_xlfn.COMPOUNDVALUE(201)</f>
        <v>3673</v>
      </c>
      <c r="C68" s="132">
        <v>18757931</v>
      </c>
      <c r="D68" s="131">
        <f>_xlfn.COMPOUNDVALUE(202)</f>
        <v>1546</v>
      </c>
      <c r="E68" s="132">
        <v>918378</v>
      </c>
      <c r="F68" s="131">
        <f>_xlfn.COMPOUNDVALUE(203)</f>
        <v>5219</v>
      </c>
      <c r="G68" s="132">
        <v>19676308</v>
      </c>
      <c r="H68" s="131">
        <f>_xlfn.COMPOUNDVALUE(204)</f>
        <v>368</v>
      </c>
      <c r="I68" s="133">
        <v>2178753</v>
      </c>
      <c r="J68" s="131">
        <v>281</v>
      </c>
      <c r="K68" s="133">
        <v>-29316</v>
      </c>
      <c r="L68" s="131">
        <v>5666</v>
      </c>
      <c r="M68" s="133">
        <v>17468239</v>
      </c>
      <c r="N68" s="77" t="s">
        <v>91</v>
      </c>
    </row>
    <row r="69" spans="1:14" ht="15.75" customHeight="1">
      <c r="A69" s="78" t="s">
        <v>92</v>
      </c>
      <c r="B69" s="131">
        <f>_xlfn.COMPOUNDVALUE(205)</f>
        <v>4787</v>
      </c>
      <c r="C69" s="132">
        <v>23458072</v>
      </c>
      <c r="D69" s="131">
        <f>_xlfn.COMPOUNDVALUE(206)</f>
        <v>2360</v>
      </c>
      <c r="E69" s="132">
        <v>1375360</v>
      </c>
      <c r="F69" s="131">
        <f>_xlfn.COMPOUNDVALUE(207)</f>
        <v>7147</v>
      </c>
      <c r="G69" s="132">
        <v>24833432</v>
      </c>
      <c r="H69" s="131">
        <f>_xlfn.COMPOUNDVALUE(208)</f>
        <v>533</v>
      </c>
      <c r="I69" s="133">
        <v>2025726</v>
      </c>
      <c r="J69" s="131">
        <v>579</v>
      </c>
      <c r="K69" s="133">
        <v>51652</v>
      </c>
      <c r="L69" s="131">
        <v>7769</v>
      </c>
      <c r="M69" s="133">
        <v>22859358</v>
      </c>
      <c r="N69" s="77" t="s">
        <v>92</v>
      </c>
    </row>
    <row r="70" spans="1:14" ht="15.75" customHeight="1">
      <c r="A70" s="78" t="s">
        <v>93</v>
      </c>
      <c r="B70" s="131">
        <f>_xlfn.COMPOUNDVALUE(209)</f>
        <v>5404</v>
      </c>
      <c r="C70" s="132">
        <v>27117078</v>
      </c>
      <c r="D70" s="131">
        <f>_xlfn.COMPOUNDVALUE(210)</f>
        <v>2388</v>
      </c>
      <c r="E70" s="132">
        <v>1412099</v>
      </c>
      <c r="F70" s="131">
        <f>_xlfn.COMPOUNDVALUE(211)</f>
        <v>7792</v>
      </c>
      <c r="G70" s="132">
        <v>28529177</v>
      </c>
      <c r="H70" s="131">
        <f>_xlfn.COMPOUNDVALUE(212)</f>
        <v>555</v>
      </c>
      <c r="I70" s="133">
        <v>2488995</v>
      </c>
      <c r="J70" s="131">
        <v>536</v>
      </c>
      <c r="K70" s="133">
        <v>-6451</v>
      </c>
      <c r="L70" s="131">
        <v>8433</v>
      </c>
      <c r="M70" s="133">
        <v>26033731</v>
      </c>
      <c r="N70" s="77" t="s">
        <v>93</v>
      </c>
    </row>
    <row r="71" spans="1:14" ht="15.75" customHeight="1">
      <c r="A71" s="78" t="s">
        <v>94</v>
      </c>
      <c r="B71" s="131">
        <f>_xlfn.COMPOUNDVALUE(213)</f>
        <v>2551</v>
      </c>
      <c r="C71" s="132">
        <v>18796455</v>
      </c>
      <c r="D71" s="131">
        <f>_xlfn.COMPOUNDVALUE(214)</f>
        <v>1036</v>
      </c>
      <c r="E71" s="132">
        <v>636276</v>
      </c>
      <c r="F71" s="131">
        <f>_xlfn.COMPOUNDVALUE(215)</f>
        <v>3587</v>
      </c>
      <c r="G71" s="132">
        <v>19432731</v>
      </c>
      <c r="H71" s="131">
        <f>_xlfn.COMPOUNDVALUE(216)</f>
        <v>287</v>
      </c>
      <c r="I71" s="133">
        <v>1908607</v>
      </c>
      <c r="J71" s="131">
        <v>268</v>
      </c>
      <c r="K71" s="133">
        <v>135695</v>
      </c>
      <c r="L71" s="131">
        <v>3928</v>
      </c>
      <c r="M71" s="133">
        <v>17659819</v>
      </c>
      <c r="N71" s="77" t="s">
        <v>94</v>
      </c>
    </row>
    <row r="72" spans="1:14" ht="15.75" customHeight="1">
      <c r="A72" s="180" t="s">
        <v>169</v>
      </c>
      <c r="B72" s="181">
        <v>237405</v>
      </c>
      <c r="C72" s="182">
        <v>6156112026</v>
      </c>
      <c r="D72" s="161">
        <v>72459</v>
      </c>
      <c r="E72" s="162">
        <v>51243498</v>
      </c>
      <c r="F72" s="161">
        <v>309864</v>
      </c>
      <c r="G72" s="162">
        <v>6207355516</v>
      </c>
      <c r="H72" s="161">
        <v>44096</v>
      </c>
      <c r="I72" s="163">
        <v>2077160834</v>
      </c>
      <c r="J72" s="161">
        <v>24584</v>
      </c>
      <c r="K72" s="163">
        <v>11182867</v>
      </c>
      <c r="L72" s="161">
        <v>358169</v>
      </c>
      <c r="M72" s="163">
        <v>4141377549</v>
      </c>
      <c r="N72" s="164" t="s">
        <v>96</v>
      </c>
    </row>
    <row r="73" spans="1:14" ht="15.75" customHeight="1">
      <c r="A73" s="175"/>
      <c r="B73" s="176"/>
      <c r="C73" s="177"/>
      <c r="D73" s="176"/>
      <c r="E73" s="177"/>
      <c r="F73" s="176"/>
      <c r="G73" s="177"/>
      <c r="H73" s="176"/>
      <c r="I73" s="178"/>
      <c r="J73" s="176"/>
      <c r="K73" s="178"/>
      <c r="L73" s="176"/>
      <c r="M73" s="178"/>
      <c r="N73" s="179" t="s">
        <v>38</v>
      </c>
    </row>
    <row r="74" spans="1:14" ht="15.75" customHeight="1">
      <c r="A74" s="76" t="s">
        <v>97</v>
      </c>
      <c r="B74" s="126">
        <f>_xlfn.COMPOUNDVALUE(217)</f>
        <v>4744</v>
      </c>
      <c r="C74" s="127">
        <v>29339516</v>
      </c>
      <c r="D74" s="126">
        <f>_xlfn.COMPOUNDVALUE(218)</f>
        <v>2196</v>
      </c>
      <c r="E74" s="127">
        <v>1366641</v>
      </c>
      <c r="F74" s="126">
        <f>_xlfn.COMPOUNDVALUE(219)</f>
        <v>6940</v>
      </c>
      <c r="G74" s="127">
        <v>30706156</v>
      </c>
      <c r="H74" s="126">
        <f>_xlfn.COMPOUNDVALUE(220)</f>
        <v>454</v>
      </c>
      <c r="I74" s="128">
        <v>16081341</v>
      </c>
      <c r="J74" s="126">
        <v>505</v>
      </c>
      <c r="K74" s="128">
        <v>52837</v>
      </c>
      <c r="L74" s="126">
        <v>7474</v>
      </c>
      <c r="M74" s="128">
        <v>14677652</v>
      </c>
      <c r="N74" s="86" t="s">
        <v>97</v>
      </c>
    </row>
    <row r="75" spans="1:14" ht="15.75" customHeight="1">
      <c r="A75" s="78" t="s">
        <v>98</v>
      </c>
      <c r="B75" s="131">
        <f>_xlfn.COMPOUNDVALUE(221)</f>
        <v>5828</v>
      </c>
      <c r="C75" s="132">
        <v>41128117</v>
      </c>
      <c r="D75" s="131">
        <f>_xlfn.COMPOUNDVALUE(222)</f>
        <v>2639</v>
      </c>
      <c r="E75" s="132">
        <v>1703467</v>
      </c>
      <c r="F75" s="131">
        <f>_xlfn.COMPOUNDVALUE(223)</f>
        <v>8467</v>
      </c>
      <c r="G75" s="132">
        <v>42831584</v>
      </c>
      <c r="H75" s="131">
        <f>_xlfn.COMPOUNDVALUE(224)</f>
        <v>545</v>
      </c>
      <c r="I75" s="133">
        <v>4359175</v>
      </c>
      <c r="J75" s="131">
        <v>613</v>
      </c>
      <c r="K75" s="133">
        <v>86556</v>
      </c>
      <c r="L75" s="131">
        <v>9075</v>
      </c>
      <c r="M75" s="133">
        <v>38558965</v>
      </c>
      <c r="N75" s="77" t="s">
        <v>98</v>
      </c>
    </row>
    <row r="76" spans="1:14" ht="15.75" customHeight="1">
      <c r="A76" s="78" t="s">
        <v>99</v>
      </c>
      <c r="B76" s="131">
        <f>_xlfn.COMPOUNDVALUE(225)</f>
        <v>3973</v>
      </c>
      <c r="C76" s="132">
        <v>35310261</v>
      </c>
      <c r="D76" s="131">
        <f>_xlfn.COMPOUNDVALUE(226)</f>
        <v>1928</v>
      </c>
      <c r="E76" s="132">
        <v>1195150</v>
      </c>
      <c r="F76" s="131">
        <f>_xlfn.COMPOUNDVALUE(227)</f>
        <v>5901</v>
      </c>
      <c r="G76" s="132">
        <v>36505411</v>
      </c>
      <c r="H76" s="131">
        <f>_xlfn.COMPOUNDVALUE(228)</f>
        <v>472</v>
      </c>
      <c r="I76" s="133">
        <v>7538546</v>
      </c>
      <c r="J76" s="131">
        <v>309</v>
      </c>
      <c r="K76" s="133">
        <v>70013</v>
      </c>
      <c r="L76" s="131">
        <v>6429</v>
      </c>
      <c r="M76" s="133">
        <v>29036878</v>
      </c>
      <c r="N76" s="77" t="s">
        <v>99</v>
      </c>
    </row>
    <row r="77" spans="1:14" ht="15.75" customHeight="1">
      <c r="A77" s="78" t="s">
        <v>100</v>
      </c>
      <c r="B77" s="131">
        <f>_xlfn.COMPOUNDVALUE(229)</f>
        <v>3392</v>
      </c>
      <c r="C77" s="132">
        <v>19907442</v>
      </c>
      <c r="D77" s="131">
        <f>_xlfn.COMPOUNDVALUE(230)</f>
        <v>1593</v>
      </c>
      <c r="E77" s="132">
        <v>976398</v>
      </c>
      <c r="F77" s="131">
        <f>_xlfn.COMPOUNDVALUE(231)</f>
        <v>4985</v>
      </c>
      <c r="G77" s="132">
        <v>20883840</v>
      </c>
      <c r="H77" s="131">
        <f>_xlfn.COMPOUNDVALUE(232)</f>
        <v>206</v>
      </c>
      <c r="I77" s="133">
        <v>2465884</v>
      </c>
      <c r="J77" s="131">
        <v>355</v>
      </c>
      <c r="K77" s="133">
        <v>116286</v>
      </c>
      <c r="L77" s="131">
        <v>5239</v>
      </c>
      <c r="M77" s="133">
        <v>18534242</v>
      </c>
      <c r="N77" s="77" t="s">
        <v>100</v>
      </c>
    </row>
    <row r="78" spans="1:14" ht="15.75" customHeight="1">
      <c r="A78" s="78" t="s">
        <v>101</v>
      </c>
      <c r="B78" s="131">
        <f>_xlfn.COMPOUNDVALUE(233)</f>
        <v>4606</v>
      </c>
      <c r="C78" s="132">
        <v>39798223</v>
      </c>
      <c r="D78" s="131">
        <f>_xlfn.COMPOUNDVALUE(234)</f>
        <v>2186</v>
      </c>
      <c r="E78" s="132">
        <v>1299151</v>
      </c>
      <c r="F78" s="131">
        <f>_xlfn.COMPOUNDVALUE(235)</f>
        <v>6792</v>
      </c>
      <c r="G78" s="132">
        <v>41097375</v>
      </c>
      <c r="H78" s="131">
        <f>_xlfn.COMPOUNDVALUE(236)</f>
        <v>407</v>
      </c>
      <c r="I78" s="133">
        <v>6831737</v>
      </c>
      <c r="J78" s="131">
        <v>462</v>
      </c>
      <c r="K78" s="133">
        <v>109863</v>
      </c>
      <c r="L78" s="131">
        <v>7322</v>
      </c>
      <c r="M78" s="133">
        <v>34375501</v>
      </c>
      <c r="N78" s="77" t="s">
        <v>101</v>
      </c>
    </row>
    <row r="79" spans="1:14" ht="15.75" customHeight="1">
      <c r="A79" s="104"/>
      <c r="B79" s="139"/>
      <c r="C79" s="140"/>
      <c r="D79" s="139"/>
      <c r="E79" s="140"/>
      <c r="F79" s="139"/>
      <c r="G79" s="140"/>
      <c r="H79" s="139"/>
      <c r="I79" s="141"/>
      <c r="J79" s="139"/>
      <c r="K79" s="141"/>
      <c r="L79" s="139"/>
      <c r="M79" s="141"/>
      <c r="N79" s="105" t="s">
        <v>38</v>
      </c>
    </row>
    <row r="80" spans="1:14" ht="15.75" customHeight="1">
      <c r="A80" s="99" t="s">
        <v>102</v>
      </c>
      <c r="B80" s="126">
        <f>_xlfn.COMPOUNDVALUE(237)</f>
        <v>3270</v>
      </c>
      <c r="C80" s="127">
        <v>16028075</v>
      </c>
      <c r="D80" s="126">
        <f>_xlfn.COMPOUNDVALUE(238)</f>
        <v>1644</v>
      </c>
      <c r="E80" s="127">
        <v>1014555</v>
      </c>
      <c r="F80" s="126">
        <f>_xlfn.COMPOUNDVALUE(239)</f>
        <v>4914</v>
      </c>
      <c r="G80" s="127">
        <v>17042630</v>
      </c>
      <c r="H80" s="126">
        <f>_xlfn.COMPOUNDVALUE(240)</f>
        <v>332</v>
      </c>
      <c r="I80" s="128">
        <v>1347777</v>
      </c>
      <c r="J80" s="126">
        <v>292</v>
      </c>
      <c r="K80" s="128">
        <v>26879</v>
      </c>
      <c r="L80" s="126">
        <v>5295</v>
      </c>
      <c r="M80" s="128">
        <v>15721732</v>
      </c>
      <c r="N80" s="86" t="s">
        <v>102</v>
      </c>
    </row>
    <row r="81" spans="1:14" ht="15.75" customHeight="1">
      <c r="A81" s="78" t="s">
        <v>103</v>
      </c>
      <c r="B81" s="131">
        <f>_xlfn.COMPOUNDVALUE(241)</f>
        <v>2447</v>
      </c>
      <c r="C81" s="132">
        <v>18570741</v>
      </c>
      <c r="D81" s="131">
        <f>_xlfn.COMPOUNDVALUE(242)</f>
        <v>1126</v>
      </c>
      <c r="E81" s="132">
        <v>683138</v>
      </c>
      <c r="F81" s="131">
        <f>_xlfn.COMPOUNDVALUE(243)</f>
        <v>3573</v>
      </c>
      <c r="G81" s="132">
        <v>19253879</v>
      </c>
      <c r="H81" s="131">
        <f>_xlfn.COMPOUNDVALUE(244)</f>
        <v>265</v>
      </c>
      <c r="I81" s="133">
        <v>7751543</v>
      </c>
      <c r="J81" s="131">
        <v>192</v>
      </c>
      <c r="K81" s="133">
        <v>30145</v>
      </c>
      <c r="L81" s="131">
        <v>3868</v>
      </c>
      <c r="M81" s="133">
        <v>11532481</v>
      </c>
      <c r="N81" s="77" t="s">
        <v>103</v>
      </c>
    </row>
    <row r="82" spans="1:14" ht="15.75" customHeight="1">
      <c r="A82" s="78" t="s">
        <v>104</v>
      </c>
      <c r="B82" s="131">
        <f>_xlfn.COMPOUNDVALUE(245)</f>
        <v>4670</v>
      </c>
      <c r="C82" s="132">
        <v>22933671</v>
      </c>
      <c r="D82" s="131">
        <f>_xlfn.COMPOUNDVALUE(246)</f>
        <v>2372</v>
      </c>
      <c r="E82" s="132">
        <v>1364610</v>
      </c>
      <c r="F82" s="131">
        <f>_xlfn.COMPOUNDVALUE(247)</f>
        <v>7042</v>
      </c>
      <c r="G82" s="132">
        <v>24298281</v>
      </c>
      <c r="H82" s="131">
        <f>_xlfn.COMPOUNDVALUE(248)</f>
        <v>389</v>
      </c>
      <c r="I82" s="133">
        <v>3185127</v>
      </c>
      <c r="J82" s="131">
        <v>385</v>
      </c>
      <c r="K82" s="133">
        <v>-8326</v>
      </c>
      <c r="L82" s="131">
        <v>7497</v>
      </c>
      <c r="M82" s="133">
        <v>21104828</v>
      </c>
      <c r="N82" s="77" t="s">
        <v>104</v>
      </c>
    </row>
    <row r="83" spans="1:14" ht="15.75" customHeight="1">
      <c r="A83" s="160" t="s">
        <v>170</v>
      </c>
      <c r="B83" s="161">
        <v>32930</v>
      </c>
      <c r="C83" s="162">
        <v>223016046</v>
      </c>
      <c r="D83" s="161">
        <v>15684</v>
      </c>
      <c r="E83" s="162">
        <v>9603110</v>
      </c>
      <c r="F83" s="161">
        <v>48614</v>
      </c>
      <c r="G83" s="162">
        <v>232619156</v>
      </c>
      <c r="H83" s="161">
        <v>3070</v>
      </c>
      <c r="I83" s="163">
        <v>49561130</v>
      </c>
      <c r="J83" s="161">
        <v>3113</v>
      </c>
      <c r="K83" s="163">
        <v>484253</v>
      </c>
      <c r="L83" s="161">
        <v>52199</v>
      </c>
      <c r="M83" s="163">
        <v>183542279</v>
      </c>
      <c r="N83" s="164" t="s">
        <v>106</v>
      </c>
    </row>
    <row r="84" spans="1:14" ht="15.75" customHeight="1">
      <c r="A84" s="175"/>
      <c r="B84" s="176"/>
      <c r="C84" s="177"/>
      <c r="D84" s="176"/>
      <c r="E84" s="177"/>
      <c r="F84" s="176"/>
      <c r="G84" s="177"/>
      <c r="H84" s="176"/>
      <c r="I84" s="178"/>
      <c r="J84" s="176"/>
      <c r="K84" s="178"/>
      <c r="L84" s="176"/>
      <c r="M84" s="178"/>
      <c r="N84" s="179" t="s">
        <v>38</v>
      </c>
    </row>
    <row r="85" spans="1:14" ht="15.75" customHeight="1">
      <c r="A85" s="170" t="s">
        <v>171</v>
      </c>
      <c r="B85" s="171">
        <v>270335</v>
      </c>
      <c r="C85" s="172">
        <v>6379128067</v>
      </c>
      <c r="D85" s="171">
        <v>88143</v>
      </c>
      <c r="E85" s="172">
        <v>60846605</v>
      </c>
      <c r="F85" s="171">
        <v>358478</v>
      </c>
      <c r="G85" s="172">
        <v>6439974672</v>
      </c>
      <c r="H85" s="171">
        <v>47166</v>
      </c>
      <c r="I85" s="173">
        <v>2126721962</v>
      </c>
      <c r="J85" s="171">
        <v>27697</v>
      </c>
      <c r="K85" s="173">
        <v>11667120</v>
      </c>
      <c r="L85" s="171">
        <v>410368</v>
      </c>
      <c r="M85" s="173">
        <v>4324919830</v>
      </c>
      <c r="N85" s="174" t="s">
        <v>108</v>
      </c>
    </row>
    <row r="86" spans="1:14" ht="15.75" customHeight="1">
      <c r="A86" s="165"/>
      <c r="B86" s="166"/>
      <c r="C86" s="167"/>
      <c r="D86" s="166"/>
      <c r="E86" s="167"/>
      <c r="F86" s="168"/>
      <c r="G86" s="167"/>
      <c r="H86" s="168"/>
      <c r="I86" s="167"/>
      <c r="J86" s="168"/>
      <c r="K86" s="167"/>
      <c r="L86" s="168"/>
      <c r="M86" s="167"/>
      <c r="N86" s="169"/>
    </row>
    <row r="87" spans="1:14" ht="15.75" customHeight="1">
      <c r="A87" s="76" t="s">
        <v>109</v>
      </c>
      <c r="B87" s="126">
        <f>_xlfn.COMPOUNDVALUE(249)</f>
        <v>2915</v>
      </c>
      <c r="C87" s="127">
        <v>28026937</v>
      </c>
      <c r="D87" s="126">
        <f>_xlfn.COMPOUNDVALUE(250)</f>
        <v>1335</v>
      </c>
      <c r="E87" s="127">
        <v>829654</v>
      </c>
      <c r="F87" s="126">
        <f>_xlfn.COMPOUNDVALUE(251)</f>
        <v>4250</v>
      </c>
      <c r="G87" s="127">
        <v>28856591</v>
      </c>
      <c r="H87" s="126">
        <f>_xlfn.COMPOUNDVALUE(252)</f>
        <v>272</v>
      </c>
      <c r="I87" s="128">
        <v>1949488</v>
      </c>
      <c r="J87" s="126">
        <v>210</v>
      </c>
      <c r="K87" s="128">
        <v>105182</v>
      </c>
      <c r="L87" s="126">
        <v>4572</v>
      </c>
      <c r="M87" s="128">
        <v>27012285</v>
      </c>
      <c r="N87" s="86" t="s">
        <v>109</v>
      </c>
    </row>
    <row r="88" spans="1:14" ht="15.75" customHeight="1">
      <c r="A88" s="76" t="s">
        <v>110</v>
      </c>
      <c r="B88" s="126">
        <f>_xlfn.COMPOUNDVALUE(253)</f>
        <v>7362</v>
      </c>
      <c r="C88" s="127">
        <v>139596125</v>
      </c>
      <c r="D88" s="126">
        <f>_xlfn.COMPOUNDVALUE(254)</f>
        <v>2414</v>
      </c>
      <c r="E88" s="127">
        <v>1618934</v>
      </c>
      <c r="F88" s="126">
        <f>_xlfn.COMPOUNDVALUE(255)</f>
        <v>9776</v>
      </c>
      <c r="G88" s="127">
        <v>141215059</v>
      </c>
      <c r="H88" s="126">
        <f>_xlfn.COMPOUNDVALUE(256)</f>
        <v>1679</v>
      </c>
      <c r="I88" s="128">
        <v>60622000</v>
      </c>
      <c r="J88" s="126">
        <v>889</v>
      </c>
      <c r="K88" s="128">
        <v>-79203</v>
      </c>
      <c r="L88" s="126">
        <v>11591</v>
      </c>
      <c r="M88" s="128">
        <v>80513856</v>
      </c>
      <c r="N88" s="86" t="s">
        <v>110</v>
      </c>
    </row>
    <row r="89" spans="1:14" ht="15.75" customHeight="1">
      <c r="A89" s="76" t="s">
        <v>111</v>
      </c>
      <c r="B89" s="126">
        <f>_xlfn.COMPOUNDVALUE(257)</f>
        <v>4017</v>
      </c>
      <c r="C89" s="127">
        <v>23851776</v>
      </c>
      <c r="D89" s="126">
        <f>_xlfn.COMPOUNDVALUE(258)</f>
        <v>1946</v>
      </c>
      <c r="E89" s="127">
        <v>1153784</v>
      </c>
      <c r="F89" s="126">
        <f>_xlfn.COMPOUNDVALUE(259)</f>
        <v>5963</v>
      </c>
      <c r="G89" s="127">
        <v>25005560</v>
      </c>
      <c r="H89" s="126">
        <f>_xlfn.COMPOUNDVALUE(260)</f>
        <v>307</v>
      </c>
      <c r="I89" s="128">
        <v>3427139</v>
      </c>
      <c r="J89" s="126">
        <v>356</v>
      </c>
      <c r="K89" s="128">
        <v>67278</v>
      </c>
      <c r="L89" s="126">
        <v>6342</v>
      </c>
      <c r="M89" s="128">
        <v>21645699</v>
      </c>
      <c r="N89" s="86" t="s">
        <v>111</v>
      </c>
    </row>
    <row r="90" spans="1:14" ht="15.75" customHeight="1">
      <c r="A90" s="76" t="s">
        <v>112</v>
      </c>
      <c r="B90" s="126">
        <f>_xlfn.COMPOUNDVALUE(261)</f>
        <v>5569</v>
      </c>
      <c r="C90" s="127">
        <v>32812708</v>
      </c>
      <c r="D90" s="126">
        <f>_xlfn.COMPOUNDVALUE(262)</f>
        <v>2761</v>
      </c>
      <c r="E90" s="127">
        <v>1618915</v>
      </c>
      <c r="F90" s="126">
        <f>_xlfn.COMPOUNDVALUE(263)</f>
        <v>8330</v>
      </c>
      <c r="G90" s="127">
        <v>34431622</v>
      </c>
      <c r="H90" s="126">
        <f>_xlfn.COMPOUNDVALUE(264)</f>
        <v>575</v>
      </c>
      <c r="I90" s="128">
        <v>4477195</v>
      </c>
      <c r="J90" s="126">
        <v>572</v>
      </c>
      <c r="K90" s="128">
        <v>73385</v>
      </c>
      <c r="L90" s="126">
        <v>9040</v>
      </c>
      <c r="M90" s="128">
        <v>30027812</v>
      </c>
      <c r="N90" s="86" t="s">
        <v>112</v>
      </c>
    </row>
    <row r="91" spans="1:14" ht="15.75" customHeight="1">
      <c r="A91" s="76" t="s">
        <v>113</v>
      </c>
      <c r="B91" s="126">
        <f>_xlfn.COMPOUNDVALUE(265)</f>
        <v>6474</v>
      </c>
      <c r="C91" s="127">
        <v>87643179</v>
      </c>
      <c r="D91" s="126">
        <f>_xlfn.COMPOUNDVALUE(266)</f>
        <v>2749</v>
      </c>
      <c r="E91" s="127">
        <v>1745904</v>
      </c>
      <c r="F91" s="126">
        <f>_xlfn.COMPOUNDVALUE(267)</f>
        <v>9223</v>
      </c>
      <c r="G91" s="127">
        <v>89389083</v>
      </c>
      <c r="H91" s="126">
        <f>_xlfn.COMPOUNDVALUE(268)</f>
        <v>1045</v>
      </c>
      <c r="I91" s="128">
        <v>157077892</v>
      </c>
      <c r="J91" s="126">
        <v>630</v>
      </c>
      <c r="K91" s="128">
        <v>99775</v>
      </c>
      <c r="L91" s="126">
        <v>10368</v>
      </c>
      <c r="M91" s="128">
        <v>-67589034</v>
      </c>
      <c r="N91" s="86" t="s">
        <v>113</v>
      </c>
    </row>
    <row r="92" spans="1:14" ht="15.75" customHeight="1">
      <c r="A92" s="76"/>
      <c r="B92" s="126"/>
      <c r="C92" s="127"/>
      <c r="D92" s="126"/>
      <c r="E92" s="127"/>
      <c r="F92" s="126"/>
      <c r="G92" s="127"/>
      <c r="H92" s="126"/>
      <c r="I92" s="128"/>
      <c r="J92" s="126"/>
      <c r="K92" s="128"/>
      <c r="L92" s="126"/>
      <c r="M92" s="128"/>
      <c r="N92" s="86" t="s">
        <v>38</v>
      </c>
    </row>
    <row r="93" spans="1:14" ht="15.75" customHeight="1">
      <c r="A93" s="76" t="s">
        <v>114</v>
      </c>
      <c r="B93" s="126">
        <f>_xlfn.COMPOUNDVALUE(269)</f>
        <v>3235</v>
      </c>
      <c r="C93" s="127">
        <v>21420452</v>
      </c>
      <c r="D93" s="126">
        <f>_xlfn.COMPOUNDVALUE(270)</f>
        <v>1639</v>
      </c>
      <c r="E93" s="127">
        <v>1000566</v>
      </c>
      <c r="F93" s="126">
        <f>_xlfn.COMPOUNDVALUE(271)</f>
        <v>4874</v>
      </c>
      <c r="G93" s="127">
        <v>22421017</v>
      </c>
      <c r="H93" s="126">
        <f>_xlfn.COMPOUNDVALUE(272)</f>
        <v>295</v>
      </c>
      <c r="I93" s="128">
        <v>5357294</v>
      </c>
      <c r="J93" s="126">
        <v>379</v>
      </c>
      <c r="K93" s="128">
        <v>46287</v>
      </c>
      <c r="L93" s="126">
        <v>5222</v>
      </c>
      <c r="M93" s="128">
        <v>17110010</v>
      </c>
      <c r="N93" s="86" t="s">
        <v>114</v>
      </c>
    </row>
    <row r="94" spans="1:14" ht="15.75" customHeight="1">
      <c r="A94" s="76" t="s">
        <v>167</v>
      </c>
      <c r="B94" s="126">
        <f>_xlfn.COMPOUNDVALUE(273)</f>
        <v>5730</v>
      </c>
      <c r="C94" s="127">
        <v>32903601</v>
      </c>
      <c r="D94" s="126">
        <f>_xlfn.COMPOUNDVALUE(274)</f>
        <v>2704</v>
      </c>
      <c r="E94" s="127">
        <v>1710690</v>
      </c>
      <c r="F94" s="126">
        <f>_xlfn.COMPOUNDVALUE(275)</f>
        <v>8434</v>
      </c>
      <c r="G94" s="127">
        <v>34614291</v>
      </c>
      <c r="H94" s="126">
        <f>_xlfn.COMPOUNDVALUE(276)</f>
        <v>743</v>
      </c>
      <c r="I94" s="128">
        <v>4348412</v>
      </c>
      <c r="J94" s="126">
        <v>476</v>
      </c>
      <c r="K94" s="128">
        <v>54184</v>
      </c>
      <c r="L94" s="126">
        <v>9266</v>
      </c>
      <c r="M94" s="128">
        <v>30320063</v>
      </c>
      <c r="N94" s="86" t="s">
        <v>115</v>
      </c>
    </row>
    <row r="95" spans="1:14" ht="15.75" customHeight="1">
      <c r="A95" s="76" t="s">
        <v>116</v>
      </c>
      <c r="B95" s="126">
        <f>_xlfn.COMPOUNDVALUE(277)</f>
        <v>4500</v>
      </c>
      <c r="C95" s="127">
        <v>100067077</v>
      </c>
      <c r="D95" s="126">
        <f>_xlfn.COMPOUNDVALUE(278)</f>
        <v>1921</v>
      </c>
      <c r="E95" s="127">
        <v>1236205</v>
      </c>
      <c r="F95" s="126">
        <f>_xlfn.COMPOUNDVALUE(279)</f>
        <v>6421</v>
      </c>
      <c r="G95" s="127">
        <v>101303281</v>
      </c>
      <c r="H95" s="126">
        <f>_xlfn.COMPOUNDVALUE(280)</f>
        <v>509</v>
      </c>
      <c r="I95" s="128">
        <v>32941783</v>
      </c>
      <c r="J95" s="126">
        <v>419</v>
      </c>
      <c r="K95" s="128">
        <v>773817</v>
      </c>
      <c r="L95" s="126">
        <v>7002</v>
      </c>
      <c r="M95" s="128">
        <v>69135315</v>
      </c>
      <c r="N95" s="86" t="s">
        <v>116</v>
      </c>
    </row>
    <row r="96" spans="1:14" ht="15.75" customHeight="1">
      <c r="A96" s="76" t="s">
        <v>117</v>
      </c>
      <c r="B96" s="126">
        <f>_xlfn.COMPOUNDVALUE(281)</f>
        <v>5249</v>
      </c>
      <c r="C96" s="127">
        <v>67762082</v>
      </c>
      <c r="D96" s="126">
        <f>_xlfn.COMPOUNDVALUE(282)</f>
        <v>2631</v>
      </c>
      <c r="E96" s="127">
        <v>1613878</v>
      </c>
      <c r="F96" s="126">
        <f>_xlfn.COMPOUNDVALUE(283)</f>
        <v>7880</v>
      </c>
      <c r="G96" s="127">
        <v>69375960</v>
      </c>
      <c r="H96" s="126">
        <f>_xlfn.COMPOUNDVALUE(284)</f>
        <v>481</v>
      </c>
      <c r="I96" s="128">
        <v>5356278</v>
      </c>
      <c r="J96" s="126">
        <v>415</v>
      </c>
      <c r="K96" s="128">
        <v>151002</v>
      </c>
      <c r="L96" s="126">
        <v>8425</v>
      </c>
      <c r="M96" s="128">
        <v>64170684</v>
      </c>
      <c r="N96" s="86" t="s">
        <v>117</v>
      </c>
    </row>
    <row r="97" spans="1:14" ht="15.75" customHeight="1">
      <c r="A97" s="76" t="s">
        <v>118</v>
      </c>
      <c r="B97" s="126">
        <f>_xlfn.COMPOUNDVALUE(285)</f>
        <v>2269</v>
      </c>
      <c r="C97" s="127">
        <v>8504064</v>
      </c>
      <c r="D97" s="126">
        <f>_xlfn.COMPOUNDVALUE(286)</f>
        <v>1233</v>
      </c>
      <c r="E97" s="127">
        <v>733536</v>
      </c>
      <c r="F97" s="126">
        <f>_xlfn.COMPOUNDVALUE(287)</f>
        <v>3502</v>
      </c>
      <c r="G97" s="127">
        <v>9237600</v>
      </c>
      <c r="H97" s="126">
        <f>_xlfn.COMPOUNDVALUE(288)</f>
        <v>267</v>
      </c>
      <c r="I97" s="128">
        <v>1801596</v>
      </c>
      <c r="J97" s="126">
        <v>195</v>
      </c>
      <c r="K97" s="128">
        <v>-2437</v>
      </c>
      <c r="L97" s="126">
        <v>3801</v>
      </c>
      <c r="M97" s="128">
        <v>7433567</v>
      </c>
      <c r="N97" s="86" t="s">
        <v>118</v>
      </c>
    </row>
    <row r="98" spans="1:14" ht="15.75" customHeight="1">
      <c r="A98" s="76"/>
      <c r="B98" s="126"/>
      <c r="C98" s="127"/>
      <c r="D98" s="126"/>
      <c r="E98" s="127"/>
      <c r="F98" s="126"/>
      <c r="G98" s="127"/>
      <c r="H98" s="126"/>
      <c r="I98" s="128"/>
      <c r="J98" s="126"/>
      <c r="K98" s="128"/>
      <c r="L98" s="126"/>
      <c r="M98" s="128"/>
      <c r="N98" s="86" t="s">
        <v>38</v>
      </c>
    </row>
    <row r="99" spans="1:14" ht="15.75" customHeight="1">
      <c r="A99" s="76" t="s">
        <v>119</v>
      </c>
      <c r="B99" s="126">
        <f>_xlfn.COMPOUNDVALUE(289)</f>
        <v>3131</v>
      </c>
      <c r="C99" s="127">
        <v>15866123</v>
      </c>
      <c r="D99" s="126">
        <f>_xlfn.COMPOUNDVALUE(290)</f>
        <v>1691</v>
      </c>
      <c r="E99" s="127">
        <v>1175465</v>
      </c>
      <c r="F99" s="126">
        <f>_xlfn.COMPOUNDVALUE(291)</f>
        <v>4822</v>
      </c>
      <c r="G99" s="127">
        <v>17041588</v>
      </c>
      <c r="H99" s="126">
        <f>_xlfn.COMPOUNDVALUE(292)</f>
        <v>198</v>
      </c>
      <c r="I99" s="128">
        <v>1447594</v>
      </c>
      <c r="J99" s="126">
        <v>319</v>
      </c>
      <c r="K99" s="128">
        <v>26360</v>
      </c>
      <c r="L99" s="126">
        <v>5070</v>
      </c>
      <c r="M99" s="128">
        <v>15620354</v>
      </c>
      <c r="N99" s="86" t="s">
        <v>119</v>
      </c>
    </row>
    <row r="100" spans="1:14" ht="15.75" customHeight="1">
      <c r="A100" s="76" t="s">
        <v>120</v>
      </c>
      <c r="B100" s="126">
        <f>_xlfn.COMPOUNDVALUE(293)</f>
        <v>4298</v>
      </c>
      <c r="C100" s="127">
        <v>34071969</v>
      </c>
      <c r="D100" s="126">
        <f>_xlfn.COMPOUNDVALUE(294)</f>
        <v>2283</v>
      </c>
      <c r="E100" s="127">
        <v>1299515</v>
      </c>
      <c r="F100" s="126">
        <f>_xlfn.COMPOUNDVALUE(295)</f>
        <v>6581</v>
      </c>
      <c r="G100" s="127">
        <v>35371483</v>
      </c>
      <c r="H100" s="126">
        <f>_xlfn.COMPOUNDVALUE(296)</f>
        <v>328</v>
      </c>
      <c r="I100" s="128">
        <v>4374184</v>
      </c>
      <c r="J100" s="126">
        <v>307</v>
      </c>
      <c r="K100" s="128">
        <v>58256</v>
      </c>
      <c r="L100" s="126">
        <v>6963</v>
      </c>
      <c r="M100" s="128">
        <v>31055555</v>
      </c>
      <c r="N100" s="86" t="s">
        <v>120</v>
      </c>
    </row>
    <row r="101" spans="1:14" ht="15.75" customHeight="1">
      <c r="A101" s="78" t="s">
        <v>121</v>
      </c>
      <c r="B101" s="131">
        <f>_xlfn.COMPOUNDVALUE(297)</f>
        <v>2144</v>
      </c>
      <c r="C101" s="132">
        <v>9700756</v>
      </c>
      <c r="D101" s="131">
        <f>_xlfn.COMPOUNDVALUE(298)</f>
        <v>1386</v>
      </c>
      <c r="E101" s="132">
        <v>785979</v>
      </c>
      <c r="F101" s="131">
        <f>_xlfn.COMPOUNDVALUE(299)</f>
        <v>3530</v>
      </c>
      <c r="G101" s="132">
        <v>10486735</v>
      </c>
      <c r="H101" s="131">
        <f>_xlfn.COMPOUNDVALUE(300)</f>
        <v>284</v>
      </c>
      <c r="I101" s="133">
        <v>439577</v>
      </c>
      <c r="J101" s="131">
        <v>211</v>
      </c>
      <c r="K101" s="133">
        <v>42946</v>
      </c>
      <c r="L101" s="131">
        <v>3853</v>
      </c>
      <c r="M101" s="133">
        <v>10090104</v>
      </c>
      <c r="N101" s="77" t="s">
        <v>121</v>
      </c>
    </row>
    <row r="102" spans="1:14" ht="15.75" customHeight="1">
      <c r="A102" s="78" t="s">
        <v>122</v>
      </c>
      <c r="B102" s="131">
        <f>_xlfn.COMPOUNDVALUE(301)</f>
        <v>5270</v>
      </c>
      <c r="C102" s="132">
        <v>29625148</v>
      </c>
      <c r="D102" s="131">
        <f>_xlfn.COMPOUNDVALUE(302)</f>
        <v>2750</v>
      </c>
      <c r="E102" s="132">
        <v>1663404</v>
      </c>
      <c r="F102" s="131">
        <f>_xlfn.COMPOUNDVALUE(303)</f>
        <v>8020</v>
      </c>
      <c r="G102" s="132">
        <v>31288552</v>
      </c>
      <c r="H102" s="131">
        <f>_xlfn.COMPOUNDVALUE(304)</f>
        <v>518</v>
      </c>
      <c r="I102" s="133">
        <v>5898284</v>
      </c>
      <c r="J102" s="131">
        <v>498</v>
      </c>
      <c r="K102" s="133">
        <v>217986</v>
      </c>
      <c r="L102" s="131">
        <v>8628</v>
      </c>
      <c r="M102" s="133">
        <v>25608254</v>
      </c>
      <c r="N102" s="77" t="s">
        <v>122</v>
      </c>
    </row>
    <row r="103" spans="1:14" ht="15.75" customHeight="1">
      <c r="A103" s="78" t="s">
        <v>123</v>
      </c>
      <c r="B103" s="131">
        <f>_xlfn.COMPOUNDVALUE(305)</f>
        <v>3359</v>
      </c>
      <c r="C103" s="132">
        <v>20762727</v>
      </c>
      <c r="D103" s="131">
        <f>_xlfn.COMPOUNDVALUE(306)</f>
        <v>1633</v>
      </c>
      <c r="E103" s="132">
        <v>956137</v>
      </c>
      <c r="F103" s="131">
        <f>_xlfn.COMPOUNDVALUE(307)</f>
        <v>4992</v>
      </c>
      <c r="G103" s="132">
        <v>21718864</v>
      </c>
      <c r="H103" s="131">
        <f>_xlfn.COMPOUNDVALUE(308)</f>
        <v>168</v>
      </c>
      <c r="I103" s="133">
        <v>702629</v>
      </c>
      <c r="J103" s="131">
        <v>217</v>
      </c>
      <c r="K103" s="133">
        <v>51823</v>
      </c>
      <c r="L103" s="131">
        <v>5197</v>
      </c>
      <c r="M103" s="133">
        <v>21068058</v>
      </c>
      <c r="N103" s="77" t="s">
        <v>123</v>
      </c>
    </row>
    <row r="104" spans="1:14" ht="15.75" customHeight="1">
      <c r="A104" s="78"/>
      <c r="B104" s="131"/>
      <c r="C104" s="132"/>
      <c r="D104" s="131"/>
      <c r="E104" s="132"/>
      <c r="F104" s="131"/>
      <c r="G104" s="132"/>
      <c r="H104" s="131"/>
      <c r="I104" s="133"/>
      <c r="J104" s="131"/>
      <c r="K104" s="133"/>
      <c r="L104" s="131"/>
      <c r="M104" s="133"/>
      <c r="N104" s="77" t="s">
        <v>38</v>
      </c>
    </row>
    <row r="105" spans="1:14" ht="15.75" customHeight="1">
      <c r="A105" s="78" t="s">
        <v>124</v>
      </c>
      <c r="B105" s="131">
        <f>_xlfn.COMPOUNDVALUE(309)</f>
        <v>5715</v>
      </c>
      <c r="C105" s="132">
        <v>35351581</v>
      </c>
      <c r="D105" s="131">
        <f>_xlfn.COMPOUNDVALUE(310)</f>
        <v>2766</v>
      </c>
      <c r="E105" s="132">
        <v>1733306</v>
      </c>
      <c r="F105" s="131">
        <f>_xlfn.COMPOUNDVALUE(311)</f>
        <v>8481</v>
      </c>
      <c r="G105" s="132">
        <v>37084887</v>
      </c>
      <c r="H105" s="131">
        <f>_xlfn.COMPOUNDVALUE(312)</f>
        <v>461</v>
      </c>
      <c r="I105" s="133">
        <v>5645502</v>
      </c>
      <c r="J105" s="131">
        <v>561</v>
      </c>
      <c r="K105" s="133">
        <v>102816</v>
      </c>
      <c r="L105" s="131">
        <v>9019</v>
      </c>
      <c r="M105" s="133">
        <v>31542201</v>
      </c>
      <c r="N105" s="77" t="s">
        <v>124</v>
      </c>
    </row>
    <row r="106" spans="1:14" ht="15.75" customHeight="1">
      <c r="A106" s="78" t="s">
        <v>125</v>
      </c>
      <c r="B106" s="131">
        <f>_xlfn.COMPOUNDVALUE(313)</f>
        <v>2732</v>
      </c>
      <c r="C106" s="132">
        <v>23766991</v>
      </c>
      <c r="D106" s="131">
        <f>_xlfn.COMPOUNDVALUE(314)</f>
        <v>1286</v>
      </c>
      <c r="E106" s="132">
        <v>816431</v>
      </c>
      <c r="F106" s="131">
        <f>_xlfn.COMPOUNDVALUE(315)</f>
        <v>4018</v>
      </c>
      <c r="G106" s="132">
        <v>24583423</v>
      </c>
      <c r="H106" s="131">
        <f>_xlfn.COMPOUNDVALUE(316)</f>
        <v>252</v>
      </c>
      <c r="I106" s="133">
        <v>33957129</v>
      </c>
      <c r="J106" s="131">
        <v>273</v>
      </c>
      <c r="K106" s="133">
        <v>72453</v>
      </c>
      <c r="L106" s="131">
        <v>4298</v>
      </c>
      <c r="M106" s="133">
        <v>-9301253</v>
      </c>
      <c r="N106" s="77" t="s">
        <v>125</v>
      </c>
    </row>
    <row r="107" spans="1:14" ht="15.75" customHeight="1">
      <c r="A107" s="78" t="s">
        <v>126</v>
      </c>
      <c r="B107" s="131">
        <f>_xlfn.COMPOUNDVALUE(317)</f>
        <v>4327</v>
      </c>
      <c r="C107" s="132">
        <v>26704644</v>
      </c>
      <c r="D107" s="131">
        <f>_xlfn.COMPOUNDVALUE(318)</f>
        <v>2084</v>
      </c>
      <c r="E107" s="132">
        <v>1316320</v>
      </c>
      <c r="F107" s="131">
        <f>_xlfn.COMPOUNDVALUE(319)</f>
        <v>6411</v>
      </c>
      <c r="G107" s="132">
        <v>28020964</v>
      </c>
      <c r="H107" s="131">
        <f>_xlfn.COMPOUNDVALUE(320)</f>
        <v>353</v>
      </c>
      <c r="I107" s="133">
        <v>5758494</v>
      </c>
      <c r="J107" s="131">
        <v>339</v>
      </c>
      <c r="K107" s="133">
        <v>-133187</v>
      </c>
      <c r="L107" s="131">
        <v>6836</v>
      </c>
      <c r="M107" s="133">
        <v>22129283</v>
      </c>
      <c r="N107" s="77" t="s">
        <v>126</v>
      </c>
    </row>
    <row r="108" spans="1:14" ht="15.75" customHeight="1">
      <c r="A108" s="160" t="s">
        <v>172</v>
      </c>
      <c r="B108" s="161">
        <v>78296</v>
      </c>
      <c r="C108" s="162">
        <v>738437939</v>
      </c>
      <c r="D108" s="161">
        <v>37212</v>
      </c>
      <c r="E108" s="162">
        <v>23008621</v>
      </c>
      <c r="F108" s="161">
        <v>115508</v>
      </c>
      <c r="G108" s="162">
        <v>761446560</v>
      </c>
      <c r="H108" s="161">
        <v>8735</v>
      </c>
      <c r="I108" s="163">
        <v>335582473</v>
      </c>
      <c r="J108" s="161">
        <v>7266</v>
      </c>
      <c r="K108" s="163">
        <v>1728722</v>
      </c>
      <c r="L108" s="161">
        <v>125493</v>
      </c>
      <c r="M108" s="163">
        <v>427592809</v>
      </c>
      <c r="N108" s="164" t="s">
        <v>128</v>
      </c>
    </row>
    <row r="109" spans="1:14" ht="15.75" customHeight="1">
      <c r="A109" s="165"/>
      <c r="B109" s="166"/>
      <c r="C109" s="167"/>
      <c r="D109" s="166"/>
      <c r="E109" s="167"/>
      <c r="F109" s="168"/>
      <c r="G109" s="167"/>
      <c r="H109" s="168"/>
      <c r="I109" s="167"/>
      <c r="J109" s="168"/>
      <c r="K109" s="167"/>
      <c r="L109" s="168"/>
      <c r="M109" s="167"/>
      <c r="N109" s="169"/>
    </row>
    <row r="110" spans="1:14" ht="15.75" customHeight="1">
      <c r="A110" s="76" t="s">
        <v>129</v>
      </c>
      <c r="B110" s="126">
        <f>_xlfn.COMPOUNDVALUE(321)</f>
        <v>4675</v>
      </c>
      <c r="C110" s="127">
        <v>34883823</v>
      </c>
      <c r="D110" s="126">
        <f>_xlfn.COMPOUNDVALUE(322)</f>
        <v>1855</v>
      </c>
      <c r="E110" s="127">
        <v>1155122</v>
      </c>
      <c r="F110" s="126">
        <f>_xlfn.COMPOUNDVALUE(323)</f>
        <v>6530</v>
      </c>
      <c r="G110" s="127">
        <v>36038946</v>
      </c>
      <c r="H110" s="126">
        <f>_xlfn.COMPOUNDVALUE(324)</f>
        <v>355</v>
      </c>
      <c r="I110" s="128">
        <v>2792365</v>
      </c>
      <c r="J110" s="126">
        <v>527</v>
      </c>
      <c r="K110" s="128">
        <v>112143</v>
      </c>
      <c r="L110" s="126">
        <v>6962</v>
      </c>
      <c r="M110" s="128">
        <v>33358724</v>
      </c>
      <c r="N110" s="86" t="s">
        <v>129</v>
      </c>
    </row>
    <row r="111" spans="1:14" ht="15.75" customHeight="1">
      <c r="A111" s="78" t="s">
        <v>130</v>
      </c>
      <c r="B111" s="131">
        <f>_xlfn.COMPOUNDVALUE(325)</f>
        <v>1187</v>
      </c>
      <c r="C111" s="132">
        <v>5855679</v>
      </c>
      <c r="D111" s="131">
        <f>_xlfn.COMPOUNDVALUE(326)</f>
        <v>440</v>
      </c>
      <c r="E111" s="132">
        <v>245681</v>
      </c>
      <c r="F111" s="131">
        <f>_xlfn.COMPOUNDVALUE(327)</f>
        <v>1627</v>
      </c>
      <c r="G111" s="132">
        <v>6101359</v>
      </c>
      <c r="H111" s="131">
        <f>_xlfn.COMPOUNDVALUE(328)</f>
        <v>73</v>
      </c>
      <c r="I111" s="133">
        <v>377192</v>
      </c>
      <c r="J111" s="131">
        <v>115</v>
      </c>
      <c r="K111" s="133">
        <v>-84901</v>
      </c>
      <c r="L111" s="131">
        <v>1711</v>
      </c>
      <c r="M111" s="133">
        <v>5639266</v>
      </c>
      <c r="N111" s="77" t="s">
        <v>130</v>
      </c>
    </row>
    <row r="112" spans="1:14" ht="15.75" customHeight="1">
      <c r="A112" s="78" t="s">
        <v>131</v>
      </c>
      <c r="B112" s="131">
        <f>_xlfn.COMPOUNDVALUE(329)</f>
        <v>2000</v>
      </c>
      <c r="C112" s="132">
        <v>11225571</v>
      </c>
      <c r="D112" s="131">
        <f>_xlfn.COMPOUNDVALUE(330)</f>
        <v>887</v>
      </c>
      <c r="E112" s="132">
        <v>535379</v>
      </c>
      <c r="F112" s="131">
        <f>_xlfn.COMPOUNDVALUE(331)</f>
        <v>2887</v>
      </c>
      <c r="G112" s="132">
        <v>11760950</v>
      </c>
      <c r="H112" s="131">
        <f>_xlfn.COMPOUNDVALUE(332)</f>
        <v>128</v>
      </c>
      <c r="I112" s="133">
        <v>16032251</v>
      </c>
      <c r="J112" s="131">
        <v>230</v>
      </c>
      <c r="K112" s="133">
        <v>90848</v>
      </c>
      <c r="L112" s="131">
        <v>3043</v>
      </c>
      <c r="M112" s="133">
        <v>-4180453</v>
      </c>
      <c r="N112" s="77" t="s">
        <v>131</v>
      </c>
    </row>
    <row r="113" spans="1:14" ht="15.75" customHeight="1">
      <c r="A113" s="78" t="s">
        <v>132</v>
      </c>
      <c r="B113" s="131">
        <f>_xlfn.COMPOUNDVALUE(333)</f>
        <v>441</v>
      </c>
      <c r="C113" s="132">
        <v>2097762</v>
      </c>
      <c r="D113" s="131">
        <f>_xlfn.COMPOUNDVALUE(334)</f>
        <v>205</v>
      </c>
      <c r="E113" s="132">
        <v>131567</v>
      </c>
      <c r="F113" s="131">
        <f>_xlfn.COMPOUNDVALUE(335)</f>
        <v>646</v>
      </c>
      <c r="G113" s="132">
        <v>2229329</v>
      </c>
      <c r="H113" s="131">
        <f>_xlfn.COMPOUNDVALUE(336)</f>
        <v>18</v>
      </c>
      <c r="I113" s="133">
        <v>30131</v>
      </c>
      <c r="J113" s="131">
        <v>56</v>
      </c>
      <c r="K113" s="133">
        <v>-11156</v>
      </c>
      <c r="L113" s="131">
        <v>671</v>
      </c>
      <c r="M113" s="133">
        <v>2188042</v>
      </c>
      <c r="N113" s="77" t="s">
        <v>132</v>
      </c>
    </row>
    <row r="114" spans="1:14" ht="15.75" customHeight="1">
      <c r="A114" s="79" t="s">
        <v>173</v>
      </c>
      <c r="B114" s="134">
        <v>8303</v>
      </c>
      <c r="C114" s="135">
        <v>54062835</v>
      </c>
      <c r="D114" s="134">
        <v>3387</v>
      </c>
      <c r="E114" s="135">
        <v>2067749</v>
      </c>
      <c r="F114" s="134">
        <v>11690</v>
      </c>
      <c r="G114" s="135">
        <v>56130584</v>
      </c>
      <c r="H114" s="134">
        <v>574</v>
      </c>
      <c r="I114" s="136">
        <v>19231938</v>
      </c>
      <c r="J114" s="134">
        <v>928</v>
      </c>
      <c r="K114" s="136">
        <v>106934</v>
      </c>
      <c r="L114" s="134">
        <v>12387</v>
      </c>
      <c r="M114" s="136">
        <v>37005579</v>
      </c>
      <c r="N114" s="84" t="s">
        <v>134</v>
      </c>
    </row>
    <row r="115" spans="1:14" ht="15.75" customHeight="1" thickBot="1">
      <c r="A115" s="199"/>
      <c r="B115" s="200"/>
      <c r="C115" s="201"/>
      <c r="D115" s="200"/>
      <c r="E115" s="201"/>
      <c r="F115" s="202"/>
      <c r="G115" s="201"/>
      <c r="H115" s="202"/>
      <c r="I115" s="201"/>
      <c r="J115" s="202"/>
      <c r="K115" s="201"/>
      <c r="L115" s="202"/>
      <c r="M115" s="201"/>
      <c r="N115" s="203"/>
    </row>
    <row r="116" spans="1:14" ht="15.75" customHeight="1" thickBot="1" thickTop="1">
      <c r="A116" s="82" t="s">
        <v>174</v>
      </c>
      <c r="B116" s="148">
        <v>405651</v>
      </c>
      <c r="C116" s="149">
        <v>7517959896</v>
      </c>
      <c r="D116" s="148">
        <v>149680</v>
      </c>
      <c r="E116" s="149">
        <v>98796717</v>
      </c>
      <c r="F116" s="148">
        <v>555331</v>
      </c>
      <c r="G116" s="149">
        <v>7616756613</v>
      </c>
      <c r="H116" s="148">
        <v>62144</v>
      </c>
      <c r="I116" s="150">
        <v>2519240161</v>
      </c>
      <c r="J116" s="148">
        <v>40634</v>
      </c>
      <c r="K116" s="150">
        <v>13707675</v>
      </c>
      <c r="L116" s="148">
        <v>624470</v>
      </c>
      <c r="M116" s="150">
        <v>5111224126</v>
      </c>
      <c r="N116" s="91" t="s">
        <v>37</v>
      </c>
    </row>
    <row r="117" spans="1:14" ht="13.5">
      <c r="A117" s="280" t="s">
        <v>177</v>
      </c>
      <c r="B117" s="280"/>
      <c r="C117" s="280"/>
      <c r="D117" s="280"/>
      <c r="E117" s="280"/>
      <c r="F117" s="280"/>
      <c r="G117" s="280"/>
      <c r="H117" s="280"/>
      <c r="I117" s="280"/>
      <c r="J117" s="66"/>
      <c r="K117" s="66"/>
      <c r="L117" s="65"/>
      <c r="M117" s="65"/>
      <c r="N117" s="65"/>
    </row>
  </sheetData>
  <sheetProtection/>
  <mergeCells count="11">
    <mergeCell ref="N3:N5"/>
    <mergeCell ref="B4:C4"/>
    <mergeCell ref="D4:E4"/>
    <mergeCell ref="F4:G4"/>
    <mergeCell ref="A117:I117"/>
    <mergeCell ref="A2:I2"/>
    <mergeCell ref="A3:A5"/>
    <mergeCell ref="B3:G3"/>
    <mergeCell ref="H3:I4"/>
    <mergeCell ref="J3:K4"/>
    <mergeCell ref="L3:M4"/>
  </mergeCells>
  <printOptions horizontalCentered="1"/>
  <pageMargins left="0.7874015748031497" right="0.7874015748031497" top="0.7874015748031497" bottom="0.8267716535433072" header="0.5118110236220472" footer="0.31496062992125984"/>
  <pageSetup fitToHeight="3" horizontalDpi="600" verticalDpi="600" orientation="landscape" paperSize="9" scale="71" r:id="rId1"/>
  <headerFooter alignWithMargins="0">
    <oddFooter>&amp;R&amp;K01+000東京国税局
消費税
(H30)</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SheetLayoutView="100" workbookViewId="0" topLeftCell="A1">
      <selection activeCell="C1" sqref="C1"/>
    </sheetView>
  </sheetViews>
  <sheetFormatPr defaultColWidth="9.00390625" defaultRowHeight="13.5"/>
  <cols>
    <col min="1" max="1" width="10.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5.00390625" style="125" customWidth="1"/>
    <col min="8" max="8" width="10.625" style="125" customWidth="1"/>
    <col min="9" max="9" width="15.00390625" style="125" customWidth="1"/>
    <col min="10" max="10" width="10.625" style="125" customWidth="1"/>
    <col min="11" max="11" width="15.00390625" style="125" customWidth="1"/>
    <col min="12" max="12" width="10.625" style="125" customWidth="1"/>
    <col min="13" max="13" width="12.625" style="125" customWidth="1"/>
    <col min="14" max="17" width="10.625" style="125" customWidth="1"/>
    <col min="18" max="18" width="10.375" style="125" customWidth="1"/>
    <col min="19" max="16384" width="9.00390625" style="125" customWidth="1"/>
  </cols>
  <sheetData>
    <row r="1" spans="1:16" ht="13.5">
      <c r="A1" s="64" t="s">
        <v>184</v>
      </c>
      <c r="B1" s="64"/>
      <c r="C1" s="64"/>
      <c r="D1" s="64"/>
      <c r="E1" s="64"/>
      <c r="F1" s="64"/>
      <c r="G1" s="64"/>
      <c r="H1" s="64"/>
      <c r="I1" s="64"/>
      <c r="J1" s="64"/>
      <c r="K1" s="64"/>
      <c r="L1" s="65"/>
      <c r="M1" s="65"/>
      <c r="N1" s="65"/>
      <c r="O1" s="65"/>
      <c r="P1" s="65"/>
    </row>
    <row r="2" spans="1:16" ht="14.25" thickBot="1">
      <c r="A2" s="281" t="s">
        <v>26</v>
      </c>
      <c r="B2" s="281"/>
      <c r="C2" s="281"/>
      <c r="D2" s="281"/>
      <c r="E2" s="281"/>
      <c r="F2" s="281"/>
      <c r="G2" s="281"/>
      <c r="H2" s="281"/>
      <c r="I2" s="281"/>
      <c r="J2" s="66"/>
      <c r="K2" s="66"/>
      <c r="L2" s="65"/>
      <c r="M2" s="65"/>
      <c r="N2" s="65"/>
      <c r="O2" s="65"/>
      <c r="P2" s="65"/>
    </row>
    <row r="3" spans="1:18" ht="19.5" customHeight="1">
      <c r="A3" s="266" t="s">
        <v>27</v>
      </c>
      <c r="B3" s="269" t="s">
        <v>28</v>
      </c>
      <c r="C3" s="269"/>
      <c r="D3" s="269"/>
      <c r="E3" s="269"/>
      <c r="F3" s="269"/>
      <c r="G3" s="269"/>
      <c r="H3" s="269" t="s">
        <v>13</v>
      </c>
      <c r="I3" s="269"/>
      <c r="J3" s="291" t="s">
        <v>29</v>
      </c>
      <c r="K3" s="269"/>
      <c r="L3" s="269" t="s">
        <v>30</v>
      </c>
      <c r="M3" s="269"/>
      <c r="N3" s="282" t="s">
        <v>147</v>
      </c>
      <c r="O3" s="283"/>
      <c r="P3" s="283"/>
      <c r="Q3" s="283"/>
      <c r="R3" s="275" t="s">
        <v>31</v>
      </c>
    </row>
    <row r="4" spans="1:18" ht="17.25" customHeight="1">
      <c r="A4" s="267"/>
      <c r="B4" s="278" t="s">
        <v>16</v>
      </c>
      <c r="C4" s="278"/>
      <c r="D4" s="278" t="s">
        <v>32</v>
      </c>
      <c r="E4" s="278"/>
      <c r="F4" s="278" t="s">
        <v>33</v>
      </c>
      <c r="G4" s="278"/>
      <c r="H4" s="278"/>
      <c r="I4" s="278"/>
      <c r="J4" s="278"/>
      <c r="K4" s="278"/>
      <c r="L4" s="278"/>
      <c r="M4" s="278"/>
      <c r="N4" s="284" t="s">
        <v>34</v>
      </c>
      <c r="O4" s="286" t="s">
        <v>148</v>
      </c>
      <c r="P4" s="288" t="s">
        <v>149</v>
      </c>
      <c r="Q4" s="273" t="s">
        <v>35</v>
      </c>
      <c r="R4" s="276"/>
    </row>
    <row r="5" spans="1:18" ht="28.5" customHeight="1">
      <c r="A5" s="268"/>
      <c r="B5" s="67" t="s">
        <v>36</v>
      </c>
      <c r="C5" s="68" t="s">
        <v>138</v>
      </c>
      <c r="D5" s="67" t="s">
        <v>36</v>
      </c>
      <c r="E5" s="68" t="s">
        <v>138</v>
      </c>
      <c r="F5" s="67" t="s">
        <v>36</v>
      </c>
      <c r="G5" s="68" t="s">
        <v>139</v>
      </c>
      <c r="H5" s="67" t="s">
        <v>36</v>
      </c>
      <c r="I5" s="68" t="s">
        <v>140</v>
      </c>
      <c r="J5" s="67" t="s">
        <v>36</v>
      </c>
      <c r="K5" s="68" t="s">
        <v>141</v>
      </c>
      <c r="L5" s="67" t="s">
        <v>36</v>
      </c>
      <c r="M5" s="69" t="s">
        <v>150</v>
      </c>
      <c r="N5" s="285"/>
      <c r="O5" s="287"/>
      <c r="P5" s="289"/>
      <c r="Q5" s="290"/>
      <c r="R5" s="277"/>
    </row>
    <row r="6" spans="1:18" s="95" customFormat="1" ht="10.5">
      <c r="A6" s="70"/>
      <c r="B6" s="71" t="s">
        <v>4</v>
      </c>
      <c r="C6" s="72" t="s">
        <v>5</v>
      </c>
      <c r="D6" s="71" t="s">
        <v>4</v>
      </c>
      <c r="E6" s="72" t="s">
        <v>5</v>
      </c>
      <c r="F6" s="71" t="s">
        <v>4</v>
      </c>
      <c r="G6" s="72" t="s">
        <v>5</v>
      </c>
      <c r="H6" s="71" t="s">
        <v>4</v>
      </c>
      <c r="I6" s="72" t="s">
        <v>5</v>
      </c>
      <c r="J6" s="71" t="s">
        <v>4</v>
      </c>
      <c r="K6" s="72" t="s">
        <v>5</v>
      </c>
      <c r="L6" s="71" t="s">
        <v>182</v>
      </c>
      <c r="M6" s="72" t="s">
        <v>5</v>
      </c>
      <c r="N6" s="71" t="s">
        <v>4</v>
      </c>
      <c r="O6" s="73" t="s">
        <v>4</v>
      </c>
      <c r="P6" s="73" t="s">
        <v>4</v>
      </c>
      <c r="Q6" s="74" t="s">
        <v>4</v>
      </c>
      <c r="R6" s="75"/>
    </row>
    <row r="7" spans="1:18" ht="15.75" customHeight="1">
      <c r="A7" s="98" t="s">
        <v>39</v>
      </c>
      <c r="B7" s="126">
        <f>_xlfn.COMPOUNDVALUE(337)</f>
        <v>5930</v>
      </c>
      <c r="C7" s="127">
        <v>38479103</v>
      </c>
      <c r="D7" s="126">
        <f>_xlfn.COMPOUNDVALUE(338)</f>
        <v>3421</v>
      </c>
      <c r="E7" s="127">
        <v>1970328</v>
      </c>
      <c r="F7" s="126">
        <f>_xlfn.COMPOUNDVALUE(339)</f>
        <v>9351</v>
      </c>
      <c r="G7" s="127">
        <v>40449430</v>
      </c>
      <c r="H7" s="126">
        <f>_xlfn.COMPOUNDVALUE(340)</f>
        <v>633</v>
      </c>
      <c r="I7" s="128">
        <v>2842540</v>
      </c>
      <c r="J7" s="126">
        <v>726</v>
      </c>
      <c r="K7" s="128">
        <v>205644</v>
      </c>
      <c r="L7" s="126">
        <v>10220</v>
      </c>
      <c r="M7" s="128">
        <v>37812534</v>
      </c>
      <c r="N7" s="126">
        <v>10477</v>
      </c>
      <c r="O7" s="129">
        <v>461</v>
      </c>
      <c r="P7" s="129">
        <v>32</v>
      </c>
      <c r="Q7" s="130">
        <v>10970</v>
      </c>
      <c r="R7" s="97" t="s">
        <v>39</v>
      </c>
    </row>
    <row r="8" spans="1:18" ht="15.75" customHeight="1">
      <c r="A8" s="76" t="s">
        <v>40</v>
      </c>
      <c r="B8" s="126">
        <f>_xlfn.COMPOUNDVALUE(341)</f>
        <v>5029</v>
      </c>
      <c r="C8" s="127">
        <v>24831963</v>
      </c>
      <c r="D8" s="126">
        <f>_xlfn.COMPOUNDVALUE(342)</f>
        <v>3208</v>
      </c>
      <c r="E8" s="127">
        <v>1779337</v>
      </c>
      <c r="F8" s="126">
        <f>_xlfn.COMPOUNDVALUE(343)</f>
        <v>8237</v>
      </c>
      <c r="G8" s="127">
        <v>26611300</v>
      </c>
      <c r="H8" s="126">
        <f>_xlfn.COMPOUNDVALUE(344)</f>
        <v>458</v>
      </c>
      <c r="I8" s="128">
        <v>1539856</v>
      </c>
      <c r="J8" s="126">
        <v>646</v>
      </c>
      <c r="K8" s="128">
        <v>165592</v>
      </c>
      <c r="L8" s="126">
        <v>8874</v>
      </c>
      <c r="M8" s="128">
        <v>25237036</v>
      </c>
      <c r="N8" s="126">
        <v>8969</v>
      </c>
      <c r="O8" s="129">
        <v>319</v>
      </c>
      <c r="P8" s="129">
        <v>30</v>
      </c>
      <c r="Q8" s="130">
        <v>9318</v>
      </c>
      <c r="R8" s="77" t="s">
        <v>40</v>
      </c>
    </row>
    <row r="9" spans="1:18" ht="15.75" customHeight="1">
      <c r="A9" s="76" t="s">
        <v>41</v>
      </c>
      <c r="B9" s="126">
        <f>_xlfn.COMPOUNDVALUE(345)</f>
        <v>5551</v>
      </c>
      <c r="C9" s="127">
        <v>78978958</v>
      </c>
      <c r="D9" s="126">
        <f>_xlfn.COMPOUNDVALUE(346)</f>
        <v>3597</v>
      </c>
      <c r="E9" s="127">
        <v>2002685</v>
      </c>
      <c r="F9" s="126">
        <f>_xlfn.COMPOUNDVALUE(347)</f>
        <v>9148</v>
      </c>
      <c r="G9" s="127">
        <v>80981643</v>
      </c>
      <c r="H9" s="126">
        <f>_xlfn.COMPOUNDVALUE(348)</f>
        <v>676</v>
      </c>
      <c r="I9" s="128">
        <v>5865404</v>
      </c>
      <c r="J9" s="126">
        <v>671</v>
      </c>
      <c r="K9" s="128">
        <v>-1007638</v>
      </c>
      <c r="L9" s="126">
        <v>9988</v>
      </c>
      <c r="M9" s="128">
        <v>74108601</v>
      </c>
      <c r="N9" s="126">
        <v>10560</v>
      </c>
      <c r="O9" s="129">
        <v>500</v>
      </c>
      <c r="P9" s="129">
        <v>36</v>
      </c>
      <c r="Q9" s="130">
        <v>11096</v>
      </c>
      <c r="R9" s="77" t="s">
        <v>41</v>
      </c>
    </row>
    <row r="10" spans="1:18" ht="15.75" customHeight="1">
      <c r="A10" s="76" t="s">
        <v>42</v>
      </c>
      <c r="B10" s="126">
        <f>_xlfn.COMPOUNDVALUE(349)</f>
        <v>2577</v>
      </c>
      <c r="C10" s="127">
        <v>9916421</v>
      </c>
      <c r="D10" s="126">
        <f>_xlfn.COMPOUNDVALUE(350)</f>
        <v>3142</v>
      </c>
      <c r="E10" s="127">
        <v>1314220</v>
      </c>
      <c r="F10" s="126">
        <f>_xlfn.COMPOUNDVALUE(351)</f>
        <v>5719</v>
      </c>
      <c r="G10" s="127">
        <v>11230641</v>
      </c>
      <c r="H10" s="126">
        <f>_xlfn.COMPOUNDVALUE(352)</f>
        <v>193</v>
      </c>
      <c r="I10" s="128">
        <v>889503</v>
      </c>
      <c r="J10" s="126">
        <v>439</v>
      </c>
      <c r="K10" s="128">
        <v>75760</v>
      </c>
      <c r="L10" s="126">
        <v>6026</v>
      </c>
      <c r="M10" s="128">
        <v>10416898</v>
      </c>
      <c r="N10" s="126">
        <v>6157</v>
      </c>
      <c r="O10" s="129">
        <v>172</v>
      </c>
      <c r="P10" s="129">
        <v>8</v>
      </c>
      <c r="Q10" s="130">
        <v>6337</v>
      </c>
      <c r="R10" s="77" t="s">
        <v>42</v>
      </c>
    </row>
    <row r="11" spans="1:18" ht="15.75" customHeight="1">
      <c r="A11" s="76" t="s">
        <v>43</v>
      </c>
      <c r="B11" s="126">
        <f>_xlfn.COMPOUNDVALUE(353)</f>
        <v>6106</v>
      </c>
      <c r="C11" s="127">
        <v>49560297</v>
      </c>
      <c r="D11" s="126">
        <f>_xlfn.COMPOUNDVALUE(354)</f>
        <v>4240</v>
      </c>
      <c r="E11" s="127">
        <v>2390075</v>
      </c>
      <c r="F11" s="126">
        <f>_xlfn.COMPOUNDVALUE(355)</f>
        <v>10346</v>
      </c>
      <c r="G11" s="127">
        <v>51950373</v>
      </c>
      <c r="H11" s="126">
        <f>_xlfn.COMPOUNDVALUE(356)</f>
        <v>678</v>
      </c>
      <c r="I11" s="128">
        <v>2923582</v>
      </c>
      <c r="J11" s="126">
        <v>876</v>
      </c>
      <c r="K11" s="128">
        <v>207307</v>
      </c>
      <c r="L11" s="126">
        <v>11333</v>
      </c>
      <c r="M11" s="128">
        <v>49234098</v>
      </c>
      <c r="N11" s="126">
        <v>11999</v>
      </c>
      <c r="O11" s="129">
        <v>566</v>
      </c>
      <c r="P11" s="129">
        <v>38</v>
      </c>
      <c r="Q11" s="130">
        <v>12603</v>
      </c>
      <c r="R11" s="77" t="s">
        <v>43</v>
      </c>
    </row>
    <row r="12" spans="1:18" ht="15.75" customHeight="1">
      <c r="A12" s="76"/>
      <c r="B12" s="126"/>
      <c r="C12" s="127"/>
      <c r="D12" s="126"/>
      <c r="E12" s="127"/>
      <c r="F12" s="126"/>
      <c r="G12" s="127"/>
      <c r="H12" s="126"/>
      <c r="I12" s="128"/>
      <c r="J12" s="126"/>
      <c r="K12" s="128"/>
      <c r="L12" s="126"/>
      <c r="M12" s="128"/>
      <c r="N12" s="126"/>
      <c r="O12" s="129"/>
      <c r="P12" s="129"/>
      <c r="Q12" s="130"/>
      <c r="R12" s="77" t="s">
        <v>38</v>
      </c>
    </row>
    <row r="13" spans="1:18" ht="15.75" customHeight="1">
      <c r="A13" s="76" t="s">
        <v>44</v>
      </c>
      <c r="B13" s="126">
        <f>_xlfn.COMPOUNDVALUE(357)</f>
        <v>5522</v>
      </c>
      <c r="C13" s="127">
        <v>25578139</v>
      </c>
      <c r="D13" s="126">
        <f>_xlfn.COMPOUNDVALUE(358)</f>
        <v>3999</v>
      </c>
      <c r="E13" s="127">
        <v>2162129</v>
      </c>
      <c r="F13" s="126">
        <f>_xlfn.COMPOUNDVALUE(359)</f>
        <v>9521</v>
      </c>
      <c r="G13" s="127">
        <v>27740268</v>
      </c>
      <c r="H13" s="126">
        <f>_xlfn.COMPOUNDVALUE(360)</f>
        <v>574</v>
      </c>
      <c r="I13" s="128">
        <v>3507447</v>
      </c>
      <c r="J13" s="126">
        <v>757</v>
      </c>
      <c r="K13" s="128">
        <v>291414</v>
      </c>
      <c r="L13" s="126">
        <v>10350</v>
      </c>
      <c r="M13" s="128">
        <v>24524235</v>
      </c>
      <c r="N13" s="126">
        <v>10503</v>
      </c>
      <c r="O13" s="129">
        <v>454</v>
      </c>
      <c r="P13" s="129">
        <v>36</v>
      </c>
      <c r="Q13" s="130">
        <v>10993</v>
      </c>
      <c r="R13" s="77" t="s">
        <v>44</v>
      </c>
    </row>
    <row r="14" spans="1:18" ht="15.75" customHeight="1">
      <c r="A14" s="76" t="s">
        <v>45</v>
      </c>
      <c r="B14" s="126">
        <f>_xlfn.COMPOUNDVALUE(361)</f>
        <v>1755</v>
      </c>
      <c r="C14" s="127">
        <v>4892913</v>
      </c>
      <c r="D14" s="126">
        <f>_xlfn.COMPOUNDVALUE(362)</f>
        <v>1378</v>
      </c>
      <c r="E14" s="127">
        <v>600443</v>
      </c>
      <c r="F14" s="126">
        <f>_xlfn.COMPOUNDVALUE(363)</f>
        <v>3133</v>
      </c>
      <c r="G14" s="127">
        <v>5493356</v>
      </c>
      <c r="H14" s="126">
        <f>_xlfn.COMPOUNDVALUE(364)</f>
        <v>106</v>
      </c>
      <c r="I14" s="128">
        <v>312087</v>
      </c>
      <c r="J14" s="126">
        <v>280</v>
      </c>
      <c r="K14" s="128">
        <v>56741</v>
      </c>
      <c r="L14" s="126">
        <v>3312</v>
      </c>
      <c r="M14" s="128">
        <v>5238010</v>
      </c>
      <c r="N14" s="126">
        <v>3320</v>
      </c>
      <c r="O14" s="129">
        <v>79</v>
      </c>
      <c r="P14" s="129">
        <v>8</v>
      </c>
      <c r="Q14" s="130">
        <v>3407</v>
      </c>
      <c r="R14" s="77" t="s">
        <v>45</v>
      </c>
    </row>
    <row r="15" spans="1:18" ht="15.75" customHeight="1">
      <c r="A15" s="76" t="s">
        <v>46</v>
      </c>
      <c r="B15" s="126">
        <f>_xlfn.COMPOUNDVALUE(365)</f>
        <v>3715</v>
      </c>
      <c r="C15" s="127">
        <v>15965244</v>
      </c>
      <c r="D15" s="126">
        <f>_xlfn.COMPOUNDVALUE(366)</f>
        <v>2730</v>
      </c>
      <c r="E15" s="127">
        <v>1395391</v>
      </c>
      <c r="F15" s="126">
        <f>_xlfn.COMPOUNDVALUE(367)</f>
        <v>6445</v>
      </c>
      <c r="G15" s="127">
        <v>17360636</v>
      </c>
      <c r="H15" s="126">
        <f>_xlfn.COMPOUNDVALUE(368)</f>
        <v>228</v>
      </c>
      <c r="I15" s="128">
        <v>2497751</v>
      </c>
      <c r="J15" s="126">
        <v>570</v>
      </c>
      <c r="K15" s="128">
        <v>88928</v>
      </c>
      <c r="L15" s="126">
        <v>6826</v>
      </c>
      <c r="M15" s="128">
        <v>14951813</v>
      </c>
      <c r="N15" s="126">
        <v>6833</v>
      </c>
      <c r="O15" s="129">
        <v>210</v>
      </c>
      <c r="P15" s="129">
        <v>15</v>
      </c>
      <c r="Q15" s="130">
        <v>7058</v>
      </c>
      <c r="R15" s="77" t="s">
        <v>46</v>
      </c>
    </row>
    <row r="16" spans="1:18" ht="15.75" customHeight="1">
      <c r="A16" s="78" t="s">
        <v>47</v>
      </c>
      <c r="B16" s="131">
        <f>_xlfn.COMPOUNDVALUE(369)</f>
        <v>6783</v>
      </c>
      <c r="C16" s="132">
        <v>25837451</v>
      </c>
      <c r="D16" s="131">
        <f>_xlfn.COMPOUNDVALUE(370)</f>
        <v>5196</v>
      </c>
      <c r="E16" s="132">
        <v>2807381</v>
      </c>
      <c r="F16" s="131">
        <f>_xlfn.COMPOUNDVALUE(371)</f>
        <v>11979</v>
      </c>
      <c r="G16" s="132">
        <v>28644832</v>
      </c>
      <c r="H16" s="131">
        <f>_xlfn.COMPOUNDVALUE(372)</f>
        <v>757</v>
      </c>
      <c r="I16" s="133">
        <v>4455510</v>
      </c>
      <c r="J16" s="131">
        <v>887</v>
      </c>
      <c r="K16" s="133">
        <v>206308</v>
      </c>
      <c r="L16" s="131">
        <v>13042</v>
      </c>
      <c r="M16" s="133">
        <v>24395630</v>
      </c>
      <c r="N16" s="126">
        <v>13078</v>
      </c>
      <c r="O16" s="129">
        <v>560</v>
      </c>
      <c r="P16" s="129">
        <v>31</v>
      </c>
      <c r="Q16" s="130">
        <v>13669</v>
      </c>
      <c r="R16" s="77" t="s">
        <v>47</v>
      </c>
    </row>
    <row r="17" spans="1:18" ht="15.75" customHeight="1">
      <c r="A17" s="78" t="s">
        <v>48</v>
      </c>
      <c r="B17" s="131">
        <f>_xlfn.COMPOUNDVALUE(373)</f>
        <v>1658</v>
      </c>
      <c r="C17" s="132">
        <v>6381049</v>
      </c>
      <c r="D17" s="131">
        <f>_xlfn.COMPOUNDVALUE(374)</f>
        <v>1461</v>
      </c>
      <c r="E17" s="132">
        <v>608821</v>
      </c>
      <c r="F17" s="131">
        <f>_xlfn.COMPOUNDVALUE(375)</f>
        <v>3119</v>
      </c>
      <c r="G17" s="132">
        <v>6989871</v>
      </c>
      <c r="H17" s="131">
        <f>_xlfn.COMPOUNDVALUE(376)</f>
        <v>108</v>
      </c>
      <c r="I17" s="133">
        <v>587663</v>
      </c>
      <c r="J17" s="131">
        <v>312</v>
      </c>
      <c r="K17" s="133">
        <v>41571</v>
      </c>
      <c r="L17" s="131">
        <v>3312</v>
      </c>
      <c r="M17" s="133">
        <v>6443779</v>
      </c>
      <c r="N17" s="126">
        <v>3873</v>
      </c>
      <c r="O17" s="129">
        <v>94</v>
      </c>
      <c r="P17" s="129">
        <v>5</v>
      </c>
      <c r="Q17" s="130">
        <v>3972</v>
      </c>
      <c r="R17" s="77" t="s">
        <v>48</v>
      </c>
    </row>
    <row r="18" spans="1:18" ht="15.75" customHeight="1">
      <c r="A18" s="78"/>
      <c r="B18" s="131"/>
      <c r="C18" s="132"/>
      <c r="D18" s="131"/>
      <c r="E18" s="132"/>
      <c r="F18" s="131"/>
      <c r="G18" s="132"/>
      <c r="H18" s="131"/>
      <c r="I18" s="133"/>
      <c r="J18" s="131"/>
      <c r="K18" s="133"/>
      <c r="L18" s="131"/>
      <c r="M18" s="133"/>
      <c r="N18" s="126"/>
      <c r="O18" s="129"/>
      <c r="P18" s="129"/>
      <c r="Q18" s="130"/>
      <c r="R18" s="77" t="s">
        <v>38</v>
      </c>
    </row>
    <row r="19" spans="1:18" ht="15.75" customHeight="1">
      <c r="A19" s="78" t="s">
        <v>49</v>
      </c>
      <c r="B19" s="131">
        <f>_xlfn.COMPOUNDVALUE(377)</f>
        <v>2628</v>
      </c>
      <c r="C19" s="132">
        <v>8699053</v>
      </c>
      <c r="D19" s="131">
        <f>_xlfn.COMPOUNDVALUE(378)</f>
        <v>2006</v>
      </c>
      <c r="E19" s="132">
        <v>920754</v>
      </c>
      <c r="F19" s="131">
        <f>_xlfn.COMPOUNDVALUE(379)</f>
        <v>4634</v>
      </c>
      <c r="G19" s="132">
        <v>9619807</v>
      </c>
      <c r="H19" s="131">
        <f>_xlfn.COMPOUNDVALUE(380)</f>
        <v>222</v>
      </c>
      <c r="I19" s="133">
        <v>554083</v>
      </c>
      <c r="J19" s="131">
        <v>418</v>
      </c>
      <c r="K19" s="133">
        <v>116127</v>
      </c>
      <c r="L19" s="131">
        <v>5009</v>
      </c>
      <c r="M19" s="133">
        <v>9181851</v>
      </c>
      <c r="N19" s="126">
        <v>5027</v>
      </c>
      <c r="O19" s="129">
        <v>165</v>
      </c>
      <c r="P19" s="129">
        <v>11</v>
      </c>
      <c r="Q19" s="130">
        <v>5203</v>
      </c>
      <c r="R19" s="77" t="s">
        <v>49</v>
      </c>
    </row>
    <row r="20" spans="1:18" ht="15.75" customHeight="1">
      <c r="A20" s="78" t="s">
        <v>50</v>
      </c>
      <c r="B20" s="131">
        <f>_xlfn.COMPOUNDVALUE(381)</f>
        <v>7204</v>
      </c>
      <c r="C20" s="132">
        <v>29018636</v>
      </c>
      <c r="D20" s="131">
        <f>_xlfn.COMPOUNDVALUE(382)</f>
        <v>5189</v>
      </c>
      <c r="E20" s="132">
        <v>2601598</v>
      </c>
      <c r="F20" s="131">
        <f>_xlfn.COMPOUNDVALUE(383)</f>
        <v>12393</v>
      </c>
      <c r="G20" s="132">
        <v>31620234</v>
      </c>
      <c r="H20" s="131">
        <f>_xlfn.COMPOUNDVALUE(384)</f>
        <v>1293</v>
      </c>
      <c r="I20" s="133">
        <v>10179854</v>
      </c>
      <c r="J20" s="131">
        <v>914</v>
      </c>
      <c r="K20" s="133">
        <v>368744</v>
      </c>
      <c r="L20" s="131">
        <v>14082</v>
      </c>
      <c r="M20" s="133">
        <v>21809124</v>
      </c>
      <c r="N20" s="126">
        <v>14106</v>
      </c>
      <c r="O20" s="129">
        <v>831</v>
      </c>
      <c r="P20" s="129">
        <v>51</v>
      </c>
      <c r="Q20" s="130">
        <v>14988</v>
      </c>
      <c r="R20" s="77" t="s">
        <v>50</v>
      </c>
    </row>
    <row r="21" spans="1:18" ht="15.75" customHeight="1">
      <c r="A21" s="78" t="s">
        <v>51</v>
      </c>
      <c r="B21" s="131">
        <f>_xlfn.COMPOUNDVALUE(385)</f>
        <v>2528</v>
      </c>
      <c r="C21" s="132">
        <v>8378361</v>
      </c>
      <c r="D21" s="131">
        <f>_xlfn.COMPOUNDVALUE(386)</f>
        <v>2258</v>
      </c>
      <c r="E21" s="132">
        <v>1014932</v>
      </c>
      <c r="F21" s="131">
        <f>_xlfn.COMPOUNDVALUE(387)</f>
        <v>4786</v>
      </c>
      <c r="G21" s="132">
        <v>9393293</v>
      </c>
      <c r="H21" s="131">
        <f>_xlfn.COMPOUNDVALUE(388)</f>
        <v>248</v>
      </c>
      <c r="I21" s="133">
        <v>389676</v>
      </c>
      <c r="J21" s="131">
        <v>397</v>
      </c>
      <c r="K21" s="133">
        <v>73320</v>
      </c>
      <c r="L21" s="131">
        <v>5141</v>
      </c>
      <c r="M21" s="133">
        <v>9076937</v>
      </c>
      <c r="N21" s="126">
        <v>5245</v>
      </c>
      <c r="O21" s="129">
        <v>201</v>
      </c>
      <c r="P21" s="129">
        <v>15</v>
      </c>
      <c r="Q21" s="130">
        <v>5461</v>
      </c>
      <c r="R21" s="77" t="s">
        <v>51</v>
      </c>
    </row>
    <row r="22" spans="1:18" ht="15.75" customHeight="1">
      <c r="A22" s="78" t="s">
        <v>165</v>
      </c>
      <c r="B22" s="131">
        <f>_xlfn.COMPOUNDVALUE(389)</f>
        <v>6937</v>
      </c>
      <c r="C22" s="132">
        <v>30118979</v>
      </c>
      <c r="D22" s="131">
        <f>_xlfn.COMPOUNDVALUE(390)</f>
        <v>5086</v>
      </c>
      <c r="E22" s="132">
        <v>2727662</v>
      </c>
      <c r="F22" s="131">
        <f>_xlfn.COMPOUNDVALUE(391)</f>
        <v>12023</v>
      </c>
      <c r="G22" s="132">
        <v>32846641</v>
      </c>
      <c r="H22" s="131">
        <f>_xlfn.COMPOUNDVALUE(392)</f>
        <v>807</v>
      </c>
      <c r="I22" s="133">
        <v>2680462</v>
      </c>
      <c r="J22" s="131">
        <v>885</v>
      </c>
      <c r="K22" s="133">
        <v>125034</v>
      </c>
      <c r="L22" s="131">
        <v>13126</v>
      </c>
      <c r="M22" s="133">
        <v>30291213</v>
      </c>
      <c r="N22" s="126">
        <v>13217</v>
      </c>
      <c r="O22" s="129">
        <v>635</v>
      </c>
      <c r="P22" s="129">
        <v>42</v>
      </c>
      <c r="Q22" s="130">
        <v>13894</v>
      </c>
      <c r="R22" s="77" t="s">
        <v>52</v>
      </c>
    </row>
    <row r="23" spans="1:18" ht="15.75" customHeight="1">
      <c r="A23" s="160" t="s">
        <v>53</v>
      </c>
      <c r="B23" s="161">
        <v>63923</v>
      </c>
      <c r="C23" s="162">
        <v>356636567</v>
      </c>
      <c r="D23" s="161">
        <v>46911</v>
      </c>
      <c r="E23" s="162">
        <v>24295756</v>
      </c>
      <c r="F23" s="161">
        <v>110834</v>
      </c>
      <c r="G23" s="162">
        <v>380932323</v>
      </c>
      <c r="H23" s="161">
        <v>6981</v>
      </c>
      <c r="I23" s="163">
        <v>39225419</v>
      </c>
      <c r="J23" s="161">
        <v>8778</v>
      </c>
      <c r="K23" s="163">
        <v>1014853</v>
      </c>
      <c r="L23" s="161">
        <v>120641</v>
      </c>
      <c r="M23" s="163">
        <v>342721757</v>
      </c>
      <c r="N23" s="161">
        <v>123364</v>
      </c>
      <c r="O23" s="183">
        <v>5247</v>
      </c>
      <c r="P23" s="183">
        <v>358</v>
      </c>
      <c r="Q23" s="184">
        <v>128969</v>
      </c>
      <c r="R23" s="164" t="s">
        <v>54</v>
      </c>
    </row>
    <row r="24" spans="1:18" ht="15.75" customHeight="1">
      <c r="A24" s="165"/>
      <c r="B24" s="166"/>
      <c r="C24" s="167"/>
      <c r="D24" s="166"/>
      <c r="E24" s="167"/>
      <c r="F24" s="168"/>
      <c r="G24" s="167"/>
      <c r="H24" s="168"/>
      <c r="I24" s="167"/>
      <c r="J24" s="168"/>
      <c r="K24" s="167"/>
      <c r="L24" s="168"/>
      <c r="M24" s="167"/>
      <c r="N24" s="185"/>
      <c r="O24" s="186"/>
      <c r="P24" s="186"/>
      <c r="Q24" s="187"/>
      <c r="R24" s="169" t="s">
        <v>38</v>
      </c>
    </row>
    <row r="25" spans="1:18" ht="15.75" customHeight="1">
      <c r="A25" s="76" t="s">
        <v>55</v>
      </c>
      <c r="B25" s="126">
        <f>_xlfn.COMPOUNDVALUE(393)</f>
        <v>12365</v>
      </c>
      <c r="C25" s="127">
        <v>1272492237</v>
      </c>
      <c r="D25" s="126">
        <f>_xlfn.COMPOUNDVALUE(394)</f>
        <v>3466</v>
      </c>
      <c r="E25" s="127">
        <v>3920182</v>
      </c>
      <c r="F25" s="126">
        <f>_xlfn.COMPOUNDVALUE(395)</f>
        <v>15831</v>
      </c>
      <c r="G25" s="127">
        <v>1276412419</v>
      </c>
      <c r="H25" s="126">
        <f>_xlfn.COMPOUNDVALUE(396)</f>
        <v>4428</v>
      </c>
      <c r="I25" s="128">
        <v>583739460</v>
      </c>
      <c r="J25" s="126">
        <v>1409</v>
      </c>
      <c r="K25" s="128">
        <v>-711215</v>
      </c>
      <c r="L25" s="126">
        <v>20467</v>
      </c>
      <c r="M25" s="128">
        <v>691961744</v>
      </c>
      <c r="N25" s="126">
        <v>15871</v>
      </c>
      <c r="O25" s="129">
        <v>4201</v>
      </c>
      <c r="P25" s="129">
        <v>546</v>
      </c>
      <c r="Q25" s="130">
        <v>20618</v>
      </c>
      <c r="R25" s="86" t="s">
        <v>55</v>
      </c>
    </row>
    <row r="26" spans="1:18" ht="15.75" customHeight="1">
      <c r="A26" s="76" t="s">
        <v>56</v>
      </c>
      <c r="B26" s="126">
        <f>_xlfn.COMPOUNDVALUE(397)</f>
        <v>12344</v>
      </c>
      <c r="C26" s="127">
        <v>312808916</v>
      </c>
      <c r="D26" s="126">
        <f>_xlfn.COMPOUNDVALUE(398)</f>
        <v>3483</v>
      </c>
      <c r="E26" s="127">
        <v>2760339</v>
      </c>
      <c r="F26" s="126">
        <f>_xlfn.COMPOUNDVALUE(399)</f>
        <v>15827</v>
      </c>
      <c r="G26" s="127">
        <v>315569255</v>
      </c>
      <c r="H26" s="126">
        <f>_xlfn.COMPOUNDVALUE(400)</f>
        <v>2444</v>
      </c>
      <c r="I26" s="128">
        <v>67035113</v>
      </c>
      <c r="J26" s="126">
        <v>1309</v>
      </c>
      <c r="K26" s="128">
        <v>1065366</v>
      </c>
      <c r="L26" s="126">
        <v>18467</v>
      </c>
      <c r="M26" s="128">
        <v>249599508</v>
      </c>
      <c r="N26" s="126">
        <v>16421</v>
      </c>
      <c r="O26" s="129">
        <v>1577</v>
      </c>
      <c r="P26" s="129">
        <v>324</v>
      </c>
      <c r="Q26" s="130">
        <v>18322</v>
      </c>
      <c r="R26" s="77" t="s">
        <v>56</v>
      </c>
    </row>
    <row r="27" spans="1:18" ht="15.75" customHeight="1">
      <c r="A27" s="76" t="s">
        <v>57</v>
      </c>
      <c r="B27" s="126">
        <f>_xlfn.COMPOUNDVALUE(401)</f>
        <v>10031</v>
      </c>
      <c r="C27" s="127">
        <v>327939802</v>
      </c>
      <c r="D27" s="126">
        <f>_xlfn.COMPOUNDVALUE(402)</f>
        <v>2590</v>
      </c>
      <c r="E27" s="127">
        <v>1813137</v>
      </c>
      <c r="F27" s="126">
        <f>_xlfn.COMPOUNDVALUE(403)</f>
        <v>12621</v>
      </c>
      <c r="G27" s="127">
        <v>329752939</v>
      </c>
      <c r="H27" s="126">
        <f>_xlfn.COMPOUNDVALUE(404)</f>
        <v>2599</v>
      </c>
      <c r="I27" s="128">
        <v>129914093</v>
      </c>
      <c r="J27" s="126">
        <v>1070</v>
      </c>
      <c r="K27" s="128">
        <v>1285095</v>
      </c>
      <c r="L27" s="126">
        <v>15352</v>
      </c>
      <c r="M27" s="128">
        <v>201123941</v>
      </c>
      <c r="N27" s="126">
        <v>13173</v>
      </c>
      <c r="O27" s="129">
        <v>1734</v>
      </c>
      <c r="P27" s="129">
        <v>320</v>
      </c>
      <c r="Q27" s="130">
        <v>15227</v>
      </c>
      <c r="R27" s="77" t="s">
        <v>57</v>
      </c>
    </row>
    <row r="28" spans="1:18" ht="15.75" customHeight="1">
      <c r="A28" s="76" t="s">
        <v>58</v>
      </c>
      <c r="B28" s="126">
        <f>_xlfn.COMPOUNDVALUE(405)</f>
        <v>13034</v>
      </c>
      <c r="C28" s="127">
        <v>404448600</v>
      </c>
      <c r="D28" s="126">
        <f>_xlfn.COMPOUNDVALUE(406)</f>
        <v>3846</v>
      </c>
      <c r="E28" s="127">
        <v>2906013</v>
      </c>
      <c r="F28" s="126">
        <f>_xlfn.COMPOUNDVALUE(407)</f>
        <v>16880</v>
      </c>
      <c r="G28" s="127">
        <v>407354613</v>
      </c>
      <c r="H28" s="126">
        <f>_xlfn.COMPOUNDVALUE(408)</f>
        <v>2967</v>
      </c>
      <c r="I28" s="128">
        <v>101357963</v>
      </c>
      <c r="J28" s="126">
        <v>1605</v>
      </c>
      <c r="K28" s="128">
        <v>1287061</v>
      </c>
      <c r="L28" s="126">
        <v>20142</v>
      </c>
      <c r="M28" s="128">
        <v>307283711</v>
      </c>
      <c r="N28" s="126">
        <v>19080</v>
      </c>
      <c r="O28" s="129">
        <v>1650</v>
      </c>
      <c r="P28" s="129">
        <v>377</v>
      </c>
      <c r="Q28" s="130">
        <v>21107</v>
      </c>
      <c r="R28" s="77" t="s">
        <v>58</v>
      </c>
    </row>
    <row r="29" spans="1:18" ht="15.75" customHeight="1">
      <c r="A29" s="76" t="s">
        <v>166</v>
      </c>
      <c r="B29" s="126">
        <f>_xlfn.COMPOUNDVALUE(409)</f>
        <v>17799</v>
      </c>
      <c r="C29" s="127">
        <v>907730873</v>
      </c>
      <c r="D29" s="126">
        <f>_xlfn.COMPOUNDVALUE(410)</f>
        <v>5052</v>
      </c>
      <c r="E29" s="127">
        <v>4071989</v>
      </c>
      <c r="F29" s="126">
        <f>_xlfn.COMPOUNDVALUE(411)</f>
        <v>22851</v>
      </c>
      <c r="G29" s="127">
        <v>911802862</v>
      </c>
      <c r="H29" s="126">
        <f>_xlfn.COMPOUNDVALUE(412)</f>
        <v>5199</v>
      </c>
      <c r="I29" s="128">
        <v>458072760</v>
      </c>
      <c r="J29" s="126">
        <v>1872</v>
      </c>
      <c r="K29" s="128">
        <v>804843</v>
      </c>
      <c r="L29" s="126">
        <v>28421</v>
      </c>
      <c r="M29" s="128">
        <v>454534945</v>
      </c>
      <c r="N29" s="126">
        <v>25307</v>
      </c>
      <c r="O29" s="129">
        <v>3768</v>
      </c>
      <c r="P29" s="129">
        <v>677</v>
      </c>
      <c r="Q29" s="130">
        <v>29752</v>
      </c>
      <c r="R29" s="77" t="s">
        <v>59</v>
      </c>
    </row>
    <row r="30" spans="1:18" ht="15.75" customHeight="1">
      <c r="A30" s="76"/>
      <c r="B30" s="126"/>
      <c r="C30" s="127"/>
      <c r="D30" s="126"/>
      <c r="E30" s="127"/>
      <c r="F30" s="126"/>
      <c r="G30" s="127"/>
      <c r="H30" s="126"/>
      <c r="I30" s="128"/>
      <c r="J30" s="126"/>
      <c r="K30" s="128"/>
      <c r="L30" s="126"/>
      <c r="M30" s="128"/>
      <c r="N30" s="126"/>
      <c r="O30" s="129"/>
      <c r="P30" s="129"/>
      <c r="Q30" s="130"/>
      <c r="R30" s="77" t="s">
        <v>38</v>
      </c>
    </row>
    <row r="31" spans="1:18" ht="15.75" customHeight="1">
      <c r="A31" s="76" t="s">
        <v>60</v>
      </c>
      <c r="B31" s="126">
        <f>_xlfn.COMPOUNDVALUE(413)</f>
        <v>16682</v>
      </c>
      <c r="C31" s="127">
        <v>359136150</v>
      </c>
      <c r="D31" s="126">
        <f>_xlfn.COMPOUNDVALUE(414)</f>
        <v>4892</v>
      </c>
      <c r="E31" s="127">
        <v>3655249</v>
      </c>
      <c r="F31" s="126">
        <f>_xlfn.COMPOUNDVALUE(415)</f>
        <v>21574</v>
      </c>
      <c r="G31" s="127">
        <v>362791399</v>
      </c>
      <c r="H31" s="126">
        <f>_xlfn.COMPOUNDVALUE(416)</f>
        <v>3749</v>
      </c>
      <c r="I31" s="128">
        <v>262393387</v>
      </c>
      <c r="J31" s="126">
        <v>1772</v>
      </c>
      <c r="K31" s="128">
        <v>1976031</v>
      </c>
      <c r="L31" s="126">
        <v>25741</v>
      </c>
      <c r="M31" s="128">
        <v>102374043</v>
      </c>
      <c r="N31" s="126">
        <v>25584</v>
      </c>
      <c r="O31" s="129">
        <v>3038</v>
      </c>
      <c r="P31" s="129">
        <v>785</v>
      </c>
      <c r="Q31" s="130">
        <v>29407</v>
      </c>
      <c r="R31" s="77" t="s">
        <v>60</v>
      </c>
    </row>
    <row r="32" spans="1:18" ht="15.75" customHeight="1">
      <c r="A32" s="76" t="s">
        <v>61</v>
      </c>
      <c r="B32" s="126">
        <f>_xlfn.COMPOUNDVALUE(417)</f>
        <v>8355</v>
      </c>
      <c r="C32" s="127">
        <v>251466981</v>
      </c>
      <c r="D32" s="126">
        <f>_xlfn.COMPOUNDVALUE(418)</f>
        <v>3279</v>
      </c>
      <c r="E32" s="127">
        <v>2122447</v>
      </c>
      <c r="F32" s="126">
        <f>_xlfn.COMPOUNDVALUE(419)</f>
        <v>11634</v>
      </c>
      <c r="G32" s="127">
        <v>253589428</v>
      </c>
      <c r="H32" s="126">
        <f>_xlfn.COMPOUNDVALUE(420)</f>
        <v>1650</v>
      </c>
      <c r="I32" s="128">
        <v>77703018</v>
      </c>
      <c r="J32" s="126">
        <v>1020</v>
      </c>
      <c r="K32" s="128">
        <v>1237629</v>
      </c>
      <c r="L32" s="126">
        <v>13478</v>
      </c>
      <c r="M32" s="128">
        <v>177124039</v>
      </c>
      <c r="N32" s="126">
        <v>13076</v>
      </c>
      <c r="O32" s="129">
        <v>1184</v>
      </c>
      <c r="P32" s="129">
        <v>237</v>
      </c>
      <c r="Q32" s="130">
        <v>14497</v>
      </c>
      <c r="R32" s="77" t="s">
        <v>61</v>
      </c>
    </row>
    <row r="33" spans="1:18" ht="15.75" customHeight="1">
      <c r="A33" s="76" t="s">
        <v>62</v>
      </c>
      <c r="B33" s="126">
        <f>_xlfn.COMPOUNDVALUE(421)</f>
        <v>9234</v>
      </c>
      <c r="C33" s="127">
        <v>141462445</v>
      </c>
      <c r="D33" s="126">
        <f>_xlfn.COMPOUNDVALUE(422)</f>
        <v>3935</v>
      </c>
      <c r="E33" s="127">
        <v>2825471</v>
      </c>
      <c r="F33" s="126">
        <f>_xlfn.COMPOUNDVALUE(423)</f>
        <v>13169</v>
      </c>
      <c r="G33" s="127">
        <v>144287915</v>
      </c>
      <c r="H33" s="126">
        <f>_xlfn.COMPOUNDVALUE(424)</f>
        <v>1416</v>
      </c>
      <c r="I33" s="128">
        <v>26911969</v>
      </c>
      <c r="J33" s="126">
        <v>1097</v>
      </c>
      <c r="K33" s="128">
        <v>284185</v>
      </c>
      <c r="L33" s="126">
        <v>14807</v>
      </c>
      <c r="M33" s="128">
        <v>117660131</v>
      </c>
      <c r="N33" s="126">
        <v>14729</v>
      </c>
      <c r="O33" s="129">
        <v>927</v>
      </c>
      <c r="P33" s="129">
        <v>197</v>
      </c>
      <c r="Q33" s="130">
        <v>15853</v>
      </c>
      <c r="R33" s="77" t="s">
        <v>62</v>
      </c>
    </row>
    <row r="34" spans="1:18" ht="15.75" customHeight="1">
      <c r="A34" s="76" t="s">
        <v>63</v>
      </c>
      <c r="B34" s="126">
        <f>_xlfn.COMPOUNDVALUE(425)</f>
        <v>10678</v>
      </c>
      <c r="C34" s="127">
        <v>353770494</v>
      </c>
      <c r="D34" s="126">
        <f>_xlfn.COMPOUNDVALUE(426)</f>
        <v>3632</v>
      </c>
      <c r="E34" s="127">
        <v>3087145</v>
      </c>
      <c r="F34" s="126">
        <f>_xlfn.COMPOUNDVALUE(427)</f>
        <v>14310</v>
      </c>
      <c r="G34" s="127">
        <v>356857639</v>
      </c>
      <c r="H34" s="126">
        <f>_xlfn.COMPOUNDVALUE(428)</f>
        <v>2187</v>
      </c>
      <c r="I34" s="128">
        <v>40192954</v>
      </c>
      <c r="J34" s="126">
        <v>1460</v>
      </c>
      <c r="K34" s="128">
        <v>-236693</v>
      </c>
      <c r="L34" s="126">
        <v>16905</v>
      </c>
      <c r="M34" s="128">
        <v>316427992</v>
      </c>
      <c r="N34" s="126">
        <v>16399</v>
      </c>
      <c r="O34" s="129">
        <v>1378</v>
      </c>
      <c r="P34" s="129">
        <v>314</v>
      </c>
      <c r="Q34" s="130">
        <v>18091</v>
      </c>
      <c r="R34" s="77" t="s">
        <v>63</v>
      </c>
    </row>
    <row r="35" spans="1:18" ht="15.75" customHeight="1">
      <c r="A35" s="76" t="s">
        <v>64</v>
      </c>
      <c r="B35" s="126">
        <f>_xlfn.COMPOUNDVALUE(429)</f>
        <v>2927</v>
      </c>
      <c r="C35" s="127">
        <v>48567856</v>
      </c>
      <c r="D35" s="126">
        <f>_xlfn.COMPOUNDVALUE(430)</f>
        <v>1808</v>
      </c>
      <c r="E35" s="127">
        <v>1194066</v>
      </c>
      <c r="F35" s="126">
        <f>_xlfn.COMPOUNDVALUE(431)</f>
        <v>4735</v>
      </c>
      <c r="G35" s="127">
        <v>49761922</v>
      </c>
      <c r="H35" s="126">
        <f>_xlfn.COMPOUNDVALUE(432)</f>
        <v>446</v>
      </c>
      <c r="I35" s="128">
        <v>7020126</v>
      </c>
      <c r="J35" s="126">
        <v>318</v>
      </c>
      <c r="K35" s="128">
        <v>-28380</v>
      </c>
      <c r="L35" s="126">
        <v>5240</v>
      </c>
      <c r="M35" s="128">
        <v>42713416</v>
      </c>
      <c r="N35" s="126">
        <v>5283</v>
      </c>
      <c r="O35" s="129">
        <v>369</v>
      </c>
      <c r="P35" s="129">
        <v>46</v>
      </c>
      <c r="Q35" s="130">
        <v>5698</v>
      </c>
      <c r="R35" s="77" t="s">
        <v>64</v>
      </c>
    </row>
    <row r="36" spans="1:18" ht="15.75" customHeight="1">
      <c r="A36" s="76"/>
      <c r="B36" s="126"/>
      <c r="C36" s="127"/>
      <c r="D36" s="126"/>
      <c r="E36" s="127"/>
      <c r="F36" s="126"/>
      <c r="G36" s="127"/>
      <c r="H36" s="126"/>
      <c r="I36" s="128"/>
      <c r="J36" s="126"/>
      <c r="K36" s="128"/>
      <c r="L36" s="126"/>
      <c r="M36" s="128"/>
      <c r="N36" s="126"/>
      <c r="O36" s="129"/>
      <c r="P36" s="129"/>
      <c r="Q36" s="130"/>
      <c r="R36" s="77" t="s">
        <v>38</v>
      </c>
    </row>
    <row r="37" spans="1:18" ht="15.75" customHeight="1">
      <c r="A37" s="76" t="s">
        <v>65</v>
      </c>
      <c r="B37" s="126">
        <f>_xlfn.COMPOUNDVALUE(433)</f>
        <v>3735</v>
      </c>
      <c r="C37" s="127">
        <v>44369154</v>
      </c>
      <c r="D37" s="126">
        <f>_xlfn.COMPOUNDVALUE(434)</f>
        <v>1964</v>
      </c>
      <c r="E37" s="127">
        <v>1216505</v>
      </c>
      <c r="F37" s="126">
        <f>_xlfn.COMPOUNDVALUE(435)</f>
        <v>5699</v>
      </c>
      <c r="G37" s="127">
        <v>45585659</v>
      </c>
      <c r="H37" s="126">
        <f>_xlfn.COMPOUNDVALUE(436)</f>
        <v>515</v>
      </c>
      <c r="I37" s="128">
        <v>5088280</v>
      </c>
      <c r="J37" s="126">
        <v>415</v>
      </c>
      <c r="K37" s="128">
        <v>45737</v>
      </c>
      <c r="L37" s="126">
        <v>6292</v>
      </c>
      <c r="M37" s="128">
        <v>40543116</v>
      </c>
      <c r="N37" s="126">
        <v>6277</v>
      </c>
      <c r="O37" s="129">
        <v>359</v>
      </c>
      <c r="P37" s="129">
        <v>65</v>
      </c>
      <c r="Q37" s="130">
        <v>6701</v>
      </c>
      <c r="R37" s="77" t="s">
        <v>65</v>
      </c>
    </row>
    <row r="38" spans="1:18" ht="15.75" customHeight="1">
      <c r="A38" s="76" t="s">
        <v>66</v>
      </c>
      <c r="B38" s="126">
        <f>_xlfn.COMPOUNDVALUE(437)</f>
        <v>5809</v>
      </c>
      <c r="C38" s="127">
        <v>92902660</v>
      </c>
      <c r="D38" s="126">
        <f>_xlfn.COMPOUNDVALUE(438)</f>
        <v>2278</v>
      </c>
      <c r="E38" s="127">
        <v>1408470</v>
      </c>
      <c r="F38" s="126">
        <f>_xlfn.COMPOUNDVALUE(439)</f>
        <v>8087</v>
      </c>
      <c r="G38" s="127">
        <v>94311130</v>
      </c>
      <c r="H38" s="126">
        <f>_xlfn.COMPOUNDVALUE(440)</f>
        <v>1182</v>
      </c>
      <c r="I38" s="128">
        <v>25915328</v>
      </c>
      <c r="J38" s="126">
        <v>683</v>
      </c>
      <c r="K38" s="128">
        <v>333935</v>
      </c>
      <c r="L38" s="126">
        <v>9390</v>
      </c>
      <c r="M38" s="128">
        <v>68729737</v>
      </c>
      <c r="N38" s="126">
        <v>9095</v>
      </c>
      <c r="O38" s="129">
        <v>500</v>
      </c>
      <c r="P38" s="129">
        <v>110</v>
      </c>
      <c r="Q38" s="130">
        <v>9705</v>
      </c>
      <c r="R38" s="77" t="s">
        <v>66</v>
      </c>
    </row>
    <row r="39" spans="1:18" ht="15.75" customHeight="1">
      <c r="A39" s="76" t="s">
        <v>67</v>
      </c>
      <c r="B39" s="126">
        <f>_xlfn.COMPOUNDVALUE(441)</f>
        <v>5657</v>
      </c>
      <c r="C39" s="127">
        <v>76353314</v>
      </c>
      <c r="D39" s="126">
        <f>_xlfn.COMPOUNDVALUE(442)</f>
        <v>2716</v>
      </c>
      <c r="E39" s="127">
        <v>1470508</v>
      </c>
      <c r="F39" s="126">
        <f>_xlfn.COMPOUNDVALUE(443)</f>
        <v>8373</v>
      </c>
      <c r="G39" s="127">
        <v>77823822</v>
      </c>
      <c r="H39" s="126">
        <f>_xlfn.COMPOUNDVALUE(444)</f>
        <v>972</v>
      </c>
      <c r="I39" s="128">
        <v>6198158</v>
      </c>
      <c r="J39" s="126">
        <v>709</v>
      </c>
      <c r="K39" s="128">
        <v>451842</v>
      </c>
      <c r="L39" s="126">
        <v>9503</v>
      </c>
      <c r="M39" s="128">
        <v>72077506</v>
      </c>
      <c r="N39" s="126">
        <v>9439</v>
      </c>
      <c r="O39" s="129">
        <v>544</v>
      </c>
      <c r="P39" s="129">
        <v>76</v>
      </c>
      <c r="Q39" s="130">
        <v>10059</v>
      </c>
      <c r="R39" s="77" t="s">
        <v>67</v>
      </c>
    </row>
    <row r="40" spans="1:18" ht="15.75" customHeight="1">
      <c r="A40" s="76" t="s">
        <v>68</v>
      </c>
      <c r="B40" s="126">
        <f>_xlfn.COMPOUNDVALUE(445)</f>
        <v>4795</v>
      </c>
      <c r="C40" s="127">
        <v>93874941</v>
      </c>
      <c r="D40" s="126">
        <f>_xlfn.COMPOUNDVALUE(446)</f>
        <v>2163</v>
      </c>
      <c r="E40" s="127">
        <v>1211239</v>
      </c>
      <c r="F40" s="126">
        <f>_xlfn.COMPOUNDVALUE(447)</f>
        <v>6958</v>
      </c>
      <c r="G40" s="127">
        <v>95086181</v>
      </c>
      <c r="H40" s="126">
        <f>_xlfn.COMPOUNDVALUE(448)</f>
        <v>593</v>
      </c>
      <c r="I40" s="128">
        <v>5547787</v>
      </c>
      <c r="J40" s="126">
        <v>470</v>
      </c>
      <c r="K40" s="128">
        <v>528126</v>
      </c>
      <c r="L40" s="126">
        <v>7710</v>
      </c>
      <c r="M40" s="128">
        <v>90066520</v>
      </c>
      <c r="N40" s="126">
        <v>7803</v>
      </c>
      <c r="O40" s="129">
        <v>346</v>
      </c>
      <c r="P40" s="129">
        <v>49</v>
      </c>
      <c r="Q40" s="130">
        <v>8198</v>
      </c>
      <c r="R40" s="77" t="s">
        <v>68</v>
      </c>
    </row>
    <row r="41" spans="1:18" ht="15.75" customHeight="1">
      <c r="A41" s="76" t="s">
        <v>69</v>
      </c>
      <c r="B41" s="126">
        <f>_xlfn.COMPOUNDVALUE(449)</f>
        <v>1874</v>
      </c>
      <c r="C41" s="127">
        <v>11451135</v>
      </c>
      <c r="D41" s="126">
        <f>_xlfn.COMPOUNDVALUE(450)</f>
        <v>1208</v>
      </c>
      <c r="E41" s="127">
        <v>589245</v>
      </c>
      <c r="F41" s="126">
        <f>_xlfn.COMPOUNDVALUE(451)</f>
        <v>3082</v>
      </c>
      <c r="G41" s="127">
        <v>12040380</v>
      </c>
      <c r="H41" s="126">
        <f>_xlfn.COMPOUNDVALUE(452)</f>
        <v>164</v>
      </c>
      <c r="I41" s="128">
        <v>465562</v>
      </c>
      <c r="J41" s="126">
        <v>251</v>
      </c>
      <c r="K41" s="128">
        <v>39001</v>
      </c>
      <c r="L41" s="126">
        <v>3320</v>
      </c>
      <c r="M41" s="128">
        <v>11613819</v>
      </c>
      <c r="N41" s="126">
        <v>3340</v>
      </c>
      <c r="O41" s="129">
        <v>97</v>
      </c>
      <c r="P41" s="129">
        <v>15</v>
      </c>
      <c r="Q41" s="130">
        <v>3452</v>
      </c>
      <c r="R41" s="77" t="s">
        <v>69</v>
      </c>
    </row>
    <row r="42" spans="1:18" ht="15.75" customHeight="1">
      <c r="A42" s="103"/>
      <c r="B42" s="126"/>
      <c r="C42" s="127"/>
      <c r="D42" s="126"/>
      <c r="E42" s="127"/>
      <c r="F42" s="126"/>
      <c r="G42" s="127"/>
      <c r="H42" s="126"/>
      <c r="I42" s="128"/>
      <c r="J42" s="126"/>
      <c r="K42" s="128"/>
      <c r="L42" s="126"/>
      <c r="M42" s="128"/>
      <c r="N42" s="126"/>
      <c r="O42" s="129"/>
      <c r="P42" s="129"/>
      <c r="Q42" s="130"/>
      <c r="R42" s="105" t="s">
        <v>38</v>
      </c>
    </row>
    <row r="43" spans="1:18" ht="15.75" customHeight="1">
      <c r="A43" s="98" t="s">
        <v>70</v>
      </c>
      <c r="B43" s="126">
        <f>_xlfn.COMPOUNDVALUE(453)</f>
        <v>5980</v>
      </c>
      <c r="C43" s="127">
        <v>157909470</v>
      </c>
      <c r="D43" s="126">
        <f>_xlfn.COMPOUNDVALUE(454)</f>
        <v>2705</v>
      </c>
      <c r="E43" s="127">
        <v>1530987</v>
      </c>
      <c r="F43" s="126">
        <f>_xlfn.COMPOUNDVALUE(455)</f>
        <v>8685</v>
      </c>
      <c r="G43" s="127">
        <v>159440457</v>
      </c>
      <c r="H43" s="126">
        <f>_xlfn.COMPOUNDVALUE(456)</f>
        <v>980</v>
      </c>
      <c r="I43" s="128">
        <v>37788591</v>
      </c>
      <c r="J43" s="126">
        <v>760</v>
      </c>
      <c r="K43" s="128">
        <v>1103234</v>
      </c>
      <c r="L43" s="126">
        <v>9845</v>
      </c>
      <c r="M43" s="128">
        <v>122755100</v>
      </c>
      <c r="N43" s="126">
        <v>10249</v>
      </c>
      <c r="O43" s="129">
        <v>616</v>
      </c>
      <c r="P43" s="129">
        <v>94</v>
      </c>
      <c r="Q43" s="130">
        <v>10959</v>
      </c>
      <c r="R43" s="97" t="s">
        <v>70</v>
      </c>
    </row>
    <row r="44" spans="1:18" ht="15.75" customHeight="1">
      <c r="A44" s="76" t="s">
        <v>71</v>
      </c>
      <c r="B44" s="126">
        <f>_xlfn.COMPOUNDVALUE(457)</f>
        <v>3161</v>
      </c>
      <c r="C44" s="127">
        <v>56905951</v>
      </c>
      <c r="D44" s="126">
        <f>_xlfn.COMPOUNDVALUE(458)</f>
        <v>1897</v>
      </c>
      <c r="E44" s="127">
        <v>1002804</v>
      </c>
      <c r="F44" s="126">
        <f>_xlfn.COMPOUNDVALUE(459)</f>
        <v>5058</v>
      </c>
      <c r="G44" s="127">
        <v>57908755</v>
      </c>
      <c r="H44" s="126">
        <f>_xlfn.COMPOUNDVALUE(460)</f>
        <v>416</v>
      </c>
      <c r="I44" s="128">
        <v>3497449</v>
      </c>
      <c r="J44" s="126">
        <v>352</v>
      </c>
      <c r="K44" s="128">
        <v>64640</v>
      </c>
      <c r="L44" s="126">
        <v>5579</v>
      </c>
      <c r="M44" s="128">
        <v>54475946</v>
      </c>
      <c r="N44" s="126">
        <v>5494</v>
      </c>
      <c r="O44" s="129">
        <v>256</v>
      </c>
      <c r="P44" s="129">
        <v>35</v>
      </c>
      <c r="Q44" s="130">
        <v>5785</v>
      </c>
      <c r="R44" s="77" t="s">
        <v>71</v>
      </c>
    </row>
    <row r="45" spans="1:18" ht="15.75" customHeight="1">
      <c r="A45" s="76" t="s">
        <v>72</v>
      </c>
      <c r="B45" s="126">
        <f>_xlfn.COMPOUNDVALUE(461)</f>
        <v>2202</v>
      </c>
      <c r="C45" s="127">
        <v>11938634</v>
      </c>
      <c r="D45" s="126">
        <f>_xlfn.COMPOUNDVALUE(462)</f>
        <v>1614</v>
      </c>
      <c r="E45" s="127">
        <v>873056</v>
      </c>
      <c r="F45" s="126">
        <f>_xlfn.COMPOUNDVALUE(463)</f>
        <v>3816</v>
      </c>
      <c r="G45" s="127">
        <v>12811690</v>
      </c>
      <c r="H45" s="126">
        <f>_xlfn.COMPOUNDVALUE(464)</f>
        <v>275</v>
      </c>
      <c r="I45" s="128">
        <v>1342308</v>
      </c>
      <c r="J45" s="126">
        <v>223</v>
      </c>
      <c r="K45" s="128">
        <v>18544</v>
      </c>
      <c r="L45" s="126">
        <v>4152</v>
      </c>
      <c r="M45" s="128">
        <v>11487926</v>
      </c>
      <c r="N45" s="126">
        <v>4478</v>
      </c>
      <c r="O45" s="129">
        <v>185</v>
      </c>
      <c r="P45" s="129">
        <v>14</v>
      </c>
      <c r="Q45" s="130">
        <v>4677</v>
      </c>
      <c r="R45" s="77" t="s">
        <v>72</v>
      </c>
    </row>
    <row r="46" spans="1:18" ht="15.75" customHeight="1">
      <c r="A46" s="76" t="s">
        <v>73</v>
      </c>
      <c r="B46" s="126">
        <f>_xlfn.COMPOUNDVALUE(465)</f>
        <v>7434</v>
      </c>
      <c r="C46" s="127">
        <v>84359672</v>
      </c>
      <c r="D46" s="126">
        <f>_xlfn.COMPOUNDVALUE(466)</f>
        <v>4228</v>
      </c>
      <c r="E46" s="127">
        <v>2657516</v>
      </c>
      <c r="F46" s="126">
        <f>_xlfn.COMPOUNDVALUE(467)</f>
        <v>11662</v>
      </c>
      <c r="G46" s="127">
        <v>87017188</v>
      </c>
      <c r="H46" s="126">
        <f>_xlfn.COMPOUNDVALUE(468)</f>
        <v>949</v>
      </c>
      <c r="I46" s="128">
        <v>6846107</v>
      </c>
      <c r="J46" s="126">
        <v>959</v>
      </c>
      <c r="K46" s="128">
        <v>164771</v>
      </c>
      <c r="L46" s="126">
        <v>12896</v>
      </c>
      <c r="M46" s="128">
        <v>80335852</v>
      </c>
      <c r="N46" s="126">
        <v>13462</v>
      </c>
      <c r="O46" s="129">
        <v>722</v>
      </c>
      <c r="P46" s="129">
        <v>107</v>
      </c>
      <c r="Q46" s="130">
        <v>14291</v>
      </c>
      <c r="R46" s="77" t="s">
        <v>73</v>
      </c>
    </row>
    <row r="47" spans="1:18" ht="15.75" customHeight="1">
      <c r="A47" s="76" t="s">
        <v>74</v>
      </c>
      <c r="B47" s="126">
        <f>_xlfn.COMPOUNDVALUE(469)</f>
        <v>4363</v>
      </c>
      <c r="C47" s="127">
        <v>47651757</v>
      </c>
      <c r="D47" s="126">
        <f>_xlfn.COMPOUNDVALUE(470)</f>
        <v>2563</v>
      </c>
      <c r="E47" s="127">
        <v>1391119</v>
      </c>
      <c r="F47" s="126">
        <f>_xlfn.COMPOUNDVALUE(471)</f>
        <v>6926</v>
      </c>
      <c r="G47" s="127">
        <v>49042876</v>
      </c>
      <c r="H47" s="126">
        <f>_xlfn.COMPOUNDVALUE(472)</f>
        <v>430</v>
      </c>
      <c r="I47" s="128">
        <v>13768941</v>
      </c>
      <c r="J47" s="126">
        <v>498</v>
      </c>
      <c r="K47" s="128">
        <v>12145</v>
      </c>
      <c r="L47" s="126">
        <v>7475</v>
      </c>
      <c r="M47" s="128">
        <v>35286080</v>
      </c>
      <c r="N47" s="126">
        <v>7773</v>
      </c>
      <c r="O47" s="129">
        <v>312</v>
      </c>
      <c r="P47" s="129">
        <v>33</v>
      </c>
      <c r="Q47" s="130">
        <v>8118</v>
      </c>
      <c r="R47" s="77" t="s">
        <v>74</v>
      </c>
    </row>
    <row r="48" spans="1:18" ht="15.75" customHeight="1">
      <c r="A48" s="76"/>
      <c r="B48" s="126"/>
      <c r="C48" s="127"/>
      <c r="D48" s="126"/>
      <c r="E48" s="127"/>
      <c r="F48" s="126"/>
      <c r="G48" s="127"/>
      <c r="H48" s="126"/>
      <c r="I48" s="128"/>
      <c r="J48" s="126"/>
      <c r="K48" s="128"/>
      <c r="L48" s="126"/>
      <c r="M48" s="128"/>
      <c r="N48" s="126"/>
      <c r="O48" s="129"/>
      <c r="P48" s="129"/>
      <c r="Q48" s="130"/>
      <c r="R48" s="77" t="s">
        <v>38</v>
      </c>
    </row>
    <row r="49" spans="1:18" ht="15.75" customHeight="1">
      <c r="A49" s="76" t="s">
        <v>75</v>
      </c>
      <c r="B49" s="126">
        <f>_xlfn.COMPOUNDVALUE(473)</f>
        <v>2563</v>
      </c>
      <c r="C49" s="127">
        <v>12574881</v>
      </c>
      <c r="D49" s="126">
        <f>_xlfn.COMPOUNDVALUE(474)</f>
        <v>1899</v>
      </c>
      <c r="E49" s="127">
        <v>1103459</v>
      </c>
      <c r="F49" s="126">
        <f>_xlfn.COMPOUNDVALUE(475)</f>
        <v>4462</v>
      </c>
      <c r="G49" s="127">
        <v>13678339</v>
      </c>
      <c r="H49" s="126">
        <f>_xlfn.COMPOUNDVALUE(476)</f>
        <v>356</v>
      </c>
      <c r="I49" s="128">
        <v>8434884</v>
      </c>
      <c r="J49" s="126">
        <v>363</v>
      </c>
      <c r="K49" s="128">
        <v>33592</v>
      </c>
      <c r="L49" s="126">
        <v>4942</v>
      </c>
      <c r="M49" s="128">
        <v>5277047</v>
      </c>
      <c r="N49" s="126">
        <v>5096</v>
      </c>
      <c r="O49" s="129">
        <v>265</v>
      </c>
      <c r="P49" s="129">
        <v>24</v>
      </c>
      <c r="Q49" s="130">
        <v>5385</v>
      </c>
      <c r="R49" s="77" t="s">
        <v>75</v>
      </c>
    </row>
    <row r="50" spans="1:18" ht="15.75" customHeight="1">
      <c r="A50" s="76" t="s">
        <v>76</v>
      </c>
      <c r="B50" s="126">
        <f>_xlfn.COMPOUNDVALUE(477)</f>
        <v>4774</v>
      </c>
      <c r="C50" s="127">
        <v>59817468</v>
      </c>
      <c r="D50" s="126">
        <f>_xlfn.COMPOUNDVALUE(478)</f>
        <v>3078</v>
      </c>
      <c r="E50" s="127">
        <v>1661470</v>
      </c>
      <c r="F50" s="126">
        <f>_xlfn.COMPOUNDVALUE(479)</f>
        <v>7852</v>
      </c>
      <c r="G50" s="127">
        <v>61478938</v>
      </c>
      <c r="H50" s="126">
        <f>_xlfn.COMPOUNDVALUE(480)</f>
        <v>427</v>
      </c>
      <c r="I50" s="128">
        <v>45870134</v>
      </c>
      <c r="J50" s="126">
        <v>604</v>
      </c>
      <c r="K50" s="128">
        <v>284092</v>
      </c>
      <c r="L50" s="126">
        <v>8444</v>
      </c>
      <c r="M50" s="128">
        <v>15892896</v>
      </c>
      <c r="N50" s="126">
        <v>8751</v>
      </c>
      <c r="O50" s="129">
        <v>272</v>
      </c>
      <c r="P50" s="129">
        <v>43</v>
      </c>
      <c r="Q50" s="130">
        <v>9066</v>
      </c>
      <c r="R50" s="77" t="s">
        <v>76</v>
      </c>
    </row>
    <row r="51" spans="1:18" ht="15.75" customHeight="1">
      <c r="A51" s="76" t="s">
        <v>77</v>
      </c>
      <c r="B51" s="126">
        <f>_xlfn.COMPOUNDVALUE(481)</f>
        <v>5378</v>
      </c>
      <c r="C51" s="127">
        <v>23949486</v>
      </c>
      <c r="D51" s="126">
        <f>_xlfn.COMPOUNDVALUE(482)</f>
        <v>3863</v>
      </c>
      <c r="E51" s="127">
        <v>2260493</v>
      </c>
      <c r="F51" s="126">
        <f>_xlfn.COMPOUNDVALUE(483)</f>
        <v>9241</v>
      </c>
      <c r="G51" s="127">
        <v>26209979</v>
      </c>
      <c r="H51" s="126">
        <f>_xlfn.COMPOUNDVALUE(484)</f>
        <v>672</v>
      </c>
      <c r="I51" s="128">
        <v>1807619</v>
      </c>
      <c r="J51" s="126">
        <v>673</v>
      </c>
      <c r="K51" s="128">
        <v>209879</v>
      </c>
      <c r="L51" s="126">
        <v>10146</v>
      </c>
      <c r="M51" s="128">
        <v>24612239</v>
      </c>
      <c r="N51" s="126">
        <v>11120</v>
      </c>
      <c r="O51" s="129">
        <v>538</v>
      </c>
      <c r="P51" s="129">
        <v>51</v>
      </c>
      <c r="Q51" s="130">
        <v>11709</v>
      </c>
      <c r="R51" s="77" t="s">
        <v>77</v>
      </c>
    </row>
    <row r="52" spans="1:18" ht="15.75" customHeight="1">
      <c r="A52" s="76" t="s">
        <v>78</v>
      </c>
      <c r="B52" s="126">
        <f>_xlfn.COMPOUNDVALUE(485)</f>
        <v>4710</v>
      </c>
      <c r="C52" s="127">
        <v>20872197</v>
      </c>
      <c r="D52" s="126">
        <f>_xlfn.COMPOUNDVALUE(486)</f>
        <v>3587</v>
      </c>
      <c r="E52" s="127">
        <v>2096598</v>
      </c>
      <c r="F52" s="126">
        <f>_xlfn.COMPOUNDVALUE(487)</f>
        <v>8297</v>
      </c>
      <c r="G52" s="127">
        <v>22968795</v>
      </c>
      <c r="H52" s="126">
        <f>_xlfn.COMPOUNDVALUE(488)</f>
        <v>530</v>
      </c>
      <c r="I52" s="128">
        <v>924554</v>
      </c>
      <c r="J52" s="126">
        <v>653</v>
      </c>
      <c r="K52" s="128">
        <v>111006</v>
      </c>
      <c r="L52" s="126">
        <v>9032</v>
      </c>
      <c r="M52" s="128">
        <v>22155247</v>
      </c>
      <c r="N52" s="126">
        <v>9849</v>
      </c>
      <c r="O52" s="129">
        <v>407</v>
      </c>
      <c r="P52" s="129">
        <v>33</v>
      </c>
      <c r="Q52" s="130">
        <v>10289</v>
      </c>
      <c r="R52" s="77" t="s">
        <v>78</v>
      </c>
    </row>
    <row r="53" spans="1:18" ht="15.75" customHeight="1">
      <c r="A53" s="76" t="s">
        <v>79</v>
      </c>
      <c r="B53" s="126">
        <f>_xlfn.COMPOUNDVALUE(489)</f>
        <v>4709</v>
      </c>
      <c r="C53" s="127">
        <v>42421017</v>
      </c>
      <c r="D53" s="126">
        <f>_xlfn.COMPOUNDVALUE(490)</f>
        <v>3396</v>
      </c>
      <c r="E53" s="127">
        <v>2125334</v>
      </c>
      <c r="F53" s="126">
        <f>_xlfn.COMPOUNDVALUE(491)</f>
        <v>8105</v>
      </c>
      <c r="G53" s="127">
        <v>44546351</v>
      </c>
      <c r="H53" s="126">
        <f>_xlfn.COMPOUNDVALUE(492)</f>
        <v>629</v>
      </c>
      <c r="I53" s="128">
        <v>5287171</v>
      </c>
      <c r="J53" s="126">
        <v>593</v>
      </c>
      <c r="K53" s="128">
        <v>168309</v>
      </c>
      <c r="L53" s="126">
        <v>8890</v>
      </c>
      <c r="M53" s="128">
        <v>39427489</v>
      </c>
      <c r="N53" s="126">
        <v>9481</v>
      </c>
      <c r="O53" s="129">
        <v>499</v>
      </c>
      <c r="P53" s="129">
        <v>49</v>
      </c>
      <c r="Q53" s="130">
        <v>10029</v>
      </c>
      <c r="R53" s="77" t="s">
        <v>79</v>
      </c>
    </row>
    <row r="54" spans="1:18" ht="15.75" customHeight="1">
      <c r="A54" s="76"/>
      <c r="B54" s="126"/>
      <c r="C54" s="127"/>
      <c r="D54" s="126"/>
      <c r="E54" s="127"/>
      <c r="F54" s="126"/>
      <c r="G54" s="127"/>
      <c r="H54" s="126"/>
      <c r="I54" s="128"/>
      <c r="J54" s="126"/>
      <c r="K54" s="128"/>
      <c r="L54" s="126"/>
      <c r="M54" s="128"/>
      <c r="N54" s="126"/>
      <c r="O54" s="129"/>
      <c r="P54" s="129"/>
      <c r="Q54" s="130"/>
      <c r="R54" s="77" t="s">
        <v>38</v>
      </c>
    </row>
    <row r="55" spans="1:18" ht="15.75" customHeight="1">
      <c r="A55" s="76" t="s">
        <v>80</v>
      </c>
      <c r="B55" s="126">
        <f>_xlfn.COMPOUNDVALUE(493)</f>
        <v>23587</v>
      </c>
      <c r="C55" s="127">
        <v>491129725</v>
      </c>
      <c r="D55" s="126">
        <f>_xlfn.COMPOUNDVALUE(494)</f>
        <v>8164</v>
      </c>
      <c r="E55" s="127">
        <v>6069474</v>
      </c>
      <c r="F55" s="126">
        <f>_xlfn.COMPOUNDVALUE(495)</f>
        <v>31751</v>
      </c>
      <c r="G55" s="127">
        <v>497199199</v>
      </c>
      <c r="H55" s="126">
        <f>_xlfn.COMPOUNDVALUE(496)</f>
        <v>3233</v>
      </c>
      <c r="I55" s="128">
        <v>113389141</v>
      </c>
      <c r="J55" s="126">
        <v>2444</v>
      </c>
      <c r="K55" s="128">
        <v>370737</v>
      </c>
      <c r="L55" s="126">
        <v>35579</v>
      </c>
      <c r="M55" s="128">
        <v>384180795</v>
      </c>
      <c r="N55" s="126">
        <v>36502</v>
      </c>
      <c r="O55" s="129">
        <v>2164</v>
      </c>
      <c r="P55" s="129">
        <v>735</v>
      </c>
      <c r="Q55" s="130">
        <v>39401</v>
      </c>
      <c r="R55" s="77" t="s">
        <v>80</v>
      </c>
    </row>
    <row r="56" spans="1:18" ht="15.75" customHeight="1">
      <c r="A56" s="76" t="s">
        <v>81</v>
      </c>
      <c r="B56" s="126">
        <f>_xlfn.COMPOUNDVALUE(497)</f>
        <v>5440</v>
      </c>
      <c r="C56" s="127">
        <v>69855476</v>
      </c>
      <c r="D56" s="126">
        <f>_xlfn.COMPOUNDVALUE(498)</f>
        <v>3386</v>
      </c>
      <c r="E56" s="127">
        <v>2011859</v>
      </c>
      <c r="F56" s="126">
        <f>_xlfn.COMPOUNDVALUE(499)</f>
        <v>8826</v>
      </c>
      <c r="G56" s="127">
        <v>71867334</v>
      </c>
      <c r="H56" s="126">
        <f>_xlfn.COMPOUNDVALUE(500)</f>
        <v>713</v>
      </c>
      <c r="I56" s="128">
        <v>4080715</v>
      </c>
      <c r="J56" s="126">
        <v>702</v>
      </c>
      <c r="K56" s="128">
        <v>66506</v>
      </c>
      <c r="L56" s="126">
        <v>9736</v>
      </c>
      <c r="M56" s="128">
        <v>67853125</v>
      </c>
      <c r="N56" s="126">
        <v>10625</v>
      </c>
      <c r="O56" s="129">
        <v>542</v>
      </c>
      <c r="P56" s="129">
        <v>61</v>
      </c>
      <c r="Q56" s="130">
        <v>11228</v>
      </c>
      <c r="R56" s="77" t="s">
        <v>81</v>
      </c>
    </row>
    <row r="57" spans="1:18" ht="15.75" customHeight="1">
      <c r="A57" s="76" t="s">
        <v>82</v>
      </c>
      <c r="B57" s="126">
        <f>_xlfn.COMPOUNDVALUE(501)</f>
        <v>4342</v>
      </c>
      <c r="C57" s="127">
        <v>22459480</v>
      </c>
      <c r="D57" s="126">
        <f>_xlfn.COMPOUNDVALUE(502)</f>
        <v>3120</v>
      </c>
      <c r="E57" s="127">
        <v>1784092</v>
      </c>
      <c r="F57" s="126">
        <f>_xlfn.COMPOUNDVALUE(503)</f>
        <v>7462</v>
      </c>
      <c r="G57" s="127">
        <v>24243572</v>
      </c>
      <c r="H57" s="126">
        <f>_xlfn.COMPOUNDVALUE(504)</f>
        <v>481</v>
      </c>
      <c r="I57" s="128">
        <v>1726703</v>
      </c>
      <c r="J57" s="126">
        <v>605</v>
      </c>
      <c r="K57" s="128">
        <v>128759</v>
      </c>
      <c r="L57" s="126">
        <v>8149</v>
      </c>
      <c r="M57" s="128">
        <v>22645628</v>
      </c>
      <c r="N57" s="126">
        <v>8756</v>
      </c>
      <c r="O57" s="129">
        <v>398</v>
      </c>
      <c r="P57" s="129">
        <v>36</v>
      </c>
      <c r="Q57" s="130">
        <v>9190</v>
      </c>
      <c r="R57" s="77" t="s">
        <v>82</v>
      </c>
    </row>
    <row r="58" spans="1:18" ht="15.75" customHeight="1">
      <c r="A58" s="76" t="s">
        <v>83</v>
      </c>
      <c r="B58" s="126">
        <f>_xlfn.COMPOUNDVALUE(505)</f>
        <v>3257</v>
      </c>
      <c r="C58" s="127">
        <v>17765292</v>
      </c>
      <c r="D58" s="126">
        <f>_xlfn.COMPOUNDVALUE(506)</f>
        <v>2527</v>
      </c>
      <c r="E58" s="127">
        <v>1473818</v>
      </c>
      <c r="F58" s="126">
        <f>_xlfn.COMPOUNDVALUE(507)</f>
        <v>5784</v>
      </c>
      <c r="G58" s="127">
        <v>19239109</v>
      </c>
      <c r="H58" s="126">
        <f>_xlfn.COMPOUNDVALUE(508)</f>
        <v>402</v>
      </c>
      <c r="I58" s="128">
        <v>918594</v>
      </c>
      <c r="J58" s="126">
        <v>455</v>
      </c>
      <c r="K58" s="128">
        <v>44191</v>
      </c>
      <c r="L58" s="126">
        <v>6309</v>
      </c>
      <c r="M58" s="128">
        <v>18364706</v>
      </c>
      <c r="N58" s="126">
        <v>6664</v>
      </c>
      <c r="O58" s="129">
        <v>335</v>
      </c>
      <c r="P58" s="129">
        <v>24</v>
      </c>
      <c r="Q58" s="130">
        <v>7023</v>
      </c>
      <c r="R58" s="77" t="s">
        <v>83</v>
      </c>
    </row>
    <row r="59" spans="1:18" ht="15.75" customHeight="1">
      <c r="A59" s="76" t="s">
        <v>84</v>
      </c>
      <c r="B59" s="126">
        <f>_xlfn.COMPOUNDVALUE(509)</f>
        <v>9765</v>
      </c>
      <c r="C59" s="127">
        <v>111662161</v>
      </c>
      <c r="D59" s="126">
        <f>_xlfn.COMPOUNDVALUE(510)</f>
        <v>4453</v>
      </c>
      <c r="E59" s="127">
        <v>2958233</v>
      </c>
      <c r="F59" s="126">
        <f>_xlfn.COMPOUNDVALUE(511)</f>
        <v>14218</v>
      </c>
      <c r="G59" s="127">
        <v>114620394</v>
      </c>
      <c r="H59" s="126">
        <f>_xlfn.COMPOUNDVALUE(512)</f>
        <v>1659</v>
      </c>
      <c r="I59" s="128">
        <v>13212215</v>
      </c>
      <c r="J59" s="126">
        <v>1403</v>
      </c>
      <c r="K59" s="128">
        <v>612804</v>
      </c>
      <c r="L59" s="126">
        <v>16203</v>
      </c>
      <c r="M59" s="128">
        <v>102020983</v>
      </c>
      <c r="N59" s="126">
        <v>16348</v>
      </c>
      <c r="O59" s="129">
        <v>968</v>
      </c>
      <c r="P59" s="129">
        <v>177</v>
      </c>
      <c r="Q59" s="130">
        <v>17493</v>
      </c>
      <c r="R59" s="77" t="s">
        <v>84</v>
      </c>
    </row>
    <row r="60" spans="1:18" ht="15.75" customHeight="1">
      <c r="A60" s="76"/>
      <c r="B60" s="126"/>
      <c r="C60" s="127"/>
      <c r="D60" s="126"/>
      <c r="E60" s="127"/>
      <c r="F60" s="126"/>
      <c r="G60" s="127"/>
      <c r="H60" s="126"/>
      <c r="I60" s="128"/>
      <c r="J60" s="126"/>
      <c r="K60" s="128"/>
      <c r="L60" s="126"/>
      <c r="M60" s="128"/>
      <c r="N60" s="126"/>
      <c r="O60" s="129"/>
      <c r="P60" s="129"/>
      <c r="Q60" s="130"/>
      <c r="R60" s="77" t="s">
        <v>38</v>
      </c>
    </row>
    <row r="61" spans="1:18" ht="15.75" customHeight="1">
      <c r="A61" s="76" t="s">
        <v>85</v>
      </c>
      <c r="B61" s="126">
        <f>_xlfn.COMPOUNDVALUE(513)</f>
        <v>4790</v>
      </c>
      <c r="C61" s="127">
        <v>49897155</v>
      </c>
      <c r="D61" s="126">
        <f>_xlfn.COMPOUNDVALUE(514)</f>
        <v>3017</v>
      </c>
      <c r="E61" s="127">
        <v>1622337</v>
      </c>
      <c r="F61" s="126">
        <f>_xlfn.COMPOUNDVALUE(515)</f>
        <v>7807</v>
      </c>
      <c r="G61" s="127">
        <v>51519492</v>
      </c>
      <c r="H61" s="126">
        <f>_xlfn.COMPOUNDVALUE(516)</f>
        <v>610</v>
      </c>
      <c r="I61" s="128">
        <v>4981946</v>
      </c>
      <c r="J61" s="126">
        <v>564</v>
      </c>
      <c r="K61" s="128">
        <v>186624</v>
      </c>
      <c r="L61" s="126">
        <v>8573</v>
      </c>
      <c r="M61" s="128">
        <v>46724170</v>
      </c>
      <c r="N61" s="126">
        <v>8510</v>
      </c>
      <c r="O61" s="129">
        <v>352</v>
      </c>
      <c r="P61" s="129">
        <v>31</v>
      </c>
      <c r="Q61" s="130">
        <v>8893</v>
      </c>
      <c r="R61" s="77" t="s">
        <v>85</v>
      </c>
    </row>
    <row r="62" spans="1:18" ht="15.75" customHeight="1">
      <c r="A62" s="76" t="s">
        <v>86</v>
      </c>
      <c r="B62" s="126">
        <f>_xlfn.COMPOUNDVALUE(517)</f>
        <v>4071</v>
      </c>
      <c r="C62" s="127">
        <v>26967826</v>
      </c>
      <c r="D62" s="126">
        <f>_xlfn.COMPOUNDVALUE(518)</f>
        <v>2384</v>
      </c>
      <c r="E62" s="127">
        <v>1224587</v>
      </c>
      <c r="F62" s="126">
        <f>_xlfn.COMPOUNDVALUE(519)</f>
        <v>6455</v>
      </c>
      <c r="G62" s="127">
        <v>28192413</v>
      </c>
      <c r="H62" s="126">
        <f>_xlfn.COMPOUNDVALUE(520)</f>
        <v>538</v>
      </c>
      <c r="I62" s="128">
        <v>1928667</v>
      </c>
      <c r="J62" s="126">
        <v>521</v>
      </c>
      <c r="K62" s="128">
        <v>-49097</v>
      </c>
      <c r="L62" s="126">
        <v>7173</v>
      </c>
      <c r="M62" s="128">
        <v>26214649</v>
      </c>
      <c r="N62" s="126">
        <v>7195</v>
      </c>
      <c r="O62" s="129">
        <v>339</v>
      </c>
      <c r="P62" s="129">
        <v>30</v>
      </c>
      <c r="Q62" s="130">
        <v>7564</v>
      </c>
      <c r="R62" s="77" t="s">
        <v>86</v>
      </c>
    </row>
    <row r="63" spans="1:18" ht="15.75" customHeight="1">
      <c r="A63" s="76" t="s">
        <v>87</v>
      </c>
      <c r="B63" s="126">
        <f>_xlfn.COMPOUNDVALUE(521)</f>
        <v>7739</v>
      </c>
      <c r="C63" s="127">
        <v>47967646</v>
      </c>
      <c r="D63" s="126">
        <f>_xlfn.COMPOUNDVALUE(522)</f>
        <v>4737</v>
      </c>
      <c r="E63" s="127">
        <v>2616696</v>
      </c>
      <c r="F63" s="126">
        <f>_xlfn.COMPOUNDVALUE(523)</f>
        <v>12476</v>
      </c>
      <c r="G63" s="127">
        <v>50584342</v>
      </c>
      <c r="H63" s="126">
        <f>_xlfn.COMPOUNDVALUE(524)</f>
        <v>772</v>
      </c>
      <c r="I63" s="128">
        <v>4265044</v>
      </c>
      <c r="J63" s="126">
        <v>900</v>
      </c>
      <c r="K63" s="128">
        <v>107142</v>
      </c>
      <c r="L63" s="126">
        <v>13509</v>
      </c>
      <c r="M63" s="128">
        <v>46426440</v>
      </c>
      <c r="N63" s="126">
        <v>13894</v>
      </c>
      <c r="O63" s="129">
        <v>522</v>
      </c>
      <c r="P63" s="129">
        <v>59</v>
      </c>
      <c r="Q63" s="130">
        <v>14475</v>
      </c>
      <c r="R63" s="77" t="s">
        <v>87</v>
      </c>
    </row>
    <row r="64" spans="1:18" ht="15.75" customHeight="1">
      <c r="A64" s="76" t="s">
        <v>88</v>
      </c>
      <c r="B64" s="126">
        <f>_xlfn.COMPOUNDVALUE(525)</f>
        <v>5399</v>
      </c>
      <c r="C64" s="127">
        <v>21664193</v>
      </c>
      <c r="D64" s="126">
        <f>_xlfn.COMPOUNDVALUE(526)</f>
        <v>3896</v>
      </c>
      <c r="E64" s="127">
        <v>2196260</v>
      </c>
      <c r="F64" s="126">
        <f>_xlfn.COMPOUNDVALUE(527)</f>
        <v>9295</v>
      </c>
      <c r="G64" s="127">
        <v>23860453</v>
      </c>
      <c r="H64" s="126">
        <f>_xlfn.COMPOUNDVALUE(528)</f>
        <v>588</v>
      </c>
      <c r="I64" s="128">
        <v>1644693</v>
      </c>
      <c r="J64" s="126">
        <v>775</v>
      </c>
      <c r="K64" s="128">
        <v>179314</v>
      </c>
      <c r="L64" s="126">
        <v>10171</v>
      </c>
      <c r="M64" s="128">
        <v>22395074</v>
      </c>
      <c r="N64" s="126">
        <v>10539</v>
      </c>
      <c r="O64" s="129">
        <v>436</v>
      </c>
      <c r="P64" s="129">
        <v>26</v>
      </c>
      <c r="Q64" s="130">
        <v>11001</v>
      </c>
      <c r="R64" s="77" t="s">
        <v>88</v>
      </c>
    </row>
    <row r="65" spans="1:18" ht="15.75" customHeight="1">
      <c r="A65" s="78" t="s">
        <v>89</v>
      </c>
      <c r="B65" s="131">
        <f>_xlfn.COMPOUNDVALUE(529)</f>
        <v>3173</v>
      </c>
      <c r="C65" s="132">
        <v>9153573</v>
      </c>
      <c r="D65" s="131">
        <f>_xlfn.COMPOUNDVALUE(530)</f>
        <v>2615</v>
      </c>
      <c r="E65" s="132">
        <v>1446211</v>
      </c>
      <c r="F65" s="131">
        <f>_xlfn.COMPOUNDVALUE(531)</f>
        <v>5788</v>
      </c>
      <c r="G65" s="132">
        <v>10599784</v>
      </c>
      <c r="H65" s="131">
        <f>_xlfn.COMPOUNDVALUE(532)</f>
        <v>309</v>
      </c>
      <c r="I65" s="133">
        <v>855514</v>
      </c>
      <c r="J65" s="131">
        <v>473</v>
      </c>
      <c r="K65" s="133">
        <v>156499</v>
      </c>
      <c r="L65" s="131">
        <v>6247</v>
      </c>
      <c r="M65" s="133">
        <v>9900769</v>
      </c>
      <c r="N65" s="126">
        <v>6769</v>
      </c>
      <c r="O65" s="129">
        <v>215</v>
      </c>
      <c r="P65" s="129">
        <v>14</v>
      </c>
      <c r="Q65" s="130">
        <v>6998</v>
      </c>
      <c r="R65" s="77" t="s">
        <v>89</v>
      </c>
    </row>
    <row r="66" spans="1:18" ht="15.75" customHeight="1">
      <c r="A66" s="78"/>
      <c r="B66" s="131"/>
      <c r="C66" s="132"/>
      <c r="D66" s="131"/>
      <c r="E66" s="132"/>
      <c r="F66" s="131"/>
      <c r="G66" s="132"/>
      <c r="H66" s="131"/>
      <c r="I66" s="133"/>
      <c r="J66" s="131"/>
      <c r="K66" s="133"/>
      <c r="L66" s="131"/>
      <c r="M66" s="133"/>
      <c r="N66" s="126"/>
      <c r="O66" s="129"/>
      <c r="P66" s="129"/>
      <c r="Q66" s="130"/>
      <c r="R66" s="77" t="s">
        <v>38</v>
      </c>
    </row>
    <row r="67" spans="1:18" ht="15.75" customHeight="1">
      <c r="A67" s="78" t="s">
        <v>90</v>
      </c>
      <c r="B67" s="131">
        <f>_xlfn.COMPOUNDVALUE(533)</f>
        <v>5804</v>
      </c>
      <c r="C67" s="132">
        <v>25916174</v>
      </c>
      <c r="D67" s="131">
        <f>_xlfn.COMPOUNDVALUE(534)</f>
        <v>3593</v>
      </c>
      <c r="E67" s="132">
        <v>1982712</v>
      </c>
      <c r="F67" s="131">
        <f>_xlfn.COMPOUNDVALUE(535)</f>
        <v>9397</v>
      </c>
      <c r="G67" s="132">
        <v>27898886</v>
      </c>
      <c r="H67" s="131">
        <f>_xlfn.COMPOUNDVALUE(536)</f>
        <v>509</v>
      </c>
      <c r="I67" s="133">
        <v>2924228</v>
      </c>
      <c r="J67" s="131">
        <v>839</v>
      </c>
      <c r="K67" s="133">
        <v>168107</v>
      </c>
      <c r="L67" s="131">
        <v>10125</v>
      </c>
      <c r="M67" s="133">
        <v>25142765</v>
      </c>
      <c r="N67" s="126">
        <v>10510</v>
      </c>
      <c r="O67" s="129">
        <v>338</v>
      </c>
      <c r="P67" s="129">
        <v>36</v>
      </c>
      <c r="Q67" s="130">
        <v>10884</v>
      </c>
      <c r="R67" s="77" t="s">
        <v>90</v>
      </c>
    </row>
    <row r="68" spans="1:18" ht="15.75" customHeight="1">
      <c r="A68" s="78" t="s">
        <v>91</v>
      </c>
      <c r="B68" s="131">
        <f>_xlfn.COMPOUNDVALUE(537)</f>
        <v>4657</v>
      </c>
      <c r="C68" s="132">
        <v>19328563</v>
      </c>
      <c r="D68" s="131">
        <f>_xlfn.COMPOUNDVALUE(538)</f>
        <v>3097</v>
      </c>
      <c r="E68" s="132">
        <v>1653697</v>
      </c>
      <c r="F68" s="131">
        <f>_xlfn.COMPOUNDVALUE(539)</f>
        <v>7754</v>
      </c>
      <c r="G68" s="132">
        <v>20982260</v>
      </c>
      <c r="H68" s="131">
        <f>_xlfn.COMPOUNDVALUE(540)</f>
        <v>436</v>
      </c>
      <c r="I68" s="133">
        <v>2310389</v>
      </c>
      <c r="J68" s="131">
        <v>509</v>
      </c>
      <c r="K68" s="133">
        <v>20006</v>
      </c>
      <c r="L68" s="131">
        <v>8406</v>
      </c>
      <c r="M68" s="133">
        <v>18691877</v>
      </c>
      <c r="N68" s="126">
        <v>8559</v>
      </c>
      <c r="O68" s="129">
        <v>241</v>
      </c>
      <c r="P68" s="129">
        <v>26</v>
      </c>
      <c r="Q68" s="130">
        <v>8826</v>
      </c>
      <c r="R68" s="77" t="s">
        <v>91</v>
      </c>
    </row>
    <row r="69" spans="1:18" ht="15.75" customHeight="1">
      <c r="A69" s="78" t="s">
        <v>92</v>
      </c>
      <c r="B69" s="131">
        <f>_xlfn.COMPOUNDVALUE(541)</f>
        <v>6042</v>
      </c>
      <c r="C69" s="132">
        <v>24287879</v>
      </c>
      <c r="D69" s="131">
        <f>_xlfn.COMPOUNDVALUE(542)</f>
        <v>4461</v>
      </c>
      <c r="E69" s="132">
        <v>2380641</v>
      </c>
      <c r="F69" s="131">
        <f>_xlfn.COMPOUNDVALUE(543)</f>
        <v>10503</v>
      </c>
      <c r="G69" s="132">
        <v>26668520</v>
      </c>
      <c r="H69" s="131">
        <f>_xlfn.COMPOUNDVALUE(544)</f>
        <v>636</v>
      </c>
      <c r="I69" s="133">
        <v>2106474</v>
      </c>
      <c r="J69" s="131">
        <v>875</v>
      </c>
      <c r="K69" s="133">
        <v>136151</v>
      </c>
      <c r="L69" s="131">
        <v>11414</v>
      </c>
      <c r="M69" s="133">
        <v>24698197</v>
      </c>
      <c r="N69" s="126">
        <v>11820</v>
      </c>
      <c r="O69" s="129">
        <v>430</v>
      </c>
      <c r="P69" s="129">
        <v>29</v>
      </c>
      <c r="Q69" s="130">
        <v>12279</v>
      </c>
      <c r="R69" s="77" t="s">
        <v>92</v>
      </c>
    </row>
    <row r="70" spans="1:18" ht="15.75" customHeight="1">
      <c r="A70" s="78" t="s">
        <v>93</v>
      </c>
      <c r="B70" s="131">
        <f>_xlfn.COMPOUNDVALUE(545)</f>
        <v>6750</v>
      </c>
      <c r="C70" s="132">
        <v>28189300</v>
      </c>
      <c r="D70" s="131">
        <f>_xlfn.COMPOUNDVALUE(546)</f>
        <v>4416</v>
      </c>
      <c r="E70" s="132">
        <v>2358130</v>
      </c>
      <c r="F70" s="131">
        <f>_xlfn.COMPOUNDVALUE(547)</f>
        <v>11166</v>
      </c>
      <c r="G70" s="132">
        <v>30547429</v>
      </c>
      <c r="H70" s="131">
        <f>_xlfn.COMPOUNDVALUE(548)</f>
        <v>638</v>
      </c>
      <c r="I70" s="133">
        <v>2668208</v>
      </c>
      <c r="J70" s="131">
        <v>781</v>
      </c>
      <c r="K70" s="133">
        <v>45666</v>
      </c>
      <c r="L70" s="131">
        <v>12053</v>
      </c>
      <c r="M70" s="133">
        <v>27924887</v>
      </c>
      <c r="N70" s="126">
        <v>12606</v>
      </c>
      <c r="O70" s="129">
        <v>381</v>
      </c>
      <c r="P70" s="129">
        <v>34</v>
      </c>
      <c r="Q70" s="130">
        <v>13021</v>
      </c>
      <c r="R70" s="77" t="s">
        <v>93</v>
      </c>
    </row>
    <row r="71" spans="1:18" ht="15.75" customHeight="1">
      <c r="A71" s="78" t="s">
        <v>94</v>
      </c>
      <c r="B71" s="131">
        <f>_xlfn.COMPOUNDVALUE(549)</f>
        <v>3194</v>
      </c>
      <c r="C71" s="132">
        <v>19326777</v>
      </c>
      <c r="D71" s="131">
        <f>_xlfn.COMPOUNDVALUE(550)</f>
        <v>1974</v>
      </c>
      <c r="E71" s="132">
        <v>1156440</v>
      </c>
      <c r="F71" s="131">
        <f>_xlfn.COMPOUNDVALUE(551)</f>
        <v>5168</v>
      </c>
      <c r="G71" s="132">
        <v>20483217</v>
      </c>
      <c r="H71" s="131">
        <f>_xlfn.COMPOUNDVALUE(552)</f>
        <v>335</v>
      </c>
      <c r="I71" s="133">
        <v>2001874</v>
      </c>
      <c r="J71" s="131">
        <v>425</v>
      </c>
      <c r="K71" s="133">
        <v>186251</v>
      </c>
      <c r="L71" s="131">
        <v>5641</v>
      </c>
      <c r="M71" s="133">
        <v>18667594</v>
      </c>
      <c r="N71" s="126">
        <v>5724</v>
      </c>
      <c r="O71" s="129">
        <v>271</v>
      </c>
      <c r="P71" s="129">
        <v>18</v>
      </c>
      <c r="Q71" s="130">
        <v>6013</v>
      </c>
      <c r="R71" s="77" t="s">
        <v>94</v>
      </c>
    </row>
    <row r="72" spans="1:18" ht="15.75" customHeight="1">
      <c r="A72" s="160" t="s">
        <v>95</v>
      </c>
      <c r="B72" s="161">
        <v>278603</v>
      </c>
      <c r="C72" s="162">
        <v>6202747311</v>
      </c>
      <c r="D72" s="161">
        <v>130982</v>
      </c>
      <c r="E72" s="162">
        <v>83890028</v>
      </c>
      <c r="F72" s="161">
        <v>409585</v>
      </c>
      <c r="G72" s="162">
        <v>6286637335</v>
      </c>
      <c r="H72" s="161">
        <v>48034</v>
      </c>
      <c r="I72" s="163">
        <v>2082138121</v>
      </c>
      <c r="J72" s="161">
        <v>33409</v>
      </c>
      <c r="K72" s="163">
        <v>12892435</v>
      </c>
      <c r="L72" s="161">
        <v>465924</v>
      </c>
      <c r="M72" s="163">
        <v>4217391649</v>
      </c>
      <c r="N72" s="161">
        <v>461651</v>
      </c>
      <c r="O72" s="183">
        <v>33676</v>
      </c>
      <c r="P72" s="183">
        <v>5957</v>
      </c>
      <c r="Q72" s="184">
        <v>501284</v>
      </c>
      <c r="R72" s="164" t="s">
        <v>96</v>
      </c>
    </row>
    <row r="73" spans="1:18" ht="15.75" customHeight="1">
      <c r="A73" s="175"/>
      <c r="B73" s="176"/>
      <c r="C73" s="177"/>
      <c r="D73" s="176"/>
      <c r="E73" s="177"/>
      <c r="F73" s="176"/>
      <c r="G73" s="177"/>
      <c r="H73" s="176"/>
      <c r="I73" s="178"/>
      <c r="J73" s="176"/>
      <c r="K73" s="178"/>
      <c r="L73" s="176"/>
      <c r="M73" s="178"/>
      <c r="N73" s="188"/>
      <c r="O73" s="189"/>
      <c r="P73" s="189"/>
      <c r="Q73" s="190"/>
      <c r="R73" s="179" t="s">
        <v>38</v>
      </c>
    </row>
    <row r="74" spans="1:18" ht="15.75" customHeight="1">
      <c r="A74" s="76" t="s">
        <v>97</v>
      </c>
      <c r="B74" s="126">
        <f>_xlfn.COMPOUNDVALUE(553)</f>
        <v>6103</v>
      </c>
      <c r="C74" s="127">
        <v>30172581</v>
      </c>
      <c r="D74" s="126">
        <f>_xlfn.COMPOUNDVALUE(554)</f>
        <v>4448</v>
      </c>
      <c r="E74" s="127">
        <v>2431614</v>
      </c>
      <c r="F74" s="126">
        <f>_xlfn.COMPOUNDVALUE(555)</f>
        <v>10551</v>
      </c>
      <c r="G74" s="127">
        <v>32604195</v>
      </c>
      <c r="H74" s="126">
        <f>_xlfn.COMPOUNDVALUE(556)</f>
        <v>538</v>
      </c>
      <c r="I74" s="128">
        <v>16171634</v>
      </c>
      <c r="J74" s="126">
        <v>856</v>
      </c>
      <c r="K74" s="128">
        <v>119714</v>
      </c>
      <c r="L74" s="126">
        <v>11341</v>
      </c>
      <c r="M74" s="128">
        <v>16552275</v>
      </c>
      <c r="N74" s="126">
        <v>11518</v>
      </c>
      <c r="O74" s="129">
        <v>384</v>
      </c>
      <c r="P74" s="129">
        <v>28</v>
      </c>
      <c r="Q74" s="130">
        <v>11930</v>
      </c>
      <c r="R74" s="86" t="s">
        <v>97</v>
      </c>
    </row>
    <row r="75" spans="1:18" ht="15.75" customHeight="1">
      <c r="A75" s="78" t="s">
        <v>98</v>
      </c>
      <c r="B75" s="131">
        <f>_xlfn.COMPOUNDVALUE(557)</f>
        <v>7543</v>
      </c>
      <c r="C75" s="132">
        <v>42474057</v>
      </c>
      <c r="D75" s="131">
        <f>_xlfn.COMPOUNDVALUE(558)</f>
        <v>5746</v>
      </c>
      <c r="E75" s="132">
        <v>3217768</v>
      </c>
      <c r="F75" s="131">
        <f>_xlfn.COMPOUNDVALUE(559)</f>
        <v>13289</v>
      </c>
      <c r="G75" s="132">
        <v>45691825</v>
      </c>
      <c r="H75" s="131">
        <f>_xlfn.COMPOUNDVALUE(560)</f>
        <v>673</v>
      </c>
      <c r="I75" s="133">
        <v>4491310</v>
      </c>
      <c r="J75" s="131">
        <v>1069</v>
      </c>
      <c r="K75" s="133">
        <v>163496</v>
      </c>
      <c r="L75" s="131">
        <v>14258</v>
      </c>
      <c r="M75" s="133">
        <v>41364011</v>
      </c>
      <c r="N75" s="126">
        <v>14355</v>
      </c>
      <c r="O75" s="129">
        <v>503</v>
      </c>
      <c r="P75" s="129">
        <v>41</v>
      </c>
      <c r="Q75" s="130">
        <v>14899</v>
      </c>
      <c r="R75" s="77" t="s">
        <v>98</v>
      </c>
    </row>
    <row r="76" spans="1:18" ht="15.75" customHeight="1">
      <c r="A76" s="78" t="s">
        <v>99</v>
      </c>
      <c r="B76" s="131">
        <f>_xlfn.COMPOUNDVALUE(561)</f>
        <v>5272</v>
      </c>
      <c r="C76" s="132">
        <v>36597895</v>
      </c>
      <c r="D76" s="131">
        <f>_xlfn.COMPOUNDVALUE(562)</f>
        <v>4355</v>
      </c>
      <c r="E76" s="132">
        <v>2558298</v>
      </c>
      <c r="F76" s="131">
        <f>_xlfn.COMPOUNDVALUE(563)</f>
        <v>9627</v>
      </c>
      <c r="G76" s="132">
        <v>39156193</v>
      </c>
      <c r="H76" s="131">
        <f>_xlfn.COMPOUNDVALUE(564)</f>
        <v>584</v>
      </c>
      <c r="I76" s="133">
        <v>7679235</v>
      </c>
      <c r="J76" s="131">
        <v>606</v>
      </c>
      <c r="K76" s="133">
        <v>111700</v>
      </c>
      <c r="L76" s="131">
        <v>10402</v>
      </c>
      <c r="M76" s="133">
        <v>31588658</v>
      </c>
      <c r="N76" s="126">
        <v>10764</v>
      </c>
      <c r="O76" s="129">
        <v>462</v>
      </c>
      <c r="P76" s="129">
        <v>52</v>
      </c>
      <c r="Q76" s="130">
        <v>11278</v>
      </c>
      <c r="R76" s="77" t="s">
        <v>99</v>
      </c>
    </row>
    <row r="77" spans="1:18" ht="15.75" customHeight="1">
      <c r="A77" s="78" t="s">
        <v>100</v>
      </c>
      <c r="B77" s="131">
        <f>_xlfn.COMPOUNDVALUE(565)</f>
        <v>4623</v>
      </c>
      <c r="C77" s="132">
        <v>20653251</v>
      </c>
      <c r="D77" s="131">
        <f>_xlfn.COMPOUNDVALUE(566)</f>
        <v>3462</v>
      </c>
      <c r="E77" s="132">
        <v>1812153</v>
      </c>
      <c r="F77" s="131">
        <f>_xlfn.COMPOUNDVALUE(567)</f>
        <v>8085</v>
      </c>
      <c r="G77" s="132">
        <v>22465403</v>
      </c>
      <c r="H77" s="131">
        <f>_xlfn.COMPOUNDVALUE(568)</f>
        <v>282</v>
      </c>
      <c r="I77" s="133">
        <v>2526297</v>
      </c>
      <c r="J77" s="131">
        <v>685</v>
      </c>
      <c r="K77" s="133">
        <v>188708</v>
      </c>
      <c r="L77" s="131">
        <v>8555</v>
      </c>
      <c r="M77" s="133">
        <v>20127814</v>
      </c>
      <c r="N77" s="126">
        <v>8726</v>
      </c>
      <c r="O77" s="129">
        <v>196</v>
      </c>
      <c r="P77" s="129">
        <v>12</v>
      </c>
      <c r="Q77" s="130">
        <v>8934</v>
      </c>
      <c r="R77" s="77" t="s">
        <v>100</v>
      </c>
    </row>
    <row r="78" spans="1:18" ht="15.75" customHeight="1">
      <c r="A78" s="78" t="s">
        <v>101</v>
      </c>
      <c r="B78" s="131">
        <f>_xlfn.COMPOUNDVALUE(569)</f>
        <v>6087</v>
      </c>
      <c r="C78" s="132">
        <v>40773321</v>
      </c>
      <c r="D78" s="131">
        <f>_xlfn.COMPOUNDVALUE(570)</f>
        <v>4636</v>
      </c>
      <c r="E78" s="132">
        <v>2532289</v>
      </c>
      <c r="F78" s="131">
        <f>_xlfn.COMPOUNDVALUE(571)</f>
        <v>10723</v>
      </c>
      <c r="G78" s="132">
        <v>43305609</v>
      </c>
      <c r="H78" s="131">
        <f>_xlfn.COMPOUNDVALUE(572)</f>
        <v>507</v>
      </c>
      <c r="I78" s="133">
        <v>6943910</v>
      </c>
      <c r="J78" s="131">
        <v>788</v>
      </c>
      <c r="K78" s="133">
        <v>200183</v>
      </c>
      <c r="L78" s="131">
        <v>11504</v>
      </c>
      <c r="M78" s="133">
        <v>36561882</v>
      </c>
      <c r="N78" s="126">
        <v>11930</v>
      </c>
      <c r="O78" s="129">
        <v>418</v>
      </c>
      <c r="P78" s="129">
        <v>26</v>
      </c>
      <c r="Q78" s="130">
        <v>12374</v>
      </c>
      <c r="R78" s="77" t="s">
        <v>101</v>
      </c>
    </row>
    <row r="79" spans="1:18" ht="15.75" customHeight="1">
      <c r="A79" s="103"/>
      <c r="B79" s="139"/>
      <c r="C79" s="140"/>
      <c r="D79" s="139"/>
      <c r="E79" s="140"/>
      <c r="F79" s="139"/>
      <c r="G79" s="140"/>
      <c r="H79" s="139"/>
      <c r="I79" s="141"/>
      <c r="J79" s="139"/>
      <c r="K79" s="141"/>
      <c r="L79" s="139"/>
      <c r="M79" s="140"/>
      <c r="N79" s="126"/>
      <c r="O79" s="129"/>
      <c r="P79" s="129"/>
      <c r="Q79" s="130"/>
      <c r="R79" s="105" t="s">
        <v>38</v>
      </c>
    </row>
    <row r="80" spans="1:18" ht="15.75" customHeight="1">
      <c r="A80" s="98" t="s">
        <v>102</v>
      </c>
      <c r="B80" s="126">
        <f>_xlfn.COMPOUNDVALUE(573)</f>
        <v>4272</v>
      </c>
      <c r="C80" s="127">
        <v>16975583</v>
      </c>
      <c r="D80" s="126">
        <f>_xlfn.COMPOUNDVALUE(574)</f>
        <v>3384</v>
      </c>
      <c r="E80" s="127">
        <v>1892797</v>
      </c>
      <c r="F80" s="126">
        <f>_xlfn.COMPOUNDVALUE(575)</f>
        <v>7656</v>
      </c>
      <c r="G80" s="127">
        <v>18868380</v>
      </c>
      <c r="H80" s="126">
        <f>_xlfn.COMPOUNDVALUE(576)</f>
        <v>408</v>
      </c>
      <c r="I80" s="128">
        <v>1461477</v>
      </c>
      <c r="J80" s="126">
        <v>561</v>
      </c>
      <c r="K80" s="128">
        <v>67930</v>
      </c>
      <c r="L80" s="126">
        <v>8225</v>
      </c>
      <c r="M80" s="128">
        <v>17474833</v>
      </c>
      <c r="N80" s="126">
        <v>8554</v>
      </c>
      <c r="O80" s="129">
        <v>305</v>
      </c>
      <c r="P80" s="129">
        <v>32</v>
      </c>
      <c r="Q80" s="130">
        <v>8891</v>
      </c>
      <c r="R80" s="97" t="s">
        <v>102</v>
      </c>
    </row>
    <row r="81" spans="1:18" ht="15.75" customHeight="1">
      <c r="A81" s="78" t="s">
        <v>103</v>
      </c>
      <c r="B81" s="131">
        <f>_xlfn.COMPOUNDVALUE(577)</f>
        <v>3315</v>
      </c>
      <c r="C81" s="132">
        <v>19194665</v>
      </c>
      <c r="D81" s="131">
        <f>_xlfn.COMPOUNDVALUE(578)</f>
        <v>2548</v>
      </c>
      <c r="E81" s="132">
        <v>1369449</v>
      </c>
      <c r="F81" s="131">
        <f>_xlfn.COMPOUNDVALUE(579)</f>
        <v>5863</v>
      </c>
      <c r="G81" s="132">
        <v>20564114</v>
      </c>
      <c r="H81" s="131">
        <f>_xlfn.COMPOUNDVALUE(580)</f>
        <v>361</v>
      </c>
      <c r="I81" s="133">
        <v>7965434</v>
      </c>
      <c r="J81" s="131">
        <v>482</v>
      </c>
      <c r="K81" s="133">
        <v>74567</v>
      </c>
      <c r="L81" s="131">
        <v>6423</v>
      </c>
      <c r="M81" s="133">
        <v>12673247</v>
      </c>
      <c r="N81" s="126">
        <v>6704</v>
      </c>
      <c r="O81" s="129">
        <v>249</v>
      </c>
      <c r="P81" s="129">
        <v>14</v>
      </c>
      <c r="Q81" s="130">
        <v>6967</v>
      </c>
      <c r="R81" s="77" t="s">
        <v>103</v>
      </c>
    </row>
    <row r="82" spans="1:18" ht="15.75" customHeight="1">
      <c r="A82" s="78" t="s">
        <v>104</v>
      </c>
      <c r="B82" s="131">
        <f>_xlfn.COMPOUNDVALUE(581)</f>
        <v>6444</v>
      </c>
      <c r="C82" s="132">
        <v>24090351</v>
      </c>
      <c r="D82" s="131">
        <f>_xlfn.COMPOUNDVALUE(582)</f>
        <v>5315</v>
      </c>
      <c r="E82" s="132">
        <v>2759641</v>
      </c>
      <c r="F82" s="131">
        <f>_xlfn.COMPOUNDVALUE(583)</f>
        <v>11759</v>
      </c>
      <c r="G82" s="132">
        <v>26849991</v>
      </c>
      <c r="H82" s="131">
        <f>_xlfn.COMPOUNDVALUE(584)</f>
        <v>523</v>
      </c>
      <c r="I82" s="133">
        <v>3328767</v>
      </c>
      <c r="J82" s="131">
        <v>801</v>
      </c>
      <c r="K82" s="133">
        <v>85463</v>
      </c>
      <c r="L82" s="131">
        <v>12558</v>
      </c>
      <c r="M82" s="133">
        <v>23606687</v>
      </c>
      <c r="N82" s="126">
        <v>12971</v>
      </c>
      <c r="O82" s="129">
        <v>440</v>
      </c>
      <c r="P82" s="129">
        <v>27</v>
      </c>
      <c r="Q82" s="130">
        <v>13438</v>
      </c>
      <c r="R82" s="77" t="s">
        <v>104</v>
      </c>
    </row>
    <row r="83" spans="1:18" ht="15.75" customHeight="1">
      <c r="A83" s="160" t="s">
        <v>105</v>
      </c>
      <c r="B83" s="161">
        <v>43659</v>
      </c>
      <c r="C83" s="162">
        <v>230931704</v>
      </c>
      <c r="D83" s="161">
        <v>33894</v>
      </c>
      <c r="E83" s="162">
        <v>18574009</v>
      </c>
      <c r="F83" s="161">
        <v>77553</v>
      </c>
      <c r="G83" s="162">
        <v>249505710</v>
      </c>
      <c r="H83" s="161">
        <v>3876</v>
      </c>
      <c r="I83" s="163">
        <v>50568064</v>
      </c>
      <c r="J83" s="161">
        <v>5848</v>
      </c>
      <c r="K83" s="163">
        <v>1011761</v>
      </c>
      <c r="L83" s="161">
        <v>83266</v>
      </c>
      <c r="M83" s="163">
        <v>199949407</v>
      </c>
      <c r="N83" s="161">
        <v>85522</v>
      </c>
      <c r="O83" s="183">
        <v>2957</v>
      </c>
      <c r="P83" s="183">
        <v>232</v>
      </c>
      <c r="Q83" s="184">
        <v>88711</v>
      </c>
      <c r="R83" s="164" t="s">
        <v>106</v>
      </c>
    </row>
    <row r="84" spans="1:18" ht="15.75" customHeight="1">
      <c r="A84" s="175"/>
      <c r="B84" s="176"/>
      <c r="C84" s="177"/>
      <c r="D84" s="176"/>
      <c r="E84" s="177"/>
      <c r="F84" s="176"/>
      <c r="G84" s="177"/>
      <c r="H84" s="176"/>
      <c r="I84" s="178"/>
      <c r="J84" s="176"/>
      <c r="K84" s="178"/>
      <c r="L84" s="176"/>
      <c r="M84" s="178"/>
      <c r="N84" s="188"/>
      <c r="O84" s="189"/>
      <c r="P84" s="189"/>
      <c r="Q84" s="190"/>
      <c r="R84" s="179" t="s">
        <v>38</v>
      </c>
    </row>
    <row r="85" spans="1:18" ht="15.75" customHeight="1">
      <c r="A85" s="170" t="s">
        <v>107</v>
      </c>
      <c r="B85" s="171">
        <v>322262</v>
      </c>
      <c r="C85" s="172">
        <v>6433679012</v>
      </c>
      <c r="D85" s="171">
        <v>164876</v>
      </c>
      <c r="E85" s="172">
        <v>102464035</v>
      </c>
      <c r="F85" s="171">
        <v>487138</v>
      </c>
      <c r="G85" s="172">
        <v>6536143048</v>
      </c>
      <c r="H85" s="171">
        <v>51910</v>
      </c>
      <c r="I85" s="173">
        <v>2132706188</v>
      </c>
      <c r="J85" s="171">
        <v>39257</v>
      </c>
      <c r="K85" s="173">
        <v>13904194</v>
      </c>
      <c r="L85" s="171">
        <v>549190</v>
      </c>
      <c r="M85" s="173">
        <v>4417341054</v>
      </c>
      <c r="N85" s="171">
        <v>547173</v>
      </c>
      <c r="O85" s="191">
        <v>36633</v>
      </c>
      <c r="P85" s="191">
        <v>6189</v>
      </c>
      <c r="Q85" s="192">
        <v>589995</v>
      </c>
      <c r="R85" s="174" t="s">
        <v>108</v>
      </c>
    </row>
    <row r="86" spans="1:18" ht="15.75" customHeight="1">
      <c r="A86" s="165"/>
      <c r="B86" s="166"/>
      <c r="C86" s="167"/>
      <c r="D86" s="166"/>
      <c r="E86" s="167"/>
      <c r="F86" s="168"/>
      <c r="G86" s="167"/>
      <c r="H86" s="168"/>
      <c r="I86" s="167"/>
      <c r="J86" s="168"/>
      <c r="K86" s="167"/>
      <c r="L86" s="168"/>
      <c r="M86" s="167"/>
      <c r="N86" s="185"/>
      <c r="O86" s="186"/>
      <c r="P86" s="186"/>
      <c r="Q86" s="187"/>
      <c r="R86" s="169" t="s">
        <v>38</v>
      </c>
    </row>
    <row r="87" spans="1:18" ht="15.75" customHeight="1">
      <c r="A87" s="76" t="s">
        <v>109</v>
      </c>
      <c r="B87" s="126">
        <f>_xlfn.COMPOUNDVALUE(585)</f>
        <v>3587</v>
      </c>
      <c r="C87" s="127">
        <v>28400295</v>
      </c>
      <c r="D87" s="126">
        <f>_xlfn.COMPOUNDVALUE(586)</f>
        <v>2316</v>
      </c>
      <c r="E87" s="127">
        <v>1249442</v>
      </c>
      <c r="F87" s="126">
        <f>_xlfn.COMPOUNDVALUE(587)</f>
        <v>5903</v>
      </c>
      <c r="G87" s="127">
        <v>29649736</v>
      </c>
      <c r="H87" s="126">
        <f>_xlfn.COMPOUNDVALUE(588)</f>
        <v>323</v>
      </c>
      <c r="I87" s="128">
        <v>2092442</v>
      </c>
      <c r="J87" s="126">
        <v>331</v>
      </c>
      <c r="K87" s="128">
        <v>122990</v>
      </c>
      <c r="L87" s="126">
        <v>6346</v>
      </c>
      <c r="M87" s="128">
        <v>27680284</v>
      </c>
      <c r="N87" s="126">
        <v>6485</v>
      </c>
      <c r="O87" s="129">
        <v>246</v>
      </c>
      <c r="P87" s="129">
        <v>12</v>
      </c>
      <c r="Q87" s="130">
        <v>6743</v>
      </c>
      <c r="R87" s="86" t="s">
        <v>109</v>
      </c>
    </row>
    <row r="88" spans="1:18" ht="15.75" customHeight="1">
      <c r="A88" s="76" t="s">
        <v>110</v>
      </c>
      <c r="B88" s="126">
        <f>_xlfn.COMPOUNDVALUE(589)</f>
        <v>8424</v>
      </c>
      <c r="C88" s="127">
        <v>140671479</v>
      </c>
      <c r="D88" s="126">
        <f>_xlfn.COMPOUNDVALUE(590)</f>
        <v>3868</v>
      </c>
      <c r="E88" s="127">
        <v>2482152</v>
      </c>
      <c r="F88" s="126">
        <f>_xlfn.COMPOUNDVALUE(591)</f>
        <v>12292</v>
      </c>
      <c r="G88" s="127">
        <v>143153631</v>
      </c>
      <c r="H88" s="126">
        <f>_xlfn.COMPOUNDVALUE(592)</f>
        <v>1843</v>
      </c>
      <c r="I88" s="128">
        <v>60773782</v>
      </c>
      <c r="J88" s="126">
        <v>1080</v>
      </c>
      <c r="K88" s="128">
        <v>-9031</v>
      </c>
      <c r="L88" s="126">
        <v>14379</v>
      </c>
      <c r="M88" s="128">
        <v>82370818</v>
      </c>
      <c r="N88" s="126">
        <v>14248</v>
      </c>
      <c r="O88" s="129">
        <v>978</v>
      </c>
      <c r="P88" s="129">
        <v>135</v>
      </c>
      <c r="Q88" s="130">
        <v>15361</v>
      </c>
      <c r="R88" s="77" t="s">
        <v>110</v>
      </c>
    </row>
    <row r="89" spans="1:18" ht="15.75" customHeight="1">
      <c r="A89" s="76" t="s">
        <v>111</v>
      </c>
      <c r="B89" s="126">
        <f>_xlfn.COMPOUNDVALUE(593)</f>
        <v>5104</v>
      </c>
      <c r="C89" s="127">
        <v>24539758</v>
      </c>
      <c r="D89" s="126">
        <f>_xlfn.COMPOUNDVALUE(594)</f>
        <v>3874</v>
      </c>
      <c r="E89" s="127">
        <v>2055231</v>
      </c>
      <c r="F89" s="126">
        <f>_xlfn.COMPOUNDVALUE(595)</f>
        <v>8978</v>
      </c>
      <c r="G89" s="127">
        <v>26594989</v>
      </c>
      <c r="H89" s="126">
        <f>_xlfn.COMPOUNDVALUE(596)</f>
        <v>395</v>
      </c>
      <c r="I89" s="128">
        <v>3494458</v>
      </c>
      <c r="J89" s="126">
        <v>731</v>
      </c>
      <c r="K89" s="128">
        <v>139575</v>
      </c>
      <c r="L89" s="126">
        <v>9621</v>
      </c>
      <c r="M89" s="128">
        <v>23240106</v>
      </c>
      <c r="N89" s="126">
        <v>10180</v>
      </c>
      <c r="O89" s="129">
        <v>276</v>
      </c>
      <c r="P89" s="129">
        <v>21</v>
      </c>
      <c r="Q89" s="130">
        <v>10477</v>
      </c>
      <c r="R89" s="77" t="s">
        <v>111</v>
      </c>
    </row>
    <row r="90" spans="1:18" ht="15.75" customHeight="1">
      <c r="A90" s="76" t="s">
        <v>112</v>
      </c>
      <c r="B90" s="126">
        <f>_xlfn.COMPOUNDVALUE(597)</f>
        <v>7118</v>
      </c>
      <c r="C90" s="127">
        <v>33877486</v>
      </c>
      <c r="D90" s="126">
        <f>_xlfn.COMPOUNDVALUE(598)</f>
        <v>5064</v>
      </c>
      <c r="E90" s="127">
        <v>2761246</v>
      </c>
      <c r="F90" s="126">
        <f>_xlfn.COMPOUNDVALUE(599)</f>
        <v>12182</v>
      </c>
      <c r="G90" s="127">
        <v>36638732</v>
      </c>
      <c r="H90" s="126">
        <f>_xlfn.COMPOUNDVALUE(600)</f>
        <v>733</v>
      </c>
      <c r="I90" s="128">
        <v>4716554</v>
      </c>
      <c r="J90" s="126">
        <v>945</v>
      </c>
      <c r="K90" s="128">
        <v>165013</v>
      </c>
      <c r="L90" s="126">
        <v>13233</v>
      </c>
      <c r="M90" s="128">
        <v>32087191</v>
      </c>
      <c r="N90" s="126">
        <v>13361</v>
      </c>
      <c r="O90" s="129">
        <v>488</v>
      </c>
      <c r="P90" s="129">
        <v>31</v>
      </c>
      <c r="Q90" s="130">
        <v>13880</v>
      </c>
      <c r="R90" s="77" t="s">
        <v>112</v>
      </c>
    </row>
    <row r="91" spans="1:18" ht="15.75" customHeight="1">
      <c r="A91" s="76" t="s">
        <v>113</v>
      </c>
      <c r="B91" s="126">
        <f>_xlfn.COMPOUNDVALUE(601)</f>
        <v>7804</v>
      </c>
      <c r="C91" s="127">
        <v>88921330</v>
      </c>
      <c r="D91" s="126">
        <f>_xlfn.COMPOUNDVALUE(602)</f>
        <v>5015</v>
      </c>
      <c r="E91" s="127">
        <v>2936208</v>
      </c>
      <c r="F91" s="126">
        <f>_xlfn.COMPOUNDVALUE(603)</f>
        <v>12819</v>
      </c>
      <c r="G91" s="127">
        <v>91857538</v>
      </c>
      <c r="H91" s="126">
        <f>_xlfn.COMPOUNDVALUE(604)</f>
        <v>1207</v>
      </c>
      <c r="I91" s="128">
        <v>157257074</v>
      </c>
      <c r="J91" s="126">
        <v>975</v>
      </c>
      <c r="K91" s="128">
        <v>157192</v>
      </c>
      <c r="L91" s="126">
        <v>14298</v>
      </c>
      <c r="M91" s="128">
        <v>-65242344</v>
      </c>
      <c r="N91" s="126">
        <v>13937</v>
      </c>
      <c r="O91" s="129">
        <v>711</v>
      </c>
      <c r="P91" s="129">
        <v>72</v>
      </c>
      <c r="Q91" s="130">
        <v>14720</v>
      </c>
      <c r="R91" s="77" t="s">
        <v>113</v>
      </c>
    </row>
    <row r="92" spans="1:18" ht="15.75" customHeight="1">
      <c r="A92" s="76"/>
      <c r="B92" s="126"/>
      <c r="C92" s="127"/>
      <c r="D92" s="126"/>
      <c r="E92" s="127"/>
      <c r="F92" s="126"/>
      <c r="G92" s="127"/>
      <c r="H92" s="126"/>
      <c r="I92" s="128"/>
      <c r="J92" s="126"/>
      <c r="K92" s="128"/>
      <c r="L92" s="126"/>
      <c r="M92" s="128"/>
      <c r="N92" s="126"/>
      <c r="O92" s="129"/>
      <c r="P92" s="129"/>
      <c r="Q92" s="130"/>
      <c r="R92" s="77" t="s">
        <v>38</v>
      </c>
    </row>
    <row r="93" spans="1:18" ht="15.75" customHeight="1">
      <c r="A93" s="76" t="s">
        <v>114</v>
      </c>
      <c r="B93" s="126">
        <f>_xlfn.COMPOUNDVALUE(605)</f>
        <v>4237</v>
      </c>
      <c r="C93" s="127">
        <v>22132684</v>
      </c>
      <c r="D93" s="126">
        <f>_xlfn.COMPOUNDVALUE(606)</f>
        <v>3397</v>
      </c>
      <c r="E93" s="127">
        <v>1904036</v>
      </c>
      <c r="F93" s="126">
        <f>_xlfn.COMPOUNDVALUE(607)</f>
        <v>7634</v>
      </c>
      <c r="G93" s="127">
        <v>24036720</v>
      </c>
      <c r="H93" s="126">
        <f>_xlfn.COMPOUNDVALUE(608)</f>
        <v>410</v>
      </c>
      <c r="I93" s="128">
        <v>5545962</v>
      </c>
      <c r="J93" s="126">
        <v>711</v>
      </c>
      <c r="K93" s="128">
        <v>105069</v>
      </c>
      <c r="L93" s="126">
        <v>8223</v>
      </c>
      <c r="M93" s="128">
        <v>18595827</v>
      </c>
      <c r="N93" s="126">
        <v>8441</v>
      </c>
      <c r="O93" s="129">
        <v>334</v>
      </c>
      <c r="P93" s="129">
        <v>18</v>
      </c>
      <c r="Q93" s="130">
        <v>8793</v>
      </c>
      <c r="R93" s="77" t="s">
        <v>114</v>
      </c>
    </row>
    <row r="94" spans="1:18" ht="15.75" customHeight="1">
      <c r="A94" s="76" t="s">
        <v>167</v>
      </c>
      <c r="B94" s="126">
        <f>_xlfn.COMPOUNDVALUE(609)</f>
        <v>7475</v>
      </c>
      <c r="C94" s="127">
        <v>34622877</v>
      </c>
      <c r="D94" s="126">
        <f>_xlfn.COMPOUNDVALUE(610)</f>
        <v>5777</v>
      </c>
      <c r="E94" s="127">
        <v>3401726</v>
      </c>
      <c r="F94" s="126">
        <f>_xlfn.COMPOUNDVALUE(611)</f>
        <v>13252</v>
      </c>
      <c r="G94" s="127">
        <v>38024603</v>
      </c>
      <c r="H94" s="126">
        <f>_xlfn.COMPOUNDVALUE(612)</f>
        <v>910</v>
      </c>
      <c r="I94" s="128">
        <v>4582647</v>
      </c>
      <c r="J94" s="126">
        <v>871</v>
      </c>
      <c r="K94" s="128">
        <v>116687</v>
      </c>
      <c r="L94" s="126">
        <v>14499</v>
      </c>
      <c r="M94" s="128">
        <v>33558643</v>
      </c>
      <c r="N94" s="126">
        <v>14789</v>
      </c>
      <c r="O94" s="129">
        <v>645</v>
      </c>
      <c r="P94" s="129">
        <v>48</v>
      </c>
      <c r="Q94" s="130">
        <v>15482</v>
      </c>
      <c r="R94" s="77" t="s">
        <v>115</v>
      </c>
    </row>
    <row r="95" spans="1:18" ht="15.75" customHeight="1">
      <c r="A95" s="76" t="s">
        <v>116</v>
      </c>
      <c r="B95" s="126">
        <f>_xlfn.COMPOUNDVALUE(613)</f>
        <v>5508</v>
      </c>
      <c r="C95" s="127">
        <v>100657219</v>
      </c>
      <c r="D95" s="126">
        <f>_xlfn.COMPOUNDVALUE(614)</f>
        <v>3248</v>
      </c>
      <c r="E95" s="127">
        <v>1874981</v>
      </c>
      <c r="F95" s="126">
        <f>_xlfn.COMPOUNDVALUE(615)</f>
        <v>8756</v>
      </c>
      <c r="G95" s="127">
        <v>102532201</v>
      </c>
      <c r="H95" s="126">
        <f>_xlfn.COMPOUNDVALUE(616)</f>
        <v>605</v>
      </c>
      <c r="I95" s="128">
        <v>33047890</v>
      </c>
      <c r="J95" s="126">
        <v>679</v>
      </c>
      <c r="K95" s="128">
        <v>845168</v>
      </c>
      <c r="L95" s="126">
        <v>9583</v>
      </c>
      <c r="M95" s="128">
        <v>70329479</v>
      </c>
      <c r="N95" s="126">
        <v>9974</v>
      </c>
      <c r="O95" s="129">
        <v>324</v>
      </c>
      <c r="P95" s="129">
        <v>34</v>
      </c>
      <c r="Q95" s="130">
        <v>10332</v>
      </c>
      <c r="R95" s="77" t="s">
        <v>116</v>
      </c>
    </row>
    <row r="96" spans="1:18" ht="15.75" customHeight="1">
      <c r="A96" s="76" t="s">
        <v>117</v>
      </c>
      <c r="B96" s="126">
        <f>_xlfn.COMPOUNDVALUE(617)</f>
        <v>6899</v>
      </c>
      <c r="C96" s="127">
        <v>69017802</v>
      </c>
      <c r="D96" s="126">
        <f>_xlfn.COMPOUNDVALUE(618)</f>
        <v>5390</v>
      </c>
      <c r="E96" s="127">
        <v>3102218</v>
      </c>
      <c r="F96" s="126">
        <f>_xlfn.COMPOUNDVALUE(619)</f>
        <v>12289</v>
      </c>
      <c r="G96" s="127">
        <v>72120020</v>
      </c>
      <c r="H96" s="126">
        <f>_xlfn.COMPOUNDVALUE(620)</f>
        <v>641</v>
      </c>
      <c r="I96" s="128">
        <v>5677024</v>
      </c>
      <c r="J96" s="126">
        <v>702</v>
      </c>
      <c r="K96" s="128">
        <v>251660</v>
      </c>
      <c r="L96" s="126">
        <v>13163</v>
      </c>
      <c r="M96" s="128">
        <v>66694656</v>
      </c>
      <c r="N96" s="126">
        <v>13656</v>
      </c>
      <c r="O96" s="129">
        <v>567</v>
      </c>
      <c r="P96" s="129">
        <v>40</v>
      </c>
      <c r="Q96" s="130">
        <v>14263</v>
      </c>
      <c r="R96" s="77" t="s">
        <v>117</v>
      </c>
    </row>
    <row r="97" spans="1:18" ht="15.75" customHeight="1">
      <c r="A97" s="76" t="s">
        <v>118</v>
      </c>
      <c r="B97" s="126">
        <f>_xlfn.COMPOUNDVALUE(621)</f>
        <v>3183</v>
      </c>
      <c r="C97" s="127">
        <v>9189891</v>
      </c>
      <c r="D97" s="126">
        <f>_xlfn.COMPOUNDVALUE(622)</f>
        <v>2644</v>
      </c>
      <c r="E97" s="127">
        <v>1432979</v>
      </c>
      <c r="F97" s="126">
        <f>_xlfn.COMPOUNDVALUE(623)</f>
        <v>5827</v>
      </c>
      <c r="G97" s="127">
        <v>10622870</v>
      </c>
      <c r="H97" s="126">
        <f>_xlfn.COMPOUNDVALUE(624)</f>
        <v>352</v>
      </c>
      <c r="I97" s="128">
        <v>1981883</v>
      </c>
      <c r="J97" s="126">
        <v>359</v>
      </c>
      <c r="K97" s="128">
        <v>11810</v>
      </c>
      <c r="L97" s="126">
        <v>6265</v>
      </c>
      <c r="M97" s="128">
        <v>8652797</v>
      </c>
      <c r="N97" s="126">
        <v>6570</v>
      </c>
      <c r="O97" s="129">
        <v>277</v>
      </c>
      <c r="P97" s="129">
        <v>19</v>
      </c>
      <c r="Q97" s="130">
        <v>6866</v>
      </c>
      <c r="R97" s="77" t="s">
        <v>118</v>
      </c>
    </row>
    <row r="98" spans="1:18" ht="15.75" customHeight="1">
      <c r="A98" s="76"/>
      <c r="B98" s="126"/>
      <c r="C98" s="127"/>
      <c r="D98" s="126"/>
      <c r="E98" s="127"/>
      <c r="F98" s="126"/>
      <c r="G98" s="127"/>
      <c r="H98" s="126"/>
      <c r="I98" s="128"/>
      <c r="J98" s="126"/>
      <c r="K98" s="128"/>
      <c r="L98" s="126"/>
      <c r="M98" s="128"/>
      <c r="N98" s="126"/>
      <c r="O98" s="129"/>
      <c r="P98" s="129"/>
      <c r="Q98" s="130"/>
      <c r="R98" s="77" t="s">
        <v>38</v>
      </c>
    </row>
    <row r="99" spans="1:18" ht="15.75" customHeight="1">
      <c r="A99" s="76" t="s">
        <v>119</v>
      </c>
      <c r="B99" s="126">
        <f>_xlfn.COMPOUNDVALUE(625)</f>
        <v>4082</v>
      </c>
      <c r="C99" s="127">
        <v>16423713</v>
      </c>
      <c r="D99" s="126">
        <f>_xlfn.COMPOUNDVALUE(626)</f>
        <v>3889</v>
      </c>
      <c r="E99" s="127">
        <v>2108096</v>
      </c>
      <c r="F99" s="126">
        <f>_xlfn.COMPOUNDVALUE(627)</f>
        <v>7971</v>
      </c>
      <c r="G99" s="127">
        <v>18531809</v>
      </c>
      <c r="H99" s="126">
        <f>_xlfn.COMPOUNDVALUE(628)</f>
        <v>258</v>
      </c>
      <c r="I99" s="128">
        <v>1487773</v>
      </c>
      <c r="J99" s="126">
        <v>589</v>
      </c>
      <c r="K99" s="128">
        <v>74078</v>
      </c>
      <c r="L99" s="126">
        <v>8439</v>
      </c>
      <c r="M99" s="128">
        <v>17118114</v>
      </c>
      <c r="N99" s="126">
        <v>8568</v>
      </c>
      <c r="O99" s="129">
        <v>193</v>
      </c>
      <c r="P99" s="129">
        <v>12</v>
      </c>
      <c r="Q99" s="130">
        <v>8773</v>
      </c>
      <c r="R99" s="77" t="s">
        <v>119</v>
      </c>
    </row>
    <row r="100" spans="1:18" ht="15.75" customHeight="1">
      <c r="A100" s="76" t="s">
        <v>120</v>
      </c>
      <c r="B100" s="126">
        <f>_xlfn.COMPOUNDVALUE(629)</f>
        <v>5429</v>
      </c>
      <c r="C100" s="127">
        <v>34704830</v>
      </c>
      <c r="D100" s="126">
        <f>_xlfn.COMPOUNDVALUE(630)</f>
        <v>4486</v>
      </c>
      <c r="E100" s="127">
        <v>2256719</v>
      </c>
      <c r="F100" s="126">
        <f>_xlfn.COMPOUNDVALUE(631)</f>
        <v>9915</v>
      </c>
      <c r="G100" s="127">
        <v>36961550</v>
      </c>
      <c r="H100" s="126">
        <f>_xlfn.COMPOUNDVALUE(632)</f>
        <v>423</v>
      </c>
      <c r="I100" s="128">
        <v>4498199</v>
      </c>
      <c r="J100" s="126">
        <v>599</v>
      </c>
      <c r="K100" s="128">
        <v>103106</v>
      </c>
      <c r="L100" s="126">
        <v>10516</v>
      </c>
      <c r="M100" s="128">
        <v>32566457</v>
      </c>
      <c r="N100" s="126">
        <v>10430</v>
      </c>
      <c r="O100" s="129">
        <v>315</v>
      </c>
      <c r="P100" s="129">
        <v>13</v>
      </c>
      <c r="Q100" s="130">
        <v>10758</v>
      </c>
      <c r="R100" s="77" t="s">
        <v>120</v>
      </c>
    </row>
    <row r="101" spans="1:18" ht="15.75" customHeight="1">
      <c r="A101" s="78" t="s">
        <v>121</v>
      </c>
      <c r="B101" s="131">
        <f>_xlfn.COMPOUNDVALUE(633)</f>
        <v>2912</v>
      </c>
      <c r="C101" s="132">
        <v>10285655</v>
      </c>
      <c r="D101" s="131">
        <f>_xlfn.COMPOUNDVALUE(634)</f>
        <v>2808</v>
      </c>
      <c r="E101" s="132">
        <v>1460964</v>
      </c>
      <c r="F101" s="131">
        <f>_xlfn.COMPOUNDVALUE(635)</f>
        <v>5720</v>
      </c>
      <c r="G101" s="132">
        <v>11746619</v>
      </c>
      <c r="H101" s="131">
        <f>_xlfn.COMPOUNDVALUE(636)</f>
        <v>379</v>
      </c>
      <c r="I101" s="133">
        <v>532915</v>
      </c>
      <c r="J101" s="131">
        <v>430</v>
      </c>
      <c r="K101" s="133">
        <v>54850</v>
      </c>
      <c r="L101" s="131">
        <v>6231</v>
      </c>
      <c r="M101" s="133">
        <v>11268554</v>
      </c>
      <c r="N101" s="126">
        <v>6364</v>
      </c>
      <c r="O101" s="129">
        <v>283</v>
      </c>
      <c r="P101" s="129">
        <v>25</v>
      </c>
      <c r="Q101" s="130">
        <v>6672</v>
      </c>
      <c r="R101" s="77" t="s">
        <v>121</v>
      </c>
    </row>
    <row r="102" spans="1:18" ht="15.75" customHeight="1">
      <c r="A102" s="78" t="s">
        <v>122</v>
      </c>
      <c r="B102" s="131">
        <f>_xlfn.COMPOUNDVALUE(637)</f>
        <v>7006</v>
      </c>
      <c r="C102" s="132">
        <v>30884364</v>
      </c>
      <c r="D102" s="131">
        <f>_xlfn.COMPOUNDVALUE(638)</f>
        <v>5710</v>
      </c>
      <c r="E102" s="132">
        <v>3107466</v>
      </c>
      <c r="F102" s="131">
        <f>_xlfn.COMPOUNDVALUE(639)</f>
        <v>12716</v>
      </c>
      <c r="G102" s="132">
        <v>33991830</v>
      </c>
      <c r="H102" s="131">
        <f>_xlfn.COMPOUNDVALUE(640)</f>
        <v>667</v>
      </c>
      <c r="I102" s="133">
        <v>6145271</v>
      </c>
      <c r="J102" s="131">
        <v>904</v>
      </c>
      <c r="K102" s="133">
        <v>313239</v>
      </c>
      <c r="L102" s="131">
        <v>13685</v>
      </c>
      <c r="M102" s="133">
        <v>28159798</v>
      </c>
      <c r="N102" s="126">
        <v>13867</v>
      </c>
      <c r="O102" s="129">
        <v>543</v>
      </c>
      <c r="P102" s="129">
        <v>30</v>
      </c>
      <c r="Q102" s="130">
        <v>14440</v>
      </c>
      <c r="R102" s="77" t="s">
        <v>122</v>
      </c>
    </row>
    <row r="103" spans="1:18" ht="15.75" customHeight="1">
      <c r="A103" s="78" t="s">
        <v>123</v>
      </c>
      <c r="B103" s="131">
        <f>_xlfn.COMPOUNDVALUE(641)</f>
        <v>4289</v>
      </c>
      <c r="C103" s="132">
        <v>21246992</v>
      </c>
      <c r="D103" s="131">
        <f>_xlfn.COMPOUNDVALUE(642)</f>
        <v>3152</v>
      </c>
      <c r="E103" s="132">
        <v>1584796</v>
      </c>
      <c r="F103" s="131">
        <f>_xlfn.COMPOUNDVALUE(643)</f>
        <v>7441</v>
      </c>
      <c r="G103" s="132">
        <v>22831789</v>
      </c>
      <c r="H103" s="131">
        <f>_xlfn.COMPOUNDVALUE(644)</f>
        <v>249</v>
      </c>
      <c r="I103" s="133">
        <v>751935</v>
      </c>
      <c r="J103" s="131">
        <v>397</v>
      </c>
      <c r="K103" s="133">
        <v>85454</v>
      </c>
      <c r="L103" s="131">
        <v>7804</v>
      </c>
      <c r="M103" s="133">
        <v>22165308</v>
      </c>
      <c r="N103" s="126">
        <v>8020</v>
      </c>
      <c r="O103" s="129">
        <v>189</v>
      </c>
      <c r="P103" s="129">
        <v>26</v>
      </c>
      <c r="Q103" s="130">
        <v>8235</v>
      </c>
      <c r="R103" s="77" t="s">
        <v>123</v>
      </c>
    </row>
    <row r="104" spans="1:18" ht="15.75" customHeight="1">
      <c r="A104" s="78"/>
      <c r="B104" s="131"/>
      <c r="C104" s="132"/>
      <c r="D104" s="131"/>
      <c r="E104" s="132"/>
      <c r="F104" s="131"/>
      <c r="G104" s="132"/>
      <c r="H104" s="131"/>
      <c r="I104" s="133"/>
      <c r="J104" s="131"/>
      <c r="K104" s="133"/>
      <c r="L104" s="131"/>
      <c r="M104" s="133"/>
      <c r="N104" s="126"/>
      <c r="O104" s="129"/>
      <c r="P104" s="129"/>
      <c r="Q104" s="130"/>
      <c r="R104" s="77" t="s">
        <v>38</v>
      </c>
    </row>
    <row r="105" spans="1:18" ht="15.75" customHeight="1">
      <c r="A105" s="78" t="s">
        <v>124</v>
      </c>
      <c r="B105" s="131">
        <f>_xlfn.COMPOUNDVALUE(645)</f>
        <v>7305</v>
      </c>
      <c r="C105" s="132">
        <v>36402633</v>
      </c>
      <c r="D105" s="131">
        <f>_xlfn.COMPOUNDVALUE(646)</f>
        <v>5405</v>
      </c>
      <c r="E105" s="132">
        <v>2994128</v>
      </c>
      <c r="F105" s="131">
        <f>_xlfn.COMPOUNDVALUE(647)</f>
        <v>12710</v>
      </c>
      <c r="G105" s="132">
        <v>39396762</v>
      </c>
      <c r="H105" s="131">
        <f>_xlfn.COMPOUNDVALUE(648)</f>
        <v>579</v>
      </c>
      <c r="I105" s="133">
        <v>5783021</v>
      </c>
      <c r="J105" s="131">
        <v>895</v>
      </c>
      <c r="K105" s="133">
        <v>186976</v>
      </c>
      <c r="L105" s="131">
        <v>13576</v>
      </c>
      <c r="M105" s="133">
        <v>33800717</v>
      </c>
      <c r="N105" s="126">
        <v>14259</v>
      </c>
      <c r="O105" s="129">
        <v>500</v>
      </c>
      <c r="P105" s="129">
        <v>35</v>
      </c>
      <c r="Q105" s="130">
        <v>14794</v>
      </c>
      <c r="R105" s="77" t="s">
        <v>124</v>
      </c>
    </row>
    <row r="106" spans="1:18" ht="15.75" customHeight="1">
      <c r="A106" s="78" t="s">
        <v>125</v>
      </c>
      <c r="B106" s="131">
        <f>_xlfn.COMPOUNDVALUE(649)</f>
        <v>3404</v>
      </c>
      <c r="C106" s="132">
        <v>24189720</v>
      </c>
      <c r="D106" s="131">
        <f>_xlfn.COMPOUNDVALUE(650)</f>
        <v>2467</v>
      </c>
      <c r="E106" s="132">
        <v>1370709</v>
      </c>
      <c r="F106" s="131">
        <f>_xlfn.COMPOUNDVALUE(651)</f>
        <v>5871</v>
      </c>
      <c r="G106" s="132">
        <v>25560429</v>
      </c>
      <c r="H106" s="131">
        <f>_xlfn.COMPOUNDVALUE(652)</f>
        <v>300</v>
      </c>
      <c r="I106" s="133">
        <v>34025547</v>
      </c>
      <c r="J106" s="131">
        <v>418</v>
      </c>
      <c r="K106" s="133">
        <v>126193</v>
      </c>
      <c r="L106" s="131">
        <v>6286</v>
      </c>
      <c r="M106" s="133">
        <v>-8338925</v>
      </c>
      <c r="N106" s="126">
        <v>6309</v>
      </c>
      <c r="O106" s="129">
        <v>233</v>
      </c>
      <c r="P106" s="129">
        <v>18</v>
      </c>
      <c r="Q106" s="130">
        <v>6560</v>
      </c>
      <c r="R106" s="77" t="s">
        <v>125</v>
      </c>
    </row>
    <row r="107" spans="1:18" ht="15.75" customHeight="1">
      <c r="A107" s="78" t="s">
        <v>126</v>
      </c>
      <c r="B107" s="131">
        <f>_xlfn.COMPOUNDVALUE(653)</f>
        <v>5548</v>
      </c>
      <c r="C107" s="132">
        <v>27494797</v>
      </c>
      <c r="D107" s="131">
        <f>_xlfn.COMPOUNDVALUE(654)</f>
        <v>4203</v>
      </c>
      <c r="E107" s="132">
        <v>2320014</v>
      </c>
      <c r="F107" s="131">
        <f>_xlfn.COMPOUNDVALUE(655)</f>
        <v>9751</v>
      </c>
      <c r="G107" s="132">
        <v>29814811</v>
      </c>
      <c r="H107" s="131">
        <f>_xlfn.COMPOUNDVALUE(656)</f>
        <v>454</v>
      </c>
      <c r="I107" s="133">
        <v>5902286</v>
      </c>
      <c r="J107" s="131">
        <v>697</v>
      </c>
      <c r="K107" s="133">
        <v>-67829</v>
      </c>
      <c r="L107" s="131">
        <v>10448</v>
      </c>
      <c r="M107" s="133">
        <v>23844696</v>
      </c>
      <c r="N107" s="126">
        <v>11057</v>
      </c>
      <c r="O107" s="129">
        <v>376</v>
      </c>
      <c r="P107" s="129">
        <v>23</v>
      </c>
      <c r="Q107" s="130">
        <v>11456</v>
      </c>
      <c r="R107" s="77" t="s">
        <v>126</v>
      </c>
    </row>
    <row r="108" spans="1:18" ht="15.75" customHeight="1">
      <c r="A108" s="160" t="s">
        <v>127</v>
      </c>
      <c r="B108" s="161">
        <v>99314</v>
      </c>
      <c r="C108" s="162">
        <v>753663525</v>
      </c>
      <c r="D108" s="161">
        <v>72713</v>
      </c>
      <c r="E108" s="162">
        <v>40403111</v>
      </c>
      <c r="F108" s="161">
        <v>172027</v>
      </c>
      <c r="G108" s="162">
        <v>794066636</v>
      </c>
      <c r="H108" s="161">
        <v>10728</v>
      </c>
      <c r="I108" s="163">
        <v>338296663</v>
      </c>
      <c r="J108" s="161">
        <v>12313</v>
      </c>
      <c r="K108" s="163">
        <v>2782198</v>
      </c>
      <c r="L108" s="161">
        <v>186595</v>
      </c>
      <c r="M108" s="163">
        <v>458552171</v>
      </c>
      <c r="N108" s="161">
        <v>190515</v>
      </c>
      <c r="O108" s="183">
        <v>7478</v>
      </c>
      <c r="P108" s="183">
        <v>612</v>
      </c>
      <c r="Q108" s="184">
        <v>198605</v>
      </c>
      <c r="R108" s="164" t="s">
        <v>128</v>
      </c>
    </row>
    <row r="109" spans="1:18" ht="15.75" customHeight="1">
      <c r="A109" s="165"/>
      <c r="B109" s="166"/>
      <c r="C109" s="167"/>
      <c r="D109" s="166"/>
      <c r="E109" s="167"/>
      <c r="F109" s="168"/>
      <c r="G109" s="167"/>
      <c r="H109" s="168"/>
      <c r="I109" s="167"/>
      <c r="J109" s="168"/>
      <c r="K109" s="167"/>
      <c r="L109" s="168"/>
      <c r="M109" s="167"/>
      <c r="N109" s="185"/>
      <c r="O109" s="186"/>
      <c r="P109" s="186"/>
      <c r="Q109" s="187"/>
      <c r="R109" s="169" t="s">
        <v>38</v>
      </c>
    </row>
    <row r="110" spans="1:18" ht="15.75" customHeight="1">
      <c r="A110" s="76" t="s">
        <v>129</v>
      </c>
      <c r="B110" s="126">
        <f>_xlfn.COMPOUNDVALUE(657)</f>
        <v>6667</v>
      </c>
      <c r="C110" s="127">
        <v>36187491</v>
      </c>
      <c r="D110" s="126">
        <f>_xlfn.COMPOUNDVALUE(658)</f>
        <v>4692</v>
      </c>
      <c r="E110" s="127">
        <v>2353780</v>
      </c>
      <c r="F110" s="126">
        <f>_xlfn.COMPOUNDVALUE(659)</f>
        <v>11359</v>
      </c>
      <c r="G110" s="127">
        <v>38541271</v>
      </c>
      <c r="H110" s="126">
        <f>_xlfn.COMPOUNDVALUE(660)</f>
        <v>474</v>
      </c>
      <c r="I110" s="128">
        <v>2850300</v>
      </c>
      <c r="J110" s="126">
        <v>919</v>
      </c>
      <c r="K110" s="128">
        <v>177600</v>
      </c>
      <c r="L110" s="126">
        <v>12103</v>
      </c>
      <c r="M110" s="128">
        <v>35868571</v>
      </c>
      <c r="N110" s="126">
        <v>12112</v>
      </c>
      <c r="O110" s="129">
        <v>347</v>
      </c>
      <c r="P110" s="129">
        <v>39</v>
      </c>
      <c r="Q110" s="130">
        <v>12498</v>
      </c>
      <c r="R110" s="86" t="s">
        <v>129</v>
      </c>
    </row>
    <row r="111" spans="1:18" ht="15.75" customHeight="1">
      <c r="A111" s="78" t="s">
        <v>130</v>
      </c>
      <c r="B111" s="131">
        <f>_xlfn.COMPOUNDVALUE(661)</f>
        <v>1757</v>
      </c>
      <c r="C111" s="132">
        <v>6201436</v>
      </c>
      <c r="D111" s="131">
        <f>_xlfn.COMPOUNDVALUE(662)</f>
        <v>1758</v>
      </c>
      <c r="E111" s="132">
        <v>715290</v>
      </c>
      <c r="F111" s="131">
        <f>_xlfn.COMPOUNDVALUE(663)</f>
        <v>3515</v>
      </c>
      <c r="G111" s="132">
        <v>6916726</v>
      </c>
      <c r="H111" s="131">
        <f>_xlfn.COMPOUNDVALUE(664)</f>
        <v>116</v>
      </c>
      <c r="I111" s="133">
        <v>399873</v>
      </c>
      <c r="J111" s="131">
        <v>266</v>
      </c>
      <c r="K111" s="133">
        <v>-54070</v>
      </c>
      <c r="L111" s="131">
        <v>3716</v>
      </c>
      <c r="M111" s="133">
        <v>6462783</v>
      </c>
      <c r="N111" s="126">
        <v>4050</v>
      </c>
      <c r="O111" s="129">
        <v>108</v>
      </c>
      <c r="P111" s="129">
        <v>1</v>
      </c>
      <c r="Q111" s="130">
        <v>4159</v>
      </c>
      <c r="R111" s="77" t="s">
        <v>130</v>
      </c>
    </row>
    <row r="112" spans="1:18" ht="15.75" customHeight="1">
      <c r="A112" s="78" t="s">
        <v>131</v>
      </c>
      <c r="B112" s="131">
        <f>_xlfn.COMPOUNDVALUE(665)</f>
        <v>2950</v>
      </c>
      <c r="C112" s="132">
        <v>11815405</v>
      </c>
      <c r="D112" s="131">
        <f>_xlfn.COMPOUNDVALUE(666)</f>
        <v>2185</v>
      </c>
      <c r="E112" s="132">
        <v>1096610</v>
      </c>
      <c r="F112" s="131">
        <f>_xlfn.COMPOUNDVALUE(667)</f>
        <v>5135</v>
      </c>
      <c r="G112" s="132">
        <v>12912015</v>
      </c>
      <c r="H112" s="131">
        <f>_xlfn.COMPOUNDVALUE(668)</f>
        <v>175</v>
      </c>
      <c r="I112" s="133">
        <v>16054321</v>
      </c>
      <c r="J112" s="131">
        <v>443</v>
      </c>
      <c r="K112" s="133">
        <v>118778</v>
      </c>
      <c r="L112" s="131">
        <v>5398</v>
      </c>
      <c r="M112" s="133">
        <v>-3023528</v>
      </c>
      <c r="N112" s="126">
        <v>5362</v>
      </c>
      <c r="O112" s="129">
        <v>163</v>
      </c>
      <c r="P112" s="129">
        <v>14</v>
      </c>
      <c r="Q112" s="130">
        <v>5539</v>
      </c>
      <c r="R112" s="77" t="s">
        <v>131</v>
      </c>
    </row>
    <row r="113" spans="1:18" ht="15.75" customHeight="1">
      <c r="A113" s="78" t="s">
        <v>132</v>
      </c>
      <c r="B113" s="131">
        <f>_xlfn.COMPOUNDVALUE(669)</f>
        <v>615</v>
      </c>
      <c r="C113" s="132">
        <v>2224472</v>
      </c>
      <c r="D113" s="131">
        <f>_xlfn.COMPOUNDVALUE(670)</f>
        <v>587</v>
      </c>
      <c r="E113" s="132">
        <v>275823</v>
      </c>
      <c r="F113" s="131">
        <f>_xlfn.COMPOUNDVALUE(671)</f>
        <v>1202</v>
      </c>
      <c r="G113" s="132">
        <v>2500296</v>
      </c>
      <c r="H113" s="131">
        <f>_xlfn.COMPOUNDVALUE(672)</f>
        <v>26</v>
      </c>
      <c r="I113" s="133">
        <v>30402</v>
      </c>
      <c r="J113" s="131">
        <v>101</v>
      </c>
      <c r="K113" s="133">
        <v>-4588</v>
      </c>
      <c r="L113" s="131">
        <v>1244</v>
      </c>
      <c r="M113" s="133">
        <v>2465306</v>
      </c>
      <c r="N113" s="126">
        <v>1315</v>
      </c>
      <c r="O113" s="129">
        <v>18</v>
      </c>
      <c r="P113" s="129">
        <v>4</v>
      </c>
      <c r="Q113" s="130">
        <v>1337</v>
      </c>
      <c r="R113" s="77" t="s">
        <v>132</v>
      </c>
    </row>
    <row r="114" spans="1:18" ht="15.75" customHeight="1">
      <c r="A114" s="79" t="s">
        <v>133</v>
      </c>
      <c r="B114" s="134">
        <v>11989</v>
      </c>
      <c r="C114" s="135">
        <v>56428805</v>
      </c>
      <c r="D114" s="134">
        <v>9222</v>
      </c>
      <c r="E114" s="135">
        <v>4441503</v>
      </c>
      <c r="F114" s="134">
        <v>21211</v>
      </c>
      <c r="G114" s="135">
        <v>60870308</v>
      </c>
      <c r="H114" s="134">
        <v>791</v>
      </c>
      <c r="I114" s="136">
        <v>19334897</v>
      </c>
      <c r="J114" s="134">
        <v>1729</v>
      </c>
      <c r="K114" s="136">
        <v>237720</v>
      </c>
      <c r="L114" s="134">
        <v>22461</v>
      </c>
      <c r="M114" s="136">
        <v>41773131</v>
      </c>
      <c r="N114" s="134">
        <v>22839</v>
      </c>
      <c r="O114" s="137">
        <v>636</v>
      </c>
      <c r="P114" s="137">
        <v>58</v>
      </c>
      <c r="Q114" s="138">
        <v>23533</v>
      </c>
      <c r="R114" s="84" t="s">
        <v>134</v>
      </c>
    </row>
    <row r="115" spans="1:18" ht="15.75" customHeight="1" thickBot="1">
      <c r="A115" s="80"/>
      <c r="B115" s="142"/>
      <c r="C115" s="143"/>
      <c r="D115" s="142"/>
      <c r="E115" s="143"/>
      <c r="F115" s="144"/>
      <c r="G115" s="143"/>
      <c r="H115" s="144"/>
      <c r="I115" s="143"/>
      <c r="J115" s="144"/>
      <c r="K115" s="143"/>
      <c r="L115" s="144"/>
      <c r="M115" s="143"/>
      <c r="N115" s="145"/>
      <c r="O115" s="146"/>
      <c r="P115" s="146"/>
      <c r="Q115" s="147"/>
      <c r="R115" s="81" t="s">
        <v>38</v>
      </c>
    </row>
    <row r="116" spans="1:18" ht="15.75" customHeight="1" thickBot="1" thickTop="1">
      <c r="A116" s="82" t="s">
        <v>37</v>
      </c>
      <c r="B116" s="148">
        <v>497488</v>
      </c>
      <c r="C116" s="149">
        <v>7600407909</v>
      </c>
      <c r="D116" s="148">
        <v>293722</v>
      </c>
      <c r="E116" s="149">
        <v>171604405</v>
      </c>
      <c r="F116" s="148">
        <v>791210</v>
      </c>
      <c r="G116" s="149">
        <v>7772012315</v>
      </c>
      <c r="H116" s="148">
        <v>70410</v>
      </c>
      <c r="I116" s="150">
        <v>2529563168</v>
      </c>
      <c r="J116" s="148">
        <v>62077</v>
      </c>
      <c r="K116" s="150">
        <v>17938966</v>
      </c>
      <c r="L116" s="148">
        <v>878887</v>
      </c>
      <c r="M116" s="150">
        <v>5260388113</v>
      </c>
      <c r="N116" s="151">
        <v>883891</v>
      </c>
      <c r="O116" s="152">
        <v>49994</v>
      </c>
      <c r="P116" s="152">
        <v>7217</v>
      </c>
      <c r="Q116" s="153">
        <v>941102</v>
      </c>
      <c r="R116" s="83" t="s">
        <v>37</v>
      </c>
    </row>
    <row r="117" spans="1:10" ht="13.5">
      <c r="A117" s="280" t="s">
        <v>178</v>
      </c>
      <c r="B117" s="280"/>
      <c r="C117" s="280"/>
      <c r="D117" s="280"/>
      <c r="E117" s="280"/>
      <c r="F117" s="280"/>
      <c r="G117" s="280"/>
      <c r="H117" s="280"/>
      <c r="I117" s="280"/>
      <c r="J117" s="280"/>
    </row>
  </sheetData>
  <sheetProtection/>
  <mergeCells count="16">
    <mergeCell ref="A117:J117"/>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2" r:id="rId1"/>
  <headerFooter alignWithMargins="0">
    <oddFooter>&amp;R&amp;K01+000東京国税局
消費税
(H30)</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2020-03-03T00:55:44Z</cp:lastPrinted>
  <dcterms:created xsi:type="dcterms:W3CDTF">2003-07-09T01:05:10Z</dcterms:created>
  <dcterms:modified xsi:type="dcterms:W3CDTF">2020-03-10T02:57:31Z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