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60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<sst xmlns="http://schemas.openxmlformats.org/spreadsheetml/2006/main" count="793" uniqueCount="191">
  <si>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</si>
  <si>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</si>
  <si>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</si>
  <si>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</si>
  <si>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</si>
  <si>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</si>
  <si>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</si>
  <si>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</si>
  <si>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</si>
  <si>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</si>
  <si>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</si>
  <si>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</si>
  <si>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</si>
  <si>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</si>
  <si>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</si>
  <si>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</si>
  <si>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</si>
  <si>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合　　　　　　　　　計</t>
  </si>
  <si>
    <t>法　　　　　　　人</t>
  </si>
  <si>
    <t>合　　　　　　　計</t>
  </si>
  <si>
    <t>件　　数</t>
  </si>
  <si>
    <t>税　　額</t>
  </si>
  <si>
    <t>(3)　課税事業者等届出件数</t>
  </si>
  <si>
    <t>千円</t>
  </si>
  <si>
    <t>件</t>
  </si>
  <si>
    <t>(2)　課税状況の累年比較</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</si>
  <si>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</si>
  <si>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</si>
  <si>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</si>
  <si>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</si>
  <si>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</si>
  <si>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</si>
  <si>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</si>
  <si>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</si>
  <si>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</si>
  <si>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</si>
  <si>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</si>
  <si>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</si>
  <si>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</si>
  <si>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</si>
  <si>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</si>
  <si>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</si>
  <si>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</si>
  <si>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</si>
  <si>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</si>
  <si>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</si>
  <si>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</si>
  <si>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</si>
  <si>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</si>
  <si>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</si>
  <si>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</si>
  <si>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</si>
  <si>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</si>
  <si>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</si>
  <si>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</si>
  <si>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</si>
  <si>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</si>
  <si>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</si>
  <si>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</si>
  <si>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</si>
  <si>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</si>
  <si>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</si>
  <si>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</si>
  <si>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</si>
  <si>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</si>
  <si>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</si>
  <si>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</si>
  <si>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</si>
  <si>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</si>
  <si>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</si>
  <si>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</si>
  <si>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</si>
  <si>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</si>
  <si>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</si>
  <si>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</si>
  <si>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</si>
  <si>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</si>
  <si>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</si>
  <si>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</si>
  <si>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</si>
  <si>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</si>
  <si>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</si>
  <si>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</si>
  <si>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</si>
  <si>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</si>
  <si>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</si>
  <si>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</si>
  <si>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</si>
  <si>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</si>
  <si>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</si>
  <si>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</si>
  <si>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</si>
  <si>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</si>
  <si>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</si>
  <si>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</si>
  <si>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</si>
  <si>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</si>
  <si>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</si>
  <si>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</si>
  <si>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</si>
  <si>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</si>
  <si>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</si>
  <si>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</si>
  <si>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</si>
  <si>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</si>
  <si>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</si>
  <si>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</si>
  <si>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</si>
  <si>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</si>
  <si>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</si>
  <si>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</si>
  <si>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</si>
  <si>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</si>
  <si>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</si>
  <si>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</si>
  <si>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</si>
  <si>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</si>
  <si>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</si>
  <si>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</si>
  <si>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</si>
  <si>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</si>
  <si>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</si>
  <si>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</si>
  <si>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</si>
  <si>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</si>
  <si>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</si>
  <si>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</si>
  <si>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</si>
  <si>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</si>
  <si>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</si>
  <si>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</si>
  <si>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</si>
  <si>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</si>
  <si>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</si>
  <si>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</si>
  <si>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</si>
  <si>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　イ　個人事業者</t>
  </si>
  <si>
    <t>税務署名</t>
  </si>
  <si>
    <t>税額</t>
  </si>
  <si>
    <t>税　額　①</t>
  </si>
  <si>
    <t>税　額　②</t>
  </si>
  <si>
    <t>税　額　③</t>
  </si>
  <si>
    <t>税　　　額
(①－②＋③)</t>
  </si>
  <si>
    <t>都区内計</t>
  </si>
  <si>
    <t>東京都計</t>
  </si>
  <si>
    <t>神奈川県計</t>
  </si>
  <si>
    <t>総　計</t>
  </si>
  <si>
    <t>課　税　事　業　者　等　届　出　件　数</t>
  </si>
  <si>
    <t>課税事業者
選択届出</t>
  </si>
  <si>
    <t>新設法人に
該当する旨
の届出</t>
  </si>
  <si>
    <t>税　　額
(①－②＋③)</t>
  </si>
  <si>
    <t>平成25年度</t>
  </si>
  <si>
    <t>調査対象等：</t>
  </si>
  <si>
    <t>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</si>
  <si>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</si>
  <si>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</si>
  <si>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</si>
  <si>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</si>
  <si>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</si>
  <si>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</si>
  <si>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</si>
  <si>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</si>
  <si>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</si>
  <si>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</si>
  <si>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</si>
  <si>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</si>
  <si>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柏</t>
  </si>
  <si>
    <t>芝</t>
  </si>
  <si>
    <t>緑</t>
  </si>
  <si>
    <t>千葉県計</t>
  </si>
  <si>
    <t>都区内計</t>
  </si>
  <si>
    <t>多摩地区計</t>
  </si>
  <si>
    <t>東京都計</t>
  </si>
  <si>
    <t>神奈川県計</t>
  </si>
  <si>
    <t>山梨県計</t>
  </si>
  <si>
    <t>総　計</t>
  </si>
  <si>
    <t>平成26年度</t>
  </si>
  <si>
    <t>平成27年度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</si>
  <si>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</si>
  <si>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</si>
  <si>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　  （注）１</t>
  </si>
  <si>
    <t>　　 　 　２</t>
  </si>
  <si>
    <t>平成28年度</t>
  </si>
  <si>
    <t>実件</t>
  </si>
  <si>
    <t>(4)　税務署別課税状況等</t>
  </si>
  <si>
    <t>(4)　税務署別課税状況等（続）</t>
  </si>
  <si>
    <t>「件数」欄の「実」は、実件数を示す。</t>
  </si>
  <si>
    <t>　「現年分」は、平成29年４月１日から平成30年３月31日までに終了した課税期間について、平成30年６月30日現在の申告（国・地方公共団体等については平成30年９月30日までの申告を含む。）及び処理（更正、決定等）による課税事績を「申告書及び決議書」に基づいて作成した。</t>
  </si>
  <si>
    <t>　「既往年分」は、平成29年３月31日以前に終了した課税期間について、平成29年７月１日から平成30年６月30日までの間の申告（平成29年７月１日から同年９月30日までの間の国・地方公共団体等に係る申告を除く。）及び処理（更正、決定等）による課税事績を「申告書及び決議書」に基づいて作成した。</t>
  </si>
  <si>
    <t>平成29年度</t>
  </si>
  <si>
    <t>調査対象等：平成29年度末（平成30年３月31日現在）の届出件数を示している。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</si>
</sst>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hair"/>
      <bottom style="hair"/>
    </border>
    <border>
      <left style="medium"/>
      <right/>
      <top style="thin">
        <color indexed="55"/>
      </top>
      <bottom style="double"/>
    </border>
    <border>
      <left style="thin"/>
      <right style="medium"/>
      <top style="thin">
        <color indexed="55"/>
      </top>
      <bottom style="double"/>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style="thin"/>
      <bottom>
        <color indexed="63"/>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6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distributed" vertical="center"/>
    </xf>
    <xf numFmtId="0" fontId="6" fillId="0" borderId="25" xfId="0" applyFont="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3" fontId="2" fillId="34" borderId="30"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2"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xf>
    <xf numFmtId="0" fontId="2" fillId="0" borderId="33"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7" fillId="0" borderId="35"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6" xfId="0" applyNumberFormat="1" applyFont="1" applyFill="1" applyBorder="1" applyAlignment="1">
      <alignment horizontal="right" vertical="center"/>
    </xf>
    <xf numFmtId="0" fontId="2" fillId="0" borderId="35"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7" fillId="34" borderId="40" xfId="0" applyFont="1" applyFill="1" applyBorder="1" applyAlignment="1">
      <alignment horizontal="right"/>
    </xf>
    <xf numFmtId="0" fontId="2" fillId="0" borderId="41" xfId="0" applyFont="1" applyBorder="1" applyAlignment="1">
      <alignment horizontal="left" vertical="top" wrapText="1"/>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42" xfId="61" applyFont="1" applyBorder="1" applyAlignment="1">
      <alignment horizontal="distributed" vertical="center" indent="1"/>
      <protection/>
    </xf>
    <xf numFmtId="0" fontId="2" fillId="0" borderId="43" xfId="61" applyFont="1" applyBorder="1" applyAlignment="1">
      <alignment horizontal="distributed" vertical="center" indent="1"/>
      <protection/>
    </xf>
    <xf numFmtId="0" fontId="2" fillId="0" borderId="43" xfId="61" applyFont="1" applyBorder="1" applyAlignment="1">
      <alignment horizontal="center" vertical="center" wrapText="1"/>
      <protection/>
    </xf>
    <xf numFmtId="0" fontId="7" fillId="35" borderId="35"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32"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7" fillId="35" borderId="40" xfId="61" applyFont="1" applyFill="1" applyBorder="1" applyAlignment="1">
      <alignment horizontal="distributed"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6" fillId="36" borderId="53" xfId="61" applyFont="1" applyFill="1" applyBorder="1" applyAlignment="1">
      <alignment horizontal="distributed" vertical="center"/>
      <protection/>
    </xf>
    <xf numFmtId="0" fontId="2" fillId="36" borderId="54" xfId="61" applyFont="1" applyFill="1" applyBorder="1" applyAlignment="1">
      <alignment horizontal="distributed" vertical="center"/>
      <protection/>
    </xf>
    <xf numFmtId="0" fontId="2" fillId="36" borderId="55" xfId="61" applyFont="1" applyFill="1" applyBorder="1" applyAlignment="1">
      <alignment horizontal="distributed" vertical="center"/>
      <protection/>
    </xf>
    <xf numFmtId="0" fontId="2" fillId="0" borderId="56" xfId="61" applyFont="1" applyBorder="1" applyAlignment="1">
      <alignment horizontal="distributed" vertical="center" indent="1"/>
      <protection/>
    </xf>
    <xf numFmtId="0" fontId="2" fillId="0" borderId="56" xfId="61" applyFont="1" applyBorder="1" applyAlignment="1">
      <alignment horizontal="centerContinuous" vertical="center" wrapText="1"/>
      <protection/>
    </xf>
    <xf numFmtId="0" fontId="7" fillId="33" borderId="44" xfId="61" applyFont="1" applyFill="1" applyBorder="1" applyAlignment="1">
      <alignment horizontal="right" vertical="top"/>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9" xfId="61" applyFont="1" applyFill="1" applyBorder="1" applyAlignment="1">
      <alignment horizontal="distributed" vertical="top"/>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0" fontId="2" fillId="36" borderId="62" xfId="61" applyFont="1" applyFill="1" applyBorder="1" applyAlignment="1">
      <alignment horizontal="distributed" vertical="center"/>
      <protection/>
    </xf>
    <xf numFmtId="0" fontId="12" fillId="37" borderId="60" xfId="61" applyFont="1" applyFill="1" applyBorder="1" applyAlignment="1">
      <alignment horizontal="distributed" vertical="center"/>
      <protection/>
    </xf>
    <xf numFmtId="0" fontId="7" fillId="35" borderId="63"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4" xfId="61" applyFont="1" applyFill="1" applyBorder="1" applyAlignment="1">
      <alignment horizontal="distributed" vertical="center"/>
      <protection/>
    </xf>
    <xf numFmtId="0" fontId="2" fillId="36" borderId="65" xfId="61" applyFont="1" applyFill="1" applyBorder="1" applyAlignment="1">
      <alignment horizontal="distributed" vertical="center"/>
      <protection/>
    </xf>
    <xf numFmtId="0" fontId="2" fillId="36" borderId="66" xfId="61" applyFont="1" applyFill="1" applyBorder="1" applyAlignment="1">
      <alignment horizontal="distributed" vertical="center"/>
      <protection/>
    </xf>
    <xf numFmtId="3" fontId="2" fillId="34"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6" fillId="34" borderId="68" xfId="0" applyNumberFormat="1" applyFont="1" applyFill="1" applyBorder="1" applyAlignment="1">
      <alignment horizontal="right" vertical="center"/>
    </xf>
    <xf numFmtId="3" fontId="6" fillId="33" borderId="23"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4" borderId="73" xfId="0" applyNumberFormat="1" applyFont="1" applyFill="1" applyBorder="1" applyAlignment="1">
      <alignment vertical="center"/>
    </xf>
    <xf numFmtId="3" fontId="2" fillId="34" borderId="68" xfId="0" applyNumberFormat="1" applyFont="1" applyFill="1" applyBorder="1" applyAlignment="1">
      <alignment vertical="center"/>
    </xf>
    <xf numFmtId="3" fontId="6" fillId="34" borderId="74" xfId="0" applyNumberFormat="1" applyFont="1" applyFill="1" applyBorder="1" applyAlignment="1">
      <alignment horizontal="right" vertical="center"/>
    </xf>
    <xf numFmtId="3" fontId="6" fillId="33" borderId="75" xfId="0" applyNumberFormat="1" applyFont="1" applyFill="1" applyBorder="1" applyAlignment="1">
      <alignment horizontal="right" vertical="center"/>
    </xf>
    <xf numFmtId="3" fontId="6" fillId="33" borderId="76" xfId="0" applyNumberFormat="1" applyFont="1" applyFill="1" applyBorder="1" applyAlignment="1">
      <alignment horizontal="right" vertical="center"/>
    </xf>
    <xf numFmtId="3" fontId="2" fillId="34"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0" fontId="0" fillId="0" borderId="0" xfId="61" applyFont="1">
      <alignment/>
      <protection/>
    </xf>
    <xf numFmtId="177" fontId="2" fillId="34" borderId="36" xfId="61" applyNumberFormat="1" applyFont="1" applyFill="1" applyBorder="1" applyAlignment="1">
      <alignment horizontal="right" vertical="center"/>
      <protection/>
    </xf>
    <xf numFmtId="177" fontId="2" fillId="33" borderId="33" xfId="61" applyNumberFormat="1" applyFont="1" applyFill="1" applyBorder="1" applyAlignment="1">
      <alignment horizontal="right" vertical="center"/>
      <protection/>
    </xf>
    <xf numFmtId="177" fontId="2" fillId="33" borderId="80"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4" borderId="80" xfId="61" applyNumberFormat="1" applyFont="1" applyFill="1" applyBorder="1" applyAlignment="1">
      <alignment horizontal="right" vertical="center"/>
      <protection/>
    </xf>
    <xf numFmtId="177" fontId="2" fillId="34" borderId="81" xfId="61" applyNumberFormat="1" applyFont="1" applyFill="1" applyBorder="1" applyAlignment="1">
      <alignment horizontal="right" vertical="center"/>
      <protection/>
    </xf>
    <xf numFmtId="177" fontId="2" fillId="33" borderId="23" xfId="61" applyNumberFormat="1" applyFont="1" applyFill="1" applyBorder="1" applyAlignment="1">
      <alignment horizontal="right" vertical="center"/>
      <protection/>
    </xf>
    <xf numFmtId="177" fontId="2" fillId="33" borderId="82" xfId="61" applyNumberFormat="1" applyFont="1" applyFill="1" applyBorder="1" applyAlignment="1">
      <alignment horizontal="right" vertical="center"/>
      <protection/>
    </xf>
    <xf numFmtId="177" fontId="6" fillId="34" borderId="83" xfId="61" applyNumberFormat="1" applyFont="1" applyFill="1" applyBorder="1" applyAlignment="1">
      <alignment horizontal="right" vertical="center"/>
      <protection/>
    </xf>
    <xf numFmtId="177" fontId="6" fillId="33" borderId="84" xfId="61" applyNumberFormat="1" applyFont="1" applyFill="1" applyBorder="1" applyAlignment="1">
      <alignment horizontal="right" vertical="center"/>
      <protection/>
    </xf>
    <xf numFmtId="177" fontId="6" fillId="33" borderId="85"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177" fontId="6" fillId="34" borderId="85"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3" borderId="88" xfId="61" applyNumberFormat="1" applyFont="1" applyFill="1" applyBorder="1" applyAlignment="1">
      <alignment horizontal="right" vertical="center"/>
      <protection/>
    </xf>
    <xf numFmtId="177" fontId="2" fillId="33"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2"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177" fontId="2" fillId="0" borderId="95" xfId="61" applyNumberFormat="1" applyFont="1" applyFill="1" applyBorder="1" applyAlignment="1">
      <alignment horizontal="right" vertical="center"/>
      <protection/>
    </xf>
    <xf numFmtId="177" fontId="6" fillId="34" borderId="20"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3" borderId="96" xfId="61" applyNumberFormat="1" applyFont="1" applyFill="1" applyBorder="1" applyAlignment="1">
      <alignment horizontal="right" vertical="center"/>
      <protection/>
    </xf>
    <xf numFmtId="177" fontId="6" fillId="34" borderId="97" xfId="61" applyNumberFormat="1" applyFont="1" applyFill="1" applyBorder="1" applyAlignment="1">
      <alignment horizontal="right" vertical="center"/>
      <protection/>
    </xf>
    <xf numFmtId="177" fontId="6" fillId="34" borderId="98" xfId="61" applyNumberFormat="1" applyFont="1" applyFill="1" applyBorder="1" applyAlignment="1">
      <alignment horizontal="right" vertical="center"/>
      <protection/>
    </xf>
    <xf numFmtId="177" fontId="6" fillId="34" borderId="9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8" fillId="37" borderId="100" xfId="61" applyFont="1" applyFill="1" applyBorder="1" applyAlignment="1">
      <alignment horizontal="distributed" vertical="center"/>
      <protection/>
    </xf>
    <xf numFmtId="0" fontId="8" fillId="37" borderId="101" xfId="61" applyFont="1" applyFill="1" applyBorder="1" applyAlignment="1">
      <alignment horizontal="center" vertical="center"/>
      <protection/>
    </xf>
    <xf numFmtId="177" fontId="8" fillId="28" borderId="102" xfId="61" applyNumberFormat="1" applyFont="1" applyFill="1" applyBorder="1" applyAlignment="1">
      <alignment horizontal="right" vertical="center"/>
      <protection/>
    </xf>
    <xf numFmtId="177" fontId="8" fillId="38" borderId="103" xfId="61" applyNumberFormat="1" applyFont="1" applyFill="1" applyBorder="1" applyAlignment="1">
      <alignment horizontal="right" vertical="center"/>
      <protection/>
    </xf>
    <xf numFmtId="177" fontId="8" fillId="38" borderId="104" xfId="61" applyNumberFormat="1" applyFont="1" applyFill="1" applyBorder="1" applyAlignment="1">
      <alignment horizontal="right" vertical="center"/>
      <protection/>
    </xf>
    <xf numFmtId="0" fontId="6" fillId="36" borderId="105" xfId="61" applyFont="1" applyFill="1" applyBorder="1" applyAlignment="1">
      <alignment horizontal="distributed" vertical="center"/>
      <protection/>
    </xf>
    <xf numFmtId="177" fontId="6" fillId="34" borderId="106"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107" xfId="61" applyNumberFormat="1" applyFont="1" applyFill="1" applyBorder="1" applyAlignment="1">
      <alignment horizontal="right" vertical="center"/>
      <protection/>
    </xf>
    <xf numFmtId="0" fontId="6" fillId="36" borderId="108" xfId="61" applyFont="1" applyFill="1" applyBorder="1" applyAlignment="1">
      <alignment horizontal="distributed" vertical="center"/>
      <protection/>
    </xf>
    <xf numFmtId="0" fontId="8" fillId="0" borderId="109" xfId="61" applyFont="1" applyFill="1" applyBorder="1" applyAlignment="1">
      <alignment horizontal="distributed" vertical="center"/>
      <protection/>
    </xf>
    <xf numFmtId="177" fontId="8" fillId="0" borderId="110" xfId="61" applyNumberFormat="1" applyFont="1" applyFill="1" applyBorder="1" applyAlignment="1">
      <alignment horizontal="right" vertical="center"/>
      <protection/>
    </xf>
    <xf numFmtId="177" fontId="8" fillId="0" borderId="111" xfId="61" applyNumberFormat="1" applyFont="1" applyFill="1" applyBorder="1" applyAlignment="1">
      <alignment horizontal="right" vertical="center"/>
      <protection/>
    </xf>
    <xf numFmtId="177" fontId="8" fillId="0" borderId="112" xfId="61" applyNumberFormat="1" applyFont="1" applyFill="1" applyBorder="1" applyAlignment="1">
      <alignment horizontal="right" vertical="center"/>
      <protection/>
    </xf>
    <xf numFmtId="0" fontId="8" fillId="0" borderId="113" xfId="61" applyFont="1" applyFill="1" applyBorder="1" applyAlignment="1">
      <alignment horizontal="center" vertical="center"/>
      <protection/>
    </xf>
    <xf numFmtId="0" fontId="6" fillId="36" borderId="114" xfId="61" applyFont="1" applyFill="1" applyBorder="1" applyAlignment="1">
      <alignment horizontal="distributed" vertical="center"/>
      <protection/>
    </xf>
    <xf numFmtId="177" fontId="6" fillId="34" borderId="19" xfId="61" applyNumberFormat="1" applyFont="1" applyFill="1" applyBorder="1" applyAlignment="1">
      <alignment horizontal="right" vertical="center"/>
      <protection/>
    </xf>
    <xf numFmtId="177" fontId="6" fillId="33" borderId="115" xfId="61" applyNumberFormat="1" applyFont="1" applyFill="1" applyBorder="1" applyAlignment="1">
      <alignment horizontal="right" vertical="center"/>
      <protection/>
    </xf>
    <xf numFmtId="177" fontId="6" fillId="33" borderId="116" xfId="61" applyNumberFormat="1" applyFont="1" applyFill="1" applyBorder="1" applyAlignment="1">
      <alignment horizontal="right" vertical="center"/>
      <protection/>
    </xf>
    <xf numFmtId="0" fontId="6" fillId="36" borderId="117" xfId="61" applyFont="1" applyFill="1" applyBorder="1" applyAlignment="1">
      <alignment horizontal="distributed" vertical="center"/>
      <protection/>
    </xf>
    <xf numFmtId="0" fontId="8" fillId="37" borderId="109" xfId="61" applyFont="1" applyFill="1" applyBorder="1" applyAlignment="1">
      <alignment horizontal="distributed" vertical="center"/>
      <protection/>
    </xf>
    <xf numFmtId="177" fontId="8" fillId="28" borderId="112" xfId="61" applyNumberFormat="1" applyFont="1" applyFill="1" applyBorder="1" applyAlignment="1">
      <alignment horizontal="right" vertical="center"/>
      <protection/>
    </xf>
    <xf numFmtId="177" fontId="8" fillId="38" borderId="111" xfId="61" applyNumberFormat="1" applyFont="1" applyFill="1" applyBorder="1" applyAlignment="1">
      <alignment horizontal="right" vertical="center"/>
      <protection/>
    </xf>
    <xf numFmtId="177" fontId="8" fillId="38" borderId="118" xfId="61" applyNumberFormat="1" applyFont="1" applyFill="1" applyBorder="1" applyAlignment="1">
      <alignment horizontal="right" vertical="center"/>
      <protection/>
    </xf>
    <xf numFmtId="0" fontId="8" fillId="37" borderId="113" xfId="61" applyFont="1" applyFill="1" applyBorder="1" applyAlignment="1">
      <alignment horizontal="center" vertical="center"/>
      <protection/>
    </xf>
    <xf numFmtId="0" fontId="6" fillId="37" borderId="105" xfId="61" applyFont="1" applyFill="1" applyBorder="1" applyAlignment="1">
      <alignment horizontal="distributed" vertical="center"/>
      <protection/>
    </xf>
    <xf numFmtId="177" fontId="6" fillId="28" borderId="106" xfId="61" applyNumberFormat="1" applyFont="1" applyFill="1" applyBorder="1" applyAlignment="1">
      <alignment horizontal="right" vertical="center"/>
      <protection/>
    </xf>
    <xf numFmtId="177" fontId="6" fillId="38" borderId="71"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177" fontId="6" fillId="34" borderId="107" xfId="61" applyNumberFormat="1" applyFont="1" applyFill="1" applyBorder="1" applyAlignment="1">
      <alignment horizontal="right" vertical="center"/>
      <protection/>
    </xf>
    <xf numFmtId="177" fontId="2" fillId="0" borderId="112" xfId="61" applyNumberFormat="1" applyFont="1" applyFill="1" applyBorder="1" applyAlignment="1">
      <alignment horizontal="right" vertical="center"/>
      <protection/>
    </xf>
    <xf numFmtId="177" fontId="2" fillId="0" borderId="119" xfId="61" applyNumberFormat="1" applyFont="1" applyFill="1" applyBorder="1" applyAlignment="1">
      <alignment horizontal="right" vertical="center"/>
      <protection/>
    </xf>
    <xf numFmtId="177" fontId="2" fillId="0" borderId="118" xfId="61" applyNumberFormat="1" applyFont="1" applyFill="1" applyBorder="1" applyAlignment="1">
      <alignment horizontal="right" vertical="center"/>
      <protection/>
    </xf>
    <xf numFmtId="177" fontId="2" fillId="28" borderId="112" xfId="61" applyNumberFormat="1" applyFont="1" applyFill="1" applyBorder="1" applyAlignment="1">
      <alignment horizontal="right" vertical="center"/>
      <protection/>
    </xf>
    <xf numFmtId="177" fontId="2" fillId="28" borderId="119" xfId="61" applyNumberFormat="1" applyFont="1" applyFill="1" applyBorder="1" applyAlignment="1">
      <alignment horizontal="right" vertical="center"/>
      <protection/>
    </xf>
    <xf numFmtId="177" fontId="2" fillId="28" borderId="118" xfId="61" applyNumberFormat="1" applyFont="1" applyFill="1" applyBorder="1" applyAlignment="1">
      <alignment horizontal="right" vertical="center"/>
      <protection/>
    </xf>
    <xf numFmtId="177" fontId="6" fillId="34" borderId="120" xfId="61" applyNumberFormat="1" applyFont="1" applyFill="1" applyBorder="1" applyAlignment="1">
      <alignment horizontal="right" vertical="center"/>
      <protection/>
    </xf>
    <xf numFmtId="177" fontId="6" fillId="34" borderId="116" xfId="61" applyNumberFormat="1" applyFont="1" applyFill="1" applyBorder="1" applyAlignment="1">
      <alignment horizontal="right" vertical="center"/>
      <protection/>
    </xf>
    <xf numFmtId="3" fontId="2" fillId="34" borderId="121" xfId="0" applyNumberFormat="1" applyFont="1" applyFill="1" applyBorder="1" applyAlignment="1">
      <alignment horizontal="right" vertical="center"/>
    </xf>
    <xf numFmtId="3" fontId="2" fillId="34" borderId="122" xfId="0" applyNumberFormat="1" applyFont="1" applyFill="1" applyBorder="1" applyAlignment="1">
      <alignment vertical="center"/>
    </xf>
    <xf numFmtId="3" fontId="2" fillId="34" borderId="123" xfId="0" applyNumberFormat="1" applyFont="1" applyFill="1" applyBorder="1" applyAlignment="1">
      <alignment vertical="center"/>
    </xf>
    <xf numFmtId="3" fontId="2" fillId="34" borderId="58" xfId="0" applyNumberFormat="1" applyFont="1" applyFill="1" applyBorder="1" applyAlignment="1">
      <alignment vertical="center"/>
    </xf>
    <xf numFmtId="0" fontId="2" fillId="36" borderId="117" xfId="61" applyFont="1" applyFill="1" applyBorder="1" applyAlignment="1">
      <alignment horizontal="distributed" vertical="center"/>
      <protection/>
    </xf>
    <xf numFmtId="0" fontId="2" fillId="36" borderId="124" xfId="61" applyFont="1" applyFill="1" applyBorder="1" applyAlignment="1">
      <alignment horizontal="distributed" vertical="center"/>
      <protection/>
    </xf>
    <xf numFmtId="0" fontId="8" fillId="0" borderId="125" xfId="61" applyFont="1" applyFill="1" applyBorder="1" applyAlignment="1">
      <alignment horizontal="distributed" vertical="center"/>
      <protection/>
    </xf>
    <xf numFmtId="177" fontId="8" fillId="0" borderId="90" xfId="61" applyNumberFormat="1" applyFont="1" applyFill="1" applyBorder="1" applyAlignment="1">
      <alignment horizontal="right" vertical="center"/>
      <protection/>
    </xf>
    <xf numFmtId="177" fontId="8" fillId="0" borderId="91" xfId="61" applyNumberFormat="1" applyFont="1" applyFill="1" applyBorder="1" applyAlignment="1">
      <alignment horizontal="right" vertical="center"/>
      <protection/>
    </xf>
    <xf numFmtId="177" fontId="8" fillId="0" borderId="92" xfId="61" applyNumberFormat="1" applyFont="1" applyFill="1" applyBorder="1" applyAlignment="1">
      <alignment horizontal="right" vertical="center"/>
      <protection/>
    </xf>
    <xf numFmtId="0" fontId="8" fillId="0" borderId="126" xfId="61" applyFont="1" applyFill="1" applyBorder="1" applyAlignment="1">
      <alignment horizontal="center" vertical="center"/>
      <protection/>
    </xf>
    <xf numFmtId="0" fontId="5" fillId="0" borderId="0" xfId="0" applyFont="1" applyAlignment="1">
      <alignment horizontal="center" vertical="top"/>
    </xf>
    <xf numFmtId="0" fontId="6" fillId="0" borderId="127" xfId="0" applyFont="1" applyBorder="1" applyAlignment="1">
      <alignment horizontal="distributed" vertical="center"/>
    </xf>
    <xf numFmtId="0" fontId="6" fillId="0" borderId="128" xfId="0" applyFont="1" applyBorder="1" applyAlignment="1">
      <alignment horizontal="distributed" vertical="center"/>
    </xf>
    <xf numFmtId="0" fontId="2" fillId="0" borderId="51"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wrapText="1"/>
    </xf>
    <xf numFmtId="0" fontId="2" fillId="0" borderId="131" xfId="0" applyFont="1" applyBorder="1" applyAlignment="1">
      <alignment horizontal="distributed"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4" xfId="0" applyFont="1" applyBorder="1" applyAlignment="1">
      <alignment horizontal="center" vertical="center"/>
    </xf>
    <xf numFmtId="0" fontId="2" fillId="0" borderId="135" xfId="0" applyFont="1" applyBorder="1" applyAlignment="1">
      <alignment horizontal="distributed" vertical="center" wrapText="1"/>
    </xf>
    <xf numFmtId="0" fontId="2" fillId="0" borderId="135" xfId="0" applyFont="1" applyBorder="1" applyAlignment="1">
      <alignment horizontal="distributed" vertical="center"/>
    </xf>
    <xf numFmtId="0" fontId="2" fillId="0" borderId="136" xfId="0" applyFont="1" applyBorder="1" applyAlignment="1">
      <alignment horizontal="distributed" vertical="center"/>
    </xf>
    <xf numFmtId="0" fontId="2" fillId="0" borderId="0" xfId="0" applyFont="1" applyAlignment="1">
      <alignment horizontal="left" vertical="top"/>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14" xfId="0" applyFont="1" applyBorder="1" applyAlignment="1">
      <alignment horizontal="center" vertical="center"/>
    </xf>
    <xf numFmtId="0" fontId="2" fillId="0" borderId="140" xfId="0" applyFont="1" applyBorder="1" applyAlignment="1">
      <alignment horizontal="center" vertical="center"/>
    </xf>
    <xf numFmtId="0" fontId="2" fillId="0" borderId="41" xfId="0" applyFont="1" applyBorder="1" applyAlignment="1">
      <alignment horizontal="justify" vertical="top" wrapText="1"/>
    </xf>
    <xf numFmtId="0" fontId="2" fillId="0" borderId="0" xfId="0" applyFont="1" applyAlignment="1">
      <alignment horizontal="justify" vertical="top" wrapText="1"/>
    </xf>
    <xf numFmtId="0" fontId="2" fillId="0" borderId="141" xfId="0" applyFont="1" applyBorder="1" applyAlignment="1">
      <alignment horizontal="center" vertical="center"/>
    </xf>
    <xf numFmtId="0" fontId="2" fillId="0" borderId="41" xfId="0" applyFont="1" applyBorder="1" applyAlignment="1">
      <alignment horizontal="center" vertical="center"/>
    </xf>
    <xf numFmtId="0" fontId="2" fillId="0" borderId="142" xfId="0" applyFont="1" applyBorder="1" applyAlignment="1">
      <alignment horizontal="center" vertical="center"/>
    </xf>
    <xf numFmtId="0" fontId="2" fillId="0" borderId="130" xfId="0" applyFont="1" applyBorder="1" applyAlignment="1">
      <alignment horizontal="center" vertical="center"/>
    </xf>
    <xf numFmtId="0" fontId="2" fillId="0" borderId="143" xfId="0" applyFont="1" applyBorder="1" applyAlignment="1">
      <alignment horizontal="center" vertical="center"/>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44"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2" fillId="0" borderId="16" xfId="61" applyFont="1" applyBorder="1" applyAlignment="1">
      <alignment horizontal="distributed" vertical="center" wrapText="1"/>
      <protection/>
    </xf>
    <xf numFmtId="0" fontId="2" fillId="0" borderId="117" xfId="61" applyFont="1" applyBorder="1" applyAlignment="1">
      <alignment horizontal="distributed" vertical="center" wrapText="1"/>
      <protection/>
    </xf>
    <xf numFmtId="0" fontId="2" fillId="0" borderId="145" xfId="61" applyFont="1" applyBorder="1" applyAlignment="1">
      <alignment horizontal="distributed" vertical="center" wrapText="1"/>
      <protection/>
    </xf>
    <xf numFmtId="0" fontId="2" fillId="0" borderId="146" xfId="61" applyFont="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41" xfId="61" applyFont="1" applyBorder="1" applyAlignment="1">
      <alignment horizontal="left" vertical="center"/>
      <protection/>
    </xf>
    <xf numFmtId="0" fontId="2" fillId="0" borderId="0" xfId="61" applyFont="1" applyAlignment="1">
      <alignment horizontal="left" vertical="center"/>
      <protection/>
    </xf>
    <xf numFmtId="0" fontId="2" fillId="0" borderId="138" xfId="61" applyFont="1" applyBorder="1" applyAlignment="1">
      <alignment horizontal="distributed" vertical="center"/>
      <protection/>
    </xf>
    <xf numFmtId="0" fontId="2" fillId="0" borderId="114" xfId="61" applyFont="1" applyBorder="1" applyAlignment="1">
      <alignment horizontal="distributed" vertical="center"/>
      <protection/>
    </xf>
    <xf numFmtId="0" fontId="2" fillId="0" borderId="149" xfId="61" applyFont="1" applyBorder="1" applyAlignment="1">
      <alignment horizontal="distributed" vertical="center"/>
      <protection/>
    </xf>
    <xf numFmtId="0" fontId="2" fillId="0" borderId="150" xfId="61" applyFont="1" applyBorder="1" applyAlignment="1">
      <alignment horizontal="center" vertical="center"/>
      <protection/>
    </xf>
    <xf numFmtId="0" fontId="2" fillId="0" borderId="151" xfId="61" applyFont="1" applyBorder="1" applyAlignment="1">
      <alignment horizontal="center" vertical="center"/>
      <protection/>
    </xf>
    <xf numFmtId="0" fontId="2" fillId="0" borderId="152" xfId="61" applyFont="1" applyBorder="1" applyAlignment="1">
      <alignment horizontal="center" vertical="center"/>
      <protection/>
    </xf>
    <xf numFmtId="0" fontId="2" fillId="0" borderId="153" xfId="61" applyFont="1" applyBorder="1" applyAlignment="1">
      <alignment horizontal="center" vertical="center"/>
      <protection/>
    </xf>
    <xf numFmtId="0" fontId="2" fillId="0" borderId="151" xfId="61" applyFont="1" applyBorder="1" applyAlignment="1">
      <alignment horizontal="center" vertical="center" wrapText="1"/>
      <protection/>
    </xf>
    <xf numFmtId="0" fontId="2" fillId="0" borderId="154" xfId="61" applyFont="1" applyBorder="1" applyAlignment="1">
      <alignment horizontal="left" vertical="center"/>
      <protection/>
    </xf>
    <xf numFmtId="0" fontId="2" fillId="0" borderId="155" xfId="61" applyFont="1" applyBorder="1" applyAlignment="1">
      <alignment horizontal="center" vertical="center"/>
      <protection/>
    </xf>
    <xf numFmtId="0" fontId="2" fillId="0" borderId="156" xfId="61" applyFont="1" applyBorder="1" applyAlignment="1">
      <alignment horizontal="center" vertical="center"/>
      <protection/>
    </xf>
    <xf numFmtId="0" fontId="2" fillId="0" borderId="157" xfId="61" applyFont="1" applyBorder="1" applyAlignment="1">
      <alignment horizontal="distributed" vertical="center" wrapText="1"/>
      <protection/>
    </xf>
    <xf numFmtId="0" fontId="2" fillId="0" borderId="158" xfId="61" applyFont="1" applyBorder="1" applyAlignment="1">
      <alignment horizontal="distributed" vertical="center"/>
      <protection/>
    </xf>
    <xf numFmtId="0" fontId="2" fillId="0" borderId="159" xfId="61" applyFont="1" applyBorder="1" applyAlignment="1">
      <alignment horizontal="distributed" vertical="center" wrapText="1"/>
      <protection/>
    </xf>
    <xf numFmtId="0" fontId="2" fillId="0" borderId="160" xfId="61" applyFont="1" applyBorder="1" applyAlignment="1">
      <alignment horizontal="distributed" vertical="center"/>
      <protection/>
    </xf>
    <xf numFmtId="0" fontId="2" fillId="0" borderId="161" xfId="61" applyFont="1" applyBorder="1" applyAlignment="1">
      <alignment horizontal="distributed" vertical="center" wrapText="1"/>
      <protection/>
    </xf>
    <xf numFmtId="0" fontId="2" fillId="0" borderId="162" xfId="61" applyFont="1" applyBorder="1" applyAlignment="1">
      <alignment horizontal="distributed" vertical="center" wrapText="1"/>
      <protection/>
    </xf>
    <xf numFmtId="0" fontId="2" fillId="0" borderId="56" xfId="61" applyFont="1" applyBorder="1" applyAlignment="1">
      <alignment horizontal="center" vertical="center"/>
      <protection/>
    </xf>
    <xf numFmtId="0" fontId="2" fillId="0" borderId="150"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workbookViewId="0" topLeftCell="A1">
      <selection activeCell="A2" sqref="A2"/>
    </sheetView>
  </sheetViews>
  <sheetFormatPr defaultColWidth="5.875" defaultRowHeight="13.5"/>
  <cols>
    <col min="1" max="1" width="11.50390625" style="1" customWidth="1"/>
    <col min="2" max="2" width="16.00390625" style="1" customWidth="1"/>
    <col min="3" max="3" width="3.00390625" style="1" customWidth="1"/>
    <col min="4" max="4" width="8.375" style="1" customWidth="1"/>
    <col min="5" max="5" width="10.625" style="1" customWidth="1"/>
    <col min="6" max="6" width="3.00390625" style="1" customWidth="1"/>
    <col min="7" max="7" width="7.875" style="1" customWidth="1"/>
    <col min="8" max="8" width="15.375" style="1" customWidth="1"/>
    <col min="9" max="9" width="3.00390625" style="1" customWidth="1"/>
    <col min="10" max="10" width="7.375" style="1" customWidth="1"/>
    <col min="11" max="11" width="14.50390625" style="1" customWidth="1"/>
    <col min="12" max="16384" width="5.875" style="1" customWidth="1"/>
  </cols>
  <sheetData>
    <row r="1" spans="1:11" ht="15">
      <c r="A1" s="205" t="s">
        <v>0</v>
      </c>
      <c r="B1" s="205"/>
      <c r="C1" s="205"/>
      <c r="D1" s="205"/>
      <c r="E1" s="205"/>
      <c r="F1" s="205"/>
      <c r="G1" s="205"/>
      <c r="H1" s="205"/>
      <c r="I1" s="205"/>
      <c r="J1" s="205"/>
      <c r="K1" s="205"/>
    </row>
    <row r="2" spans="1:11" ht="15">
      <c r="A2" s="58"/>
      <c r="B2" s="58"/>
      <c r="C2" s="58"/>
      <c r="D2" s="58"/>
      <c r="E2" s="58"/>
      <c r="F2" s="58"/>
      <c r="G2" s="58"/>
      <c r="H2" s="58"/>
      <c r="I2" s="58"/>
      <c r="J2" s="58"/>
      <c r="K2" s="58"/>
    </row>
    <row r="3" spans="1:11" ht="12" thickBot="1">
      <c r="A3" s="218" t="s">
        <v>154</v>
      </c>
      <c r="B3" s="218"/>
      <c r="C3" s="218"/>
      <c r="D3" s="218"/>
      <c r="E3" s="218"/>
      <c r="F3" s="218"/>
      <c r="G3" s="218"/>
      <c r="H3" s="218"/>
      <c r="I3" s="218"/>
      <c r="J3" s="218"/>
      <c r="K3" s="218"/>
    </row>
    <row r="4" spans="1:11" ht="24" customHeight="1">
      <c r="A4" s="222" t="s">
        <v>1</v>
      </c>
      <c r="B4" s="223"/>
      <c r="C4" s="212" t="s">
        <v>155</v>
      </c>
      <c r="D4" s="213"/>
      <c r="E4" s="221"/>
      <c r="F4" s="212" t="s">
        <v>156</v>
      </c>
      <c r="G4" s="213"/>
      <c r="H4" s="221"/>
      <c r="I4" s="212" t="s">
        <v>157</v>
      </c>
      <c r="J4" s="213"/>
      <c r="K4" s="214"/>
    </row>
    <row r="5" spans="1:11" ht="24" customHeight="1">
      <c r="A5" s="224"/>
      <c r="B5" s="225"/>
      <c r="C5" s="219" t="s">
        <v>2</v>
      </c>
      <c r="D5" s="220"/>
      <c r="E5" s="6" t="s">
        <v>3</v>
      </c>
      <c r="F5" s="219" t="s">
        <v>2</v>
      </c>
      <c r="G5" s="220"/>
      <c r="H5" s="6" t="s">
        <v>3</v>
      </c>
      <c r="I5" s="219" t="s">
        <v>2</v>
      </c>
      <c r="J5" s="220"/>
      <c r="K5" s="15" t="s">
        <v>3</v>
      </c>
    </row>
    <row r="6" spans="1:11" ht="12" customHeight="1">
      <c r="A6" s="44"/>
      <c r="B6" s="47"/>
      <c r="C6" s="45"/>
      <c r="D6" s="37" t="s">
        <v>24</v>
      </c>
      <c r="E6" s="36" t="s">
        <v>23</v>
      </c>
      <c r="F6" s="45"/>
      <c r="G6" s="37" t="s">
        <v>24</v>
      </c>
      <c r="H6" s="36" t="s">
        <v>23</v>
      </c>
      <c r="I6" s="45"/>
      <c r="J6" s="37" t="s">
        <v>24</v>
      </c>
      <c r="K6" s="46" t="s">
        <v>23</v>
      </c>
    </row>
    <row r="7" spans="1:11" ht="30" customHeight="1">
      <c r="A7" s="215" t="s">
        <v>158</v>
      </c>
      <c r="B7" s="41" t="s">
        <v>159</v>
      </c>
      <c r="C7" s="16"/>
      <c r="D7" s="106">
        <v>90251</v>
      </c>
      <c r="E7" s="42">
        <v>80567479</v>
      </c>
      <c r="F7" s="19"/>
      <c r="G7" s="106">
        <v>399194</v>
      </c>
      <c r="H7" s="42">
        <v>7494124901</v>
      </c>
      <c r="I7" s="19"/>
      <c r="J7" s="106">
        <v>489445</v>
      </c>
      <c r="K7" s="43">
        <v>7574692380</v>
      </c>
    </row>
    <row r="8" spans="1:11" ht="30" customHeight="1">
      <c r="A8" s="216"/>
      <c r="B8" s="24" t="s">
        <v>160</v>
      </c>
      <c r="C8" s="16"/>
      <c r="D8" s="107">
        <v>145245</v>
      </c>
      <c r="E8" s="108">
        <v>73000403</v>
      </c>
      <c r="F8" s="19"/>
      <c r="G8" s="107">
        <v>150984</v>
      </c>
      <c r="H8" s="108">
        <v>98042784</v>
      </c>
      <c r="I8" s="19"/>
      <c r="J8" s="107">
        <v>296229</v>
      </c>
      <c r="K8" s="109">
        <v>171043187</v>
      </c>
    </row>
    <row r="9" spans="1:11" s="3" customFormat="1" ht="30" customHeight="1">
      <c r="A9" s="216"/>
      <c r="B9" s="25" t="s">
        <v>161</v>
      </c>
      <c r="C9" s="17"/>
      <c r="D9" s="110">
        <v>235496</v>
      </c>
      <c r="E9" s="111">
        <v>153567882</v>
      </c>
      <c r="F9" s="17"/>
      <c r="G9" s="110">
        <v>550178</v>
      </c>
      <c r="H9" s="111">
        <v>7592167685</v>
      </c>
      <c r="I9" s="17"/>
      <c r="J9" s="110">
        <v>785674</v>
      </c>
      <c r="K9" s="112">
        <v>7745735567</v>
      </c>
    </row>
    <row r="10" spans="1:11" ht="30" customHeight="1">
      <c r="A10" s="217"/>
      <c r="B10" s="26" t="s">
        <v>162</v>
      </c>
      <c r="C10" s="16"/>
      <c r="D10" s="113">
        <v>7942</v>
      </c>
      <c r="E10" s="114">
        <v>11458490</v>
      </c>
      <c r="F10" s="16"/>
      <c r="G10" s="113">
        <v>59099</v>
      </c>
      <c r="H10" s="114">
        <v>2387960747</v>
      </c>
      <c r="I10" s="16"/>
      <c r="J10" s="113">
        <v>67041</v>
      </c>
      <c r="K10" s="115">
        <v>2399419237</v>
      </c>
    </row>
    <row r="11" spans="1:11" ht="30" customHeight="1">
      <c r="A11" s="210" t="s">
        <v>163</v>
      </c>
      <c r="B11" s="59" t="s">
        <v>164</v>
      </c>
      <c r="C11" s="9"/>
      <c r="D11" s="116">
        <v>17117</v>
      </c>
      <c r="E11" s="21">
        <v>5108516</v>
      </c>
      <c r="F11" s="38"/>
      <c r="G11" s="117">
        <v>33364</v>
      </c>
      <c r="H11" s="21">
        <v>34767408</v>
      </c>
      <c r="I11" s="38"/>
      <c r="J11" s="117">
        <v>50481</v>
      </c>
      <c r="K11" s="22">
        <v>39875924</v>
      </c>
    </row>
    <row r="12" spans="1:11" ht="30" customHeight="1">
      <c r="A12" s="211"/>
      <c r="B12" s="60" t="s">
        <v>165</v>
      </c>
      <c r="C12" s="39"/>
      <c r="D12" s="107">
        <v>3832</v>
      </c>
      <c r="E12" s="108">
        <v>1103627</v>
      </c>
      <c r="F12" s="40"/>
      <c r="G12" s="118">
        <v>6828</v>
      </c>
      <c r="H12" s="108">
        <v>28679604</v>
      </c>
      <c r="I12" s="40"/>
      <c r="J12" s="118">
        <v>10660</v>
      </c>
      <c r="K12" s="109">
        <v>29783231</v>
      </c>
    </row>
    <row r="13" spans="1:11" s="3" customFormat="1" ht="30" customHeight="1">
      <c r="A13" s="206" t="s">
        <v>6</v>
      </c>
      <c r="B13" s="207"/>
      <c r="C13" s="27" t="s">
        <v>14</v>
      </c>
      <c r="D13" s="119">
        <v>253401</v>
      </c>
      <c r="E13" s="120">
        <v>146114280</v>
      </c>
      <c r="F13" s="27" t="s">
        <v>14</v>
      </c>
      <c r="G13" s="119">
        <v>615670</v>
      </c>
      <c r="H13" s="120">
        <v>5210294742</v>
      </c>
      <c r="I13" s="27" t="s">
        <v>14</v>
      </c>
      <c r="J13" s="119">
        <v>869071</v>
      </c>
      <c r="K13" s="121">
        <v>5356409022</v>
      </c>
    </row>
    <row r="14" spans="1:11" ht="30" customHeight="1" thickBot="1">
      <c r="A14" s="208" t="s">
        <v>7</v>
      </c>
      <c r="B14" s="209"/>
      <c r="C14" s="18"/>
      <c r="D14" s="122">
        <v>18916</v>
      </c>
      <c r="E14" s="123">
        <v>926391</v>
      </c>
      <c r="F14" s="20"/>
      <c r="G14" s="122">
        <v>27558</v>
      </c>
      <c r="H14" s="123">
        <v>4623736</v>
      </c>
      <c r="I14" s="20"/>
      <c r="J14" s="122">
        <v>46474</v>
      </c>
      <c r="K14" s="124">
        <v>5550127</v>
      </c>
    </row>
    <row r="15" spans="1:11" s="4" customFormat="1" ht="37.5" customHeight="1">
      <c r="A15" s="57" t="s">
        <v>152</v>
      </c>
      <c r="B15" s="226" t="s">
        <v>187</v>
      </c>
      <c r="C15" s="226"/>
      <c r="D15" s="226"/>
      <c r="E15" s="226"/>
      <c r="F15" s="226"/>
      <c r="G15" s="226"/>
      <c r="H15" s="226"/>
      <c r="I15" s="226"/>
      <c r="J15" s="226"/>
      <c r="K15" s="226"/>
    </row>
    <row r="16" spans="2:11" ht="45" customHeight="1">
      <c r="B16" s="227" t="s">
        <v>188</v>
      </c>
      <c r="C16" s="227"/>
      <c r="D16" s="227"/>
      <c r="E16" s="227"/>
      <c r="F16" s="227"/>
      <c r="G16" s="227"/>
      <c r="H16" s="227"/>
      <c r="I16" s="227"/>
      <c r="J16" s="227"/>
      <c r="K16" s="227"/>
    </row>
    <row r="17" spans="1:2" ht="14.25" customHeight="1">
      <c r="A17" s="1" t="s">
        <v>180</v>
      </c>
      <c r="B17" s="1" t="s">
        <v>153</v>
      </c>
    </row>
    <row r="18" spans="1:2" ht="11.25">
      <c r="A18" s="63" t="s">
        <v>181</v>
      </c>
      <c r="B18" s="1" t="s">
        <v>186</v>
      </c>
    </row>
  </sheetData>
  <sheetProtection/>
  <mergeCells count="15">
    <mergeCell ref="C5:D5"/>
    <mergeCell ref="F5:G5"/>
    <mergeCell ref="A4:B5"/>
    <mergeCell ref="B15:K15"/>
    <mergeCell ref="B16:K16"/>
    <mergeCell ref="A1:K1"/>
    <mergeCell ref="A13:B13"/>
    <mergeCell ref="A14:B14"/>
    <mergeCell ref="A11:A12"/>
    <mergeCell ref="I4:K4"/>
    <mergeCell ref="A7:A10"/>
    <mergeCell ref="A3:K3"/>
    <mergeCell ref="I5:J5"/>
    <mergeCell ref="C4:E4"/>
    <mergeCell ref="F4:H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6" r:id="rId1"/>
  <headerFooter alignWithMargins="0">
    <oddFooter>&amp;R東京国税局
消費税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C1" sqref="C1"/>
    </sheetView>
  </sheetViews>
  <sheetFormatPr defaultColWidth="9.00390625" defaultRowHeight="13.5"/>
  <cols>
    <col min="1" max="1" width="10.625" style="62" customWidth="1"/>
    <col min="2" max="2" width="15.625" style="62" customWidth="1"/>
    <col min="3" max="3" width="8.625" style="62" customWidth="1"/>
    <col min="4" max="4" width="10.625" style="62" customWidth="1"/>
    <col min="5" max="5" width="8.625" style="62" customWidth="1"/>
    <col min="6" max="6" width="12.875" style="62" bestFit="1" customWidth="1"/>
    <col min="7" max="7" width="8.625" style="62" customWidth="1"/>
    <col min="8" max="8" width="12.875" style="62" bestFit="1" customWidth="1"/>
    <col min="9" max="16384" width="9.00390625" style="62" customWidth="1"/>
  </cols>
  <sheetData>
    <row r="1" s="1" customFormat="1" ht="12" thickBot="1">
      <c r="A1" s="1" t="s">
        <v>25</v>
      </c>
    </row>
    <row r="2" spans="1:8" s="1" customFormat="1" ht="15" customHeight="1">
      <c r="A2" s="222" t="s">
        <v>1</v>
      </c>
      <c r="B2" s="223"/>
      <c r="C2" s="228" t="s">
        <v>15</v>
      </c>
      <c r="D2" s="228"/>
      <c r="E2" s="228" t="s">
        <v>18</v>
      </c>
      <c r="F2" s="228"/>
      <c r="G2" s="229" t="s">
        <v>19</v>
      </c>
      <c r="H2" s="230"/>
    </row>
    <row r="3" spans="1:8" s="1" customFormat="1" ht="15" customHeight="1">
      <c r="A3" s="224"/>
      <c r="B3" s="225"/>
      <c r="C3" s="9" t="s">
        <v>20</v>
      </c>
      <c r="D3" s="6" t="s">
        <v>21</v>
      </c>
      <c r="E3" s="9" t="s">
        <v>20</v>
      </c>
      <c r="F3" s="7" t="s">
        <v>21</v>
      </c>
      <c r="G3" s="9" t="s">
        <v>20</v>
      </c>
      <c r="H3" s="8" t="s">
        <v>21</v>
      </c>
    </row>
    <row r="4" spans="1:8" s="10" customFormat="1" ht="15" customHeight="1">
      <c r="A4" s="49"/>
      <c r="B4" s="6"/>
      <c r="C4" s="50" t="s">
        <v>4</v>
      </c>
      <c r="D4" s="51" t="s">
        <v>5</v>
      </c>
      <c r="E4" s="50" t="s">
        <v>4</v>
      </c>
      <c r="F4" s="51" t="s">
        <v>5</v>
      </c>
      <c r="G4" s="50" t="s">
        <v>4</v>
      </c>
      <c r="H4" s="52" t="s">
        <v>5</v>
      </c>
    </row>
    <row r="5" spans="1:8" s="61" customFormat="1" ht="30" customHeight="1">
      <c r="A5" s="233" t="s">
        <v>151</v>
      </c>
      <c r="B5" s="41" t="s">
        <v>12</v>
      </c>
      <c r="C5" s="48">
        <v>230025</v>
      </c>
      <c r="D5" s="42">
        <v>94061605</v>
      </c>
      <c r="E5" s="48">
        <v>536099</v>
      </c>
      <c r="F5" s="42">
        <v>4275817752</v>
      </c>
      <c r="G5" s="48">
        <v>766124</v>
      </c>
      <c r="H5" s="43">
        <v>4369879357</v>
      </c>
    </row>
    <row r="6" spans="1:8" s="61" customFormat="1" ht="30" customHeight="1">
      <c r="A6" s="234"/>
      <c r="B6" s="26" t="s">
        <v>13</v>
      </c>
      <c r="C6" s="29">
        <v>5893</v>
      </c>
      <c r="D6" s="30">
        <v>5439994</v>
      </c>
      <c r="E6" s="29">
        <v>46112</v>
      </c>
      <c r="F6" s="30">
        <v>1229022101</v>
      </c>
      <c r="G6" s="29">
        <v>52005</v>
      </c>
      <c r="H6" s="31">
        <v>1234462095</v>
      </c>
    </row>
    <row r="7" spans="1:8" s="61" customFormat="1" ht="30" customHeight="1">
      <c r="A7" s="235" t="s">
        <v>176</v>
      </c>
      <c r="B7" s="23" t="s">
        <v>12</v>
      </c>
      <c r="C7" s="28">
        <v>230373</v>
      </c>
      <c r="D7" s="21">
        <v>131569900</v>
      </c>
      <c r="E7" s="28">
        <v>538063</v>
      </c>
      <c r="F7" s="21">
        <v>6259806616</v>
      </c>
      <c r="G7" s="28">
        <v>768436</v>
      </c>
      <c r="H7" s="22">
        <v>6391376516</v>
      </c>
    </row>
    <row r="8" spans="1:8" s="61" customFormat="1" ht="30" customHeight="1">
      <c r="A8" s="234"/>
      <c r="B8" s="26" t="s">
        <v>13</v>
      </c>
      <c r="C8" s="29">
        <v>6715</v>
      </c>
      <c r="D8" s="30">
        <v>8743154</v>
      </c>
      <c r="E8" s="29">
        <v>50053</v>
      </c>
      <c r="F8" s="30">
        <v>2160825496</v>
      </c>
      <c r="G8" s="29">
        <v>56768</v>
      </c>
      <c r="H8" s="31">
        <v>2169568650</v>
      </c>
    </row>
    <row r="9" spans="1:8" s="61" customFormat="1" ht="30" customHeight="1">
      <c r="A9" s="235" t="s">
        <v>177</v>
      </c>
      <c r="B9" s="23" t="s">
        <v>12</v>
      </c>
      <c r="C9" s="28">
        <v>231730</v>
      </c>
      <c r="D9" s="21">
        <v>147319992</v>
      </c>
      <c r="E9" s="28">
        <v>541584</v>
      </c>
      <c r="F9" s="21">
        <v>6919877094</v>
      </c>
      <c r="G9" s="28">
        <v>773314</v>
      </c>
      <c r="H9" s="22">
        <v>7067197087</v>
      </c>
    </row>
    <row r="10" spans="1:8" s="61" customFormat="1" ht="30" customHeight="1">
      <c r="A10" s="234"/>
      <c r="B10" s="26" t="s">
        <v>13</v>
      </c>
      <c r="C10" s="29">
        <v>7304</v>
      </c>
      <c r="D10" s="30">
        <v>11117846</v>
      </c>
      <c r="E10" s="29">
        <v>53509</v>
      </c>
      <c r="F10" s="30">
        <v>2134273947</v>
      </c>
      <c r="G10" s="29">
        <v>60813</v>
      </c>
      <c r="H10" s="31">
        <v>2145391793</v>
      </c>
    </row>
    <row r="11" spans="1:8" s="61" customFormat="1" ht="30" customHeight="1">
      <c r="A11" s="235" t="s">
        <v>182</v>
      </c>
      <c r="B11" s="23" t="s">
        <v>12</v>
      </c>
      <c r="C11" s="28">
        <v>234677</v>
      </c>
      <c r="D11" s="21">
        <v>152553540</v>
      </c>
      <c r="E11" s="28">
        <v>546816</v>
      </c>
      <c r="F11" s="21">
        <v>7375055285</v>
      </c>
      <c r="G11" s="28">
        <v>781493</v>
      </c>
      <c r="H11" s="22">
        <v>7527608825</v>
      </c>
    </row>
    <row r="12" spans="1:8" s="61" customFormat="1" ht="30" customHeight="1">
      <c r="A12" s="234"/>
      <c r="B12" s="26" t="s">
        <v>13</v>
      </c>
      <c r="C12" s="29">
        <v>7619</v>
      </c>
      <c r="D12" s="30">
        <v>10145160</v>
      </c>
      <c r="E12" s="29">
        <v>56132</v>
      </c>
      <c r="F12" s="30">
        <v>2235731183</v>
      </c>
      <c r="G12" s="29">
        <v>63751</v>
      </c>
      <c r="H12" s="31">
        <v>2245876344</v>
      </c>
    </row>
    <row r="13" spans="1:8" s="1" customFormat="1" ht="30" customHeight="1">
      <c r="A13" s="231" t="s">
        <v>189</v>
      </c>
      <c r="B13" s="23" t="s">
        <v>12</v>
      </c>
      <c r="C13" s="28">
        <v>235496</v>
      </c>
      <c r="D13" s="21">
        <v>153567882</v>
      </c>
      <c r="E13" s="28">
        <v>550178</v>
      </c>
      <c r="F13" s="21">
        <v>7592167685</v>
      </c>
      <c r="G13" s="28">
        <v>785674</v>
      </c>
      <c r="H13" s="22">
        <v>7745735567</v>
      </c>
    </row>
    <row r="14" spans="1:8" s="1" customFormat="1" ht="30" customHeight="1" thickBot="1">
      <c r="A14" s="232"/>
      <c r="B14" s="32" t="s">
        <v>13</v>
      </c>
      <c r="C14" s="33">
        <v>7942</v>
      </c>
      <c r="D14" s="34">
        <v>11458490</v>
      </c>
      <c r="E14" s="33">
        <v>59099</v>
      </c>
      <c r="F14" s="34">
        <v>2387960747</v>
      </c>
      <c r="G14" s="33">
        <v>67041</v>
      </c>
      <c r="H14" s="35">
        <v>2399419237</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B1" sqref="B1"/>
    </sheetView>
  </sheetViews>
  <sheetFormatPr defaultColWidth="9.00390625" defaultRowHeight="13.5"/>
  <cols>
    <col min="1" max="2" width="18.625" style="62" customWidth="1"/>
    <col min="3" max="3" width="23.625" style="62" customWidth="1"/>
    <col min="4" max="4" width="18.625" style="62" customWidth="1"/>
    <col min="5" max="16384" width="9.00390625" style="62" customWidth="1"/>
  </cols>
  <sheetData>
    <row r="1" s="1" customFormat="1" ht="20.25" customHeight="1" thickBot="1">
      <c r="A1" s="1" t="s">
        <v>22</v>
      </c>
    </row>
    <row r="2" spans="1:4" s="4" customFormat="1" ht="19.5" customHeight="1">
      <c r="A2" s="11" t="s">
        <v>8</v>
      </c>
      <c r="B2" s="12" t="s">
        <v>9</v>
      </c>
      <c r="C2" s="14" t="s">
        <v>10</v>
      </c>
      <c r="D2" s="13" t="s">
        <v>17</v>
      </c>
    </row>
    <row r="3" spans="1:4" s="10" customFormat="1" ht="15" customHeight="1">
      <c r="A3" s="53" t="s">
        <v>4</v>
      </c>
      <c r="B3" s="54" t="s">
        <v>4</v>
      </c>
      <c r="C3" s="55" t="s">
        <v>4</v>
      </c>
      <c r="D3" s="56" t="s">
        <v>4</v>
      </c>
    </row>
    <row r="4" spans="1:9" s="4" customFormat="1" ht="30" customHeight="1" thickBot="1">
      <c r="A4" s="194">
        <v>870185</v>
      </c>
      <c r="B4" s="195">
        <v>46178</v>
      </c>
      <c r="C4" s="196">
        <v>7012</v>
      </c>
      <c r="D4" s="197">
        <v>923375</v>
      </c>
      <c r="E4" s="5"/>
      <c r="G4" s="5"/>
      <c r="I4" s="5"/>
    </row>
    <row r="5" spans="1:4" s="4" customFormat="1" ht="15" customHeight="1">
      <c r="A5" s="236" t="s">
        <v>190</v>
      </c>
      <c r="B5" s="236"/>
      <c r="C5" s="236"/>
      <c r="D5" s="236"/>
    </row>
    <row r="6" spans="1:4" s="4" customFormat="1" ht="15" customHeight="1">
      <c r="A6" s="237" t="s">
        <v>11</v>
      </c>
      <c r="B6" s="237"/>
      <c r="C6" s="237"/>
      <c r="D6" s="23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(H29)</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zoomScaleSheetLayoutView="115" workbookViewId="0" topLeftCell="A1">
      <selection activeCell="C1" sqref="C1"/>
    </sheetView>
  </sheetViews>
  <sheetFormatPr defaultColWidth="9.00390625" defaultRowHeight="13.5"/>
  <cols>
    <col min="1" max="1" width="11.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4" ht="13.5">
      <c r="A1" s="64" t="s">
        <v>184</v>
      </c>
      <c r="B1" s="64"/>
      <c r="C1" s="64"/>
      <c r="D1" s="64"/>
      <c r="E1" s="64"/>
      <c r="F1" s="64"/>
      <c r="G1" s="64"/>
      <c r="H1" s="65"/>
      <c r="I1" s="65"/>
      <c r="J1" s="65"/>
      <c r="K1" s="65"/>
      <c r="L1" s="65"/>
      <c r="M1" s="65"/>
      <c r="N1" s="65"/>
    </row>
    <row r="2" spans="1:14" ht="14.25" thickBot="1">
      <c r="A2" s="245" t="s">
        <v>136</v>
      </c>
      <c r="B2" s="245"/>
      <c r="C2" s="245"/>
      <c r="D2" s="245"/>
      <c r="E2" s="245"/>
      <c r="F2" s="245"/>
      <c r="G2" s="245"/>
      <c r="H2" s="65"/>
      <c r="I2" s="65"/>
      <c r="J2" s="65"/>
      <c r="K2" s="65"/>
      <c r="L2" s="65"/>
      <c r="M2" s="65"/>
      <c r="N2" s="65"/>
    </row>
    <row r="3" spans="1:14" ht="19.5" customHeight="1">
      <c r="A3" s="246" t="s">
        <v>27</v>
      </c>
      <c r="B3" s="249" t="s">
        <v>28</v>
      </c>
      <c r="C3" s="249"/>
      <c r="D3" s="249"/>
      <c r="E3" s="249"/>
      <c r="F3" s="249"/>
      <c r="G3" s="249"/>
      <c r="H3" s="250" t="s">
        <v>13</v>
      </c>
      <c r="I3" s="251"/>
      <c r="J3" s="253" t="s">
        <v>29</v>
      </c>
      <c r="K3" s="251"/>
      <c r="L3" s="250" t="s">
        <v>30</v>
      </c>
      <c r="M3" s="251"/>
      <c r="N3" s="238" t="s">
        <v>137</v>
      </c>
    </row>
    <row r="4" spans="1:14" ht="17.25" customHeight="1">
      <c r="A4" s="247"/>
      <c r="B4" s="241" t="s">
        <v>16</v>
      </c>
      <c r="C4" s="241"/>
      <c r="D4" s="242" t="s">
        <v>32</v>
      </c>
      <c r="E4" s="243"/>
      <c r="F4" s="242" t="s">
        <v>33</v>
      </c>
      <c r="G4" s="243"/>
      <c r="H4" s="242"/>
      <c r="I4" s="252"/>
      <c r="J4" s="242"/>
      <c r="K4" s="252"/>
      <c r="L4" s="242"/>
      <c r="M4" s="252"/>
      <c r="N4" s="239"/>
    </row>
    <row r="5" spans="1:14" s="154" customFormat="1" ht="28.5" customHeight="1">
      <c r="A5" s="248"/>
      <c r="B5" s="67" t="s">
        <v>36</v>
      </c>
      <c r="C5" s="68" t="s">
        <v>138</v>
      </c>
      <c r="D5" s="67" t="s">
        <v>36</v>
      </c>
      <c r="E5" s="68" t="s">
        <v>138</v>
      </c>
      <c r="F5" s="67" t="s">
        <v>36</v>
      </c>
      <c r="G5" s="68" t="s">
        <v>139</v>
      </c>
      <c r="H5" s="67" t="s">
        <v>36</v>
      </c>
      <c r="I5" s="87" t="s">
        <v>140</v>
      </c>
      <c r="J5" s="67" t="s">
        <v>36</v>
      </c>
      <c r="K5" s="87" t="s">
        <v>141</v>
      </c>
      <c r="L5" s="67" t="s">
        <v>36</v>
      </c>
      <c r="M5" s="88" t="s">
        <v>142</v>
      </c>
      <c r="N5" s="240"/>
    </row>
    <row r="6" spans="1:14" s="92" customFormat="1" ht="10.5">
      <c r="A6" s="101"/>
      <c r="B6" s="102" t="s">
        <v>4</v>
      </c>
      <c r="C6" s="72" t="s">
        <v>5</v>
      </c>
      <c r="D6" s="102" t="s">
        <v>4</v>
      </c>
      <c r="E6" s="72" t="s">
        <v>5</v>
      </c>
      <c r="F6" s="102" t="s">
        <v>4</v>
      </c>
      <c r="G6" s="72" t="s">
        <v>5</v>
      </c>
      <c r="H6" s="102" t="s">
        <v>4</v>
      </c>
      <c r="I6" s="89" t="s">
        <v>5</v>
      </c>
      <c r="J6" s="102" t="s">
        <v>4</v>
      </c>
      <c r="K6" s="89" t="s">
        <v>5</v>
      </c>
      <c r="L6" s="102" t="s">
        <v>183</v>
      </c>
      <c r="M6" s="89" t="s">
        <v>5</v>
      </c>
      <c r="N6" s="96"/>
    </row>
    <row r="7" spans="1:14" s="93" customFormat="1" ht="15.75" customHeight="1">
      <c r="A7" s="98" t="s">
        <v>39</v>
      </c>
      <c r="B7" s="126">
        <f>_xlfn.COMPOUNDVALUE(1)</f>
        <v>1106</v>
      </c>
      <c r="C7" s="127">
        <v>687766</v>
      </c>
      <c r="D7" s="126">
        <f>_xlfn.COMPOUNDVALUE(2)</f>
        <v>1484</v>
      </c>
      <c r="E7" s="127">
        <v>764352</v>
      </c>
      <c r="F7" s="126">
        <f>_xlfn.COMPOUNDVALUE(3)</f>
        <v>2590</v>
      </c>
      <c r="G7" s="127">
        <v>1452118</v>
      </c>
      <c r="H7" s="126">
        <f>_xlfn.COMPOUNDVALUE(4)</f>
        <v>96</v>
      </c>
      <c r="I7" s="128">
        <v>120327</v>
      </c>
      <c r="J7" s="126">
        <v>256</v>
      </c>
      <c r="K7" s="128">
        <v>29346</v>
      </c>
      <c r="L7" s="126">
        <v>2805</v>
      </c>
      <c r="M7" s="128">
        <v>1361137</v>
      </c>
      <c r="N7" s="100" t="s">
        <v>39</v>
      </c>
    </row>
    <row r="8" spans="1:14" s="93" customFormat="1" ht="15.75" customHeight="1">
      <c r="A8" s="76" t="s">
        <v>40</v>
      </c>
      <c r="B8" s="126">
        <f>_xlfn.COMPOUNDVALUE(5)</f>
        <v>998</v>
      </c>
      <c r="C8" s="127">
        <v>551633</v>
      </c>
      <c r="D8" s="126">
        <f>_xlfn.COMPOUNDVALUE(6)</f>
        <v>1505</v>
      </c>
      <c r="E8" s="127">
        <v>677110</v>
      </c>
      <c r="F8" s="126">
        <f>_xlfn.COMPOUNDVALUE(7)</f>
        <v>2503</v>
      </c>
      <c r="G8" s="127">
        <v>1228743</v>
      </c>
      <c r="H8" s="126">
        <f>_xlfn.COMPOUNDVALUE(8)</f>
        <v>83</v>
      </c>
      <c r="I8" s="128">
        <v>159323</v>
      </c>
      <c r="J8" s="126">
        <v>245</v>
      </c>
      <c r="K8" s="128">
        <v>40763</v>
      </c>
      <c r="L8" s="126">
        <v>2724</v>
      </c>
      <c r="M8" s="128">
        <v>1110183</v>
      </c>
      <c r="N8" s="86" t="s">
        <v>40</v>
      </c>
    </row>
    <row r="9" spans="1:14" s="93" customFormat="1" ht="15.75" customHeight="1">
      <c r="A9" s="76" t="s">
        <v>41</v>
      </c>
      <c r="B9" s="126">
        <f>_xlfn.COMPOUNDVALUE(9)</f>
        <v>1091</v>
      </c>
      <c r="C9" s="127">
        <v>751435</v>
      </c>
      <c r="D9" s="126">
        <f>_xlfn.COMPOUNDVALUE(10)</f>
        <v>1809</v>
      </c>
      <c r="E9" s="127">
        <v>905321</v>
      </c>
      <c r="F9" s="126">
        <f>_xlfn.COMPOUNDVALUE(11)</f>
        <v>2900</v>
      </c>
      <c r="G9" s="127">
        <v>1656755</v>
      </c>
      <c r="H9" s="126">
        <f>_xlfn.COMPOUNDVALUE(12)</f>
        <v>137</v>
      </c>
      <c r="I9" s="128">
        <v>187261</v>
      </c>
      <c r="J9" s="126">
        <v>294</v>
      </c>
      <c r="K9" s="128">
        <v>49762</v>
      </c>
      <c r="L9" s="126">
        <v>3129</v>
      </c>
      <c r="M9" s="128">
        <v>1519256</v>
      </c>
      <c r="N9" s="86" t="s">
        <v>41</v>
      </c>
    </row>
    <row r="10" spans="1:14" s="93" customFormat="1" ht="15.75" customHeight="1">
      <c r="A10" s="76" t="s">
        <v>42</v>
      </c>
      <c r="B10" s="126">
        <f>_xlfn.COMPOUNDVALUE(13)</f>
        <v>829</v>
      </c>
      <c r="C10" s="127">
        <v>656027</v>
      </c>
      <c r="D10" s="126">
        <f>_xlfn.COMPOUNDVALUE(14)</f>
        <v>2390</v>
      </c>
      <c r="E10" s="127">
        <v>905313</v>
      </c>
      <c r="F10" s="126">
        <f>_xlfn.COMPOUNDVALUE(15)</f>
        <v>3219</v>
      </c>
      <c r="G10" s="127">
        <v>1561340</v>
      </c>
      <c r="H10" s="126">
        <f>_xlfn.COMPOUNDVALUE(16)</f>
        <v>55</v>
      </c>
      <c r="I10" s="128">
        <v>72123</v>
      </c>
      <c r="J10" s="126">
        <v>218</v>
      </c>
      <c r="K10" s="128">
        <v>31445</v>
      </c>
      <c r="L10" s="126">
        <v>3342</v>
      </c>
      <c r="M10" s="128">
        <v>1520662</v>
      </c>
      <c r="N10" s="86" t="s">
        <v>42</v>
      </c>
    </row>
    <row r="11" spans="1:14" s="93" customFormat="1" ht="15.75" customHeight="1">
      <c r="A11" s="76" t="s">
        <v>43</v>
      </c>
      <c r="B11" s="126">
        <f>_xlfn.COMPOUNDVALUE(17)</f>
        <v>1442</v>
      </c>
      <c r="C11" s="127">
        <v>989532</v>
      </c>
      <c r="D11" s="126">
        <f>_xlfn.COMPOUNDVALUE(18)</f>
        <v>2241</v>
      </c>
      <c r="E11" s="127">
        <v>1165241</v>
      </c>
      <c r="F11" s="126">
        <f>_xlfn.COMPOUNDVALUE(19)</f>
        <v>3683</v>
      </c>
      <c r="G11" s="127">
        <v>2154773</v>
      </c>
      <c r="H11" s="126">
        <f>_xlfn.COMPOUNDVALUE(20)</f>
        <v>139</v>
      </c>
      <c r="I11" s="128">
        <v>184620</v>
      </c>
      <c r="J11" s="126">
        <v>416</v>
      </c>
      <c r="K11" s="128">
        <v>101684</v>
      </c>
      <c r="L11" s="126">
        <v>4073</v>
      </c>
      <c r="M11" s="128">
        <v>2071836</v>
      </c>
      <c r="N11" s="86" t="s">
        <v>43</v>
      </c>
    </row>
    <row r="12" spans="1:14" s="93" customFormat="1" ht="15.75" customHeight="1">
      <c r="A12" s="76"/>
      <c r="B12" s="126"/>
      <c r="C12" s="127"/>
      <c r="D12" s="126"/>
      <c r="E12" s="127"/>
      <c r="F12" s="126"/>
      <c r="G12" s="127"/>
      <c r="H12" s="126"/>
      <c r="I12" s="128"/>
      <c r="J12" s="126"/>
      <c r="K12" s="128"/>
      <c r="L12" s="126"/>
      <c r="M12" s="128"/>
      <c r="N12" s="86" t="s">
        <v>38</v>
      </c>
    </row>
    <row r="13" spans="1:14" s="93" customFormat="1" ht="15.75" customHeight="1">
      <c r="A13" s="76" t="s">
        <v>44</v>
      </c>
      <c r="B13" s="126">
        <f>_xlfn.COMPOUNDVALUE(21)</f>
        <v>1280</v>
      </c>
      <c r="C13" s="127">
        <v>835707</v>
      </c>
      <c r="D13" s="126">
        <f>_xlfn.COMPOUNDVALUE(22)</f>
        <v>1951</v>
      </c>
      <c r="E13" s="127">
        <v>926658</v>
      </c>
      <c r="F13" s="126">
        <f>_xlfn.COMPOUNDVALUE(23)</f>
        <v>3231</v>
      </c>
      <c r="G13" s="127">
        <v>1762366</v>
      </c>
      <c r="H13" s="126">
        <f>_xlfn.COMPOUNDVALUE(24)</f>
        <v>105</v>
      </c>
      <c r="I13" s="128">
        <v>116240</v>
      </c>
      <c r="J13" s="126">
        <v>296</v>
      </c>
      <c r="K13" s="128">
        <v>79007</v>
      </c>
      <c r="L13" s="126">
        <v>3510</v>
      </c>
      <c r="M13" s="128">
        <v>1725134</v>
      </c>
      <c r="N13" s="86" t="s">
        <v>44</v>
      </c>
    </row>
    <row r="14" spans="1:14" s="93" customFormat="1" ht="15.75" customHeight="1">
      <c r="A14" s="76" t="s">
        <v>45</v>
      </c>
      <c r="B14" s="126">
        <f>_xlfn.COMPOUNDVALUE(25)</f>
        <v>568</v>
      </c>
      <c r="C14" s="127">
        <v>315719</v>
      </c>
      <c r="D14" s="126">
        <f>_xlfn.COMPOUNDVALUE(26)</f>
        <v>939</v>
      </c>
      <c r="E14" s="127">
        <v>345318</v>
      </c>
      <c r="F14" s="126">
        <f>_xlfn.COMPOUNDVALUE(27)</f>
        <v>1507</v>
      </c>
      <c r="G14" s="127">
        <v>661037</v>
      </c>
      <c r="H14" s="126">
        <f>_xlfn.COMPOUNDVALUE(28)</f>
        <v>31</v>
      </c>
      <c r="I14" s="128">
        <v>12128</v>
      </c>
      <c r="J14" s="126">
        <v>188</v>
      </c>
      <c r="K14" s="128">
        <v>16623</v>
      </c>
      <c r="L14" s="126">
        <v>1609</v>
      </c>
      <c r="M14" s="128">
        <v>665532</v>
      </c>
      <c r="N14" s="86" t="s">
        <v>45</v>
      </c>
    </row>
    <row r="15" spans="1:14" s="93" customFormat="1" ht="15.75" customHeight="1">
      <c r="A15" s="76" t="s">
        <v>46</v>
      </c>
      <c r="B15" s="126">
        <f>_xlfn.COMPOUNDVALUE(29)</f>
        <v>860</v>
      </c>
      <c r="C15" s="127">
        <v>535093</v>
      </c>
      <c r="D15" s="126">
        <f>_xlfn.COMPOUNDVALUE(30)</f>
        <v>1492</v>
      </c>
      <c r="E15" s="127">
        <v>580050</v>
      </c>
      <c r="F15" s="126">
        <f>_xlfn.COMPOUNDVALUE(31)</f>
        <v>2352</v>
      </c>
      <c r="G15" s="127">
        <v>1115143</v>
      </c>
      <c r="H15" s="126">
        <f>_xlfn.COMPOUNDVALUE(32)</f>
        <v>64</v>
      </c>
      <c r="I15" s="128">
        <v>31890</v>
      </c>
      <c r="J15" s="126">
        <v>317</v>
      </c>
      <c r="K15" s="128">
        <v>38284</v>
      </c>
      <c r="L15" s="126">
        <v>2559</v>
      </c>
      <c r="M15" s="128">
        <v>1121537</v>
      </c>
      <c r="N15" s="86" t="s">
        <v>46</v>
      </c>
    </row>
    <row r="16" spans="1:14" s="93" customFormat="1" ht="15.75" customHeight="1">
      <c r="A16" s="78" t="s">
        <v>47</v>
      </c>
      <c r="B16" s="131">
        <f>_xlfn.COMPOUNDVALUE(33)</f>
        <v>1644</v>
      </c>
      <c r="C16" s="132">
        <v>1052358</v>
      </c>
      <c r="D16" s="131">
        <f>_xlfn.COMPOUNDVALUE(34)</f>
        <v>2721</v>
      </c>
      <c r="E16" s="132">
        <v>1311538</v>
      </c>
      <c r="F16" s="131">
        <f>_xlfn.COMPOUNDVALUE(35)</f>
        <v>4365</v>
      </c>
      <c r="G16" s="132">
        <v>2363896</v>
      </c>
      <c r="H16" s="131">
        <f>_xlfn.COMPOUNDVALUE(36)</f>
        <v>150</v>
      </c>
      <c r="I16" s="133">
        <v>255113</v>
      </c>
      <c r="J16" s="131">
        <v>426</v>
      </c>
      <c r="K16" s="133">
        <v>68930</v>
      </c>
      <c r="L16" s="131">
        <v>4703</v>
      </c>
      <c r="M16" s="133">
        <v>2177713</v>
      </c>
      <c r="N16" s="77" t="s">
        <v>47</v>
      </c>
    </row>
    <row r="17" spans="1:14" s="93" customFormat="1" ht="15.75" customHeight="1">
      <c r="A17" s="78" t="s">
        <v>48</v>
      </c>
      <c r="B17" s="131">
        <f>_xlfn.COMPOUNDVALUE(37)</f>
        <v>551</v>
      </c>
      <c r="C17" s="132">
        <v>445415</v>
      </c>
      <c r="D17" s="131">
        <f>_xlfn.COMPOUNDVALUE(38)</f>
        <v>1052</v>
      </c>
      <c r="E17" s="132">
        <v>382456</v>
      </c>
      <c r="F17" s="131">
        <f>_xlfn.COMPOUNDVALUE(39)</f>
        <v>1603</v>
      </c>
      <c r="G17" s="132">
        <v>827871</v>
      </c>
      <c r="H17" s="131">
        <f>_xlfn.COMPOUNDVALUE(40)</f>
        <v>32</v>
      </c>
      <c r="I17" s="133">
        <v>29673</v>
      </c>
      <c r="J17" s="131">
        <v>135</v>
      </c>
      <c r="K17" s="133">
        <v>27130</v>
      </c>
      <c r="L17" s="131">
        <v>1709</v>
      </c>
      <c r="M17" s="133">
        <v>825328</v>
      </c>
      <c r="N17" s="77" t="s">
        <v>48</v>
      </c>
    </row>
    <row r="18" spans="1:14" s="93" customFormat="1" ht="15.75" customHeight="1">
      <c r="A18" s="78"/>
      <c r="B18" s="131"/>
      <c r="C18" s="132"/>
      <c r="D18" s="131"/>
      <c r="E18" s="132"/>
      <c r="F18" s="131"/>
      <c r="G18" s="132"/>
      <c r="H18" s="131"/>
      <c r="I18" s="133"/>
      <c r="J18" s="131"/>
      <c r="K18" s="133"/>
      <c r="L18" s="131"/>
      <c r="M18" s="133"/>
      <c r="N18" s="77" t="s">
        <v>38</v>
      </c>
    </row>
    <row r="19" spans="1:14" s="93" customFormat="1" ht="15.75" customHeight="1">
      <c r="A19" s="78" t="s">
        <v>49</v>
      </c>
      <c r="B19" s="131">
        <f>_xlfn.COMPOUNDVALUE(41)</f>
        <v>707</v>
      </c>
      <c r="C19" s="132">
        <v>345331</v>
      </c>
      <c r="D19" s="131">
        <f>_xlfn.COMPOUNDVALUE(42)</f>
        <v>1206</v>
      </c>
      <c r="E19" s="132">
        <v>466652</v>
      </c>
      <c r="F19" s="131">
        <f>_xlfn.COMPOUNDVALUE(43)</f>
        <v>1913</v>
      </c>
      <c r="G19" s="132">
        <v>811983</v>
      </c>
      <c r="H19" s="131">
        <f>_xlfn.COMPOUNDVALUE(44)</f>
        <v>69</v>
      </c>
      <c r="I19" s="133">
        <v>33899</v>
      </c>
      <c r="J19" s="131">
        <v>209</v>
      </c>
      <c r="K19" s="133">
        <v>27527</v>
      </c>
      <c r="L19" s="131">
        <v>2053</v>
      </c>
      <c r="M19" s="133">
        <v>805611</v>
      </c>
      <c r="N19" s="77" t="s">
        <v>49</v>
      </c>
    </row>
    <row r="20" spans="1:14" s="93" customFormat="1" ht="15.75" customHeight="1">
      <c r="A20" s="78" t="s">
        <v>50</v>
      </c>
      <c r="B20" s="131">
        <f>_xlfn.COMPOUNDVALUE(45)</f>
        <v>1718</v>
      </c>
      <c r="C20" s="132">
        <v>1028072</v>
      </c>
      <c r="D20" s="131">
        <f>_xlfn.COMPOUNDVALUE(46)</f>
        <v>3021</v>
      </c>
      <c r="E20" s="132">
        <v>1239391</v>
      </c>
      <c r="F20" s="131">
        <f>_xlfn.COMPOUNDVALUE(47)</f>
        <v>4739</v>
      </c>
      <c r="G20" s="132">
        <v>2267463</v>
      </c>
      <c r="H20" s="131">
        <f>_xlfn.COMPOUNDVALUE(48)</f>
        <v>165</v>
      </c>
      <c r="I20" s="133">
        <v>376409</v>
      </c>
      <c r="J20" s="131">
        <v>526</v>
      </c>
      <c r="K20" s="133">
        <v>127153</v>
      </c>
      <c r="L20" s="131">
        <v>5222</v>
      </c>
      <c r="M20" s="133">
        <v>2018206</v>
      </c>
      <c r="N20" s="77" t="s">
        <v>50</v>
      </c>
    </row>
    <row r="21" spans="1:14" s="93" customFormat="1" ht="15.75" customHeight="1">
      <c r="A21" s="78" t="s">
        <v>51</v>
      </c>
      <c r="B21" s="131">
        <f>_xlfn.COMPOUNDVALUE(49)</f>
        <v>672</v>
      </c>
      <c r="C21" s="132">
        <v>383968</v>
      </c>
      <c r="D21" s="131">
        <f>_xlfn.COMPOUNDVALUE(50)</f>
        <v>1508</v>
      </c>
      <c r="E21" s="132">
        <v>552860</v>
      </c>
      <c r="F21" s="131">
        <f>_xlfn.COMPOUNDVALUE(51)</f>
        <v>2180</v>
      </c>
      <c r="G21" s="132">
        <v>936828</v>
      </c>
      <c r="H21" s="131">
        <f>_xlfn.COMPOUNDVALUE(52)</f>
        <v>69</v>
      </c>
      <c r="I21" s="133">
        <v>57755</v>
      </c>
      <c r="J21" s="131">
        <v>184</v>
      </c>
      <c r="K21" s="133">
        <v>19949</v>
      </c>
      <c r="L21" s="131">
        <v>2342</v>
      </c>
      <c r="M21" s="133">
        <v>899022</v>
      </c>
      <c r="N21" s="77" t="s">
        <v>51</v>
      </c>
    </row>
    <row r="22" spans="1:14" s="93" customFormat="1" ht="15.75" customHeight="1">
      <c r="A22" s="78" t="s">
        <v>166</v>
      </c>
      <c r="B22" s="131">
        <f>_xlfn.COMPOUNDVALUE(53)</f>
        <v>1618</v>
      </c>
      <c r="C22" s="132">
        <v>1150845</v>
      </c>
      <c r="D22" s="131">
        <f>_xlfn.COMPOUNDVALUE(54)</f>
        <v>2794</v>
      </c>
      <c r="E22" s="132">
        <v>1288822</v>
      </c>
      <c r="F22" s="131">
        <f>_xlfn.COMPOUNDVALUE(55)</f>
        <v>4412</v>
      </c>
      <c r="G22" s="132">
        <v>2439667</v>
      </c>
      <c r="H22" s="131">
        <f>_xlfn.COMPOUNDVALUE(56)</f>
        <v>133</v>
      </c>
      <c r="I22" s="133">
        <v>125630</v>
      </c>
      <c r="J22" s="131">
        <v>400</v>
      </c>
      <c r="K22" s="133">
        <v>61242</v>
      </c>
      <c r="L22" s="131">
        <v>4709</v>
      </c>
      <c r="M22" s="133">
        <v>2375279</v>
      </c>
      <c r="N22" s="77" t="s">
        <v>52</v>
      </c>
    </row>
    <row r="23" spans="1:14" s="93" customFormat="1" ht="15.75" customHeight="1">
      <c r="A23" s="161" t="s">
        <v>53</v>
      </c>
      <c r="B23" s="162">
        <v>15084</v>
      </c>
      <c r="C23" s="163">
        <v>9728901</v>
      </c>
      <c r="D23" s="162">
        <v>26113</v>
      </c>
      <c r="E23" s="163">
        <v>11511082</v>
      </c>
      <c r="F23" s="162">
        <v>41197</v>
      </c>
      <c r="G23" s="163">
        <v>21239982</v>
      </c>
      <c r="H23" s="162">
        <v>1328</v>
      </c>
      <c r="I23" s="164">
        <v>1762393</v>
      </c>
      <c r="J23" s="162">
        <v>4110</v>
      </c>
      <c r="K23" s="164">
        <v>718847</v>
      </c>
      <c r="L23" s="162">
        <v>44489</v>
      </c>
      <c r="M23" s="164">
        <v>20196436</v>
      </c>
      <c r="N23" s="165" t="s">
        <v>54</v>
      </c>
    </row>
    <row r="24" spans="1:14" s="93" customFormat="1" ht="15.75" customHeight="1">
      <c r="A24" s="166"/>
      <c r="B24" s="167"/>
      <c r="C24" s="168"/>
      <c r="D24" s="167"/>
      <c r="E24" s="168"/>
      <c r="F24" s="169"/>
      <c r="G24" s="168"/>
      <c r="H24" s="169"/>
      <c r="I24" s="168"/>
      <c r="J24" s="169"/>
      <c r="K24" s="168"/>
      <c r="L24" s="169"/>
      <c r="M24" s="168"/>
      <c r="N24" s="170"/>
    </row>
    <row r="25" spans="1:14" s="93" customFormat="1" ht="15.75" customHeight="1">
      <c r="A25" s="76" t="s">
        <v>55</v>
      </c>
      <c r="B25" s="126">
        <f>_xlfn.COMPOUNDVALUE(57)</f>
        <v>1198</v>
      </c>
      <c r="C25" s="127">
        <v>4768629</v>
      </c>
      <c r="D25" s="126">
        <f>_xlfn.COMPOUNDVALUE(58)</f>
        <v>1811</v>
      </c>
      <c r="E25" s="127">
        <v>1224910</v>
      </c>
      <c r="F25" s="126">
        <f>_xlfn.COMPOUNDVALUE(59)</f>
        <v>3009</v>
      </c>
      <c r="G25" s="127">
        <v>5993540</v>
      </c>
      <c r="H25" s="126">
        <f>_xlfn.COMPOUNDVALUE(60)</f>
        <v>85</v>
      </c>
      <c r="I25" s="128">
        <v>196430</v>
      </c>
      <c r="J25" s="126">
        <v>139</v>
      </c>
      <c r="K25" s="128">
        <v>60931</v>
      </c>
      <c r="L25" s="126">
        <v>3118</v>
      </c>
      <c r="M25" s="128">
        <v>5858040</v>
      </c>
      <c r="N25" s="86" t="s">
        <v>55</v>
      </c>
    </row>
    <row r="26" spans="1:14" s="93" customFormat="1" ht="15.75" customHeight="1">
      <c r="A26" s="76" t="s">
        <v>56</v>
      </c>
      <c r="B26" s="126">
        <f>_xlfn.COMPOUNDVALUE(61)</f>
        <v>572</v>
      </c>
      <c r="C26" s="127">
        <v>780735</v>
      </c>
      <c r="D26" s="126">
        <f>_xlfn.COMPOUNDVALUE(62)</f>
        <v>1057</v>
      </c>
      <c r="E26" s="127">
        <v>719850</v>
      </c>
      <c r="F26" s="126">
        <f>_xlfn.COMPOUNDVALUE(63)</f>
        <v>1629</v>
      </c>
      <c r="G26" s="127">
        <v>1500585</v>
      </c>
      <c r="H26" s="126">
        <f>_xlfn.COMPOUNDVALUE(64)</f>
        <v>29</v>
      </c>
      <c r="I26" s="128">
        <v>37722</v>
      </c>
      <c r="J26" s="126">
        <v>92</v>
      </c>
      <c r="K26" s="128">
        <v>13743</v>
      </c>
      <c r="L26" s="126">
        <v>1685</v>
      </c>
      <c r="M26" s="128">
        <v>1476607</v>
      </c>
      <c r="N26" s="86" t="s">
        <v>56</v>
      </c>
    </row>
    <row r="27" spans="1:14" s="93" customFormat="1" ht="15.75" customHeight="1">
      <c r="A27" s="76" t="s">
        <v>57</v>
      </c>
      <c r="B27" s="126">
        <f>_xlfn.COMPOUNDVALUE(65)</f>
        <v>546</v>
      </c>
      <c r="C27" s="127">
        <v>714982</v>
      </c>
      <c r="D27" s="126">
        <f>_xlfn.COMPOUNDVALUE(66)</f>
        <v>866</v>
      </c>
      <c r="E27" s="127">
        <v>540608</v>
      </c>
      <c r="F27" s="126">
        <f>_xlfn.COMPOUNDVALUE(67)</f>
        <v>1412</v>
      </c>
      <c r="G27" s="127">
        <v>1255590</v>
      </c>
      <c r="H27" s="126">
        <f>_xlfn.COMPOUNDVALUE(68)</f>
        <v>45</v>
      </c>
      <c r="I27" s="128">
        <v>95828</v>
      </c>
      <c r="J27" s="126">
        <v>105</v>
      </c>
      <c r="K27" s="128">
        <v>7221</v>
      </c>
      <c r="L27" s="126">
        <v>1478</v>
      </c>
      <c r="M27" s="128">
        <v>1166984</v>
      </c>
      <c r="N27" s="86" t="s">
        <v>57</v>
      </c>
    </row>
    <row r="28" spans="1:14" s="93" customFormat="1" ht="15.75" customHeight="1">
      <c r="A28" s="76" t="s">
        <v>58</v>
      </c>
      <c r="B28" s="126">
        <f>_xlfn.COMPOUNDVALUE(69)</f>
        <v>1203</v>
      </c>
      <c r="C28" s="127">
        <v>1422003</v>
      </c>
      <c r="D28" s="126">
        <f>_xlfn.COMPOUNDVALUE(70)</f>
        <v>1499</v>
      </c>
      <c r="E28" s="127">
        <v>963835</v>
      </c>
      <c r="F28" s="126">
        <f>_xlfn.COMPOUNDVALUE(71)</f>
        <v>2702</v>
      </c>
      <c r="G28" s="127">
        <v>2385838</v>
      </c>
      <c r="H28" s="126">
        <f>_xlfn.COMPOUNDVALUE(72)</f>
        <v>113</v>
      </c>
      <c r="I28" s="128">
        <v>307430</v>
      </c>
      <c r="J28" s="126">
        <v>208</v>
      </c>
      <c r="K28" s="128">
        <v>31060</v>
      </c>
      <c r="L28" s="126">
        <v>2926</v>
      </c>
      <c r="M28" s="128">
        <v>2109467</v>
      </c>
      <c r="N28" s="86" t="s">
        <v>58</v>
      </c>
    </row>
    <row r="29" spans="1:14" s="93" customFormat="1" ht="15.75" customHeight="1">
      <c r="A29" s="76" t="s">
        <v>167</v>
      </c>
      <c r="B29" s="126">
        <f>_xlfn.COMPOUNDVALUE(73)</f>
        <v>1836</v>
      </c>
      <c r="C29" s="127">
        <v>2538285</v>
      </c>
      <c r="D29" s="126">
        <f>_xlfn.COMPOUNDVALUE(74)</f>
        <v>2239</v>
      </c>
      <c r="E29" s="127">
        <v>1407375</v>
      </c>
      <c r="F29" s="126">
        <f>_xlfn.COMPOUNDVALUE(75)</f>
        <v>4075</v>
      </c>
      <c r="G29" s="127">
        <v>3945660</v>
      </c>
      <c r="H29" s="126">
        <f>_xlfn.COMPOUNDVALUE(76)</f>
        <v>180</v>
      </c>
      <c r="I29" s="128">
        <v>205687</v>
      </c>
      <c r="J29" s="126">
        <v>291</v>
      </c>
      <c r="K29" s="128">
        <v>219049</v>
      </c>
      <c r="L29" s="126">
        <v>4372</v>
      </c>
      <c r="M29" s="128">
        <v>3959022</v>
      </c>
      <c r="N29" s="86" t="s">
        <v>59</v>
      </c>
    </row>
    <row r="30" spans="1:14" s="93" customFormat="1" ht="15.75" customHeight="1">
      <c r="A30" s="76"/>
      <c r="B30" s="126"/>
      <c r="C30" s="127"/>
      <c r="D30" s="126"/>
      <c r="E30" s="127"/>
      <c r="F30" s="126"/>
      <c r="G30" s="127"/>
      <c r="H30" s="126"/>
      <c r="I30" s="128"/>
      <c r="J30" s="126"/>
      <c r="K30" s="128"/>
      <c r="L30" s="126"/>
      <c r="M30" s="128"/>
      <c r="N30" s="86" t="s">
        <v>38</v>
      </c>
    </row>
    <row r="31" spans="1:14" s="93" customFormat="1" ht="15.75" customHeight="1">
      <c r="A31" s="76" t="s">
        <v>60</v>
      </c>
      <c r="B31" s="126">
        <f>_xlfn.COMPOUNDVALUE(77)</f>
        <v>1677</v>
      </c>
      <c r="C31" s="127">
        <v>4233598</v>
      </c>
      <c r="D31" s="126">
        <f>_xlfn.COMPOUNDVALUE(78)</f>
        <v>1967</v>
      </c>
      <c r="E31" s="127">
        <v>1311809</v>
      </c>
      <c r="F31" s="126">
        <f>_xlfn.COMPOUNDVALUE(79)</f>
        <v>3644</v>
      </c>
      <c r="G31" s="127">
        <v>5545408</v>
      </c>
      <c r="H31" s="126">
        <f>_xlfn.COMPOUNDVALUE(80)</f>
        <v>193</v>
      </c>
      <c r="I31" s="128">
        <v>420559</v>
      </c>
      <c r="J31" s="126">
        <v>287</v>
      </c>
      <c r="K31" s="128">
        <v>69474</v>
      </c>
      <c r="L31" s="126">
        <v>3939</v>
      </c>
      <c r="M31" s="128">
        <v>5194322</v>
      </c>
      <c r="N31" s="86" t="s">
        <v>60</v>
      </c>
    </row>
    <row r="32" spans="1:14" s="93" customFormat="1" ht="15.75" customHeight="1">
      <c r="A32" s="76" t="s">
        <v>61</v>
      </c>
      <c r="B32" s="126">
        <f>_xlfn.COMPOUNDVALUE(81)</f>
        <v>1010</v>
      </c>
      <c r="C32" s="127">
        <v>1160978</v>
      </c>
      <c r="D32" s="126">
        <f>_xlfn.COMPOUNDVALUE(82)</f>
        <v>1449</v>
      </c>
      <c r="E32" s="127">
        <v>853958</v>
      </c>
      <c r="F32" s="126">
        <f>_xlfn.COMPOUNDVALUE(83)</f>
        <v>2459</v>
      </c>
      <c r="G32" s="127">
        <v>2014936</v>
      </c>
      <c r="H32" s="126">
        <f>_xlfn.COMPOUNDVALUE(84)</f>
        <v>118</v>
      </c>
      <c r="I32" s="128">
        <v>179853</v>
      </c>
      <c r="J32" s="126">
        <v>201</v>
      </c>
      <c r="K32" s="128">
        <v>37215</v>
      </c>
      <c r="L32" s="126">
        <v>2664</v>
      </c>
      <c r="M32" s="128">
        <v>1872297</v>
      </c>
      <c r="N32" s="86" t="s">
        <v>61</v>
      </c>
    </row>
    <row r="33" spans="1:14" s="93" customFormat="1" ht="15.75" customHeight="1">
      <c r="A33" s="76" t="s">
        <v>62</v>
      </c>
      <c r="B33" s="126">
        <f>_xlfn.COMPOUNDVALUE(85)</f>
        <v>1030</v>
      </c>
      <c r="C33" s="127">
        <v>1371666</v>
      </c>
      <c r="D33" s="126">
        <f>_xlfn.COMPOUNDVALUE(86)</f>
        <v>1642</v>
      </c>
      <c r="E33" s="127">
        <v>1008031</v>
      </c>
      <c r="F33" s="126">
        <f>_xlfn.COMPOUNDVALUE(87)</f>
        <v>2672</v>
      </c>
      <c r="G33" s="127">
        <v>2379697</v>
      </c>
      <c r="H33" s="126">
        <f>_xlfn.COMPOUNDVALUE(88)</f>
        <v>86</v>
      </c>
      <c r="I33" s="128">
        <v>115557</v>
      </c>
      <c r="J33" s="126">
        <v>181</v>
      </c>
      <c r="K33" s="128">
        <v>33532</v>
      </c>
      <c r="L33" s="126">
        <v>2808</v>
      </c>
      <c r="M33" s="128">
        <v>2297672</v>
      </c>
      <c r="N33" s="86" t="s">
        <v>62</v>
      </c>
    </row>
    <row r="34" spans="1:14" s="93" customFormat="1" ht="15.75" customHeight="1">
      <c r="A34" s="76" t="s">
        <v>63</v>
      </c>
      <c r="B34" s="126">
        <f>_xlfn.COMPOUNDVALUE(89)</f>
        <v>1080</v>
      </c>
      <c r="C34" s="127">
        <v>1330617</v>
      </c>
      <c r="D34" s="126">
        <f>_xlfn.COMPOUNDVALUE(90)</f>
        <v>1389</v>
      </c>
      <c r="E34" s="127">
        <v>893631</v>
      </c>
      <c r="F34" s="126">
        <f>_xlfn.COMPOUNDVALUE(91)</f>
        <v>2469</v>
      </c>
      <c r="G34" s="127">
        <v>2224248</v>
      </c>
      <c r="H34" s="126">
        <f>_xlfn.COMPOUNDVALUE(92)</f>
        <v>200</v>
      </c>
      <c r="I34" s="128">
        <v>175168</v>
      </c>
      <c r="J34" s="126">
        <v>300</v>
      </c>
      <c r="K34" s="128">
        <v>52060</v>
      </c>
      <c r="L34" s="126">
        <v>2778</v>
      </c>
      <c r="M34" s="128">
        <v>2101140</v>
      </c>
      <c r="N34" s="86" t="s">
        <v>63</v>
      </c>
    </row>
    <row r="35" spans="1:14" s="93" customFormat="1" ht="15.75" customHeight="1">
      <c r="A35" s="76" t="s">
        <v>64</v>
      </c>
      <c r="B35" s="126">
        <f>_xlfn.COMPOUNDVALUE(93)</f>
        <v>449</v>
      </c>
      <c r="C35" s="127">
        <v>558207</v>
      </c>
      <c r="D35" s="126">
        <f>_xlfn.COMPOUNDVALUE(94)</f>
        <v>860</v>
      </c>
      <c r="E35" s="127">
        <v>512836</v>
      </c>
      <c r="F35" s="126">
        <f>_xlfn.COMPOUNDVALUE(95)</f>
        <v>1309</v>
      </c>
      <c r="G35" s="127">
        <v>1071043</v>
      </c>
      <c r="H35" s="126">
        <f>_xlfn.COMPOUNDVALUE(96)</f>
        <v>45</v>
      </c>
      <c r="I35" s="128">
        <v>69135</v>
      </c>
      <c r="J35" s="126">
        <v>116</v>
      </c>
      <c r="K35" s="128">
        <v>48417</v>
      </c>
      <c r="L35" s="126">
        <v>1384</v>
      </c>
      <c r="M35" s="128">
        <v>1050325</v>
      </c>
      <c r="N35" s="86" t="s">
        <v>64</v>
      </c>
    </row>
    <row r="36" spans="1:14" s="93" customFormat="1" ht="15.75" customHeight="1">
      <c r="A36" s="76"/>
      <c r="B36" s="126"/>
      <c r="C36" s="127"/>
      <c r="D36" s="126"/>
      <c r="E36" s="127"/>
      <c r="F36" s="126"/>
      <c r="G36" s="127"/>
      <c r="H36" s="126"/>
      <c r="I36" s="128"/>
      <c r="J36" s="126"/>
      <c r="K36" s="128"/>
      <c r="L36" s="126"/>
      <c r="M36" s="128"/>
      <c r="N36" s="86" t="s">
        <v>38</v>
      </c>
    </row>
    <row r="37" spans="1:14" s="93" customFormat="1" ht="15.75" customHeight="1">
      <c r="A37" s="76" t="s">
        <v>65</v>
      </c>
      <c r="B37" s="126">
        <f>_xlfn.COMPOUNDVALUE(97)</f>
        <v>466</v>
      </c>
      <c r="C37" s="127">
        <v>443341</v>
      </c>
      <c r="D37" s="126">
        <f>_xlfn.COMPOUNDVALUE(98)</f>
        <v>888</v>
      </c>
      <c r="E37" s="127">
        <v>519741</v>
      </c>
      <c r="F37" s="126">
        <f>_xlfn.COMPOUNDVALUE(99)</f>
        <v>1354</v>
      </c>
      <c r="G37" s="127">
        <v>963082</v>
      </c>
      <c r="H37" s="126">
        <f>_xlfn.COMPOUNDVALUE(100)</f>
        <v>37</v>
      </c>
      <c r="I37" s="128">
        <v>22633</v>
      </c>
      <c r="J37" s="126">
        <v>107</v>
      </c>
      <c r="K37" s="128">
        <v>57528</v>
      </c>
      <c r="L37" s="126">
        <v>1446</v>
      </c>
      <c r="M37" s="128">
        <v>997977</v>
      </c>
      <c r="N37" s="86" t="s">
        <v>65</v>
      </c>
    </row>
    <row r="38" spans="1:14" s="93" customFormat="1" ht="15.75" customHeight="1">
      <c r="A38" s="76" t="s">
        <v>66</v>
      </c>
      <c r="B38" s="126">
        <f>_xlfn.COMPOUNDVALUE(101)</f>
        <v>541</v>
      </c>
      <c r="C38" s="127">
        <v>534857</v>
      </c>
      <c r="D38" s="126">
        <f>_xlfn.COMPOUNDVALUE(102)</f>
        <v>846</v>
      </c>
      <c r="E38" s="127">
        <v>458278</v>
      </c>
      <c r="F38" s="126">
        <f>_xlfn.COMPOUNDVALUE(103)</f>
        <v>1387</v>
      </c>
      <c r="G38" s="127">
        <v>993135</v>
      </c>
      <c r="H38" s="126">
        <f>_xlfn.COMPOUNDVALUE(104)</f>
        <v>49</v>
      </c>
      <c r="I38" s="128">
        <v>315650</v>
      </c>
      <c r="J38" s="126">
        <v>203</v>
      </c>
      <c r="K38" s="128">
        <v>35749</v>
      </c>
      <c r="L38" s="126">
        <v>1483</v>
      </c>
      <c r="M38" s="128">
        <v>713234</v>
      </c>
      <c r="N38" s="86" t="s">
        <v>66</v>
      </c>
    </row>
    <row r="39" spans="1:14" s="93" customFormat="1" ht="15.75" customHeight="1">
      <c r="A39" s="76" t="s">
        <v>67</v>
      </c>
      <c r="B39" s="126">
        <f>_xlfn.COMPOUNDVALUE(105)</f>
        <v>613</v>
      </c>
      <c r="C39" s="127">
        <v>456738</v>
      </c>
      <c r="D39" s="126">
        <f>_xlfn.COMPOUNDVALUE(106)</f>
        <v>989</v>
      </c>
      <c r="E39" s="127">
        <v>465075</v>
      </c>
      <c r="F39" s="126">
        <f>_xlfn.COMPOUNDVALUE(107)</f>
        <v>1602</v>
      </c>
      <c r="G39" s="127">
        <v>921813</v>
      </c>
      <c r="H39" s="126">
        <f>_xlfn.COMPOUNDVALUE(108)</f>
        <v>116</v>
      </c>
      <c r="I39" s="128">
        <v>42796</v>
      </c>
      <c r="J39" s="126">
        <v>133</v>
      </c>
      <c r="K39" s="128">
        <v>25035</v>
      </c>
      <c r="L39" s="126">
        <v>1780</v>
      </c>
      <c r="M39" s="128">
        <v>904052</v>
      </c>
      <c r="N39" s="86" t="s">
        <v>67</v>
      </c>
    </row>
    <row r="40" spans="1:14" s="93" customFormat="1" ht="15.75" customHeight="1">
      <c r="A40" s="76" t="s">
        <v>68</v>
      </c>
      <c r="B40" s="126">
        <f>_xlfn.COMPOUNDVALUE(109)</f>
        <v>603</v>
      </c>
      <c r="C40" s="127">
        <v>454890</v>
      </c>
      <c r="D40" s="126">
        <f>_xlfn.COMPOUNDVALUE(110)</f>
        <v>856</v>
      </c>
      <c r="E40" s="127">
        <v>449991</v>
      </c>
      <c r="F40" s="126">
        <f>_xlfn.COMPOUNDVALUE(111)</f>
        <v>1459</v>
      </c>
      <c r="G40" s="127">
        <v>904881</v>
      </c>
      <c r="H40" s="126">
        <f>_xlfn.COMPOUNDVALUE(112)</f>
        <v>71</v>
      </c>
      <c r="I40" s="128">
        <v>273745</v>
      </c>
      <c r="J40" s="126">
        <v>101</v>
      </c>
      <c r="K40" s="128">
        <v>16762</v>
      </c>
      <c r="L40" s="126">
        <v>1581</v>
      </c>
      <c r="M40" s="128">
        <v>647899</v>
      </c>
      <c r="N40" s="86" t="s">
        <v>68</v>
      </c>
    </row>
    <row r="41" spans="1:14" s="93" customFormat="1" ht="15.75" customHeight="1">
      <c r="A41" s="76" t="s">
        <v>69</v>
      </c>
      <c r="B41" s="126">
        <f>_xlfn.COMPOUNDVALUE(113)</f>
        <v>389</v>
      </c>
      <c r="C41" s="127">
        <v>199545</v>
      </c>
      <c r="D41" s="126">
        <f>_xlfn.COMPOUNDVALUE(114)</f>
        <v>515</v>
      </c>
      <c r="E41" s="127">
        <v>231043</v>
      </c>
      <c r="F41" s="126">
        <f>_xlfn.COMPOUNDVALUE(115)</f>
        <v>904</v>
      </c>
      <c r="G41" s="127">
        <v>430588</v>
      </c>
      <c r="H41" s="126">
        <f>_xlfn.COMPOUNDVALUE(116)</f>
        <v>29</v>
      </c>
      <c r="I41" s="128">
        <v>11946</v>
      </c>
      <c r="J41" s="126">
        <v>63</v>
      </c>
      <c r="K41" s="128">
        <v>13702</v>
      </c>
      <c r="L41" s="126">
        <v>985</v>
      </c>
      <c r="M41" s="128">
        <v>432343</v>
      </c>
      <c r="N41" s="198" t="s">
        <v>69</v>
      </c>
    </row>
    <row r="42" spans="1:14" s="93" customFormat="1" ht="15.75" customHeight="1">
      <c r="A42" s="103"/>
      <c r="B42" s="126"/>
      <c r="C42" s="127"/>
      <c r="D42" s="126"/>
      <c r="E42" s="127"/>
      <c r="F42" s="126"/>
      <c r="G42" s="127"/>
      <c r="H42" s="126"/>
      <c r="I42" s="128"/>
      <c r="J42" s="126"/>
      <c r="K42" s="128"/>
      <c r="L42" s="126"/>
      <c r="M42" s="128"/>
      <c r="N42" s="199" t="s">
        <v>38</v>
      </c>
    </row>
    <row r="43" spans="1:14" s="93" customFormat="1" ht="15.75" customHeight="1">
      <c r="A43" s="98" t="s">
        <v>70</v>
      </c>
      <c r="B43" s="126">
        <f>_xlfn.COMPOUNDVALUE(117)</f>
        <v>843</v>
      </c>
      <c r="C43" s="127">
        <v>677622</v>
      </c>
      <c r="D43" s="126">
        <f>_xlfn.COMPOUNDVALUE(118)</f>
        <v>1130</v>
      </c>
      <c r="E43" s="127">
        <v>617432</v>
      </c>
      <c r="F43" s="126">
        <f>_xlfn.COMPOUNDVALUE(119)</f>
        <v>1973</v>
      </c>
      <c r="G43" s="127">
        <v>1295054</v>
      </c>
      <c r="H43" s="126">
        <f>_xlfn.COMPOUNDVALUE(120)</f>
        <v>101</v>
      </c>
      <c r="I43" s="128">
        <v>105627</v>
      </c>
      <c r="J43" s="126">
        <v>120</v>
      </c>
      <c r="K43" s="128">
        <v>8728</v>
      </c>
      <c r="L43" s="126">
        <v>2123</v>
      </c>
      <c r="M43" s="128">
        <v>1198155</v>
      </c>
      <c r="N43" s="100" t="s">
        <v>70</v>
      </c>
    </row>
    <row r="44" spans="1:14" s="93" customFormat="1" ht="15.75" customHeight="1">
      <c r="A44" s="76" t="s">
        <v>71</v>
      </c>
      <c r="B44" s="126">
        <f>_xlfn.COMPOUNDVALUE(121)</f>
        <v>607</v>
      </c>
      <c r="C44" s="127">
        <v>348440</v>
      </c>
      <c r="D44" s="126">
        <f>_xlfn.COMPOUNDVALUE(122)</f>
        <v>883</v>
      </c>
      <c r="E44" s="127">
        <v>391515</v>
      </c>
      <c r="F44" s="126">
        <f>_xlfn.COMPOUNDVALUE(123)</f>
        <v>1490</v>
      </c>
      <c r="G44" s="127">
        <v>739955</v>
      </c>
      <c r="H44" s="126">
        <f>_xlfn.COMPOUNDVALUE(124)</f>
        <v>52</v>
      </c>
      <c r="I44" s="128">
        <v>25314</v>
      </c>
      <c r="J44" s="126">
        <v>185</v>
      </c>
      <c r="K44" s="128">
        <v>29418</v>
      </c>
      <c r="L44" s="126">
        <v>1647</v>
      </c>
      <c r="M44" s="128">
        <v>744060</v>
      </c>
      <c r="N44" s="86" t="s">
        <v>71</v>
      </c>
    </row>
    <row r="45" spans="1:14" s="93" customFormat="1" ht="15.75" customHeight="1">
      <c r="A45" s="76" t="s">
        <v>72</v>
      </c>
      <c r="B45" s="126">
        <f>_xlfn.COMPOUNDVALUE(125)</f>
        <v>449</v>
      </c>
      <c r="C45" s="127">
        <v>262156</v>
      </c>
      <c r="D45" s="126">
        <f>_xlfn.COMPOUNDVALUE(126)</f>
        <v>693</v>
      </c>
      <c r="E45" s="127">
        <v>335946</v>
      </c>
      <c r="F45" s="126">
        <f>_xlfn.COMPOUNDVALUE(127)</f>
        <v>1142</v>
      </c>
      <c r="G45" s="127">
        <v>598101</v>
      </c>
      <c r="H45" s="126">
        <f>_xlfn.COMPOUNDVALUE(128)</f>
        <v>38</v>
      </c>
      <c r="I45" s="128">
        <v>31893</v>
      </c>
      <c r="J45" s="126">
        <v>109</v>
      </c>
      <c r="K45" s="128">
        <v>18509</v>
      </c>
      <c r="L45" s="126">
        <v>1229</v>
      </c>
      <c r="M45" s="128">
        <v>584718</v>
      </c>
      <c r="N45" s="86" t="s">
        <v>72</v>
      </c>
    </row>
    <row r="46" spans="1:14" s="93" customFormat="1" ht="15.75" customHeight="1">
      <c r="A46" s="76" t="s">
        <v>73</v>
      </c>
      <c r="B46" s="126">
        <f>_xlfn.COMPOUNDVALUE(129)</f>
        <v>1552</v>
      </c>
      <c r="C46" s="127">
        <v>1737684</v>
      </c>
      <c r="D46" s="126">
        <f>_xlfn.COMPOUNDVALUE(130)</f>
        <v>2117</v>
      </c>
      <c r="E46" s="127">
        <v>1262284</v>
      </c>
      <c r="F46" s="126">
        <f>_xlfn.COMPOUNDVALUE(131)</f>
        <v>3669</v>
      </c>
      <c r="G46" s="127">
        <v>2999968</v>
      </c>
      <c r="H46" s="126">
        <f>_xlfn.COMPOUNDVALUE(132)</f>
        <v>146</v>
      </c>
      <c r="I46" s="128">
        <v>235255</v>
      </c>
      <c r="J46" s="126">
        <v>255</v>
      </c>
      <c r="K46" s="128">
        <v>38010</v>
      </c>
      <c r="L46" s="126">
        <v>3938</v>
      </c>
      <c r="M46" s="128">
        <v>2802723</v>
      </c>
      <c r="N46" s="86" t="s">
        <v>73</v>
      </c>
    </row>
    <row r="47" spans="1:14" s="93" customFormat="1" ht="15.75" customHeight="1">
      <c r="A47" s="76" t="s">
        <v>74</v>
      </c>
      <c r="B47" s="126">
        <f>_xlfn.COMPOUNDVALUE(133)</f>
        <v>681</v>
      </c>
      <c r="C47" s="127">
        <v>534470</v>
      </c>
      <c r="D47" s="126">
        <f>_xlfn.COMPOUNDVALUE(134)</f>
        <v>1109</v>
      </c>
      <c r="E47" s="127">
        <v>522079</v>
      </c>
      <c r="F47" s="126">
        <f>_xlfn.COMPOUNDVALUE(135)</f>
        <v>1790</v>
      </c>
      <c r="G47" s="127">
        <v>1056549</v>
      </c>
      <c r="H47" s="126">
        <f>_xlfn.COMPOUNDVALUE(136)</f>
        <v>72</v>
      </c>
      <c r="I47" s="128">
        <v>107721</v>
      </c>
      <c r="J47" s="126">
        <v>115</v>
      </c>
      <c r="K47" s="128">
        <v>25154</v>
      </c>
      <c r="L47" s="126">
        <v>1927</v>
      </c>
      <c r="M47" s="128">
        <v>973981</v>
      </c>
      <c r="N47" s="86" t="s">
        <v>74</v>
      </c>
    </row>
    <row r="48" spans="1:14" s="93" customFormat="1" ht="15.75" customHeight="1">
      <c r="A48" s="76"/>
      <c r="B48" s="126"/>
      <c r="C48" s="127"/>
      <c r="D48" s="126"/>
      <c r="E48" s="127"/>
      <c r="F48" s="126"/>
      <c r="G48" s="127"/>
      <c r="H48" s="126"/>
      <c r="I48" s="128"/>
      <c r="J48" s="126"/>
      <c r="K48" s="128"/>
      <c r="L48" s="126"/>
      <c r="M48" s="128"/>
      <c r="N48" s="86" t="s">
        <v>38</v>
      </c>
    </row>
    <row r="49" spans="1:14" s="93" customFormat="1" ht="15.75" customHeight="1">
      <c r="A49" s="76" t="s">
        <v>75</v>
      </c>
      <c r="B49" s="126">
        <f>_xlfn.COMPOUNDVALUE(137)</f>
        <v>599</v>
      </c>
      <c r="C49" s="127">
        <v>698015</v>
      </c>
      <c r="D49" s="126">
        <f>_xlfn.COMPOUNDVALUE(138)</f>
        <v>942</v>
      </c>
      <c r="E49" s="127">
        <v>540091</v>
      </c>
      <c r="F49" s="126">
        <f>_xlfn.COMPOUNDVALUE(139)</f>
        <v>1541</v>
      </c>
      <c r="G49" s="127">
        <v>1238106</v>
      </c>
      <c r="H49" s="126">
        <f>_xlfn.COMPOUNDVALUE(140)</f>
        <v>82</v>
      </c>
      <c r="I49" s="128">
        <v>188658</v>
      </c>
      <c r="J49" s="126">
        <v>165</v>
      </c>
      <c r="K49" s="128">
        <v>22313</v>
      </c>
      <c r="L49" s="126">
        <v>1684</v>
      </c>
      <c r="M49" s="128">
        <v>1071761</v>
      </c>
      <c r="N49" s="86" t="s">
        <v>75</v>
      </c>
    </row>
    <row r="50" spans="1:14" s="93" customFormat="1" ht="15.75" customHeight="1">
      <c r="A50" s="76" t="s">
        <v>76</v>
      </c>
      <c r="B50" s="126">
        <f>_xlfn.COMPOUNDVALUE(141)</f>
        <v>792</v>
      </c>
      <c r="C50" s="127">
        <v>500472</v>
      </c>
      <c r="D50" s="126">
        <f>_xlfn.COMPOUNDVALUE(142)</f>
        <v>1181</v>
      </c>
      <c r="E50" s="127">
        <v>539184</v>
      </c>
      <c r="F50" s="126">
        <f>_xlfn.COMPOUNDVALUE(143)</f>
        <v>1973</v>
      </c>
      <c r="G50" s="127">
        <v>1039656</v>
      </c>
      <c r="H50" s="126">
        <f>_xlfn.COMPOUNDVALUE(144)</f>
        <v>47</v>
      </c>
      <c r="I50" s="128">
        <v>98720</v>
      </c>
      <c r="J50" s="126">
        <v>211</v>
      </c>
      <c r="K50" s="128">
        <v>29457</v>
      </c>
      <c r="L50" s="126">
        <v>2116</v>
      </c>
      <c r="M50" s="128">
        <v>970392</v>
      </c>
      <c r="N50" s="86" t="s">
        <v>76</v>
      </c>
    </row>
    <row r="51" spans="1:14" s="93" customFormat="1" ht="15.75" customHeight="1">
      <c r="A51" s="76" t="s">
        <v>77</v>
      </c>
      <c r="B51" s="126">
        <f>_xlfn.COMPOUNDVALUE(145)</f>
        <v>1454</v>
      </c>
      <c r="C51" s="127">
        <v>1402714</v>
      </c>
      <c r="D51" s="126">
        <f>_xlfn.COMPOUNDVALUE(146)</f>
        <v>2104</v>
      </c>
      <c r="E51" s="127">
        <v>1183231</v>
      </c>
      <c r="F51" s="126">
        <f>_xlfn.COMPOUNDVALUE(147)</f>
        <v>3558</v>
      </c>
      <c r="G51" s="127">
        <v>2585945</v>
      </c>
      <c r="H51" s="126">
        <f>_xlfn.COMPOUNDVALUE(148)</f>
        <v>135</v>
      </c>
      <c r="I51" s="128">
        <v>110358</v>
      </c>
      <c r="J51" s="126">
        <v>264</v>
      </c>
      <c r="K51" s="128">
        <v>56886</v>
      </c>
      <c r="L51" s="126">
        <v>3816</v>
      </c>
      <c r="M51" s="128">
        <v>2532473</v>
      </c>
      <c r="N51" s="86" t="s">
        <v>77</v>
      </c>
    </row>
    <row r="52" spans="1:14" s="93" customFormat="1" ht="15.75" customHeight="1">
      <c r="A52" s="76" t="s">
        <v>78</v>
      </c>
      <c r="B52" s="126">
        <f>_xlfn.COMPOUNDVALUE(149)</f>
        <v>1232</v>
      </c>
      <c r="C52" s="127">
        <v>1138161</v>
      </c>
      <c r="D52" s="126">
        <f>_xlfn.COMPOUNDVALUE(150)</f>
        <v>1908</v>
      </c>
      <c r="E52" s="127">
        <v>1068696</v>
      </c>
      <c r="F52" s="126">
        <f>_xlfn.COMPOUNDVALUE(151)</f>
        <v>3140</v>
      </c>
      <c r="G52" s="127">
        <v>2206856</v>
      </c>
      <c r="H52" s="126">
        <f>_xlfn.COMPOUNDVALUE(152)</f>
        <v>126</v>
      </c>
      <c r="I52" s="128">
        <v>516323</v>
      </c>
      <c r="J52" s="126">
        <v>251</v>
      </c>
      <c r="K52" s="128">
        <v>59496</v>
      </c>
      <c r="L52" s="126">
        <v>3400</v>
      </c>
      <c r="M52" s="128">
        <v>1750030</v>
      </c>
      <c r="N52" s="86" t="s">
        <v>78</v>
      </c>
    </row>
    <row r="53" spans="1:14" s="93" customFormat="1" ht="15.75" customHeight="1">
      <c r="A53" s="76" t="s">
        <v>79</v>
      </c>
      <c r="B53" s="126">
        <f>_xlfn.COMPOUNDVALUE(153)</f>
        <v>1198</v>
      </c>
      <c r="C53" s="127">
        <v>1494942</v>
      </c>
      <c r="D53" s="126">
        <f>_xlfn.COMPOUNDVALUE(154)</f>
        <v>1827</v>
      </c>
      <c r="E53" s="127">
        <v>1048119</v>
      </c>
      <c r="F53" s="126">
        <f>_xlfn.COMPOUNDVALUE(155)</f>
        <v>3025</v>
      </c>
      <c r="G53" s="127">
        <v>2543060</v>
      </c>
      <c r="H53" s="126">
        <f>_xlfn.COMPOUNDVALUE(156)</f>
        <v>121</v>
      </c>
      <c r="I53" s="128">
        <v>129750</v>
      </c>
      <c r="J53" s="126">
        <v>217</v>
      </c>
      <c r="K53" s="128">
        <v>25923</v>
      </c>
      <c r="L53" s="126">
        <v>3245</v>
      </c>
      <c r="M53" s="128">
        <v>2439233</v>
      </c>
      <c r="N53" s="86" t="s">
        <v>79</v>
      </c>
    </row>
    <row r="54" spans="1:14" s="93" customFormat="1" ht="15.75" customHeight="1">
      <c r="A54" s="76"/>
      <c r="B54" s="126"/>
      <c r="C54" s="127"/>
      <c r="D54" s="126"/>
      <c r="E54" s="127"/>
      <c r="F54" s="126"/>
      <c r="G54" s="127"/>
      <c r="H54" s="126"/>
      <c r="I54" s="128"/>
      <c r="J54" s="126"/>
      <c r="K54" s="128"/>
      <c r="L54" s="126"/>
      <c r="M54" s="128"/>
      <c r="N54" s="86" t="s">
        <v>38</v>
      </c>
    </row>
    <row r="55" spans="1:14" s="93" customFormat="1" ht="15.75" customHeight="1">
      <c r="A55" s="76" t="s">
        <v>80</v>
      </c>
      <c r="B55" s="126">
        <f>_xlfn.COMPOUNDVALUE(157)</f>
        <v>2305</v>
      </c>
      <c r="C55" s="127">
        <v>3639608</v>
      </c>
      <c r="D55" s="126">
        <f>_xlfn.COMPOUNDVALUE(158)</f>
        <v>3060</v>
      </c>
      <c r="E55" s="127">
        <v>1961292</v>
      </c>
      <c r="F55" s="126">
        <f>_xlfn.COMPOUNDVALUE(159)</f>
        <v>5365</v>
      </c>
      <c r="G55" s="127">
        <v>5600899</v>
      </c>
      <c r="H55" s="126">
        <f>_xlfn.COMPOUNDVALUE(160)</f>
        <v>203</v>
      </c>
      <c r="I55" s="128">
        <v>267964</v>
      </c>
      <c r="J55" s="126">
        <v>499</v>
      </c>
      <c r="K55" s="128">
        <v>91116</v>
      </c>
      <c r="L55" s="126">
        <v>5763</v>
      </c>
      <c r="M55" s="128">
        <v>5424052</v>
      </c>
      <c r="N55" s="86" t="s">
        <v>80</v>
      </c>
    </row>
    <row r="56" spans="1:14" s="93" customFormat="1" ht="15.75" customHeight="1">
      <c r="A56" s="76" t="s">
        <v>81</v>
      </c>
      <c r="B56" s="126">
        <f>_xlfn.COMPOUNDVALUE(161)</f>
        <v>1106</v>
      </c>
      <c r="C56" s="127">
        <v>854813</v>
      </c>
      <c r="D56" s="126">
        <f>_xlfn.COMPOUNDVALUE(162)</f>
        <v>1674</v>
      </c>
      <c r="E56" s="127">
        <v>862193</v>
      </c>
      <c r="F56" s="126">
        <f>_xlfn.COMPOUNDVALUE(163)</f>
        <v>2780</v>
      </c>
      <c r="G56" s="127">
        <v>1717006</v>
      </c>
      <c r="H56" s="126">
        <f>_xlfn.COMPOUNDVALUE(164)</f>
        <v>108</v>
      </c>
      <c r="I56" s="128">
        <v>191215</v>
      </c>
      <c r="J56" s="126">
        <v>243</v>
      </c>
      <c r="K56" s="128">
        <v>42408</v>
      </c>
      <c r="L56" s="126">
        <v>3001</v>
      </c>
      <c r="M56" s="128">
        <v>1568199</v>
      </c>
      <c r="N56" s="86" t="s">
        <v>81</v>
      </c>
    </row>
    <row r="57" spans="1:14" s="93" customFormat="1" ht="15.75" customHeight="1">
      <c r="A57" s="76" t="s">
        <v>82</v>
      </c>
      <c r="B57" s="126">
        <f>_xlfn.COMPOUNDVALUE(165)</f>
        <v>1120</v>
      </c>
      <c r="C57" s="127">
        <v>953278</v>
      </c>
      <c r="D57" s="126">
        <f>_xlfn.COMPOUNDVALUE(166)</f>
        <v>1680</v>
      </c>
      <c r="E57" s="127">
        <v>880246</v>
      </c>
      <c r="F57" s="126">
        <f>_xlfn.COMPOUNDVALUE(167)</f>
        <v>2800</v>
      </c>
      <c r="G57" s="127">
        <v>1833524</v>
      </c>
      <c r="H57" s="126">
        <f>_xlfn.COMPOUNDVALUE(168)</f>
        <v>88</v>
      </c>
      <c r="I57" s="128">
        <v>90873</v>
      </c>
      <c r="J57" s="126">
        <v>256</v>
      </c>
      <c r="K57" s="128">
        <v>50461</v>
      </c>
      <c r="L57" s="126">
        <v>3019</v>
      </c>
      <c r="M57" s="128">
        <v>1793111</v>
      </c>
      <c r="N57" s="86" t="s">
        <v>82</v>
      </c>
    </row>
    <row r="58" spans="1:14" s="93" customFormat="1" ht="15.75" customHeight="1">
      <c r="A58" s="76" t="s">
        <v>83</v>
      </c>
      <c r="B58" s="126">
        <f>_xlfn.COMPOUNDVALUE(169)</f>
        <v>776</v>
      </c>
      <c r="C58" s="127">
        <v>894536</v>
      </c>
      <c r="D58" s="126">
        <f>_xlfn.COMPOUNDVALUE(170)</f>
        <v>1359</v>
      </c>
      <c r="E58" s="127">
        <v>728329</v>
      </c>
      <c r="F58" s="126">
        <f>_xlfn.COMPOUNDVALUE(171)</f>
        <v>2135</v>
      </c>
      <c r="G58" s="127">
        <v>1622865</v>
      </c>
      <c r="H58" s="126">
        <f>_xlfn.COMPOUNDVALUE(172)</f>
        <v>79</v>
      </c>
      <c r="I58" s="128">
        <v>77092</v>
      </c>
      <c r="J58" s="126">
        <v>180</v>
      </c>
      <c r="K58" s="128">
        <v>22282</v>
      </c>
      <c r="L58" s="126">
        <v>2272</v>
      </c>
      <c r="M58" s="128">
        <v>1568056</v>
      </c>
      <c r="N58" s="86" t="s">
        <v>83</v>
      </c>
    </row>
    <row r="59" spans="1:14" s="93" customFormat="1" ht="15.75" customHeight="1">
      <c r="A59" s="76" t="s">
        <v>84</v>
      </c>
      <c r="B59" s="126">
        <f>_xlfn.COMPOUNDVALUE(173)</f>
        <v>1297</v>
      </c>
      <c r="C59" s="127">
        <v>1297281</v>
      </c>
      <c r="D59" s="126">
        <f>_xlfn.COMPOUNDVALUE(174)</f>
        <v>1838</v>
      </c>
      <c r="E59" s="127">
        <v>1054076</v>
      </c>
      <c r="F59" s="126">
        <f>_xlfn.COMPOUNDVALUE(175)</f>
        <v>3135</v>
      </c>
      <c r="G59" s="127">
        <v>2351358</v>
      </c>
      <c r="H59" s="126">
        <f>_xlfn.COMPOUNDVALUE(176)</f>
        <v>95</v>
      </c>
      <c r="I59" s="128">
        <v>489216</v>
      </c>
      <c r="J59" s="126">
        <v>287</v>
      </c>
      <c r="K59" s="128">
        <v>59381</v>
      </c>
      <c r="L59" s="126">
        <v>3331</v>
      </c>
      <c r="M59" s="128">
        <v>1921522</v>
      </c>
      <c r="N59" s="86" t="s">
        <v>84</v>
      </c>
    </row>
    <row r="60" spans="1:14" s="93" customFormat="1" ht="15.75" customHeight="1">
      <c r="A60" s="76"/>
      <c r="B60" s="126"/>
      <c r="C60" s="127"/>
      <c r="D60" s="126"/>
      <c r="E60" s="127"/>
      <c r="F60" s="126"/>
      <c r="G60" s="127"/>
      <c r="H60" s="126"/>
      <c r="I60" s="128"/>
      <c r="J60" s="126"/>
      <c r="K60" s="128"/>
      <c r="L60" s="126"/>
      <c r="M60" s="128"/>
      <c r="N60" s="86" t="s">
        <v>38</v>
      </c>
    </row>
    <row r="61" spans="1:14" s="93" customFormat="1" ht="15.75" customHeight="1">
      <c r="A61" s="76" t="s">
        <v>85</v>
      </c>
      <c r="B61" s="126">
        <f>_xlfn.COMPOUNDVALUE(177)</f>
        <v>989</v>
      </c>
      <c r="C61" s="127">
        <v>568854</v>
      </c>
      <c r="D61" s="126">
        <f>_xlfn.COMPOUNDVALUE(178)</f>
        <v>1351</v>
      </c>
      <c r="E61" s="127">
        <v>645520</v>
      </c>
      <c r="F61" s="126">
        <f>_xlfn.COMPOUNDVALUE(179)</f>
        <v>2340</v>
      </c>
      <c r="G61" s="127">
        <v>1214374</v>
      </c>
      <c r="H61" s="126">
        <f>_xlfn.COMPOUNDVALUE(180)</f>
        <v>67</v>
      </c>
      <c r="I61" s="128">
        <v>63263</v>
      </c>
      <c r="J61" s="126">
        <v>243</v>
      </c>
      <c r="K61" s="128">
        <v>37633</v>
      </c>
      <c r="L61" s="126">
        <v>2511</v>
      </c>
      <c r="M61" s="128">
        <v>1188744</v>
      </c>
      <c r="N61" s="86" t="s">
        <v>85</v>
      </c>
    </row>
    <row r="62" spans="1:14" s="93" customFormat="1" ht="15.75" customHeight="1">
      <c r="A62" s="76" t="s">
        <v>86</v>
      </c>
      <c r="B62" s="126">
        <f>_xlfn.COMPOUNDVALUE(181)</f>
        <v>693</v>
      </c>
      <c r="C62" s="127">
        <v>469183</v>
      </c>
      <c r="D62" s="126">
        <f>_xlfn.COMPOUNDVALUE(182)</f>
        <v>1016</v>
      </c>
      <c r="E62" s="127">
        <v>449135</v>
      </c>
      <c r="F62" s="126">
        <f>_xlfn.COMPOUNDVALUE(183)</f>
        <v>1709</v>
      </c>
      <c r="G62" s="127">
        <v>918318</v>
      </c>
      <c r="H62" s="126">
        <f>_xlfn.COMPOUNDVALUE(184)</f>
        <v>80</v>
      </c>
      <c r="I62" s="128">
        <v>47161</v>
      </c>
      <c r="J62" s="126">
        <v>199</v>
      </c>
      <c r="K62" s="128">
        <v>74205</v>
      </c>
      <c r="L62" s="126">
        <v>1888</v>
      </c>
      <c r="M62" s="128">
        <v>945363</v>
      </c>
      <c r="N62" s="86" t="s">
        <v>86</v>
      </c>
    </row>
    <row r="63" spans="1:14" s="93" customFormat="1" ht="15.75" customHeight="1">
      <c r="A63" s="76" t="s">
        <v>87</v>
      </c>
      <c r="B63" s="126">
        <f>_xlfn.COMPOUNDVALUE(185)</f>
        <v>1743</v>
      </c>
      <c r="C63" s="127">
        <v>1398753</v>
      </c>
      <c r="D63" s="126">
        <f>_xlfn.COMPOUNDVALUE(186)</f>
        <v>2307</v>
      </c>
      <c r="E63" s="127">
        <v>1124007</v>
      </c>
      <c r="F63" s="126">
        <f>_xlfn.COMPOUNDVALUE(187)</f>
        <v>4050</v>
      </c>
      <c r="G63" s="127">
        <v>2522760</v>
      </c>
      <c r="H63" s="126">
        <f>_xlfn.COMPOUNDVALUE(188)</f>
        <v>107</v>
      </c>
      <c r="I63" s="128">
        <v>128318</v>
      </c>
      <c r="J63" s="126">
        <v>408</v>
      </c>
      <c r="K63" s="128">
        <v>32504</v>
      </c>
      <c r="L63" s="126">
        <v>4348</v>
      </c>
      <c r="M63" s="128">
        <v>2426946</v>
      </c>
      <c r="N63" s="86" t="s">
        <v>87</v>
      </c>
    </row>
    <row r="64" spans="1:14" s="93" customFormat="1" ht="15.75" customHeight="1">
      <c r="A64" s="76" t="s">
        <v>88</v>
      </c>
      <c r="B64" s="126">
        <f>_xlfn.COMPOUNDVALUE(189)</f>
        <v>1169</v>
      </c>
      <c r="C64" s="127">
        <v>972112</v>
      </c>
      <c r="D64" s="126">
        <f>_xlfn.COMPOUNDVALUE(190)</f>
        <v>2093</v>
      </c>
      <c r="E64" s="127">
        <v>1137694</v>
      </c>
      <c r="F64" s="126">
        <f>_xlfn.COMPOUNDVALUE(191)</f>
        <v>3262</v>
      </c>
      <c r="G64" s="127">
        <v>2109806</v>
      </c>
      <c r="H64" s="126">
        <f>_xlfn.COMPOUNDVALUE(192)</f>
        <v>105</v>
      </c>
      <c r="I64" s="128">
        <v>136238</v>
      </c>
      <c r="J64" s="126">
        <v>296</v>
      </c>
      <c r="K64" s="128">
        <v>63906</v>
      </c>
      <c r="L64" s="126">
        <v>3531</v>
      </c>
      <c r="M64" s="128">
        <v>2037475</v>
      </c>
      <c r="N64" s="86" t="s">
        <v>88</v>
      </c>
    </row>
    <row r="65" spans="1:14" s="93" customFormat="1" ht="15.75" customHeight="1">
      <c r="A65" s="78" t="s">
        <v>89</v>
      </c>
      <c r="B65" s="131">
        <f>_xlfn.COMPOUNDVALUE(193)</f>
        <v>829</v>
      </c>
      <c r="C65" s="132">
        <v>696689</v>
      </c>
      <c r="D65" s="131">
        <f>_xlfn.COMPOUNDVALUE(194)</f>
        <v>1384</v>
      </c>
      <c r="E65" s="132">
        <v>702149</v>
      </c>
      <c r="F65" s="131">
        <f>_xlfn.COMPOUNDVALUE(195)</f>
        <v>2213</v>
      </c>
      <c r="G65" s="132">
        <v>1398838</v>
      </c>
      <c r="H65" s="131">
        <f>_xlfn.COMPOUNDVALUE(196)</f>
        <v>69</v>
      </c>
      <c r="I65" s="133">
        <v>52455</v>
      </c>
      <c r="J65" s="131">
        <v>229</v>
      </c>
      <c r="K65" s="133">
        <v>31343</v>
      </c>
      <c r="L65" s="131">
        <v>2379</v>
      </c>
      <c r="M65" s="133">
        <v>1377726</v>
      </c>
      <c r="N65" s="77" t="s">
        <v>89</v>
      </c>
    </row>
    <row r="66" spans="1:14" s="93" customFormat="1" ht="15.75" customHeight="1">
      <c r="A66" s="78"/>
      <c r="B66" s="131"/>
      <c r="C66" s="132"/>
      <c r="D66" s="131"/>
      <c r="E66" s="132"/>
      <c r="F66" s="131"/>
      <c r="G66" s="132"/>
      <c r="H66" s="131"/>
      <c r="I66" s="133"/>
      <c r="J66" s="131"/>
      <c r="K66" s="133"/>
      <c r="L66" s="131"/>
      <c r="M66" s="133"/>
      <c r="N66" s="77" t="s">
        <v>38</v>
      </c>
    </row>
    <row r="67" spans="1:14" s="93" customFormat="1" ht="15.75" customHeight="1">
      <c r="A67" s="78" t="s">
        <v>90</v>
      </c>
      <c r="B67" s="131">
        <f>_xlfn.COMPOUNDVALUE(197)</f>
        <v>1310</v>
      </c>
      <c r="C67" s="132">
        <v>868677</v>
      </c>
      <c r="D67" s="131">
        <f>_xlfn.COMPOUNDVALUE(198)</f>
        <v>1807</v>
      </c>
      <c r="E67" s="132">
        <v>874459</v>
      </c>
      <c r="F67" s="131">
        <f>_xlfn.COMPOUNDVALUE(199)</f>
        <v>3117</v>
      </c>
      <c r="G67" s="132">
        <v>1743135</v>
      </c>
      <c r="H67" s="131">
        <f>_xlfn.COMPOUNDVALUE(200)</f>
        <v>70</v>
      </c>
      <c r="I67" s="133">
        <v>91808</v>
      </c>
      <c r="J67" s="131">
        <v>292</v>
      </c>
      <c r="K67" s="133">
        <v>53030</v>
      </c>
      <c r="L67" s="131">
        <v>3331</v>
      </c>
      <c r="M67" s="133">
        <v>1704357</v>
      </c>
      <c r="N67" s="77" t="s">
        <v>90</v>
      </c>
    </row>
    <row r="68" spans="1:14" s="93" customFormat="1" ht="15.75" customHeight="1">
      <c r="A68" s="78" t="s">
        <v>91</v>
      </c>
      <c r="B68" s="131">
        <f>_xlfn.COMPOUNDVALUE(201)</f>
        <v>993</v>
      </c>
      <c r="C68" s="132">
        <v>546050</v>
      </c>
      <c r="D68" s="131">
        <f>_xlfn.COMPOUNDVALUE(202)</f>
        <v>1598</v>
      </c>
      <c r="E68" s="132">
        <v>743551</v>
      </c>
      <c r="F68" s="131">
        <f>_xlfn.COMPOUNDVALUE(203)</f>
        <v>2591</v>
      </c>
      <c r="G68" s="132">
        <v>1289601</v>
      </c>
      <c r="H68" s="131">
        <f>_xlfn.COMPOUNDVALUE(204)</f>
        <v>61</v>
      </c>
      <c r="I68" s="133">
        <v>72504</v>
      </c>
      <c r="J68" s="131">
        <v>180</v>
      </c>
      <c r="K68" s="133">
        <v>18802</v>
      </c>
      <c r="L68" s="131">
        <v>2755</v>
      </c>
      <c r="M68" s="133">
        <v>1235899</v>
      </c>
      <c r="N68" s="77" t="s">
        <v>91</v>
      </c>
    </row>
    <row r="69" spans="1:14" s="93" customFormat="1" ht="15.75" customHeight="1">
      <c r="A69" s="78" t="s">
        <v>92</v>
      </c>
      <c r="B69" s="131">
        <f>_xlfn.COMPOUNDVALUE(205)</f>
        <v>1273</v>
      </c>
      <c r="C69" s="132">
        <v>828000</v>
      </c>
      <c r="D69" s="131">
        <f>_xlfn.COMPOUNDVALUE(206)</f>
        <v>2149</v>
      </c>
      <c r="E69" s="132">
        <v>1009648</v>
      </c>
      <c r="F69" s="131">
        <f>_xlfn.COMPOUNDVALUE(207)</f>
        <v>3422</v>
      </c>
      <c r="G69" s="132">
        <v>1837648</v>
      </c>
      <c r="H69" s="131">
        <f>_xlfn.COMPOUNDVALUE(208)</f>
        <v>105</v>
      </c>
      <c r="I69" s="133">
        <v>151502</v>
      </c>
      <c r="J69" s="131">
        <v>285</v>
      </c>
      <c r="K69" s="133">
        <v>67611</v>
      </c>
      <c r="L69" s="131">
        <v>3694</v>
      </c>
      <c r="M69" s="133">
        <v>1753757</v>
      </c>
      <c r="N69" s="77" t="s">
        <v>92</v>
      </c>
    </row>
    <row r="70" spans="1:14" s="93" customFormat="1" ht="15.75" customHeight="1">
      <c r="A70" s="78" t="s">
        <v>93</v>
      </c>
      <c r="B70" s="131">
        <f>_xlfn.COMPOUNDVALUE(209)</f>
        <v>1395</v>
      </c>
      <c r="C70" s="132">
        <v>1102588</v>
      </c>
      <c r="D70" s="131">
        <f>_xlfn.COMPOUNDVALUE(210)</f>
        <v>2075</v>
      </c>
      <c r="E70" s="132">
        <v>994417</v>
      </c>
      <c r="F70" s="131">
        <f>_xlfn.COMPOUNDVALUE(211)</f>
        <v>3470</v>
      </c>
      <c r="G70" s="132">
        <v>2097005</v>
      </c>
      <c r="H70" s="131">
        <f>_xlfn.COMPOUNDVALUE(212)</f>
        <v>71</v>
      </c>
      <c r="I70" s="133">
        <v>159435</v>
      </c>
      <c r="J70" s="131">
        <v>332</v>
      </c>
      <c r="K70" s="133">
        <v>64472</v>
      </c>
      <c r="L70" s="131">
        <v>3739</v>
      </c>
      <c r="M70" s="133">
        <v>2002042</v>
      </c>
      <c r="N70" s="77" t="s">
        <v>93</v>
      </c>
    </row>
    <row r="71" spans="1:14" s="93" customFormat="1" ht="15.75" customHeight="1">
      <c r="A71" s="78" t="s">
        <v>94</v>
      </c>
      <c r="B71" s="131">
        <f>_xlfn.COMPOUNDVALUE(213)</f>
        <v>613</v>
      </c>
      <c r="C71" s="132">
        <v>518938</v>
      </c>
      <c r="D71" s="131">
        <f>_xlfn.COMPOUNDVALUE(214)</f>
        <v>947</v>
      </c>
      <c r="E71" s="132">
        <v>491151</v>
      </c>
      <c r="F71" s="131">
        <f>_xlfn.COMPOUNDVALUE(215)</f>
        <v>1560</v>
      </c>
      <c r="G71" s="132">
        <v>1010089</v>
      </c>
      <c r="H71" s="131">
        <f>_xlfn.COMPOUNDVALUE(216)</f>
        <v>63</v>
      </c>
      <c r="I71" s="133">
        <v>105981</v>
      </c>
      <c r="J71" s="131">
        <v>164</v>
      </c>
      <c r="K71" s="133">
        <v>29052</v>
      </c>
      <c r="L71" s="131">
        <v>1684</v>
      </c>
      <c r="M71" s="133">
        <v>933160</v>
      </c>
      <c r="N71" s="77" t="s">
        <v>94</v>
      </c>
    </row>
    <row r="72" spans="1:14" s="93" customFormat="1" ht="15.75" customHeight="1">
      <c r="A72" s="79" t="s">
        <v>143</v>
      </c>
      <c r="B72" s="134">
        <v>40231</v>
      </c>
      <c r="C72" s="135">
        <v>45373107</v>
      </c>
      <c r="D72" s="134">
        <v>59105</v>
      </c>
      <c r="E72" s="135">
        <v>32727415</v>
      </c>
      <c r="F72" s="134">
        <v>99336</v>
      </c>
      <c r="G72" s="135">
        <v>78100520</v>
      </c>
      <c r="H72" s="134">
        <v>3687</v>
      </c>
      <c r="I72" s="136">
        <v>6144783</v>
      </c>
      <c r="J72" s="134">
        <v>8512</v>
      </c>
      <c r="K72" s="136">
        <v>1773578</v>
      </c>
      <c r="L72" s="134">
        <v>106798</v>
      </c>
      <c r="M72" s="136">
        <v>73729316</v>
      </c>
      <c r="N72" s="84" t="s">
        <v>96</v>
      </c>
    </row>
    <row r="73" spans="1:14" s="93" customFormat="1" ht="15.75" customHeight="1">
      <c r="A73" s="156"/>
      <c r="B73" s="158"/>
      <c r="C73" s="159"/>
      <c r="D73" s="158"/>
      <c r="E73" s="159"/>
      <c r="F73" s="158"/>
      <c r="G73" s="159"/>
      <c r="H73" s="158"/>
      <c r="I73" s="160"/>
      <c r="J73" s="158"/>
      <c r="K73" s="160"/>
      <c r="L73" s="158"/>
      <c r="M73" s="160"/>
      <c r="N73" s="157" t="s">
        <v>38</v>
      </c>
    </row>
    <row r="74" spans="1:14" s="93" customFormat="1" ht="15.75" customHeight="1">
      <c r="A74" s="76" t="s">
        <v>97</v>
      </c>
      <c r="B74" s="126">
        <f>_xlfn.COMPOUNDVALUE(217)</f>
        <v>1360</v>
      </c>
      <c r="C74" s="127">
        <v>845564</v>
      </c>
      <c r="D74" s="126">
        <f>_xlfn.COMPOUNDVALUE(218)</f>
        <v>2284</v>
      </c>
      <c r="E74" s="127">
        <v>1086475</v>
      </c>
      <c r="F74" s="126">
        <f>_xlfn.COMPOUNDVALUE(219)</f>
        <v>3644</v>
      </c>
      <c r="G74" s="127">
        <v>1932039</v>
      </c>
      <c r="H74" s="126">
        <f>_xlfn.COMPOUNDVALUE(220)</f>
        <v>103</v>
      </c>
      <c r="I74" s="128">
        <v>102979</v>
      </c>
      <c r="J74" s="126">
        <v>359</v>
      </c>
      <c r="K74" s="128">
        <v>65487</v>
      </c>
      <c r="L74" s="126">
        <v>3958</v>
      </c>
      <c r="M74" s="128">
        <v>1894546</v>
      </c>
      <c r="N74" s="85" t="s">
        <v>97</v>
      </c>
    </row>
    <row r="75" spans="1:14" s="93" customFormat="1" ht="15.75" customHeight="1">
      <c r="A75" s="78" t="s">
        <v>98</v>
      </c>
      <c r="B75" s="131">
        <f>_xlfn.COMPOUNDVALUE(221)</f>
        <v>1735</v>
      </c>
      <c r="C75" s="132">
        <v>1236974</v>
      </c>
      <c r="D75" s="131">
        <f>_xlfn.COMPOUNDVALUE(222)</f>
        <v>3095</v>
      </c>
      <c r="E75" s="132">
        <v>1527409</v>
      </c>
      <c r="F75" s="131">
        <f>_xlfn.COMPOUNDVALUE(223)</f>
        <v>4830</v>
      </c>
      <c r="G75" s="132">
        <v>2764382</v>
      </c>
      <c r="H75" s="131">
        <f>_xlfn.COMPOUNDVALUE(224)</f>
        <v>126</v>
      </c>
      <c r="I75" s="133">
        <v>125519</v>
      </c>
      <c r="J75" s="131">
        <v>519</v>
      </c>
      <c r="K75" s="133">
        <v>99109</v>
      </c>
      <c r="L75" s="131">
        <v>5202</v>
      </c>
      <c r="M75" s="133">
        <v>2737972</v>
      </c>
      <c r="N75" s="77" t="s">
        <v>98</v>
      </c>
    </row>
    <row r="76" spans="1:14" s="93" customFormat="1" ht="15.75" customHeight="1">
      <c r="A76" s="78" t="s">
        <v>99</v>
      </c>
      <c r="B76" s="131">
        <f>_xlfn.COMPOUNDVALUE(225)</f>
        <v>1260</v>
      </c>
      <c r="C76" s="132">
        <v>1360210</v>
      </c>
      <c r="D76" s="131">
        <f>_xlfn.COMPOUNDVALUE(226)</f>
        <v>2457</v>
      </c>
      <c r="E76" s="132">
        <v>1386999</v>
      </c>
      <c r="F76" s="131">
        <f>_xlfn.COMPOUNDVALUE(227)</f>
        <v>3717</v>
      </c>
      <c r="G76" s="132">
        <v>2747209</v>
      </c>
      <c r="H76" s="131">
        <f>_xlfn.COMPOUNDVALUE(228)</f>
        <v>130</v>
      </c>
      <c r="I76" s="133">
        <v>134629</v>
      </c>
      <c r="J76" s="131">
        <v>305</v>
      </c>
      <c r="K76" s="133">
        <v>46927</v>
      </c>
      <c r="L76" s="131">
        <v>3975</v>
      </c>
      <c r="M76" s="133">
        <v>2659508</v>
      </c>
      <c r="N76" s="77" t="s">
        <v>99</v>
      </c>
    </row>
    <row r="77" spans="1:14" s="93" customFormat="1" ht="15.75" customHeight="1">
      <c r="A77" s="78" t="s">
        <v>100</v>
      </c>
      <c r="B77" s="131">
        <f>_xlfn.COMPOUNDVALUE(229)</f>
        <v>1170</v>
      </c>
      <c r="C77" s="132">
        <v>789327</v>
      </c>
      <c r="D77" s="131">
        <f>_xlfn.COMPOUNDVALUE(230)</f>
        <v>1954</v>
      </c>
      <c r="E77" s="132">
        <v>859651</v>
      </c>
      <c r="F77" s="131">
        <f>_xlfn.COMPOUNDVALUE(231)</f>
        <v>3124</v>
      </c>
      <c r="G77" s="132">
        <v>1648978</v>
      </c>
      <c r="H77" s="131">
        <f>_xlfn.COMPOUNDVALUE(232)</f>
        <v>85</v>
      </c>
      <c r="I77" s="133">
        <v>56608</v>
      </c>
      <c r="J77" s="131">
        <v>271</v>
      </c>
      <c r="K77" s="133">
        <v>42201</v>
      </c>
      <c r="L77" s="131">
        <v>3362</v>
      </c>
      <c r="M77" s="133">
        <v>1634572</v>
      </c>
      <c r="N77" s="77" t="s">
        <v>100</v>
      </c>
    </row>
    <row r="78" spans="1:14" s="93" customFormat="1" ht="15.75" customHeight="1">
      <c r="A78" s="78" t="s">
        <v>101</v>
      </c>
      <c r="B78" s="131">
        <f>_xlfn.COMPOUNDVALUE(233)</f>
        <v>1485</v>
      </c>
      <c r="C78" s="132">
        <v>1030599</v>
      </c>
      <c r="D78" s="131">
        <f>_xlfn.COMPOUNDVALUE(234)</f>
        <v>2455</v>
      </c>
      <c r="E78" s="132">
        <v>1229624</v>
      </c>
      <c r="F78" s="131">
        <f>_xlfn.COMPOUNDVALUE(235)</f>
        <v>3940</v>
      </c>
      <c r="G78" s="132">
        <v>2260223</v>
      </c>
      <c r="H78" s="131">
        <f>_xlfn.COMPOUNDVALUE(236)</f>
        <v>97</v>
      </c>
      <c r="I78" s="133">
        <v>128925</v>
      </c>
      <c r="J78" s="131">
        <v>343</v>
      </c>
      <c r="K78" s="133">
        <v>47765</v>
      </c>
      <c r="L78" s="131">
        <v>4209</v>
      </c>
      <c r="M78" s="133">
        <v>2179063</v>
      </c>
      <c r="N78" s="77" t="s">
        <v>101</v>
      </c>
    </row>
    <row r="79" spans="1:14" s="93" customFormat="1" ht="15.75" customHeight="1">
      <c r="A79" s="103"/>
      <c r="B79" s="139"/>
      <c r="C79" s="140"/>
      <c r="D79" s="139"/>
      <c r="E79" s="140"/>
      <c r="F79" s="139"/>
      <c r="G79" s="140"/>
      <c r="H79" s="139"/>
      <c r="I79" s="141"/>
      <c r="J79" s="139"/>
      <c r="K79" s="141"/>
      <c r="L79" s="139"/>
      <c r="M79" s="140"/>
      <c r="N79" s="105" t="s">
        <v>38</v>
      </c>
    </row>
    <row r="80" spans="1:14" s="93" customFormat="1" ht="15.75" customHeight="1">
      <c r="A80" s="98" t="s">
        <v>102</v>
      </c>
      <c r="B80" s="126">
        <f>_xlfn.COMPOUNDVALUE(237)</f>
        <v>1001</v>
      </c>
      <c r="C80" s="127">
        <v>827863</v>
      </c>
      <c r="D80" s="126">
        <f>_xlfn.COMPOUNDVALUE(238)</f>
        <v>1724</v>
      </c>
      <c r="E80" s="127">
        <v>899557</v>
      </c>
      <c r="F80" s="126">
        <f>_xlfn.COMPOUNDVALUE(239)</f>
        <v>2725</v>
      </c>
      <c r="G80" s="127">
        <v>1727420</v>
      </c>
      <c r="H80" s="126">
        <f>_xlfn.COMPOUNDVALUE(240)</f>
        <v>65</v>
      </c>
      <c r="I80" s="128">
        <v>69189</v>
      </c>
      <c r="J80" s="126">
        <v>274</v>
      </c>
      <c r="K80" s="128">
        <v>39401</v>
      </c>
      <c r="L80" s="126">
        <v>2923</v>
      </c>
      <c r="M80" s="128">
        <v>1697632</v>
      </c>
      <c r="N80" s="100" t="s">
        <v>102</v>
      </c>
    </row>
    <row r="81" spans="1:14" s="93" customFormat="1" ht="15.75" customHeight="1">
      <c r="A81" s="78" t="s">
        <v>103</v>
      </c>
      <c r="B81" s="131">
        <f>_xlfn.COMPOUNDVALUE(241)</f>
        <v>791</v>
      </c>
      <c r="C81" s="132">
        <v>581219</v>
      </c>
      <c r="D81" s="131">
        <f>_xlfn.COMPOUNDVALUE(242)</f>
        <v>1438</v>
      </c>
      <c r="E81" s="132">
        <v>712507</v>
      </c>
      <c r="F81" s="131">
        <f>_xlfn.COMPOUNDVALUE(243)</f>
        <v>2229</v>
      </c>
      <c r="G81" s="132">
        <v>1293727</v>
      </c>
      <c r="H81" s="131">
        <f>_xlfn.COMPOUNDVALUE(244)</f>
        <v>84</v>
      </c>
      <c r="I81" s="133">
        <v>123136</v>
      </c>
      <c r="J81" s="131">
        <v>206</v>
      </c>
      <c r="K81" s="133">
        <v>34173</v>
      </c>
      <c r="L81" s="131">
        <v>2414</v>
      </c>
      <c r="M81" s="133">
        <v>1204764</v>
      </c>
      <c r="N81" s="77" t="s">
        <v>103</v>
      </c>
    </row>
    <row r="82" spans="1:14" s="93" customFormat="1" ht="15.75" customHeight="1">
      <c r="A82" s="78" t="s">
        <v>104</v>
      </c>
      <c r="B82" s="131">
        <f>_xlfn.COMPOUNDVALUE(245)</f>
        <v>1734</v>
      </c>
      <c r="C82" s="132">
        <v>1122267</v>
      </c>
      <c r="D82" s="131">
        <f>_xlfn.COMPOUNDVALUE(246)</f>
        <v>2984</v>
      </c>
      <c r="E82" s="132">
        <v>1387433</v>
      </c>
      <c r="F82" s="131">
        <f>_xlfn.COMPOUNDVALUE(247)</f>
        <v>4718</v>
      </c>
      <c r="G82" s="132">
        <v>2509700</v>
      </c>
      <c r="H82" s="131">
        <f>_xlfn.COMPOUNDVALUE(248)</f>
        <v>116</v>
      </c>
      <c r="I82" s="133">
        <v>155392</v>
      </c>
      <c r="J82" s="131">
        <v>406</v>
      </c>
      <c r="K82" s="133">
        <v>57279</v>
      </c>
      <c r="L82" s="131">
        <v>5009</v>
      </c>
      <c r="M82" s="133">
        <v>2411587</v>
      </c>
      <c r="N82" s="77" t="s">
        <v>104</v>
      </c>
    </row>
    <row r="83" spans="1:14" s="93" customFormat="1" ht="15.75" customHeight="1">
      <c r="A83" s="161" t="s">
        <v>105</v>
      </c>
      <c r="B83" s="162">
        <v>10536</v>
      </c>
      <c r="C83" s="163">
        <v>7794023</v>
      </c>
      <c r="D83" s="162">
        <v>18391</v>
      </c>
      <c r="E83" s="163">
        <v>9089655</v>
      </c>
      <c r="F83" s="162">
        <v>28927</v>
      </c>
      <c r="G83" s="163">
        <v>16883678</v>
      </c>
      <c r="H83" s="162">
        <v>806</v>
      </c>
      <c r="I83" s="164">
        <v>896377</v>
      </c>
      <c r="J83" s="162">
        <v>2683</v>
      </c>
      <c r="K83" s="164">
        <v>432342</v>
      </c>
      <c r="L83" s="162">
        <v>31052</v>
      </c>
      <c r="M83" s="164">
        <v>16419644</v>
      </c>
      <c r="N83" s="165" t="s">
        <v>106</v>
      </c>
    </row>
    <row r="84" spans="1:14" s="93" customFormat="1" ht="15.75" customHeight="1">
      <c r="A84" s="176"/>
      <c r="B84" s="177"/>
      <c r="C84" s="178"/>
      <c r="D84" s="177"/>
      <c r="E84" s="178"/>
      <c r="F84" s="177"/>
      <c r="G84" s="178"/>
      <c r="H84" s="177"/>
      <c r="I84" s="179"/>
      <c r="J84" s="177"/>
      <c r="K84" s="179"/>
      <c r="L84" s="177"/>
      <c r="M84" s="179"/>
      <c r="N84" s="180" t="s">
        <v>38</v>
      </c>
    </row>
    <row r="85" spans="1:14" s="93" customFormat="1" ht="15.75" customHeight="1">
      <c r="A85" s="171" t="s">
        <v>144</v>
      </c>
      <c r="B85" s="172">
        <v>50767</v>
      </c>
      <c r="C85" s="173">
        <v>53167128</v>
      </c>
      <c r="D85" s="172">
        <v>77496</v>
      </c>
      <c r="E85" s="173">
        <v>41817070</v>
      </c>
      <c r="F85" s="172">
        <v>128263</v>
      </c>
      <c r="G85" s="173">
        <v>94984198</v>
      </c>
      <c r="H85" s="172">
        <v>4493</v>
      </c>
      <c r="I85" s="174">
        <v>7041160</v>
      </c>
      <c r="J85" s="172">
        <v>11195</v>
      </c>
      <c r="K85" s="174">
        <v>2205920</v>
      </c>
      <c r="L85" s="172">
        <v>137850</v>
      </c>
      <c r="M85" s="174">
        <v>90148958</v>
      </c>
      <c r="N85" s="175" t="s">
        <v>108</v>
      </c>
    </row>
    <row r="86" spans="1:14" s="93" customFormat="1" ht="15.75" customHeight="1">
      <c r="A86" s="166"/>
      <c r="B86" s="167"/>
      <c r="C86" s="168"/>
      <c r="D86" s="167"/>
      <c r="E86" s="168"/>
      <c r="F86" s="169"/>
      <c r="G86" s="168"/>
      <c r="H86" s="169"/>
      <c r="I86" s="168"/>
      <c r="J86" s="169"/>
      <c r="K86" s="168"/>
      <c r="L86" s="169"/>
      <c r="M86" s="168"/>
      <c r="N86" s="170"/>
    </row>
    <row r="87" spans="1:14" s="93" customFormat="1" ht="15.75" customHeight="1">
      <c r="A87" s="76" t="s">
        <v>109</v>
      </c>
      <c r="B87" s="126">
        <f>_xlfn.COMPOUNDVALUE(249)</f>
        <v>655</v>
      </c>
      <c r="C87" s="127">
        <v>339145</v>
      </c>
      <c r="D87" s="126">
        <f>_xlfn.COMPOUNDVALUE(250)</f>
        <v>996</v>
      </c>
      <c r="E87" s="127">
        <v>425678</v>
      </c>
      <c r="F87" s="126">
        <f>_xlfn.COMPOUNDVALUE(251)</f>
        <v>1651</v>
      </c>
      <c r="G87" s="127">
        <v>764823</v>
      </c>
      <c r="H87" s="126">
        <f>_xlfn.COMPOUNDVALUE(252)</f>
        <v>47</v>
      </c>
      <c r="I87" s="128">
        <v>125087</v>
      </c>
      <c r="J87" s="126">
        <v>139</v>
      </c>
      <c r="K87" s="128">
        <v>20343</v>
      </c>
      <c r="L87" s="126">
        <v>1781</v>
      </c>
      <c r="M87" s="128">
        <v>660079</v>
      </c>
      <c r="N87" s="86" t="s">
        <v>109</v>
      </c>
    </row>
    <row r="88" spans="1:14" s="93" customFormat="1" ht="15.75" customHeight="1">
      <c r="A88" s="76" t="s">
        <v>110</v>
      </c>
      <c r="B88" s="126">
        <f>_xlfn.COMPOUNDVALUE(253)</f>
        <v>1028</v>
      </c>
      <c r="C88" s="127">
        <v>1060381</v>
      </c>
      <c r="D88" s="126">
        <f>_xlfn.COMPOUNDVALUE(254)</f>
        <v>1431</v>
      </c>
      <c r="E88" s="127">
        <v>845479</v>
      </c>
      <c r="F88" s="126">
        <f>_xlfn.COMPOUNDVALUE(255)</f>
        <v>2459</v>
      </c>
      <c r="G88" s="127">
        <v>1905860</v>
      </c>
      <c r="H88" s="126">
        <f>_xlfn.COMPOUNDVALUE(256)</f>
        <v>169</v>
      </c>
      <c r="I88" s="128">
        <v>169623</v>
      </c>
      <c r="J88" s="126">
        <v>254</v>
      </c>
      <c r="K88" s="128">
        <v>66858</v>
      </c>
      <c r="L88" s="126">
        <v>2759</v>
      </c>
      <c r="M88" s="128">
        <v>1803095</v>
      </c>
      <c r="N88" s="86" t="s">
        <v>110</v>
      </c>
    </row>
    <row r="89" spans="1:14" s="93" customFormat="1" ht="15.75" customHeight="1">
      <c r="A89" s="76" t="s">
        <v>111</v>
      </c>
      <c r="B89" s="126">
        <f>_xlfn.COMPOUNDVALUE(257)</f>
        <v>1120</v>
      </c>
      <c r="C89" s="127">
        <v>699813</v>
      </c>
      <c r="D89" s="126">
        <f>_xlfn.COMPOUNDVALUE(258)</f>
        <v>1961</v>
      </c>
      <c r="E89" s="127">
        <v>881080</v>
      </c>
      <c r="F89" s="126">
        <f>_xlfn.COMPOUNDVALUE(259)</f>
        <v>3081</v>
      </c>
      <c r="G89" s="127">
        <v>1580893</v>
      </c>
      <c r="H89" s="126">
        <f>_xlfn.COMPOUNDVALUE(260)</f>
        <v>81</v>
      </c>
      <c r="I89" s="128">
        <v>68582</v>
      </c>
      <c r="J89" s="126">
        <v>360</v>
      </c>
      <c r="K89" s="128">
        <v>60584</v>
      </c>
      <c r="L89" s="126">
        <v>3352</v>
      </c>
      <c r="M89" s="128">
        <v>1572895</v>
      </c>
      <c r="N89" s="86" t="s">
        <v>111</v>
      </c>
    </row>
    <row r="90" spans="1:14" s="93" customFormat="1" ht="15.75" customHeight="1">
      <c r="A90" s="76" t="s">
        <v>112</v>
      </c>
      <c r="B90" s="126">
        <f>_xlfn.COMPOUNDVALUE(261)</f>
        <v>1463</v>
      </c>
      <c r="C90" s="127">
        <v>1031406</v>
      </c>
      <c r="D90" s="126">
        <f>_xlfn.COMPOUNDVALUE(262)</f>
        <v>2327</v>
      </c>
      <c r="E90" s="127">
        <v>1128746</v>
      </c>
      <c r="F90" s="126">
        <f>_xlfn.COMPOUNDVALUE(263)</f>
        <v>3790</v>
      </c>
      <c r="G90" s="127">
        <v>2160152</v>
      </c>
      <c r="H90" s="126">
        <f>_xlfn.COMPOUNDVALUE(264)</f>
        <v>144</v>
      </c>
      <c r="I90" s="128">
        <v>146465</v>
      </c>
      <c r="J90" s="126">
        <v>352</v>
      </c>
      <c r="K90" s="128">
        <v>52264</v>
      </c>
      <c r="L90" s="126">
        <v>4108</v>
      </c>
      <c r="M90" s="128">
        <v>2065951</v>
      </c>
      <c r="N90" s="86" t="s">
        <v>112</v>
      </c>
    </row>
    <row r="91" spans="1:14" s="93" customFormat="1" ht="15.75" customHeight="1">
      <c r="A91" s="76" t="s">
        <v>113</v>
      </c>
      <c r="B91" s="126">
        <f>_xlfn.COMPOUNDVALUE(265)</f>
        <v>1325</v>
      </c>
      <c r="C91" s="127">
        <v>1231101</v>
      </c>
      <c r="D91" s="126">
        <f>_xlfn.COMPOUNDVALUE(266)</f>
        <v>2275</v>
      </c>
      <c r="E91" s="127">
        <v>1211007</v>
      </c>
      <c r="F91" s="126">
        <f>_xlfn.COMPOUNDVALUE(267)</f>
        <v>3600</v>
      </c>
      <c r="G91" s="127">
        <v>2442108</v>
      </c>
      <c r="H91" s="126">
        <f>_xlfn.COMPOUNDVALUE(268)</f>
        <v>181</v>
      </c>
      <c r="I91" s="128">
        <v>234857</v>
      </c>
      <c r="J91" s="126">
        <v>312</v>
      </c>
      <c r="K91" s="128">
        <v>61988</v>
      </c>
      <c r="L91" s="126">
        <v>3952</v>
      </c>
      <c r="M91" s="128">
        <v>2269238</v>
      </c>
      <c r="N91" s="86" t="s">
        <v>113</v>
      </c>
    </row>
    <row r="92" spans="1:14" s="93" customFormat="1" ht="15.75" customHeight="1">
      <c r="A92" s="76"/>
      <c r="B92" s="126"/>
      <c r="C92" s="127"/>
      <c r="D92" s="126"/>
      <c r="E92" s="127"/>
      <c r="F92" s="126"/>
      <c r="G92" s="127"/>
      <c r="H92" s="126"/>
      <c r="I92" s="128"/>
      <c r="J92" s="126"/>
      <c r="K92" s="128"/>
      <c r="L92" s="126"/>
      <c r="M92" s="128"/>
      <c r="N92" s="86" t="s">
        <v>38</v>
      </c>
    </row>
    <row r="93" spans="1:14" s="93" customFormat="1" ht="15.75" customHeight="1">
      <c r="A93" s="76" t="s">
        <v>114</v>
      </c>
      <c r="B93" s="126">
        <f>_xlfn.COMPOUNDVALUE(269)</f>
        <v>967</v>
      </c>
      <c r="C93" s="127">
        <v>739048</v>
      </c>
      <c r="D93" s="126">
        <f>_xlfn.COMPOUNDVALUE(270)</f>
        <v>1827</v>
      </c>
      <c r="E93" s="127">
        <v>913042</v>
      </c>
      <c r="F93" s="126">
        <f>_xlfn.COMPOUNDVALUE(271)</f>
        <v>2794</v>
      </c>
      <c r="G93" s="127">
        <v>1652090</v>
      </c>
      <c r="H93" s="126">
        <f>_xlfn.COMPOUNDVALUE(272)</f>
        <v>95</v>
      </c>
      <c r="I93" s="128">
        <v>188801</v>
      </c>
      <c r="J93" s="126">
        <v>320</v>
      </c>
      <c r="K93" s="128">
        <v>40778</v>
      </c>
      <c r="L93" s="126">
        <v>3022</v>
      </c>
      <c r="M93" s="128">
        <v>1504066</v>
      </c>
      <c r="N93" s="86" t="s">
        <v>114</v>
      </c>
    </row>
    <row r="94" spans="1:14" s="93" customFormat="1" ht="15.75" customHeight="1">
      <c r="A94" s="76" t="s">
        <v>168</v>
      </c>
      <c r="B94" s="126">
        <f>_xlfn.COMPOUNDVALUE(273)</f>
        <v>1709</v>
      </c>
      <c r="C94" s="127">
        <v>1952176</v>
      </c>
      <c r="D94" s="126">
        <f>_xlfn.COMPOUNDVALUE(274)</f>
        <v>3094</v>
      </c>
      <c r="E94" s="127">
        <v>1686948</v>
      </c>
      <c r="F94" s="126">
        <f>_xlfn.COMPOUNDVALUE(275)</f>
        <v>4803</v>
      </c>
      <c r="G94" s="127">
        <v>3639124</v>
      </c>
      <c r="H94" s="126">
        <f>_xlfn.COMPOUNDVALUE(276)</f>
        <v>173</v>
      </c>
      <c r="I94" s="128">
        <v>203645</v>
      </c>
      <c r="J94" s="126">
        <v>381</v>
      </c>
      <c r="K94" s="128">
        <v>88479</v>
      </c>
      <c r="L94" s="126">
        <v>5158</v>
      </c>
      <c r="M94" s="128">
        <v>3523958</v>
      </c>
      <c r="N94" s="86" t="s">
        <v>115</v>
      </c>
    </row>
    <row r="95" spans="1:14" s="93" customFormat="1" ht="15.75" customHeight="1">
      <c r="A95" s="76" t="s">
        <v>116</v>
      </c>
      <c r="B95" s="126">
        <f>_xlfn.COMPOUNDVALUE(277)</f>
        <v>984</v>
      </c>
      <c r="C95" s="127">
        <v>541316</v>
      </c>
      <c r="D95" s="126">
        <f>_xlfn.COMPOUNDVALUE(278)</f>
        <v>1375</v>
      </c>
      <c r="E95" s="127">
        <v>642740</v>
      </c>
      <c r="F95" s="126">
        <f>_xlfn.COMPOUNDVALUE(279)</f>
        <v>2359</v>
      </c>
      <c r="G95" s="127">
        <v>1184056</v>
      </c>
      <c r="H95" s="126">
        <f>_xlfn.COMPOUNDVALUE(280)</f>
        <v>92</v>
      </c>
      <c r="I95" s="128">
        <v>122075</v>
      </c>
      <c r="J95" s="126">
        <v>239</v>
      </c>
      <c r="K95" s="128">
        <v>44615</v>
      </c>
      <c r="L95" s="126">
        <v>2616</v>
      </c>
      <c r="M95" s="128">
        <v>1106596</v>
      </c>
      <c r="N95" s="86" t="s">
        <v>116</v>
      </c>
    </row>
    <row r="96" spans="1:14" s="93" customFormat="1" ht="15.75" customHeight="1">
      <c r="A96" s="76" t="s">
        <v>117</v>
      </c>
      <c r="B96" s="126">
        <f>_xlfn.COMPOUNDVALUE(281)</f>
        <v>1608</v>
      </c>
      <c r="C96" s="127">
        <v>1185819</v>
      </c>
      <c r="D96" s="126">
        <f>_xlfn.COMPOUNDVALUE(282)</f>
        <v>2712</v>
      </c>
      <c r="E96" s="127">
        <v>1416586</v>
      </c>
      <c r="F96" s="126">
        <f>_xlfn.COMPOUNDVALUE(283)</f>
        <v>4320</v>
      </c>
      <c r="G96" s="127">
        <v>2602405</v>
      </c>
      <c r="H96" s="126">
        <f>_xlfn.COMPOUNDVALUE(284)</f>
        <v>159</v>
      </c>
      <c r="I96" s="128">
        <v>254390</v>
      </c>
      <c r="J96" s="126">
        <v>279</v>
      </c>
      <c r="K96" s="128">
        <v>51380</v>
      </c>
      <c r="L96" s="126">
        <v>4637</v>
      </c>
      <c r="M96" s="128">
        <v>2399395</v>
      </c>
      <c r="N96" s="86" t="s">
        <v>117</v>
      </c>
    </row>
    <row r="97" spans="1:14" s="93" customFormat="1" ht="15.75" customHeight="1">
      <c r="A97" s="76" t="s">
        <v>118</v>
      </c>
      <c r="B97" s="126">
        <f>_xlfn.COMPOUNDVALUE(285)</f>
        <v>901</v>
      </c>
      <c r="C97" s="127">
        <v>673529</v>
      </c>
      <c r="D97" s="126">
        <f>_xlfn.COMPOUNDVALUE(286)</f>
        <v>1422</v>
      </c>
      <c r="E97" s="127">
        <v>701156</v>
      </c>
      <c r="F97" s="126">
        <f>_xlfn.COMPOUNDVALUE(287)</f>
        <v>2323</v>
      </c>
      <c r="G97" s="127">
        <v>1374685</v>
      </c>
      <c r="H97" s="126">
        <f>_xlfn.COMPOUNDVALUE(288)</f>
        <v>96</v>
      </c>
      <c r="I97" s="128">
        <v>81533</v>
      </c>
      <c r="J97" s="126">
        <v>163</v>
      </c>
      <c r="K97" s="128">
        <v>55024</v>
      </c>
      <c r="L97" s="126">
        <v>2508</v>
      </c>
      <c r="M97" s="128">
        <v>1348175</v>
      </c>
      <c r="N97" s="86" t="s">
        <v>118</v>
      </c>
    </row>
    <row r="98" spans="1:14" s="93" customFormat="1" ht="15.75" customHeight="1">
      <c r="A98" s="76"/>
      <c r="B98" s="126"/>
      <c r="C98" s="127"/>
      <c r="D98" s="126"/>
      <c r="E98" s="127"/>
      <c r="F98" s="126"/>
      <c r="G98" s="127"/>
      <c r="H98" s="126"/>
      <c r="I98" s="128"/>
      <c r="J98" s="126"/>
      <c r="K98" s="128"/>
      <c r="L98" s="126"/>
      <c r="M98" s="128"/>
      <c r="N98" s="86" t="s">
        <v>38</v>
      </c>
    </row>
    <row r="99" spans="1:14" s="93" customFormat="1" ht="15.75" customHeight="1">
      <c r="A99" s="76" t="s">
        <v>119</v>
      </c>
      <c r="B99" s="126">
        <f>_xlfn.COMPOUNDVALUE(289)</f>
        <v>937</v>
      </c>
      <c r="C99" s="127">
        <v>539218</v>
      </c>
      <c r="D99" s="126">
        <f>_xlfn.COMPOUNDVALUE(290)</f>
        <v>2261</v>
      </c>
      <c r="E99" s="127">
        <v>945931</v>
      </c>
      <c r="F99" s="126">
        <f>_xlfn.COMPOUNDVALUE(291)</f>
        <v>3198</v>
      </c>
      <c r="G99" s="127">
        <v>1485149</v>
      </c>
      <c r="H99" s="126">
        <f>_xlfn.COMPOUNDVALUE(292)</f>
        <v>55</v>
      </c>
      <c r="I99" s="128">
        <v>74579</v>
      </c>
      <c r="J99" s="126">
        <v>243</v>
      </c>
      <c r="K99" s="128">
        <v>59642</v>
      </c>
      <c r="L99" s="126">
        <v>3380</v>
      </c>
      <c r="M99" s="128">
        <v>1470213</v>
      </c>
      <c r="N99" s="86" t="s">
        <v>119</v>
      </c>
    </row>
    <row r="100" spans="1:14" s="93" customFormat="1" ht="15.75" customHeight="1">
      <c r="A100" s="76" t="s">
        <v>120</v>
      </c>
      <c r="B100" s="126">
        <f>_xlfn.COMPOUNDVALUE(293)</f>
        <v>1124</v>
      </c>
      <c r="C100" s="127">
        <v>649815</v>
      </c>
      <c r="D100" s="126">
        <f>_xlfn.COMPOUNDVALUE(294)</f>
        <v>2181</v>
      </c>
      <c r="E100" s="127">
        <v>935911</v>
      </c>
      <c r="F100" s="126">
        <f>_xlfn.COMPOUNDVALUE(295)</f>
        <v>3305</v>
      </c>
      <c r="G100" s="127">
        <v>1585725</v>
      </c>
      <c r="H100" s="126">
        <f>_xlfn.COMPOUNDVALUE(296)</f>
        <v>70</v>
      </c>
      <c r="I100" s="128">
        <v>96102</v>
      </c>
      <c r="J100" s="126">
        <v>268</v>
      </c>
      <c r="K100" s="128">
        <v>45594</v>
      </c>
      <c r="L100" s="126">
        <v>3523</v>
      </c>
      <c r="M100" s="128">
        <v>1535216</v>
      </c>
      <c r="N100" s="86" t="s">
        <v>120</v>
      </c>
    </row>
    <row r="101" spans="1:14" s="93" customFormat="1" ht="15.75" customHeight="1">
      <c r="A101" s="78" t="s">
        <v>121</v>
      </c>
      <c r="B101" s="131">
        <f>_xlfn.COMPOUNDVALUE(297)</f>
        <v>762</v>
      </c>
      <c r="C101" s="132">
        <v>572020</v>
      </c>
      <c r="D101" s="131">
        <f>_xlfn.COMPOUNDVALUE(298)</f>
        <v>1383</v>
      </c>
      <c r="E101" s="132">
        <v>687527</v>
      </c>
      <c r="F101" s="131">
        <f>_xlfn.COMPOUNDVALUE(299)</f>
        <v>2145</v>
      </c>
      <c r="G101" s="132">
        <v>1259547</v>
      </c>
      <c r="H101" s="131">
        <f>_xlfn.COMPOUNDVALUE(300)</f>
        <v>97</v>
      </c>
      <c r="I101" s="133">
        <v>54058</v>
      </c>
      <c r="J101" s="131">
        <v>206</v>
      </c>
      <c r="K101" s="133">
        <v>24745</v>
      </c>
      <c r="L101" s="131">
        <v>2327</v>
      </c>
      <c r="M101" s="133">
        <v>1230235</v>
      </c>
      <c r="N101" s="77" t="s">
        <v>121</v>
      </c>
    </row>
    <row r="102" spans="1:14" s="93" customFormat="1" ht="15.75" customHeight="1">
      <c r="A102" s="78" t="s">
        <v>122</v>
      </c>
      <c r="B102" s="131">
        <f>_xlfn.COMPOUNDVALUE(301)</f>
        <v>1694</v>
      </c>
      <c r="C102" s="132">
        <v>1389949</v>
      </c>
      <c r="D102" s="131">
        <f>_xlfn.COMPOUNDVALUE(302)</f>
        <v>2972</v>
      </c>
      <c r="E102" s="132">
        <v>1457920</v>
      </c>
      <c r="F102" s="131">
        <f>_xlfn.COMPOUNDVALUE(303)</f>
        <v>4666</v>
      </c>
      <c r="G102" s="132">
        <v>2847869</v>
      </c>
      <c r="H102" s="131">
        <f>_xlfn.COMPOUNDVALUE(304)</f>
        <v>134</v>
      </c>
      <c r="I102" s="133">
        <v>184468</v>
      </c>
      <c r="J102" s="131">
        <v>422</v>
      </c>
      <c r="K102" s="133">
        <v>79304</v>
      </c>
      <c r="L102" s="131">
        <v>4995</v>
      </c>
      <c r="M102" s="133">
        <v>2742704</v>
      </c>
      <c r="N102" s="77" t="s">
        <v>122</v>
      </c>
    </row>
    <row r="103" spans="1:14" s="93" customFormat="1" ht="15.75" customHeight="1">
      <c r="A103" s="78" t="s">
        <v>123</v>
      </c>
      <c r="B103" s="131">
        <f>_xlfn.COMPOUNDVALUE(305)</f>
        <v>938</v>
      </c>
      <c r="C103" s="132">
        <v>484973</v>
      </c>
      <c r="D103" s="131">
        <f>_xlfn.COMPOUNDVALUE(306)</f>
        <v>1562</v>
      </c>
      <c r="E103" s="132">
        <v>659998</v>
      </c>
      <c r="F103" s="131">
        <f>_xlfn.COMPOUNDVALUE(307)</f>
        <v>2500</v>
      </c>
      <c r="G103" s="132">
        <v>1144971</v>
      </c>
      <c r="H103" s="131">
        <f>_xlfn.COMPOUNDVALUE(308)</f>
        <v>71</v>
      </c>
      <c r="I103" s="133">
        <v>130738</v>
      </c>
      <c r="J103" s="131">
        <v>139</v>
      </c>
      <c r="K103" s="133">
        <v>23557</v>
      </c>
      <c r="L103" s="131">
        <v>2637</v>
      </c>
      <c r="M103" s="133">
        <v>1037789</v>
      </c>
      <c r="N103" s="77" t="s">
        <v>123</v>
      </c>
    </row>
    <row r="104" spans="1:14" s="93" customFormat="1" ht="15.75" customHeight="1">
      <c r="A104" s="78"/>
      <c r="B104" s="131"/>
      <c r="C104" s="132"/>
      <c r="D104" s="131"/>
      <c r="E104" s="132"/>
      <c r="F104" s="131"/>
      <c r="G104" s="132"/>
      <c r="H104" s="131"/>
      <c r="I104" s="133"/>
      <c r="J104" s="131"/>
      <c r="K104" s="133"/>
      <c r="L104" s="131"/>
      <c r="M104" s="133"/>
      <c r="N104" s="77" t="s">
        <v>38</v>
      </c>
    </row>
    <row r="105" spans="1:14" s="93" customFormat="1" ht="15.75" customHeight="1">
      <c r="A105" s="78" t="s">
        <v>124</v>
      </c>
      <c r="B105" s="131">
        <f>_xlfn.COMPOUNDVALUE(309)</f>
        <v>1525</v>
      </c>
      <c r="C105" s="132">
        <v>1057444</v>
      </c>
      <c r="D105" s="131">
        <f>_xlfn.COMPOUNDVALUE(310)</f>
        <v>2605</v>
      </c>
      <c r="E105" s="132">
        <v>1230193</v>
      </c>
      <c r="F105" s="131">
        <f>_xlfn.COMPOUNDVALUE(311)</f>
        <v>4130</v>
      </c>
      <c r="G105" s="132">
        <v>2287637</v>
      </c>
      <c r="H105" s="131">
        <f>_xlfn.COMPOUNDVALUE(312)</f>
        <v>121</v>
      </c>
      <c r="I105" s="133">
        <v>200043</v>
      </c>
      <c r="J105" s="131">
        <v>311</v>
      </c>
      <c r="K105" s="133">
        <v>85591</v>
      </c>
      <c r="L105" s="131">
        <v>4464</v>
      </c>
      <c r="M105" s="133">
        <v>2173185</v>
      </c>
      <c r="N105" s="77" t="s">
        <v>124</v>
      </c>
    </row>
    <row r="106" spans="1:14" s="93" customFormat="1" ht="15.75" customHeight="1">
      <c r="A106" s="78" t="s">
        <v>125</v>
      </c>
      <c r="B106" s="131">
        <f>_xlfn.COMPOUNDVALUE(313)</f>
        <v>677</v>
      </c>
      <c r="C106" s="132">
        <v>437866</v>
      </c>
      <c r="D106" s="131">
        <f>_xlfn.COMPOUNDVALUE(314)</f>
        <v>1196</v>
      </c>
      <c r="E106" s="132">
        <v>559157</v>
      </c>
      <c r="F106" s="131">
        <f>_xlfn.COMPOUNDVALUE(315)</f>
        <v>1873</v>
      </c>
      <c r="G106" s="132">
        <v>997023</v>
      </c>
      <c r="H106" s="131">
        <f>_xlfn.COMPOUNDVALUE(316)</f>
        <v>44</v>
      </c>
      <c r="I106" s="133">
        <v>28711</v>
      </c>
      <c r="J106" s="131">
        <v>172</v>
      </c>
      <c r="K106" s="133">
        <v>37787</v>
      </c>
      <c r="L106" s="131">
        <v>2015</v>
      </c>
      <c r="M106" s="133">
        <v>1006099</v>
      </c>
      <c r="N106" s="77" t="s">
        <v>125</v>
      </c>
    </row>
    <row r="107" spans="1:14" s="93" customFormat="1" ht="15.75" customHeight="1">
      <c r="A107" s="78" t="s">
        <v>126</v>
      </c>
      <c r="B107" s="131">
        <f>_xlfn.COMPOUNDVALUE(317)</f>
        <v>1175</v>
      </c>
      <c r="C107" s="132">
        <v>687237</v>
      </c>
      <c r="D107" s="131">
        <f>_xlfn.COMPOUNDVALUE(318)</f>
        <v>2169</v>
      </c>
      <c r="E107" s="132">
        <v>1027136</v>
      </c>
      <c r="F107" s="131">
        <f>_xlfn.COMPOUNDVALUE(319)</f>
        <v>3344</v>
      </c>
      <c r="G107" s="132">
        <v>1714373</v>
      </c>
      <c r="H107" s="131">
        <f>_xlfn.COMPOUNDVALUE(320)</f>
        <v>92</v>
      </c>
      <c r="I107" s="133">
        <v>153173</v>
      </c>
      <c r="J107" s="131">
        <v>325</v>
      </c>
      <c r="K107" s="133">
        <v>56242</v>
      </c>
      <c r="L107" s="131">
        <v>3592</v>
      </c>
      <c r="M107" s="133">
        <v>1617442</v>
      </c>
      <c r="N107" s="77" t="s">
        <v>126</v>
      </c>
    </row>
    <row r="108" spans="1:14" s="93" customFormat="1" ht="15.75" customHeight="1">
      <c r="A108" s="161" t="s">
        <v>145</v>
      </c>
      <c r="B108" s="162">
        <v>20592</v>
      </c>
      <c r="C108" s="163">
        <v>15272255</v>
      </c>
      <c r="D108" s="162">
        <v>35749</v>
      </c>
      <c r="E108" s="163">
        <v>17356234</v>
      </c>
      <c r="F108" s="162">
        <v>56341</v>
      </c>
      <c r="G108" s="163">
        <v>32628489</v>
      </c>
      <c r="H108" s="162">
        <v>1921</v>
      </c>
      <c r="I108" s="164">
        <v>2516931</v>
      </c>
      <c r="J108" s="162">
        <v>4885</v>
      </c>
      <c r="K108" s="164">
        <v>954773</v>
      </c>
      <c r="L108" s="162">
        <v>60826</v>
      </c>
      <c r="M108" s="164">
        <v>31066331</v>
      </c>
      <c r="N108" s="165" t="s">
        <v>128</v>
      </c>
    </row>
    <row r="109" spans="1:14" s="93" customFormat="1" ht="15.75" customHeight="1">
      <c r="A109" s="166"/>
      <c r="B109" s="167"/>
      <c r="C109" s="168"/>
      <c r="D109" s="167"/>
      <c r="E109" s="168"/>
      <c r="F109" s="169"/>
      <c r="G109" s="168"/>
      <c r="H109" s="169"/>
      <c r="I109" s="168"/>
      <c r="J109" s="169"/>
      <c r="K109" s="168"/>
      <c r="L109" s="169"/>
      <c r="M109" s="168"/>
      <c r="N109" s="170"/>
    </row>
    <row r="110" spans="1:14" s="93" customFormat="1" ht="15.75" customHeight="1">
      <c r="A110" s="76" t="s">
        <v>129</v>
      </c>
      <c r="B110" s="126">
        <f>_xlfn.COMPOUNDVALUE(321)</f>
        <v>2001</v>
      </c>
      <c r="C110" s="127">
        <v>1294064</v>
      </c>
      <c r="D110" s="126">
        <f>_xlfn.COMPOUNDVALUE(322)</f>
        <v>2893</v>
      </c>
      <c r="E110" s="127">
        <v>1189931</v>
      </c>
      <c r="F110" s="126">
        <f>_xlfn.COMPOUNDVALUE(323)</f>
        <v>4894</v>
      </c>
      <c r="G110" s="127">
        <v>2483995</v>
      </c>
      <c r="H110" s="126">
        <f>_xlfn.COMPOUNDVALUE(324)</f>
        <v>127</v>
      </c>
      <c r="I110" s="128">
        <v>92317</v>
      </c>
      <c r="J110" s="126">
        <v>345</v>
      </c>
      <c r="K110" s="128">
        <v>74648</v>
      </c>
      <c r="L110" s="126">
        <v>5196</v>
      </c>
      <c r="M110" s="128">
        <v>2466326</v>
      </c>
      <c r="N110" s="86" t="s">
        <v>129</v>
      </c>
    </row>
    <row r="111" spans="1:14" s="93" customFormat="1" ht="15.75" customHeight="1">
      <c r="A111" s="78" t="s">
        <v>130</v>
      </c>
      <c r="B111" s="131">
        <f>_xlfn.COMPOUNDVALUE(325)</f>
        <v>615</v>
      </c>
      <c r="C111" s="132">
        <v>359746</v>
      </c>
      <c r="D111" s="131">
        <f>_xlfn.COMPOUNDVALUE(326)</f>
        <v>1272</v>
      </c>
      <c r="E111" s="132">
        <v>440881</v>
      </c>
      <c r="F111" s="131">
        <f>_xlfn.COMPOUNDVALUE(327)</f>
        <v>1887</v>
      </c>
      <c r="G111" s="132">
        <v>800627</v>
      </c>
      <c r="H111" s="131">
        <f>_xlfn.COMPOUNDVALUE(328)</f>
        <v>17</v>
      </c>
      <c r="I111" s="133">
        <v>10359</v>
      </c>
      <c r="J111" s="131">
        <v>159</v>
      </c>
      <c r="K111" s="133">
        <v>20658</v>
      </c>
      <c r="L111" s="131">
        <v>1986</v>
      </c>
      <c r="M111" s="133">
        <v>810926</v>
      </c>
      <c r="N111" s="77" t="s">
        <v>130</v>
      </c>
    </row>
    <row r="112" spans="1:14" s="93" customFormat="1" ht="15.75" customHeight="1">
      <c r="A112" s="78" t="s">
        <v>131</v>
      </c>
      <c r="B112" s="131">
        <f>_xlfn.COMPOUNDVALUE(329)</f>
        <v>1008</v>
      </c>
      <c r="C112" s="132">
        <v>615524</v>
      </c>
      <c r="D112" s="131">
        <f>_xlfn.COMPOUNDVALUE(330)</f>
        <v>1315</v>
      </c>
      <c r="E112" s="132">
        <v>541443</v>
      </c>
      <c r="F112" s="131">
        <f>_xlfn.COMPOUNDVALUE(331)</f>
        <v>2323</v>
      </c>
      <c r="G112" s="132">
        <v>1156967</v>
      </c>
      <c r="H112" s="131">
        <f>_xlfn.COMPOUNDVALUE(332)</f>
        <v>47</v>
      </c>
      <c r="I112" s="133">
        <v>30946</v>
      </c>
      <c r="J112" s="131">
        <v>204</v>
      </c>
      <c r="K112" s="133">
        <v>25592</v>
      </c>
      <c r="L112" s="131">
        <v>2446</v>
      </c>
      <c r="M112" s="133">
        <v>1151612</v>
      </c>
      <c r="N112" s="77" t="s">
        <v>131</v>
      </c>
    </row>
    <row r="113" spans="1:14" s="93" customFormat="1" ht="15.75" customHeight="1">
      <c r="A113" s="78" t="s">
        <v>132</v>
      </c>
      <c r="B113" s="131">
        <f>_xlfn.COMPOUNDVALUE(333)</f>
        <v>184</v>
      </c>
      <c r="C113" s="132">
        <v>129861</v>
      </c>
      <c r="D113" s="131">
        <f>_xlfn.COMPOUNDVALUE(334)</f>
        <v>407</v>
      </c>
      <c r="E113" s="132">
        <v>143764</v>
      </c>
      <c r="F113" s="131">
        <f>_xlfn.COMPOUNDVALUE(335)</f>
        <v>591</v>
      </c>
      <c r="G113" s="132">
        <v>273625</v>
      </c>
      <c r="H113" s="131">
        <f>_xlfn.COMPOUNDVALUE(336)</f>
        <v>9</v>
      </c>
      <c r="I113" s="133">
        <v>4383</v>
      </c>
      <c r="J113" s="131">
        <v>51</v>
      </c>
      <c r="K113" s="133">
        <v>4451</v>
      </c>
      <c r="L113" s="131">
        <v>608</v>
      </c>
      <c r="M113" s="133">
        <v>273692</v>
      </c>
      <c r="N113" s="77" t="s">
        <v>132</v>
      </c>
    </row>
    <row r="114" spans="1:14" s="93" customFormat="1" ht="15.75" customHeight="1">
      <c r="A114" s="79" t="s">
        <v>133</v>
      </c>
      <c r="B114" s="134">
        <v>3808</v>
      </c>
      <c r="C114" s="135">
        <v>2399195</v>
      </c>
      <c r="D114" s="134">
        <v>5887</v>
      </c>
      <c r="E114" s="135">
        <v>2316018</v>
      </c>
      <c r="F114" s="134">
        <v>9695</v>
      </c>
      <c r="G114" s="135">
        <v>4715213</v>
      </c>
      <c r="H114" s="134">
        <v>200</v>
      </c>
      <c r="I114" s="136">
        <v>138006</v>
      </c>
      <c r="J114" s="134">
        <v>759</v>
      </c>
      <c r="K114" s="136">
        <v>125349</v>
      </c>
      <c r="L114" s="134">
        <v>10236</v>
      </c>
      <c r="M114" s="136">
        <v>4702556</v>
      </c>
      <c r="N114" s="84" t="s">
        <v>134</v>
      </c>
    </row>
    <row r="115" spans="1:15" s="93" customFormat="1" ht="15.75" customHeight="1" thickBot="1">
      <c r="A115" s="80"/>
      <c r="B115" s="142"/>
      <c r="C115" s="143"/>
      <c r="D115" s="142"/>
      <c r="E115" s="143"/>
      <c r="F115" s="144"/>
      <c r="G115" s="143"/>
      <c r="H115" s="144"/>
      <c r="I115" s="143"/>
      <c r="J115" s="144"/>
      <c r="K115" s="143"/>
      <c r="L115" s="144"/>
      <c r="M115" s="143"/>
      <c r="N115" s="90"/>
      <c r="O115" s="94"/>
    </row>
    <row r="116" spans="1:14" s="93" customFormat="1" ht="15.75" customHeight="1" thickBot="1" thickTop="1">
      <c r="A116" s="82" t="s">
        <v>146</v>
      </c>
      <c r="B116" s="148">
        <v>90251</v>
      </c>
      <c r="C116" s="149">
        <v>80567479</v>
      </c>
      <c r="D116" s="148">
        <v>145245</v>
      </c>
      <c r="E116" s="149">
        <v>73000403</v>
      </c>
      <c r="F116" s="148">
        <v>235496</v>
      </c>
      <c r="G116" s="149">
        <v>153567882</v>
      </c>
      <c r="H116" s="148">
        <v>7942</v>
      </c>
      <c r="I116" s="150">
        <v>11458490</v>
      </c>
      <c r="J116" s="148">
        <v>20949</v>
      </c>
      <c r="K116" s="150">
        <v>4004888</v>
      </c>
      <c r="L116" s="148">
        <v>253401</v>
      </c>
      <c r="M116" s="150">
        <v>146114280</v>
      </c>
      <c r="N116" s="91" t="s">
        <v>37</v>
      </c>
    </row>
    <row r="117" spans="1:14" ht="13.5">
      <c r="A117" s="244" t="s">
        <v>178</v>
      </c>
      <c r="B117" s="244"/>
      <c r="C117" s="244"/>
      <c r="D117" s="244"/>
      <c r="E117" s="244"/>
      <c r="F117" s="244"/>
      <c r="G117" s="244"/>
      <c r="H117" s="244"/>
      <c r="I117" s="244"/>
      <c r="J117" s="66"/>
      <c r="K117" s="66"/>
      <c r="L117" s="65"/>
      <c r="M117" s="65"/>
      <c r="N117" s="65"/>
    </row>
    <row r="119" spans="2:10" ht="13.5">
      <c r="B119" s="155"/>
      <c r="C119" s="155"/>
      <c r="D119" s="155"/>
      <c r="E119" s="155"/>
      <c r="F119" s="155"/>
      <c r="G119" s="155"/>
      <c r="H119" s="155"/>
      <c r="J119" s="155"/>
    </row>
    <row r="120" spans="2:10" ht="13.5">
      <c r="B120" s="155"/>
      <c r="C120" s="155"/>
      <c r="D120" s="155"/>
      <c r="E120" s="155"/>
      <c r="F120" s="155"/>
      <c r="G120" s="155"/>
      <c r="H120" s="155"/>
      <c r="J120" s="155"/>
    </row>
    <row r="121" spans="2:10" ht="13.5">
      <c r="B121" s="155"/>
      <c r="C121" s="155"/>
      <c r="D121" s="155"/>
      <c r="E121" s="155"/>
      <c r="F121" s="155"/>
      <c r="G121" s="155"/>
      <c r="H121" s="155"/>
      <c r="J121" s="155"/>
    </row>
    <row r="122" spans="2:10" ht="13.5">
      <c r="B122" s="155"/>
      <c r="C122" s="155"/>
      <c r="D122" s="155"/>
      <c r="E122" s="155"/>
      <c r="F122" s="155"/>
      <c r="G122" s="155"/>
      <c r="H122" s="155"/>
      <c r="J122" s="155"/>
    </row>
    <row r="123" spans="2:10" ht="13.5">
      <c r="B123" s="155"/>
      <c r="C123" s="155"/>
      <c r="D123" s="155"/>
      <c r="E123" s="155"/>
      <c r="F123" s="155"/>
      <c r="G123" s="155"/>
      <c r="H123" s="155"/>
      <c r="J123" s="155"/>
    </row>
    <row r="124" spans="2:10" ht="13.5">
      <c r="B124" s="155"/>
      <c r="C124" s="155"/>
      <c r="D124" s="155"/>
      <c r="E124" s="155"/>
      <c r="F124" s="155"/>
      <c r="G124" s="155"/>
      <c r="H124" s="155"/>
      <c r="J124" s="155"/>
    </row>
    <row r="125" spans="2:10" ht="13.5">
      <c r="B125" s="155"/>
      <c r="C125" s="155"/>
      <c r="D125" s="155"/>
      <c r="E125" s="155"/>
      <c r="F125" s="155"/>
      <c r="G125" s="155"/>
      <c r="H125" s="155"/>
      <c r="J125" s="155"/>
    </row>
    <row r="126" spans="2:10" ht="13.5">
      <c r="B126" s="155"/>
      <c r="C126" s="155"/>
      <c r="D126" s="155"/>
      <c r="E126" s="155"/>
      <c r="F126" s="155"/>
      <c r="G126" s="155"/>
      <c r="H126" s="155"/>
      <c r="J126" s="155"/>
    </row>
    <row r="127" spans="2:10" ht="13.5">
      <c r="B127" s="155"/>
      <c r="C127" s="155"/>
      <c r="D127" s="155"/>
      <c r="E127" s="155"/>
      <c r="F127" s="155"/>
      <c r="G127" s="155"/>
      <c r="H127" s="155"/>
      <c r="J127" s="155"/>
    </row>
    <row r="128" spans="2:10" ht="13.5">
      <c r="B128" s="155"/>
      <c r="C128" s="155"/>
      <c r="D128" s="155"/>
      <c r="E128" s="155"/>
      <c r="F128" s="155"/>
      <c r="G128" s="155"/>
      <c r="H128" s="155"/>
      <c r="J128" s="155"/>
    </row>
    <row r="129" spans="2:10" ht="13.5">
      <c r="B129" s="155"/>
      <c r="C129" s="155"/>
      <c r="D129" s="155"/>
      <c r="E129" s="155"/>
      <c r="F129" s="155"/>
      <c r="G129" s="155"/>
      <c r="H129" s="155"/>
      <c r="J129" s="155"/>
    </row>
    <row r="130" spans="2:10" ht="13.5">
      <c r="B130" s="155"/>
      <c r="C130" s="155"/>
      <c r="D130" s="155"/>
      <c r="E130" s="155"/>
      <c r="F130" s="155"/>
      <c r="G130" s="155"/>
      <c r="H130" s="155"/>
      <c r="J130" s="155"/>
    </row>
    <row r="131" spans="2:10" ht="13.5">
      <c r="B131" s="155"/>
      <c r="C131" s="155"/>
      <c r="D131" s="155"/>
      <c r="E131" s="155"/>
      <c r="F131" s="155"/>
      <c r="G131" s="155"/>
      <c r="H131" s="155"/>
      <c r="J131" s="155"/>
    </row>
  </sheetData>
  <sheetProtection/>
  <mergeCells count="11">
    <mergeCell ref="L3:M4"/>
    <mergeCell ref="N3:N5"/>
    <mergeCell ref="B4:C4"/>
    <mergeCell ref="D4:E4"/>
    <mergeCell ref="F4:G4"/>
    <mergeCell ref="A117:I117"/>
    <mergeCell ref="A2:G2"/>
    <mergeCell ref="A3:A5"/>
    <mergeCell ref="B3:G3"/>
    <mergeCell ref="H3:I4"/>
    <mergeCell ref="J3:K4"/>
  </mergeCells>
  <printOptions horizontalCentered="1"/>
  <pageMargins left="0.7874015748031497" right="0.7874015748031497" top="0.8661417322834646" bottom="0.8267716535433072" header="0.5118110236220472" footer="0.3937007874015748"/>
  <pageSetup fitToHeight="3" horizontalDpi="600" verticalDpi="600" orientation="landscape" paperSize="9" scale="71" r:id="rId1"/>
  <headerFooter alignWithMargins="0">
    <oddFooter>&amp;R東京国税局
消費税
(H29)</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workbookViewId="0" topLeftCell="A1">
      <selection activeCell="C1" sqref="C1"/>
    </sheetView>
  </sheetViews>
  <sheetFormatPr defaultColWidth="9.00390625" defaultRowHeight="13.5"/>
  <cols>
    <col min="1" max="1" width="11.12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3" ht="13.5">
      <c r="A1" s="64" t="s">
        <v>185</v>
      </c>
      <c r="B1" s="64"/>
      <c r="C1" s="64"/>
      <c r="D1" s="64"/>
      <c r="E1" s="64"/>
      <c r="F1" s="64"/>
      <c r="G1" s="64"/>
      <c r="H1" s="64"/>
      <c r="I1" s="64"/>
      <c r="J1" s="64"/>
      <c r="K1" s="64"/>
      <c r="L1" s="65"/>
      <c r="M1" s="65"/>
    </row>
    <row r="2" spans="1:13" ht="14.25" thickBot="1">
      <c r="A2" s="254" t="s">
        <v>135</v>
      </c>
      <c r="B2" s="254"/>
      <c r="C2" s="254"/>
      <c r="D2" s="254"/>
      <c r="E2" s="254"/>
      <c r="F2" s="254"/>
      <c r="G2" s="254"/>
      <c r="H2" s="254"/>
      <c r="I2" s="254"/>
      <c r="J2" s="66"/>
      <c r="K2" s="66"/>
      <c r="L2" s="65"/>
      <c r="M2" s="65"/>
    </row>
    <row r="3" spans="1:14" ht="19.5" customHeight="1">
      <c r="A3" s="246" t="s">
        <v>27</v>
      </c>
      <c r="B3" s="249" t="s">
        <v>28</v>
      </c>
      <c r="C3" s="249"/>
      <c r="D3" s="249"/>
      <c r="E3" s="249"/>
      <c r="F3" s="249"/>
      <c r="G3" s="249"/>
      <c r="H3" s="250" t="s">
        <v>13</v>
      </c>
      <c r="I3" s="251"/>
      <c r="J3" s="253" t="s">
        <v>29</v>
      </c>
      <c r="K3" s="251"/>
      <c r="L3" s="250" t="s">
        <v>30</v>
      </c>
      <c r="M3" s="251"/>
      <c r="N3" s="238" t="s">
        <v>31</v>
      </c>
    </row>
    <row r="4" spans="1:14" ht="17.25" customHeight="1">
      <c r="A4" s="247"/>
      <c r="B4" s="242" t="s">
        <v>16</v>
      </c>
      <c r="C4" s="243"/>
      <c r="D4" s="242" t="s">
        <v>32</v>
      </c>
      <c r="E4" s="243"/>
      <c r="F4" s="242" t="s">
        <v>33</v>
      </c>
      <c r="G4" s="243"/>
      <c r="H4" s="242"/>
      <c r="I4" s="252"/>
      <c r="J4" s="242"/>
      <c r="K4" s="252"/>
      <c r="L4" s="242"/>
      <c r="M4" s="252"/>
      <c r="N4" s="239"/>
    </row>
    <row r="5" spans="1:14" ht="28.5" customHeight="1">
      <c r="A5" s="248"/>
      <c r="B5" s="67" t="s">
        <v>36</v>
      </c>
      <c r="C5" s="68" t="s">
        <v>138</v>
      </c>
      <c r="D5" s="67" t="s">
        <v>36</v>
      </c>
      <c r="E5" s="68" t="s">
        <v>138</v>
      </c>
      <c r="F5" s="67" t="s">
        <v>36</v>
      </c>
      <c r="G5" s="68" t="s">
        <v>139</v>
      </c>
      <c r="H5" s="67" t="s">
        <v>36</v>
      </c>
      <c r="I5" s="87" t="s">
        <v>140</v>
      </c>
      <c r="J5" s="67" t="s">
        <v>36</v>
      </c>
      <c r="K5" s="87" t="s">
        <v>141</v>
      </c>
      <c r="L5" s="67" t="s">
        <v>36</v>
      </c>
      <c r="M5" s="88" t="s">
        <v>142</v>
      </c>
      <c r="N5" s="240"/>
    </row>
    <row r="6" spans="1:14" s="95" customFormat="1" ht="10.5">
      <c r="A6" s="101"/>
      <c r="B6" s="71" t="s">
        <v>4</v>
      </c>
      <c r="C6" s="72" t="s">
        <v>5</v>
      </c>
      <c r="D6" s="71" t="s">
        <v>4</v>
      </c>
      <c r="E6" s="72" t="s">
        <v>5</v>
      </c>
      <c r="F6" s="71" t="s">
        <v>4</v>
      </c>
      <c r="G6" s="72" t="s">
        <v>5</v>
      </c>
      <c r="H6" s="71" t="s">
        <v>4</v>
      </c>
      <c r="I6" s="89" t="s">
        <v>5</v>
      </c>
      <c r="J6" s="71" t="s">
        <v>4</v>
      </c>
      <c r="K6" s="89" t="s">
        <v>5</v>
      </c>
      <c r="L6" s="71" t="s">
        <v>183</v>
      </c>
      <c r="M6" s="89" t="s">
        <v>5</v>
      </c>
      <c r="N6" s="96"/>
    </row>
    <row r="7" spans="1:14" ht="15.75" customHeight="1">
      <c r="A7" s="99" t="s">
        <v>39</v>
      </c>
      <c r="B7" s="126">
        <f>_xlfn.COMPOUNDVALUE(337)</f>
        <v>4731</v>
      </c>
      <c r="C7" s="127">
        <v>36754671</v>
      </c>
      <c r="D7" s="126">
        <f>_xlfn.COMPOUNDVALUE(338)</f>
        <v>1898</v>
      </c>
      <c r="E7" s="127">
        <v>1200976</v>
      </c>
      <c r="F7" s="126">
        <f>_xlfn.COMPOUNDVALUE(339)</f>
        <v>6629</v>
      </c>
      <c r="G7" s="127">
        <v>37955647</v>
      </c>
      <c r="H7" s="126">
        <f>_xlfn.COMPOUNDVALUE(340)</f>
        <v>515</v>
      </c>
      <c r="I7" s="128">
        <v>2274383</v>
      </c>
      <c r="J7" s="126">
        <v>518</v>
      </c>
      <c r="K7" s="128">
        <v>202531</v>
      </c>
      <c r="L7" s="126">
        <v>7255</v>
      </c>
      <c r="M7" s="128">
        <v>35883795</v>
      </c>
      <c r="N7" s="86" t="s">
        <v>39</v>
      </c>
    </row>
    <row r="8" spans="1:14" ht="15.75" customHeight="1">
      <c r="A8" s="76" t="s">
        <v>40</v>
      </c>
      <c r="B8" s="126">
        <f>_xlfn.COMPOUNDVALUE(341)</f>
        <v>3958</v>
      </c>
      <c r="C8" s="127">
        <v>23429525</v>
      </c>
      <c r="D8" s="126">
        <f>_xlfn.COMPOUNDVALUE(342)</f>
        <v>1700</v>
      </c>
      <c r="E8" s="127">
        <v>1065541</v>
      </c>
      <c r="F8" s="126">
        <f>_xlfn.COMPOUNDVALUE(343)</f>
        <v>5658</v>
      </c>
      <c r="G8" s="127">
        <v>24495066</v>
      </c>
      <c r="H8" s="126">
        <f>_xlfn.COMPOUNDVALUE(344)</f>
        <v>356</v>
      </c>
      <c r="I8" s="128">
        <v>1073579</v>
      </c>
      <c r="J8" s="126">
        <v>354</v>
      </c>
      <c r="K8" s="128">
        <v>58982</v>
      </c>
      <c r="L8" s="126">
        <v>6066</v>
      </c>
      <c r="M8" s="128">
        <v>23480469</v>
      </c>
      <c r="N8" s="86" t="s">
        <v>40</v>
      </c>
    </row>
    <row r="9" spans="1:14" ht="15.75" customHeight="1">
      <c r="A9" s="76" t="s">
        <v>41</v>
      </c>
      <c r="B9" s="126">
        <f>_xlfn.COMPOUNDVALUE(345)</f>
        <v>4390</v>
      </c>
      <c r="C9" s="127">
        <v>76572890</v>
      </c>
      <c r="D9" s="126">
        <f>_xlfn.COMPOUNDVALUE(346)</f>
        <v>1830</v>
      </c>
      <c r="E9" s="127">
        <v>1122664</v>
      </c>
      <c r="F9" s="126">
        <f>_xlfn.COMPOUNDVALUE(347)</f>
        <v>6220</v>
      </c>
      <c r="G9" s="127">
        <v>77695553</v>
      </c>
      <c r="H9" s="126">
        <f>_xlfn.COMPOUNDVALUE(348)</f>
        <v>532</v>
      </c>
      <c r="I9" s="128">
        <v>6189759</v>
      </c>
      <c r="J9" s="126">
        <v>396</v>
      </c>
      <c r="K9" s="128">
        <v>-12333</v>
      </c>
      <c r="L9" s="126">
        <v>6829</v>
      </c>
      <c r="M9" s="128">
        <v>71493461</v>
      </c>
      <c r="N9" s="86" t="s">
        <v>41</v>
      </c>
    </row>
    <row r="10" spans="1:14" ht="15.75" customHeight="1">
      <c r="A10" s="76" t="s">
        <v>42</v>
      </c>
      <c r="B10" s="126">
        <f>_xlfn.COMPOUNDVALUE(349)</f>
        <v>1759</v>
      </c>
      <c r="C10" s="127">
        <v>9095046</v>
      </c>
      <c r="D10" s="126">
        <f>_xlfn.COMPOUNDVALUE(350)</f>
        <v>748</v>
      </c>
      <c r="E10" s="127">
        <v>431652</v>
      </c>
      <c r="F10" s="126">
        <f>_xlfn.COMPOUNDVALUE(351)</f>
        <v>2507</v>
      </c>
      <c r="G10" s="127">
        <v>9526698</v>
      </c>
      <c r="H10" s="126">
        <f>_xlfn.COMPOUNDVALUE(352)</f>
        <v>129</v>
      </c>
      <c r="I10" s="128">
        <v>776310</v>
      </c>
      <c r="J10" s="126">
        <v>209</v>
      </c>
      <c r="K10" s="128">
        <v>31931</v>
      </c>
      <c r="L10" s="126">
        <v>2652</v>
      </c>
      <c r="M10" s="128">
        <v>8782319</v>
      </c>
      <c r="N10" s="86" t="s">
        <v>42</v>
      </c>
    </row>
    <row r="11" spans="1:14" ht="15.75" customHeight="1">
      <c r="A11" s="76" t="s">
        <v>43</v>
      </c>
      <c r="B11" s="126">
        <f>_xlfn.COMPOUNDVALUE(353)</f>
        <v>4562</v>
      </c>
      <c r="C11" s="127">
        <v>49212750</v>
      </c>
      <c r="D11" s="126">
        <f>_xlfn.COMPOUNDVALUE(354)</f>
        <v>1989</v>
      </c>
      <c r="E11" s="127">
        <v>1238750</v>
      </c>
      <c r="F11" s="126">
        <f>_xlfn.COMPOUNDVALUE(355)</f>
        <v>6551</v>
      </c>
      <c r="G11" s="127">
        <v>50451500</v>
      </c>
      <c r="H11" s="126">
        <f>_xlfn.COMPOUNDVALUE(356)</f>
        <v>524</v>
      </c>
      <c r="I11" s="128">
        <v>2740028</v>
      </c>
      <c r="J11" s="126">
        <v>436</v>
      </c>
      <c r="K11" s="128">
        <v>11780</v>
      </c>
      <c r="L11" s="126">
        <v>7139</v>
      </c>
      <c r="M11" s="128">
        <v>47723251</v>
      </c>
      <c r="N11" s="86" t="s">
        <v>43</v>
      </c>
    </row>
    <row r="12" spans="1:14" ht="15.75" customHeight="1">
      <c r="A12" s="76"/>
      <c r="B12" s="126"/>
      <c r="C12" s="127"/>
      <c r="D12" s="126"/>
      <c r="E12" s="127"/>
      <c r="F12" s="126"/>
      <c r="G12" s="127"/>
      <c r="H12" s="126"/>
      <c r="I12" s="128"/>
      <c r="J12" s="126"/>
      <c r="K12" s="128"/>
      <c r="L12" s="126"/>
      <c r="M12" s="128"/>
      <c r="N12" s="86" t="s">
        <v>38</v>
      </c>
    </row>
    <row r="13" spans="1:14" ht="15.75" customHeight="1">
      <c r="A13" s="76" t="s">
        <v>44</v>
      </c>
      <c r="B13" s="126">
        <f>_xlfn.COMPOUNDVALUE(357)</f>
        <v>4183</v>
      </c>
      <c r="C13" s="127">
        <v>23526285</v>
      </c>
      <c r="D13" s="126">
        <f>_xlfn.COMPOUNDVALUE(358)</f>
        <v>1991</v>
      </c>
      <c r="E13" s="127">
        <v>1198678</v>
      </c>
      <c r="F13" s="126">
        <f>_xlfn.COMPOUNDVALUE(359)</f>
        <v>6174</v>
      </c>
      <c r="G13" s="127">
        <v>24724963</v>
      </c>
      <c r="H13" s="126">
        <f>_xlfn.COMPOUNDVALUE(360)</f>
        <v>445</v>
      </c>
      <c r="I13" s="128">
        <v>3028604</v>
      </c>
      <c r="J13" s="126">
        <v>456</v>
      </c>
      <c r="K13" s="128">
        <v>-18308</v>
      </c>
      <c r="L13" s="126">
        <v>6696</v>
      </c>
      <c r="M13" s="128">
        <v>21678051</v>
      </c>
      <c r="N13" s="86" t="s">
        <v>44</v>
      </c>
    </row>
    <row r="14" spans="1:14" ht="15.75" customHeight="1">
      <c r="A14" s="76" t="s">
        <v>45</v>
      </c>
      <c r="B14" s="126">
        <f>_xlfn.COMPOUNDVALUE(361)</f>
        <v>1215</v>
      </c>
      <c r="C14" s="127">
        <v>4816207</v>
      </c>
      <c r="D14" s="126">
        <f>_xlfn.COMPOUNDVALUE(362)</f>
        <v>517</v>
      </c>
      <c r="E14" s="127">
        <v>271221</v>
      </c>
      <c r="F14" s="126">
        <f>_xlfn.COMPOUNDVALUE(363)</f>
        <v>1732</v>
      </c>
      <c r="G14" s="127">
        <v>5087427</v>
      </c>
      <c r="H14" s="126">
        <f>_xlfn.COMPOUNDVALUE(364)</f>
        <v>75</v>
      </c>
      <c r="I14" s="128">
        <v>254564</v>
      </c>
      <c r="J14" s="126">
        <v>97</v>
      </c>
      <c r="K14" s="128">
        <v>750</v>
      </c>
      <c r="L14" s="126">
        <v>1824</v>
      </c>
      <c r="M14" s="128">
        <v>4833612</v>
      </c>
      <c r="N14" s="86" t="s">
        <v>45</v>
      </c>
    </row>
    <row r="15" spans="1:14" ht="15.75" customHeight="1">
      <c r="A15" s="76" t="s">
        <v>46</v>
      </c>
      <c r="B15" s="126">
        <f>_xlfn.COMPOUNDVALUE(365)</f>
        <v>2784</v>
      </c>
      <c r="C15" s="127">
        <v>15724995</v>
      </c>
      <c r="D15" s="126">
        <f>_xlfn.COMPOUNDVALUE(366)</f>
        <v>1327</v>
      </c>
      <c r="E15" s="127">
        <v>810497</v>
      </c>
      <c r="F15" s="126">
        <f>_xlfn.COMPOUNDVALUE(367)</f>
        <v>4111</v>
      </c>
      <c r="G15" s="127">
        <v>16535492</v>
      </c>
      <c r="H15" s="126">
        <f>_xlfn.COMPOUNDVALUE(368)</f>
        <v>167</v>
      </c>
      <c r="I15" s="128">
        <v>1908791</v>
      </c>
      <c r="J15" s="126">
        <v>241</v>
      </c>
      <c r="K15" s="128">
        <v>-9363</v>
      </c>
      <c r="L15" s="126">
        <v>4324</v>
      </c>
      <c r="M15" s="128">
        <v>14617338</v>
      </c>
      <c r="N15" s="86" t="s">
        <v>46</v>
      </c>
    </row>
    <row r="16" spans="1:14" ht="15.75" customHeight="1">
      <c r="A16" s="78" t="s">
        <v>47</v>
      </c>
      <c r="B16" s="131">
        <f>_xlfn.COMPOUNDVALUE(369)</f>
        <v>5087</v>
      </c>
      <c r="C16" s="132">
        <v>22742526</v>
      </c>
      <c r="D16" s="131">
        <f>_xlfn.COMPOUNDVALUE(370)</f>
        <v>2535</v>
      </c>
      <c r="E16" s="132">
        <v>1496268</v>
      </c>
      <c r="F16" s="131">
        <f>_xlfn.COMPOUNDVALUE(371)</f>
        <v>7622</v>
      </c>
      <c r="G16" s="132">
        <v>24238794</v>
      </c>
      <c r="H16" s="131">
        <f>_xlfn.COMPOUNDVALUE(372)</f>
        <v>566</v>
      </c>
      <c r="I16" s="133">
        <v>3755548</v>
      </c>
      <c r="J16" s="131">
        <v>623</v>
      </c>
      <c r="K16" s="133">
        <v>28644</v>
      </c>
      <c r="L16" s="131">
        <v>8278</v>
      </c>
      <c r="M16" s="133">
        <v>20511890</v>
      </c>
      <c r="N16" s="77" t="s">
        <v>47</v>
      </c>
    </row>
    <row r="17" spans="1:14" ht="15.75" customHeight="1">
      <c r="A17" s="78" t="s">
        <v>48</v>
      </c>
      <c r="B17" s="131">
        <f>_xlfn.COMPOUNDVALUE(373)</f>
        <v>1110</v>
      </c>
      <c r="C17" s="132">
        <v>5437412</v>
      </c>
      <c r="D17" s="131">
        <f>_xlfn.COMPOUNDVALUE(374)</f>
        <v>408</v>
      </c>
      <c r="E17" s="132">
        <v>220868</v>
      </c>
      <c r="F17" s="131">
        <f>_xlfn.COMPOUNDVALUE(375)</f>
        <v>1518</v>
      </c>
      <c r="G17" s="132">
        <v>5658279</v>
      </c>
      <c r="H17" s="131">
        <f>_xlfn.COMPOUNDVALUE(376)</f>
        <v>83</v>
      </c>
      <c r="I17" s="133">
        <v>333522</v>
      </c>
      <c r="J17" s="131">
        <v>75</v>
      </c>
      <c r="K17" s="133">
        <v>-21132</v>
      </c>
      <c r="L17" s="131">
        <v>1611</v>
      </c>
      <c r="M17" s="133">
        <v>5303625</v>
      </c>
      <c r="N17" s="77" t="s">
        <v>48</v>
      </c>
    </row>
    <row r="18" spans="1:14" ht="15.75" customHeight="1">
      <c r="A18" s="78"/>
      <c r="B18" s="131"/>
      <c r="C18" s="132"/>
      <c r="D18" s="131"/>
      <c r="E18" s="132"/>
      <c r="F18" s="131"/>
      <c r="G18" s="132"/>
      <c r="H18" s="131"/>
      <c r="I18" s="133"/>
      <c r="J18" s="131"/>
      <c r="K18" s="133"/>
      <c r="L18" s="131"/>
      <c r="M18" s="133"/>
      <c r="N18" s="77" t="s">
        <v>38</v>
      </c>
    </row>
    <row r="19" spans="1:14" ht="15.75" customHeight="1">
      <c r="A19" s="78" t="s">
        <v>49</v>
      </c>
      <c r="B19" s="131">
        <f>_xlfn.COMPOUNDVALUE(377)</f>
        <v>1901</v>
      </c>
      <c r="C19" s="132">
        <v>7833918</v>
      </c>
      <c r="D19" s="131">
        <f>_xlfn.COMPOUNDVALUE(378)</f>
        <v>849</v>
      </c>
      <c r="E19" s="132">
        <v>464344</v>
      </c>
      <c r="F19" s="131">
        <f>_xlfn.COMPOUNDVALUE(379)</f>
        <v>2750</v>
      </c>
      <c r="G19" s="132">
        <v>8298262</v>
      </c>
      <c r="H19" s="131">
        <f>_xlfn.COMPOUNDVALUE(380)</f>
        <v>144</v>
      </c>
      <c r="I19" s="133">
        <v>804101</v>
      </c>
      <c r="J19" s="131">
        <v>224</v>
      </c>
      <c r="K19" s="133">
        <v>13245</v>
      </c>
      <c r="L19" s="131">
        <v>2953</v>
      </c>
      <c r="M19" s="133">
        <v>7507406</v>
      </c>
      <c r="N19" s="77" t="s">
        <v>49</v>
      </c>
    </row>
    <row r="20" spans="1:14" ht="15.75" customHeight="1">
      <c r="A20" s="78" t="s">
        <v>50</v>
      </c>
      <c r="B20" s="131">
        <f>_xlfn.COMPOUNDVALUE(381)</f>
        <v>5328</v>
      </c>
      <c r="C20" s="132">
        <v>27918620</v>
      </c>
      <c r="D20" s="131">
        <f>_xlfn.COMPOUNDVALUE(382)</f>
        <v>2231</v>
      </c>
      <c r="E20" s="132">
        <v>1383299</v>
      </c>
      <c r="F20" s="131">
        <f>_xlfn.COMPOUNDVALUE(383)</f>
        <v>7559</v>
      </c>
      <c r="G20" s="132">
        <v>29301919</v>
      </c>
      <c r="H20" s="131">
        <f>_xlfn.COMPOUNDVALUE(384)</f>
        <v>1092</v>
      </c>
      <c r="I20" s="133">
        <v>11198951</v>
      </c>
      <c r="J20" s="131">
        <v>574</v>
      </c>
      <c r="K20" s="133">
        <v>-209810</v>
      </c>
      <c r="L20" s="131">
        <v>8787</v>
      </c>
      <c r="M20" s="133">
        <v>17893158</v>
      </c>
      <c r="N20" s="77" t="s">
        <v>50</v>
      </c>
    </row>
    <row r="21" spans="1:14" ht="15.75" customHeight="1">
      <c r="A21" s="78" t="s">
        <v>51</v>
      </c>
      <c r="B21" s="131">
        <f>_xlfn.COMPOUNDVALUE(385)</f>
        <v>1864</v>
      </c>
      <c r="C21" s="132">
        <v>7859136</v>
      </c>
      <c r="D21" s="131">
        <f>_xlfn.COMPOUNDVALUE(386)</f>
        <v>792</v>
      </c>
      <c r="E21" s="132">
        <v>463533</v>
      </c>
      <c r="F21" s="131">
        <f>_xlfn.COMPOUNDVALUE(387)</f>
        <v>2656</v>
      </c>
      <c r="G21" s="132">
        <v>8322669</v>
      </c>
      <c r="H21" s="131">
        <f>_xlfn.COMPOUNDVALUE(388)</f>
        <v>171</v>
      </c>
      <c r="I21" s="133">
        <v>467751</v>
      </c>
      <c r="J21" s="131">
        <v>250</v>
      </c>
      <c r="K21" s="133">
        <v>38815</v>
      </c>
      <c r="L21" s="131">
        <v>2876</v>
      </c>
      <c r="M21" s="133">
        <v>7893732</v>
      </c>
      <c r="N21" s="77" t="s">
        <v>51</v>
      </c>
    </row>
    <row r="22" spans="1:14" ht="15.75" customHeight="1">
      <c r="A22" s="78" t="s">
        <v>166</v>
      </c>
      <c r="B22" s="131">
        <f>_xlfn.COMPOUNDVALUE(389)</f>
        <v>5252</v>
      </c>
      <c r="C22" s="132">
        <v>26809405</v>
      </c>
      <c r="D22" s="131">
        <f>_xlfn.COMPOUNDVALUE(390)</f>
        <v>2329</v>
      </c>
      <c r="E22" s="132">
        <v>1395207</v>
      </c>
      <c r="F22" s="131">
        <f>_xlfn.COMPOUNDVALUE(391)</f>
        <v>7581</v>
      </c>
      <c r="G22" s="132">
        <v>28204612</v>
      </c>
      <c r="H22" s="131">
        <f>_xlfn.COMPOUNDVALUE(392)</f>
        <v>591</v>
      </c>
      <c r="I22" s="133">
        <v>2365297</v>
      </c>
      <c r="J22" s="131">
        <v>586</v>
      </c>
      <c r="K22" s="133">
        <v>396530</v>
      </c>
      <c r="L22" s="131">
        <v>8233</v>
      </c>
      <c r="M22" s="133">
        <v>26235845</v>
      </c>
      <c r="N22" s="77" t="s">
        <v>52</v>
      </c>
    </row>
    <row r="23" spans="1:14" ht="15.75" customHeight="1">
      <c r="A23" s="161" t="s">
        <v>169</v>
      </c>
      <c r="B23" s="162">
        <v>48124</v>
      </c>
      <c r="C23" s="163">
        <v>337733383</v>
      </c>
      <c r="D23" s="162">
        <v>21144</v>
      </c>
      <c r="E23" s="163">
        <v>12763496</v>
      </c>
      <c r="F23" s="162">
        <v>69268</v>
      </c>
      <c r="G23" s="163">
        <v>350496878</v>
      </c>
      <c r="H23" s="162">
        <v>5390</v>
      </c>
      <c r="I23" s="164">
        <v>37171187</v>
      </c>
      <c r="J23" s="162">
        <v>5039</v>
      </c>
      <c r="K23" s="164">
        <v>512260</v>
      </c>
      <c r="L23" s="162">
        <v>75523</v>
      </c>
      <c r="M23" s="164">
        <v>313837952</v>
      </c>
      <c r="N23" s="165" t="s">
        <v>54</v>
      </c>
    </row>
    <row r="24" spans="1:14" ht="15.75" customHeight="1">
      <c r="A24" s="166"/>
      <c r="B24" s="167"/>
      <c r="C24" s="168"/>
      <c r="D24" s="167"/>
      <c r="E24" s="168"/>
      <c r="F24" s="169"/>
      <c r="G24" s="168"/>
      <c r="H24" s="169"/>
      <c r="I24" s="168"/>
      <c r="J24" s="169"/>
      <c r="K24" s="168"/>
      <c r="L24" s="169"/>
      <c r="M24" s="168"/>
      <c r="N24" s="170"/>
    </row>
    <row r="25" spans="1:14" ht="15.75" customHeight="1">
      <c r="A25" s="76" t="s">
        <v>55</v>
      </c>
      <c r="B25" s="126">
        <f>_xlfn.COMPOUNDVALUE(393)</f>
        <v>10657</v>
      </c>
      <c r="C25" s="127">
        <v>1236201471</v>
      </c>
      <c r="D25" s="126">
        <f>_xlfn.COMPOUNDVALUE(394)</f>
        <v>1708</v>
      </c>
      <c r="E25" s="127">
        <v>1818444</v>
      </c>
      <c r="F25" s="126">
        <f>_xlfn.COMPOUNDVALUE(395)</f>
        <v>12365</v>
      </c>
      <c r="G25" s="127">
        <v>1238019915</v>
      </c>
      <c r="H25" s="126">
        <f>_xlfn.COMPOUNDVALUE(396)</f>
        <v>3884</v>
      </c>
      <c r="I25" s="128">
        <v>502516985</v>
      </c>
      <c r="J25" s="126">
        <v>1192</v>
      </c>
      <c r="K25" s="128">
        <v>-5392815</v>
      </c>
      <c r="L25" s="126">
        <v>16381</v>
      </c>
      <c r="M25" s="128">
        <v>730110115</v>
      </c>
      <c r="N25" s="86" t="s">
        <v>55</v>
      </c>
    </row>
    <row r="26" spans="1:14" ht="15.75" customHeight="1">
      <c r="A26" s="76" t="s">
        <v>56</v>
      </c>
      <c r="B26" s="126">
        <f>_xlfn.COMPOUNDVALUE(397)</f>
        <v>11604</v>
      </c>
      <c r="C26" s="127">
        <v>306785293</v>
      </c>
      <c r="D26" s="126">
        <f>_xlfn.COMPOUNDVALUE(398)</f>
        <v>2390</v>
      </c>
      <c r="E26" s="127">
        <v>1800939</v>
      </c>
      <c r="F26" s="126">
        <f>_xlfn.COMPOUNDVALUE(399)</f>
        <v>13994</v>
      </c>
      <c r="G26" s="127">
        <v>308586231</v>
      </c>
      <c r="H26" s="126">
        <f>_xlfn.COMPOUNDVALUE(400)</f>
        <v>2304</v>
      </c>
      <c r="I26" s="128">
        <v>67897428</v>
      </c>
      <c r="J26" s="126">
        <v>1118</v>
      </c>
      <c r="K26" s="128">
        <v>624769</v>
      </c>
      <c r="L26" s="126">
        <v>16445</v>
      </c>
      <c r="M26" s="128">
        <v>241313573</v>
      </c>
      <c r="N26" s="86" t="s">
        <v>56</v>
      </c>
    </row>
    <row r="27" spans="1:14" ht="15.75" customHeight="1">
      <c r="A27" s="76" t="s">
        <v>57</v>
      </c>
      <c r="B27" s="126">
        <f>_xlfn.COMPOUNDVALUE(401)</f>
        <v>9237</v>
      </c>
      <c r="C27" s="127">
        <v>346546767</v>
      </c>
      <c r="D27" s="126">
        <f>_xlfn.COMPOUNDVALUE(402)</f>
        <v>1738</v>
      </c>
      <c r="E27" s="127">
        <v>1627707</v>
      </c>
      <c r="F27" s="126">
        <f>_xlfn.COMPOUNDVALUE(403)</f>
        <v>10975</v>
      </c>
      <c r="G27" s="127">
        <v>348174474</v>
      </c>
      <c r="H27" s="126">
        <f>_xlfn.COMPOUNDVALUE(404)</f>
        <v>2399</v>
      </c>
      <c r="I27" s="128">
        <v>117534502</v>
      </c>
      <c r="J27" s="126">
        <v>997</v>
      </c>
      <c r="K27" s="128">
        <v>-194067</v>
      </c>
      <c r="L27" s="126">
        <v>13499</v>
      </c>
      <c r="M27" s="128">
        <v>230445906</v>
      </c>
      <c r="N27" s="86" t="s">
        <v>57</v>
      </c>
    </row>
    <row r="28" spans="1:14" ht="15.75" customHeight="1">
      <c r="A28" s="76" t="s">
        <v>58</v>
      </c>
      <c r="B28" s="126">
        <f>_xlfn.COMPOUNDVALUE(405)</f>
        <v>11820</v>
      </c>
      <c r="C28" s="127">
        <v>393503728</v>
      </c>
      <c r="D28" s="126">
        <f>_xlfn.COMPOUNDVALUE(406)</f>
        <v>2334</v>
      </c>
      <c r="E28" s="127">
        <v>1770007</v>
      </c>
      <c r="F28" s="126">
        <f>_xlfn.COMPOUNDVALUE(407)</f>
        <v>14154</v>
      </c>
      <c r="G28" s="127">
        <v>395273735</v>
      </c>
      <c r="H28" s="126">
        <f>_xlfn.COMPOUNDVALUE(408)</f>
        <v>2663</v>
      </c>
      <c r="I28" s="128">
        <v>190860139</v>
      </c>
      <c r="J28" s="126">
        <v>1219</v>
      </c>
      <c r="K28" s="128">
        <v>1174127</v>
      </c>
      <c r="L28" s="126">
        <v>16971</v>
      </c>
      <c r="M28" s="128">
        <v>205587724</v>
      </c>
      <c r="N28" s="86" t="s">
        <v>58</v>
      </c>
    </row>
    <row r="29" spans="1:14" ht="15.75" customHeight="1">
      <c r="A29" s="76" t="s">
        <v>167</v>
      </c>
      <c r="B29" s="126">
        <f>_xlfn.COMPOUNDVALUE(409)</f>
        <v>15424</v>
      </c>
      <c r="C29" s="127">
        <v>905788948</v>
      </c>
      <c r="D29" s="126">
        <f>_xlfn.COMPOUNDVALUE(410)</f>
        <v>2845</v>
      </c>
      <c r="E29" s="127">
        <v>3595922</v>
      </c>
      <c r="F29" s="126">
        <f>_xlfn.COMPOUNDVALUE(411)</f>
        <v>18269</v>
      </c>
      <c r="G29" s="127">
        <v>909384870</v>
      </c>
      <c r="H29" s="126">
        <f>_xlfn.COMPOUNDVALUE(412)</f>
        <v>4759</v>
      </c>
      <c r="I29" s="128">
        <v>414634422</v>
      </c>
      <c r="J29" s="126">
        <v>1806</v>
      </c>
      <c r="K29" s="128">
        <v>-938310</v>
      </c>
      <c r="L29" s="126">
        <v>23250</v>
      </c>
      <c r="M29" s="128">
        <v>493812138</v>
      </c>
      <c r="N29" s="86" t="s">
        <v>59</v>
      </c>
    </row>
    <row r="30" spans="1:14" ht="15.75" customHeight="1">
      <c r="A30" s="76"/>
      <c r="B30" s="126"/>
      <c r="C30" s="127"/>
      <c r="D30" s="126"/>
      <c r="E30" s="127"/>
      <c r="F30" s="126"/>
      <c r="G30" s="127"/>
      <c r="H30" s="126"/>
      <c r="I30" s="128"/>
      <c r="J30" s="126"/>
      <c r="K30" s="128"/>
      <c r="L30" s="126"/>
      <c r="M30" s="128"/>
      <c r="N30" s="86" t="s">
        <v>38</v>
      </c>
    </row>
    <row r="31" spans="1:14" ht="15.75" customHeight="1">
      <c r="A31" s="76" t="s">
        <v>60</v>
      </c>
      <c r="B31" s="126">
        <f>_xlfn.COMPOUNDVALUE(413)</f>
        <v>14641</v>
      </c>
      <c r="C31" s="127">
        <v>372582061</v>
      </c>
      <c r="D31" s="126">
        <f>_xlfn.COMPOUNDVALUE(414)</f>
        <v>2967</v>
      </c>
      <c r="E31" s="127">
        <v>2550826</v>
      </c>
      <c r="F31" s="126">
        <f>_xlfn.COMPOUNDVALUE(415)</f>
        <v>17608</v>
      </c>
      <c r="G31" s="127">
        <v>375132887</v>
      </c>
      <c r="H31" s="126">
        <f>_xlfn.COMPOUNDVALUE(416)</f>
        <v>3404</v>
      </c>
      <c r="I31" s="128">
        <v>237130942</v>
      </c>
      <c r="J31" s="126">
        <v>1148</v>
      </c>
      <c r="K31" s="128">
        <v>389472</v>
      </c>
      <c r="L31" s="126">
        <v>21255</v>
      </c>
      <c r="M31" s="128">
        <v>138391417</v>
      </c>
      <c r="N31" s="86" t="s">
        <v>60</v>
      </c>
    </row>
    <row r="32" spans="1:14" ht="15.75" customHeight="1">
      <c r="A32" s="76" t="s">
        <v>61</v>
      </c>
      <c r="B32" s="126">
        <f>_xlfn.COMPOUNDVALUE(417)</f>
        <v>7136</v>
      </c>
      <c r="C32" s="127">
        <v>254306350</v>
      </c>
      <c r="D32" s="126">
        <f>_xlfn.COMPOUNDVALUE(418)</f>
        <v>1807</v>
      </c>
      <c r="E32" s="127">
        <v>1202792</v>
      </c>
      <c r="F32" s="126">
        <f>_xlfn.COMPOUNDVALUE(419)</f>
        <v>8943</v>
      </c>
      <c r="G32" s="127">
        <v>255509142</v>
      </c>
      <c r="H32" s="126">
        <f>_xlfn.COMPOUNDVALUE(420)</f>
        <v>1485</v>
      </c>
      <c r="I32" s="128">
        <v>73283965</v>
      </c>
      <c r="J32" s="126">
        <v>864</v>
      </c>
      <c r="K32" s="128">
        <v>985202</v>
      </c>
      <c r="L32" s="126">
        <v>10547</v>
      </c>
      <c r="M32" s="128">
        <v>183210379</v>
      </c>
      <c r="N32" s="86" t="s">
        <v>61</v>
      </c>
    </row>
    <row r="33" spans="1:14" ht="15.75" customHeight="1">
      <c r="A33" s="76" t="s">
        <v>62</v>
      </c>
      <c r="B33" s="126">
        <f>_xlfn.COMPOUNDVALUE(421)</f>
        <v>8083</v>
      </c>
      <c r="C33" s="127">
        <v>134205536</v>
      </c>
      <c r="D33" s="126">
        <f>_xlfn.COMPOUNDVALUE(422)</f>
        <v>2334</v>
      </c>
      <c r="E33" s="127">
        <v>1975352</v>
      </c>
      <c r="F33" s="126">
        <f>_xlfn.COMPOUNDVALUE(423)</f>
        <v>10417</v>
      </c>
      <c r="G33" s="127">
        <v>136180888</v>
      </c>
      <c r="H33" s="126">
        <f>_xlfn.COMPOUNDVALUE(424)</f>
        <v>1188</v>
      </c>
      <c r="I33" s="128">
        <v>22144147</v>
      </c>
      <c r="J33" s="126">
        <v>711</v>
      </c>
      <c r="K33" s="128">
        <v>603600</v>
      </c>
      <c r="L33" s="126">
        <v>11728</v>
      </c>
      <c r="M33" s="128">
        <v>114640342</v>
      </c>
      <c r="N33" s="86" t="s">
        <v>62</v>
      </c>
    </row>
    <row r="34" spans="1:14" ht="15.75" customHeight="1">
      <c r="A34" s="76" t="s">
        <v>63</v>
      </c>
      <c r="B34" s="126">
        <f>_xlfn.COMPOUNDVALUE(425)</f>
        <v>9199</v>
      </c>
      <c r="C34" s="127">
        <v>363252831</v>
      </c>
      <c r="D34" s="126">
        <f>_xlfn.COMPOUNDVALUE(426)</f>
        <v>2289</v>
      </c>
      <c r="E34" s="127">
        <v>2231883</v>
      </c>
      <c r="F34" s="126">
        <f>_xlfn.COMPOUNDVALUE(427)</f>
        <v>11488</v>
      </c>
      <c r="G34" s="127">
        <v>365484713</v>
      </c>
      <c r="H34" s="126">
        <f>_xlfn.COMPOUNDVALUE(428)</f>
        <v>1772</v>
      </c>
      <c r="I34" s="128">
        <v>26116714</v>
      </c>
      <c r="J34" s="126">
        <v>1020</v>
      </c>
      <c r="K34" s="128">
        <v>1960735</v>
      </c>
      <c r="L34" s="126">
        <v>13456</v>
      </c>
      <c r="M34" s="128">
        <v>341328734</v>
      </c>
      <c r="N34" s="86" t="s">
        <v>63</v>
      </c>
    </row>
    <row r="35" spans="1:14" ht="15.75" customHeight="1">
      <c r="A35" s="76" t="s">
        <v>64</v>
      </c>
      <c r="B35" s="126">
        <f>_xlfn.COMPOUNDVALUE(429)</f>
        <v>2464</v>
      </c>
      <c r="C35" s="127">
        <v>48811366</v>
      </c>
      <c r="D35" s="126">
        <f>_xlfn.COMPOUNDVALUE(430)</f>
        <v>948</v>
      </c>
      <c r="E35" s="127">
        <v>597048</v>
      </c>
      <c r="F35" s="126">
        <f>_xlfn.COMPOUNDVALUE(431)</f>
        <v>3412</v>
      </c>
      <c r="G35" s="127">
        <v>49408413</v>
      </c>
      <c r="H35" s="126">
        <f>_xlfn.COMPOUNDVALUE(432)</f>
        <v>349</v>
      </c>
      <c r="I35" s="128">
        <v>3788500</v>
      </c>
      <c r="J35" s="126">
        <v>331</v>
      </c>
      <c r="K35" s="128">
        <v>249743</v>
      </c>
      <c r="L35" s="126">
        <v>3793</v>
      </c>
      <c r="M35" s="128">
        <v>45869656</v>
      </c>
      <c r="N35" s="86" t="s">
        <v>64</v>
      </c>
    </row>
    <row r="36" spans="1:14" ht="15.75" customHeight="1">
      <c r="A36" s="76"/>
      <c r="B36" s="126"/>
      <c r="C36" s="127"/>
      <c r="D36" s="126"/>
      <c r="E36" s="127"/>
      <c r="F36" s="126"/>
      <c r="G36" s="127"/>
      <c r="H36" s="126"/>
      <c r="I36" s="128"/>
      <c r="J36" s="126"/>
      <c r="K36" s="128"/>
      <c r="L36" s="126"/>
      <c r="M36" s="128"/>
      <c r="N36" s="86" t="s">
        <v>38</v>
      </c>
    </row>
    <row r="37" spans="1:14" ht="15.75" customHeight="1">
      <c r="A37" s="76" t="s">
        <v>65</v>
      </c>
      <c r="B37" s="126">
        <f>_xlfn.COMPOUNDVALUE(433)</f>
        <v>3184</v>
      </c>
      <c r="C37" s="127">
        <v>42677600</v>
      </c>
      <c r="D37" s="126">
        <f>_xlfn.COMPOUNDVALUE(434)</f>
        <v>1068</v>
      </c>
      <c r="E37" s="127">
        <v>690835</v>
      </c>
      <c r="F37" s="126">
        <f>_xlfn.COMPOUNDVALUE(435)</f>
        <v>4252</v>
      </c>
      <c r="G37" s="127">
        <v>43368435</v>
      </c>
      <c r="H37" s="126">
        <f>_xlfn.COMPOUNDVALUE(436)</f>
        <v>466</v>
      </c>
      <c r="I37" s="128">
        <v>5038640</v>
      </c>
      <c r="J37" s="126">
        <v>302</v>
      </c>
      <c r="K37" s="128">
        <v>49240</v>
      </c>
      <c r="L37" s="126">
        <v>4761</v>
      </c>
      <c r="M37" s="128">
        <v>38379034</v>
      </c>
      <c r="N37" s="86" t="s">
        <v>65</v>
      </c>
    </row>
    <row r="38" spans="1:14" ht="15.75" customHeight="1">
      <c r="A38" s="76" t="s">
        <v>66</v>
      </c>
      <c r="B38" s="126">
        <f>_xlfn.COMPOUNDVALUE(437)</f>
        <v>5134</v>
      </c>
      <c r="C38" s="127">
        <v>86356229</v>
      </c>
      <c r="D38" s="126">
        <f>_xlfn.COMPOUNDVALUE(438)</f>
        <v>1483</v>
      </c>
      <c r="E38" s="127">
        <v>987986</v>
      </c>
      <c r="F38" s="126">
        <f>_xlfn.COMPOUNDVALUE(439)</f>
        <v>6617</v>
      </c>
      <c r="G38" s="127">
        <v>87344214</v>
      </c>
      <c r="H38" s="126">
        <f>_xlfn.COMPOUNDVALUE(440)</f>
        <v>1058</v>
      </c>
      <c r="I38" s="128">
        <v>20609078</v>
      </c>
      <c r="J38" s="126">
        <v>608</v>
      </c>
      <c r="K38" s="128">
        <v>136898</v>
      </c>
      <c r="L38" s="126">
        <v>7752</v>
      </c>
      <c r="M38" s="128">
        <v>66872034</v>
      </c>
      <c r="N38" s="86" t="s">
        <v>66</v>
      </c>
    </row>
    <row r="39" spans="1:14" ht="15.75" customHeight="1">
      <c r="A39" s="76" t="s">
        <v>67</v>
      </c>
      <c r="B39" s="126">
        <f>_xlfn.COMPOUNDVALUE(441)</f>
        <v>5040</v>
      </c>
      <c r="C39" s="127">
        <v>73591111</v>
      </c>
      <c r="D39" s="126">
        <f>_xlfn.COMPOUNDVALUE(442)</f>
        <v>1759</v>
      </c>
      <c r="E39" s="127">
        <v>1023904</v>
      </c>
      <c r="F39" s="126">
        <f>_xlfn.COMPOUNDVALUE(443)</f>
        <v>6799</v>
      </c>
      <c r="G39" s="127">
        <v>74615015</v>
      </c>
      <c r="H39" s="126">
        <f>_xlfn.COMPOUNDVALUE(444)</f>
        <v>804</v>
      </c>
      <c r="I39" s="128">
        <v>5358724</v>
      </c>
      <c r="J39" s="126">
        <v>606</v>
      </c>
      <c r="K39" s="128">
        <v>302479</v>
      </c>
      <c r="L39" s="126">
        <v>7700</v>
      </c>
      <c r="M39" s="128">
        <v>69558770</v>
      </c>
      <c r="N39" s="86" t="s">
        <v>67</v>
      </c>
    </row>
    <row r="40" spans="1:14" ht="15.75" customHeight="1">
      <c r="A40" s="76" t="s">
        <v>68</v>
      </c>
      <c r="B40" s="126">
        <f>_xlfn.COMPOUNDVALUE(445)</f>
        <v>4132</v>
      </c>
      <c r="C40" s="127">
        <v>92540870</v>
      </c>
      <c r="D40" s="126">
        <f>_xlfn.COMPOUNDVALUE(446)</f>
        <v>1367</v>
      </c>
      <c r="E40" s="127">
        <v>794847</v>
      </c>
      <c r="F40" s="126">
        <f>_xlfn.COMPOUNDVALUE(447)</f>
        <v>5499</v>
      </c>
      <c r="G40" s="127">
        <v>93335717</v>
      </c>
      <c r="H40" s="126">
        <f>_xlfn.COMPOUNDVALUE(448)</f>
        <v>515</v>
      </c>
      <c r="I40" s="128">
        <v>4156571</v>
      </c>
      <c r="J40" s="126">
        <v>336</v>
      </c>
      <c r="K40" s="128">
        <v>125863</v>
      </c>
      <c r="L40" s="126">
        <v>6075</v>
      </c>
      <c r="M40" s="128">
        <v>89305009</v>
      </c>
      <c r="N40" s="86" t="s">
        <v>68</v>
      </c>
    </row>
    <row r="41" spans="1:14" ht="15.75" customHeight="1">
      <c r="A41" s="76" t="s">
        <v>69</v>
      </c>
      <c r="B41" s="126">
        <f>_xlfn.COMPOUNDVALUE(449)</f>
        <v>1474</v>
      </c>
      <c r="C41" s="127">
        <v>10424648</v>
      </c>
      <c r="D41" s="126">
        <f>_xlfn.COMPOUNDVALUE(450)</f>
        <v>746</v>
      </c>
      <c r="E41" s="127">
        <v>372773</v>
      </c>
      <c r="F41" s="126">
        <f>_xlfn.COMPOUNDVALUE(451)</f>
        <v>2220</v>
      </c>
      <c r="G41" s="127">
        <v>10797421</v>
      </c>
      <c r="H41" s="126">
        <f>_xlfn.COMPOUNDVALUE(452)</f>
        <v>130</v>
      </c>
      <c r="I41" s="128">
        <v>373249</v>
      </c>
      <c r="J41" s="126">
        <v>196</v>
      </c>
      <c r="K41" s="128">
        <v>-11698</v>
      </c>
      <c r="L41" s="126">
        <v>2382</v>
      </c>
      <c r="M41" s="128">
        <v>10412474</v>
      </c>
      <c r="N41" s="86" t="s">
        <v>69</v>
      </c>
    </row>
    <row r="42" spans="1:14" ht="15.75" customHeight="1">
      <c r="A42" s="103"/>
      <c r="B42" s="126"/>
      <c r="C42" s="127"/>
      <c r="D42" s="126"/>
      <c r="E42" s="127"/>
      <c r="F42" s="126"/>
      <c r="G42" s="127"/>
      <c r="H42" s="126"/>
      <c r="I42" s="128"/>
      <c r="J42" s="126"/>
      <c r="K42" s="128"/>
      <c r="L42" s="126"/>
      <c r="M42" s="128"/>
      <c r="N42" s="105" t="s">
        <v>38</v>
      </c>
    </row>
    <row r="43" spans="1:14" ht="15.75" customHeight="1">
      <c r="A43" s="99" t="s">
        <v>70</v>
      </c>
      <c r="B43" s="126">
        <f>_xlfn.COMPOUNDVALUE(453)</f>
        <v>4729</v>
      </c>
      <c r="C43" s="127">
        <v>157465851</v>
      </c>
      <c r="D43" s="126">
        <f>_xlfn.COMPOUNDVALUE(454)</f>
        <v>1507</v>
      </c>
      <c r="E43" s="127">
        <v>866322</v>
      </c>
      <c r="F43" s="126">
        <f>_xlfn.COMPOUNDVALUE(455)</f>
        <v>6236</v>
      </c>
      <c r="G43" s="127">
        <v>158332173</v>
      </c>
      <c r="H43" s="126">
        <f>_xlfn.COMPOUNDVALUE(456)</f>
        <v>838</v>
      </c>
      <c r="I43" s="128">
        <v>46315530</v>
      </c>
      <c r="J43" s="126">
        <v>604</v>
      </c>
      <c r="K43" s="128">
        <v>231105</v>
      </c>
      <c r="L43" s="126">
        <v>7178</v>
      </c>
      <c r="M43" s="128">
        <v>112247748</v>
      </c>
      <c r="N43" s="86" t="s">
        <v>70</v>
      </c>
    </row>
    <row r="44" spans="1:14" ht="15.75" customHeight="1">
      <c r="A44" s="76" t="s">
        <v>71</v>
      </c>
      <c r="B44" s="126">
        <f>_xlfn.COMPOUNDVALUE(457)</f>
        <v>2542</v>
      </c>
      <c r="C44" s="127">
        <v>62799104</v>
      </c>
      <c r="D44" s="126">
        <f>_xlfn.COMPOUNDVALUE(458)</f>
        <v>1059</v>
      </c>
      <c r="E44" s="127">
        <v>587424</v>
      </c>
      <c r="F44" s="126">
        <f>_xlfn.COMPOUNDVALUE(459)</f>
        <v>3601</v>
      </c>
      <c r="G44" s="127">
        <v>63386528</v>
      </c>
      <c r="H44" s="126">
        <f>_xlfn.COMPOUNDVALUE(460)</f>
        <v>351</v>
      </c>
      <c r="I44" s="128">
        <v>3239933</v>
      </c>
      <c r="J44" s="126">
        <v>314</v>
      </c>
      <c r="K44" s="128">
        <v>398000</v>
      </c>
      <c r="L44" s="126">
        <v>4004</v>
      </c>
      <c r="M44" s="128">
        <v>60544594</v>
      </c>
      <c r="N44" s="86" t="s">
        <v>71</v>
      </c>
    </row>
    <row r="45" spans="1:14" ht="15.75" customHeight="1">
      <c r="A45" s="76" t="s">
        <v>72</v>
      </c>
      <c r="B45" s="126">
        <f>_xlfn.COMPOUNDVALUE(461)</f>
        <v>1697</v>
      </c>
      <c r="C45" s="127">
        <v>11898748</v>
      </c>
      <c r="D45" s="126">
        <f>_xlfn.COMPOUNDVALUE(462)</f>
        <v>930</v>
      </c>
      <c r="E45" s="127">
        <v>519802</v>
      </c>
      <c r="F45" s="126">
        <f>_xlfn.COMPOUNDVALUE(463)</f>
        <v>2627</v>
      </c>
      <c r="G45" s="127">
        <v>12418550</v>
      </c>
      <c r="H45" s="126">
        <f>_xlfn.COMPOUNDVALUE(464)</f>
        <v>196</v>
      </c>
      <c r="I45" s="128">
        <v>1554619</v>
      </c>
      <c r="J45" s="126">
        <v>201</v>
      </c>
      <c r="K45" s="128">
        <v>-9228</v>
      </c>
      <c r="L45" s="126">
        <v>2851</v>
      </c>
      <c r="M45" s="128">
        <v>10854702</v>
      </c>
      <c r="N45" s="86" t="s">
        <v>72</v>
      </c>
    </row>
    <row r="46" spans="1:14" ht="15.75" customHeight="1">
      <c r="A46" s="76" t="s">
        <v>73</v>
      </c>
      <c r="B46" s="126">
        <f>_xlfn.COMPOUNDVALUE(465)</f>
        <v>5744</v>
      </c>
      <c r="C46" s="127">
        <v>72492940</v>
      </c>
      <c r="D46" s="126">
        <f>_xlfn.COMPOUNDVALUE(466)</f>
        <v>2142</v>
      </c>
      <c r="E46" s="127">
        <v>1345263</v>
      </c>
      <c r="F46" s="126">
        <f>_xlfn.COMPOUNDVALUE(467)</f>
        <v>7886</v>
      </c>
      <c r="G46" s="127">
        <v>73838203</v>
      </c>
      <c r="H46" s="126">
        <f>_xlfn.COMPOUNDVALUE(468)</f>
        <v>722</v>
      </c>
      <c r="I46" s="128">
        <v>8427021</v>
      </c>
      <c r="J46" s="126">
        <v>486</v>
      </c>
      <c r="K46" s="128">
        <v>1675</v>
      </c>
      <c r="L46" s="126">
        <v>8714</v>
      </c>
      <c r="M46" s="128">
        <v>65412857</v>
      </c>
      <c r="N46" s="86" t="s">
        <v>73</v>
      </c>
    </row>
    <row r="47" spans="1:14" ht="15.75" customHeight="1">
      <c r="A47" s="76" t="s">
        <v>74</v>
      </c>
      <c r="B47" s="126">
        <f>_xlfn.COMPOUNDVALUE(469)</f>
        <v>3678</v>
      </c>
      <c r="C47" s="127">
        <v>45210904</v>
      </c>
      <c r="D47" s="126">
        <f>_xlfn.COMPOUNDVALUE(470)</f>
        <v>1508</v>
      </c>
      <c r="E47" s="127">
        <v>831145</v>
      </c>
      <c r="F47" s="126">
        <f>_xlfn.COMPOUNDVALUE(471)</f>
        <v>5186</v>
      </c>
      <c r="G47" s="127">
        <v>46042049</v>
      </c>
      <c r="H47" s="126">
        <f>_xlfn.COMPOUNDVALUE(472)</f>
        <v>356</v>
      </c>
      <c r="I47" s="128">
        <v>15350279</v>
      </c>
      <c r="J47" s="126">
        <v>404</v>
      </c>
      <c r="K47" s="128">
        <v>92703</v>
      </c>
      <c r="L47" s="126">
        <v>5588</v>
      </c>
      <c r="M47" s="128">
        <v>30784473</v>
      </c>
      <c r="N47" s="86" t="s">
        <v>74</v>
      </c>
    </row>
    <row r="48" spans="1:14" ht="15.75" customHeight="1">
      <c r="A48" s="76"/>
      <c r="B48" s="126"/>
      <c r="C48" s="127"/>
      <c r="D48" s="126"/>
      <c r="E48" s="127"/>
      <c r="F48" s="126"/>
      <c r="G48" s="127"/>
      <c r="H48" s="126"/>
      <c r="I48" s="128"/>
      <c r="J48" s="126"/>
      <c r="K48" s="128"/>
      <c r="L48" s="126"/>
      <c r="M48" s="128"/>
      <c r="N48" s="86" t="s">
        <v>38</v>
      </c>
    </row>
    <row r="49" spans="1:14" ht="15.75" customHeight="1">
      <c r="A49" s="76" t="s">
        <v>75</v>
      </c>
      <c r="B49" s="126">
        <f>_xlfn.COMPOUNDVALUE(473)</f>
        <v>1910</v>
      </c>
      <c r="C49" s="127">
        <v>11303589</v>
      </c>
      <c r="D49" s="126">
        <f>_xlfn.COMPOUNDVALUE(474)</f>
        <v>949</v>
      </c>
      <c r="E49" s="127">
        <v>539128</v>
      </c>
      <c r="F49" s="126">
        <f>_xlfn.COMPOUNDVALUE(475)</f>
        <v>2859</v>
      </c>
      <c r="G49" s="127">
        <v>11842717</v>
      </c>
      <c r="H49" s="126">
        <f>_xlfn.COMPOUNDVALUE(476)</f>
        <v>264</v>
      </c>
      <c r="I49" s="128">
        <v>9076616</v>
      </c>
      <c r="J49" s="126">
        <v>173</v>
      </c>
      <c r="K49" s="128">
        <v>43968</v>
      </c>
      <c r="L49" s="126">
        <v>3159</v>
      </c>
      <c r="M49" s="128">
        <v>2810069</v>
      </c>
      <c r="N49" s="86" t="s">
        <v>75</v>
      </c>
    </row>
    <row r="50" spans="1:14" ht="15.75" customHeight="1">
      <c r="A50" s="76" t="s">
        <v>76</v>
      </c>
      <c r="B50" s="126">
        <f>_xlfn.COMPOUNDVALUE(477)</f>
        <v>3947</v>
      </c>
      <c r="C50" s="127">
        <v>59322043</v>
      </c>
      <c r="D50" s="126">
        <f>_xlfn.COMPOUNDVALUE(478)</f>
        <v>2005</v>
      </c>
      <c r="E50" s="127">
        <v>1125596</v>
      </c>
      <c r="F50" s="126">
        <f>_xlfn.COMPOUNDVALUE(479)</f>
        <v>5952</v>
      </c>
      <c r="G50" s="127">
        <v>60447639</v>
      </c>
      <c r="H50" s="126">
        <f>_xlfn.COMPOUNDVALUE(480)</f>
        <v>351</v>
      </c>
      <c r="I50" s="128">
        <v>45188308</v>
      </c>
      <c r="J50" s="126">
        <v>508</v>
      </c>
      <c r="K50" s="128">
        <v>76957</v>
      </c>
      <c r="L50" s="126">
        <v>6367</v>
      </c>
      <c r="M50" s="128">
        <v>15336287</v>
      </c>
      <c r="N50" s="86" t="s">
        <v>76</v>
      </c>
    </row>
    <row r="51" spans="1:14" ht="15.75" customHeight="1">
      <c r="A51" s="76" t="s">
        <v>77</v>
      </c>
      <c r="B51" s="126">
        <f>_xlfn.COMPOUNDVALUE(481)</f>
        <v>3783</v>
      </c>
      <c r="C51" s="127">
        <v>22328701</v>
      </c>
      <c r="D51" s="126">
        <f>_xlfn.COMPOUNDVALUE(482)</f>
        <v>1747</v>
      </c>
      <c r="E51" s="127">
        <v>1034494</v>
      </c>
      <c r="F51" s="126">
        <f>_xlfn.COMPOUNDVALUE(483)</f>
        <v>5530</v>
      </c>
      <c r="G51" s="127">
        <v>23363194</v>
      </c>
      <c r="H51" s="126">
        <f>_xlfn.COMPOUNDVALUE(484)</f>
        <v>511</v>
      </c>
      <c r="I51" s="128">
        <v>1373236</v>
      </c>
      <c r="J51" s="126">
        <v>391</v>
      </c>
      <c r="K51" s="128">
        <v>102881</v>
      </c>
      <c r="L51" s="126">
        <v>6108</v>
      </c>
      <c r="M51" s="128">
        <v>22092840</v>
      </c>
      <c r="N51" s="86" t="s">
        <v>77</v>
      </c>
    </row>
    <row r="52" spans="1:14" ht="15.75" customHeight="1">
      <c r="A52" s="76" t="s">
        <v>78</v>
      </c>
      <c r="B52" s="126">
        <f>_xlfn.COMPOUNDVALUE(485)</f>
        <v>3378</v>
      </c>
      <c r="C52" s="127">
        <v>20082954</v>
      </c>
      <c r="D52" s="126">
        <f>_xlfn.COMPOUNDVALUE(486)</f>
        <v>1702</v>
      </c>
      <c r="E52" s="127">
        <v>1038585</v>
      </c>
      <c r="F52" s="126">
        <f>_xlfn.COMPOUNDVALUE(487)</f>
        <v>5080</v>
      </c>
      <c r="G52" s="127">
        <v>21121539</v>
      </c>
      <c r="H52" s="126">
        <f>_xlfn.COMPOUNDVALUE(488)</f>
        <v>361</v>
      </c>
      <c r="I52" s="128">
        <v>542796</v>
      </c>
      <c r="J52" s="126">
        <v>371</v>
      </c>
      <c r="K52" s="128">
        <v>76329</v>
      </c>
      <c r="L52" s="126">
        <v>5518</v>
      </c>
      <c r="M52" s="128">
        <v>20655072</v>
      </c>
      <c r="N52" s="86" t="s">
        <v>78</v>
      </c>
    </row>
    <row r="53" spans="1:14" ht="15.75" customHeight="1">
      <c r="A53" s="76" t="s">
        <v>79</v>
      </c>
      <c r="B53" s="126">
        <f>_xlfn.COMPOUNDVALUE(489)</f>
        <v>3381</v>
      </c>
      <c r="C53" s="127">
        <v>39019402</v>
      </c>
      <c r="D53" s="126">
        <f>_xlfn.COMPOUNDVALUE(490)</f>
        <v>1562</v>
      </c>
      <c r="E53" s="127">
        <v>1025851</v>
      </c>
      <c r="F53" s="126">
        <f>_xlfn.COMPOUNDVALUE(491)</f>
        <v>4943</v>
      </c>
      <c r="G53" s="127">
        <v>40045254</v>
      </c>
      <c r="H53" s="126">
        <f>_xlfn.COMPOUNDVALUE(492)</f>
        <v>496</v>
      </c>
      <c r="I53" s="128">
        <v>2804147</v>
      </c>
      <c r="J53" s="126">
        <v>318</v>
      </c>
      <c r="K53" s="128">
        <v>-6306</v>
      </c>
      <c r="L53" s="126">
        <v>5491</v>
      </c>
      <c r="M53" s="128">
        <v>37234801</v>
      </c>
      <c r="N53" s="86" t="s">
        <v>79</v>
      </c>
    </row>
    <row r="54" spans="1:14" ht="15.75" customHeight="1">
      <c r="A54" s="76"/>
      <c r="B54" s="126"/>
      <c r="C54" s="127"/>
      <c r="D54" s="126"/>
      <c r="E54" s="127"/>
      <c r="F54" s="126"/>
      <c r="G54" s="127"/>
      <c r="H54" s="126"/>
      <c r="I54" s="128"/>
      <c r="J54" s="126"/>
      <c r="K54" s="128"/>
      <c r="L54" s="126"/>
      <c r="M54" s="128"/>
      <c r="N54" s="86" t="s">
        <v>38</v>
      </c>
    </row>
    <row r="55" spans="1:14" ht="15.75" customHeight="1">
      <c r="A55" s="76" t="s">
        <v>80</v>
      </c>
      <c r="B55" s="126">
        <f>_xlfn.COMPOUNDVALUE(493)</f>
        <v>20463</v>
      </c>
      <c r="C55" s="127">
        <v>463420885</v>
      </c>
      <c r="D55" s="126">
        <f>_xlfn.COMPOUNDVALUE(494)</f>
        <v>5021</v>
      </c>
      <c r="E55" s="127">
        <v>4090171</v>
      </c>
      <c r="F55" s="126">
        <f>_xlfn.COMPOUNDVALUE(495)</f>
        <v>25484</v>
      </c>
      <c r="G55" s="127">
        <v>467511056</v>
      </c>
      <c r="H55" s="126">
        <f>_xlfn.COMPOUNDVALUE(496)</f>
        <v>2799</v>
      </c>
      <c r="I55" s="128">
        <v>107214778</v>
      </c>
      <c r="J55" s="126">
        <v>1909</v>
      </c>
      <c r="K55" s="128">
        <v>1347083</v>
      </c>
      <c r="L55" s="126">
        <v>28656</v>
      </c>
      <c r="M55" s="128">
        <v>361643361</v>
      </c>
      <c r="N55" s="86" t="s">
        <v>80</v>
      </c>
    </row>
    <row r="56" spans="1:14" ht="15.75" customHeight="1">
      <c r="A56" s="76" t="s">
        <v>81</v>
      </c>
      <c r="B56" s="126">
        <f>_xlfn.COMPOUNDVALUE(497)</f>
        <v>4231</v>
      </c>
      <c r="C56" s="127">
        <v>70451027</v>
      </c>
      <c r="D56" s="126">
        <f>_xlfn.COMPOUNDVALUE(498)</f>
        <v>1778</v>
      </c>
      <c r="E56" s="127">
        <v>1117654</v>
      </c>
      <c r="F56" s="126">
        <f>_xlfn.COMPOUNDVALUE(499)</f>
        <v>6009</v>
      </c>
      <c r="G56" s="127">
        <v>71568680</v>
      </c>
      <c r="H56" s="126">
        <f>_xlfn.COMPOUNDVALUE(500)</f>
        <v>574</v>
      </c>
      <c r="I56" s="128">
        <v>3658535</v>
      </c>
      <c r="J56" s="126">
        <v>430</v>
      </c>
      <c r="K56" s="128">
        <v>105069</v>
      </c>
      <c r="L56" s="126">
        <v>6641</v>
      </c>
      <c r="M56" s="128">
        <v>68015214</v>
      </c>
      <c r="N56" s="86" t="s">
        <v>81</v>
      </c>
    </row>
    <row r="57" spans="1:14" ht="15.75" customHeight="1">
      <c r="A57" s="76" t="s">
        <v>82</v>
      </c>
      <c r="B57" s="126">
        <f>_xlfn.COMPOUNDVALUE(501)</f>
        <v>3223</v>
      </c>
      <c r="C57" s="127">
        <v>20969150</v>
      </c>
      <c r="D57" s="126">
        <f>_xlfn.COMPOUNDVALUE(502)</f>
        <v>1466</v>
      </c>
      <c r="E57" s="127">
        <v>912954</v>
      </c>
      <c r="F57" s="126">
        <f>_xlfn.COMPOUNDVALUE(503)</f>
        <v>4689</v>
      </c>
      <c r="G57" s="127">
        <v>21882104</v>
      </c>
      <c r="H57" s="126">
        <f>_xlfn.COMPOUNDVALUE(504)</f>
        <v>372</v>
      </c>
      <c r="I57" s="128">
        <v>1735893</v>
      </c>
      <c r="J57" s="126">
        <v>323</v>
      </c>
      <c r="K57" s="128">
        <v>71071</v>
      </c>
      <c r="L57" s="126">
        <v>5130</v>
      </c>
      <c r="M57" s="128">
        <v>20217283</v>
      </c>
      <c r="N57" s="86" t="s">
        <v>82</v>
      </c>
    </row>
    <row r="58" spans="1:14" ht="15.75" customHeight="1">
      <c r="A58" s="76" t="s">
        <v>83</v>
      </c>
      <c r="B58" s="126">
        <f>_xlfn.COMPOUNDVALUE(505)</f>
        <v>2443</v>
      </c>
      <c r="C58" s="127">
        <v>17012443</v>
      </c>
      <c r="D58" s="126">
        <f>_xlfn.COMPOUNDVALUE(506)</f>
        <v>1181</v>
      </c>
      <c r="E58" s="127">
        <v>723950</v>
      </c>
      <c r="F58" s="126">
        <f>_xlfn.COMPOUNDVALUE(507)</f>
        <v>3624</v>
      </c>
      <c r="G58" s="127">
        <v>17736393</v>
      </c>
      <c r="H58" s="126">
        <f>_xlfn.COMPOUNDVALUE(508)</f>
        <v>317</v>
      </c>
      <c r="I58" s="128">
        <v>1024040</v>
      </c>
      <c r="J58" s="126">
        <v>234</v>
      </c>
      <c r="K58" s="128">
        <v>44931</v>
      </c>
      <c r="L58" s="126">
        <v>3988</v>
      </c>
      <c r="M58" s="128">
        <v>16757284</v>
      </c>
      <c r="N58" s="86" t="s">
        <v>83</v>
      </c>
    </row>
    <row r="59" spans="1:14" ht="15.75" customHeight="1">
      <c r="A59" s="76" t="s">
        <v>84</v>
      </c>
      <c r="B59" s="126">
        <f>_xlfn.COMPOUNDVALUE(509)</f>
        <v>8280</v>
      </c>
      <c r="C59" s="127">
        <v>122252434</v>
      </c>
      <c r="D59" s="126">
        <f>_xlfn.COMPOUNDVALUE(510)</f>
        <v>2683</v>
      </c>
      <c r="E59" s="127">
        <v>1829008</v>
      </c>
      <c r="F59" s="126">
        <f>_xlfn.COMPOUNDVALUE(511)</f>
        <v>10963</v>
      </c>
      <c r="G59" s="127">
        <v>124081441</v>
      </c>
      <c r="H59" s="126">
        <f>_xlfn.COMPOUNDVALUE(512)</f>
        <v>1526</v>
      </c>
      <c r="I59" s="128">
        <v>12343350</v>
      </c>
      <c r="J59" s="126">
        <v>951</v>
      </c>
      <c r="K59" s="128">
        <v>26981</v>
      </c>
      <c r="L59" s="126">
        <v>12661</v>
      </c>
      <c r="M59" s="128">
        <v>111765072</v>
      </c>
      <c r="N59" s="86" t="s">
        <v>84</v>
      </c>
    </row>
    <row r="60" spans="1:14" ht="15.75" customHeight="1">
      <c r="A60" s="76"/>
      <c r="B60" s="126"/>
      <c r="C60" s="127"/>
      <c r="D60" s="126"/>
      <c r="E60" s="127"/>
      <c r="F60" s="126"/>
      <c r="G60" s="127"/>
      <c r="H60" s="126"/>
      <c r="I60" s="128"/>
      <c r="J60" s="126"/>
      <c r="K60" s="128"/>
      <c r="L60" s="126"/>
      <c r="M60" s="128"/>
      <c r="N60" s="86" t="s">
        <v>38</v>
      </c>
    </row>
    <row r="61" spans="1:14" ht="15.75" customHeight="1">
      <c r="A61" s="76" t="s">
        <v>85</v>
      </c>
      <c r="B61" s="126">
        <f>_xlfn.COMPOUNDVALUE(513)</f>
        <v>3807</v>
      </c>
      <c r="C61" s="127">
        <v>49594431</v>
      </c>
      <c r="D61" s="126">
        <f>_xlfn.COMPOUNDVALUE(514)</f>
        <v>1762</v>
      </c>
      <c r="E61" s="127">
        <v>989671</v>
      </c>
      <c r="F61" s="126">
        <f>_xlfn.COMPOUNDVALUE(515)</f>
        <v>5569</v>
      </c>
      <c r="G61" s="127">
        <v>50584101</v>
      </c>
      <c r="H61" s="126">
        <f>_xlfn.COMPOUNDVALUE(516)</f>
        <v>500</v>
      </c>
      <c r="I61" s="128">
        <v>2981762</v>
      </c>
      <c r="J61" s="126">
        <v>401</v>
      </c>
      <c r="K61" s="128">
        <v>-68958</v>
      </c>
      <c r="L61" s="126">
        <v>6114</v>
      </c>
      <c r="M61" s="128">
        <v>47533381</v>
      </c>
      <c r="N61" s="86" t="s">
        <v>85</v>
      </c>
    </row>
    <row r="62" spans="1:14" ht="15.75" customHeight="1">
      <c r="A62" s="76" t="s">
        <v>86</v>
      </c>
      <c r="B62" s="126">
        <f>_xlfn.COMPOUNDVALUE(517)</f>
        <v>3274</v>
      </c>
      <c r="C62" s="127">
        <v>26259328</v>
      </c>
      <c r="D62" s="126">
        <f>_xlfn.COMPOUNDVALUE(518)</f>
        <v>1418</v>
      </c>
      <c r="E62" s="127">
        <v>790324</v>
      </c>
      <c r="F62" s="126">
        <f>_xlfn.COMPOUNDVALUE(519)</f>
        <v>4692</v>
      </c>
      <c r="G62" s="127">
        <v>27049652</v>
      </c>
      <c r="H62" s="126">
        <f>_xlfn.COMPOUNDVALUE(520)</f>
        <v>440</v>
      </c>
      <c r="I62" s="128">
        <v>1714126</v>
      </c>
      <c r="J62" s="126">
        <v>317</v>
      </c>
      <c r="K62" s="128">
        <v>59601</v>
      </c>
      <c r="L62" s="126">
        <v>5199</v>
      </c>
      <c r="M62" s="128">
        <v>25395127</v>
      </c>
      <c r="N62" s="86" t="s">
        <v>86</v>
      </c>
    </row>
    <row r="63" spans="1:14" ht="15.75" customHeight="1">
      <c r="A63" s="76" t="s">
        <v>87</v>
      </c>
      <c r="B63" s="126">
        <f>_xlfn.COMPOUNDVALUE(521)</f>
        <v>5933</v>
      </c>
      <c r="C63" s="127">
        <v>44988425</v>
      </c>
      <c r="D63" s="126">
        <f>_xlfn.COMPOUNDVALUE(522)</f>
        <v>2561</v>
      </c>
      <c r="E63" s="127">
        <v>1460419</v>
      </c>
      <c r="F63" s="126">
        <f>_xlfn.COMPOUNDVALUE(523)</f>
        <v>8494</v>
      </c>
      <c r="G63" s="127">
        <v>46448844</v>
      </c>
      <c r="H63" s="126">
        <f>_xlfn.COMPOUNDVALUE(524)</f>
        <v>614</v>
      </c>
      <c r="I63" s="128">
        <v>3782789</v>
      </c>
      <c r="J63" s="126">
        <v>613</v>
      </c>
      <c r="K63" s="128">
        <v>-25657</v>
      </c>
      <c r="L63" s="126">
        <v>9211</v>
      </c>
      <c r="M63" s="128">
        <v>42640397</v>
      </c>
      <c r="N63" s="86" t="s">
        <v>87</v>
      </c>
    </row>
    <row r="64" spans="1:14" ht="15.75" customHeight="1">
      <c r="A64" s="76" t="s">
        <v>88</v>
      </c>
      <c r="B64" s="126">
        <f>_xlfn.COMPOUNDVALUE(525)</f>
        <v>4131</v>
      </c>
      <c r="C64" s="127">
        <v>18992960</v>
      </c>
      <c r="D64" s="126">
        <f>_xlfn.COMPOUNDVALUE(526)</f>
        <v>1841</v>
      </c>
      <c r="E64" s="127">
        <v>1072325</v>
      </c>
      <c r="F64" s="126">
        <f>_xlfn.COMPOUNDVALUE(527)</f>
        <v>5972</v>
      </c>
      <c r="G64" s="127">
        <v>20065284</v>
      </c>
      <c r="H64" s="126">
        <f>_xlfn.COMPOUNDVALUE(528)</f>
        <v>488</v>
      </c>
      <c r="I64" s="128">
        <v>5518321</v>
      </c>
      <c r="J64" s="126">
        <v>373</v>
      </c>
      <c r="K64" s="128">
        <v>45559</v>
      </c>
      <c r="L64" s="126">
        <v>6506</v>
      </c>
      <c r="M64" s="128">
        <v>14592522</v>
      </c>
      <c r="N64" s="86" t="s">
        <v>88</v>
      </c>
    </row>
    <row r="65" spans="1:14" ht="15.75" customHeight="1">
      <c r="A65" s="78" t="s">
        <v>89</v>
      </c>
      <c r="B65" s="131">
        <f>_xlfn.COMPOUNDVALUE(529)</f>
        <v>2341</v>
      </c>
      <c r="C65" s="132">
        <v>8673625</v>
      </c>
      <c r="D65" s="131">
        <f>_xlfn.COMPOUNDVALUE(530)</f>
        <v>1253</v>
      </c>
      <c r="E65" s="132">
        <v>714284</v>
      </c>
      <c r="F65" s="131">
        <f>_xlfn.COMPOUNDVALUE(531)</f>
        <v>3594</v>
      </c>
      <c r="G65" s="132">
        <v>9387909</v>
      </c>
      <c r="H65" s="131">
        <f>_xlfn.COMPOUNDVALUE(532)</f>
        <v>226</v>
      </c>
      <c r="I65" s="133">
        <v>367165</v>
      </c>
      <c r="J65" s="131">
        <v>254</v>
      </c>
      <c r="K65" s="133">
        <v>54485</v>
      </c>
      <c r="L65" s="131">
        <v>3891</v>
      </c>
      <c r="M65" s="133">
        <v>9075229</v>
      </c>
      <c r="N65" s="77" t="s">
        <v>89</v>
      </c>
    </row>
    <row r="66" spans="1:14" ht="15.75" customHeight="1">
      <c r="A66" s="78"/>
      <c r="B66" s="131"/>
      <c r="C66" s="132"/>
      <c r="D66" s="131"/>
      <c r="E66" s="132"/>
      <c r="F66" s="131"/>
      <c r="G66" s="132"/>
      <c r="H66" s="131"/>
      <c r="I66" s="133"/>
      <c r="J66" s="131"/>
      <c r="K66" s="133"/>
      <c r="L66" s="131"/>
      <c r="M66" s="133"/>
      <c r="N66" s="77" t="s">
        <v>38</v>
      </c>
    </row>
    <row r="67" spans="1:14" ht="15.75" customHeight="1">
      <c r="A67" s="78" t="s">
        <v>90</v>
      </c>
      <c r="B67" s="131">
        <f>_xlfn.COMPOUNDVALUE(533)</f>
        <v>4477</v>
      </c>
      <c r="C67" s="132">
        <v>24898211</v>
      </c>
      <c r="D67" s="131">
        <f>_xlfn.COMPOUNDVALUE(534)</f>
        <v>1814</v>
      </c>
      <c r="E67" s="132">
        <v>1063930</v>
      </c>
      <c r="F67" s="131">
        <f>_xlfn.COMPOUNDVALUE(535)</f>
        <v>6291</v>
      </c>
      <c r="G67" s="132">
        <v>25962141</v>
      </c>
      <c r="H67" s="131">
        <f>_xlfn.COMPOUNDVALUE(536)</f>
        <v>416</v>
      </c>
      <c r="I67" s="133">
        <v>2662828</v>
      </c>
      <c r="J67" s="131">
        <v>396</v>
      </c>
      <c r="K67" s="133">
        <v>80457</v>
      </c>
      <c r="L67" s="131">
        <v>6776</v>
      </c>
      <c r="M67" s="133">
        <v>23379771</v>
      </c>
      <c r="N67" s="77" t="s">
        <v>90</v>
      </c>
    </row>
    <row r="68" spans="1:14" ht="15.75" customHeight="1">
      <c r="A68" s="78" t="s">
        <v>91</v>
      </c>
      <c r="B68" s="131">
        <f>_xlfn.COMPOUNDVALUE(537)</f>
        <v>3643</v>
      </c>
      <c r="C68" s="132">
        <v>19052740</v>
      </c>
      <c r="D68" s="131">
        <f>_xlfn.COMPOUNDVALUE(538)</f>
        <v>1539</v>
      </c>
      <c r="E68" s="132">
        <v>896373</v>
      </c>
      <c r="F68" s="131">
        <f>_xlfn.COMPOUNDVALUE(539)</f>
        <v>5182</v>
      </c>
      <c r="G68" s="132">
        <v>19949113</v>
      </c>
      <c r="H68" s="131">
        <f>_xlfn.COMPOUNDVALUE(540)</f>
        <v>338</v>
      </c>
      <c r="I68" s="133">
        <v>1431086</v>
      </c>
      <c r="J68" s="131">
        <v>306</v>
      </c>
      <c r="K68" s="133">
        <v>-3874</v>
      </c>
      <c r="L68" s="131">
        <v>5574</v>
      </c>
      <c r="M68" s="133">
        <v>18514153</v>
      </c>
      <c r="N68" s="77" t="s">
        <v>91</v>
      </c>
    </row>
    <row r="69" spans="1:14" ht="15.75" customHeight="1">
      <c r="A69" s="78" t="s">
        <v>92</v>
      </c>
      <c r="B69" s="131">
        <f>_xlfn.COMPOUNDVALUE(541)</f>
        <v>4818</v>
      </c>
      <c r="C69" s="132">
        <v>23082829</v>
      </c>
      <c r="D69" s="131">
        <f>_xlfn.COMPOUNDVALUE(542)</f>
        <v>2385</v>
      </c>
      <c r="E69" s="132">
        <v>1324139</v>
      </c>
      <c r="F69" s="131">
        <f>_xlfn.COMPOUNDVALUE(543)</f>
        <v>7203</v>
      </c>
      <c r="G69" s="132">
        <v>24406968</v>
      </c>
      <c r="H69" s="131">
        <f>_xlfn.COMPOUNDVALUE(544)</f>
        <v>545</v>
      </c>
      <c r="I69" s="133">
        <v>1915999</v>
      </c>
      <c r="J69" s="131">
        <v>570</v>
      </c>
      <c r="K69" s="133">
        <v>38939</v>
      </c>
      <c r="L69" s="131">
        <v>7835</v>
      </c>
      <c r="M69" s="133">
        <v>22529908</v>
      </c>
      <c r="N69" s="77" t="s">
        <v>92</v>
      </c>
    </row>
    <row r="70" spans="1:14" ht="15.75" customHeight="1">
      <c r="A70" s="78" t="s">
        <v>93</v>
      </c>
      <c r="B70" s="131">
        <f>_xlfn.COMPOUNDVALUE(545)</f>
        <v>5317</v>
      </c>
      <c r="C70" s="132">
        <v>25745269</v>
      </c>
      <c r="D70" s="131">
        <f>_xlfn.COMPOUNDVALUE(546)</f>
        <v>2431</v>
      </c>
      <c r="E70" s="132">
        <v>1412692</v>
      </c>
      <c r="F70" s="131">
        <f>_xlfn.COMPOUNDVALUE(547)</f>
        <v>7748</v>
      </c>
      <c r="G70" s="132">
        <v>27157961</v>
      </c>
      <c r="H70" s="131">
        <f>_xlfn.COMPOUNDVALUE(548)</f>
        <v>539</v>
      </c>
      <c r="I70" s="133">
        <v>2339594</v>
      </c>
      <c r="J70" s="131">
        <v>668</v>
      </c>
      <c r="K70" s="133">
        <v>130869</v>
      </c>
      <c r="L70" s="131">
        <v>8389</v>
      </c>
      <c r="M70" s="133">
        <v>24949236</v>
      </c>
      <c r="N70" s="77" t="s">
        <v>93</v>
      </c>
    </row>
    <row r="71" spans="1:14" ht="15.75" customHeight="1">
      <c r="A71" s="78" t="s">
        <v>94</v>
      </c>
      <c r="B71" s="131">
        <f>_xlfn.COMPOUNDVALUE(549)</f>
        <v>2556</v>
      </c>
      <c r="C71" s="132">
        <v>18389103</v>
      </c>
      <c r="D71" s="131">
        <f>_xlfn.COMPOUNDVALUE(550)</f>
        <v>1044</v>
      </c>
      <c r="E71" s="132">
        <v>633091</v>
      </c>
      <c r="F71" s="131">
        <f>_xlfn.COMPOUNDVALUE(551)</f>
        <v>3600</v>
      </c>
      <c r="G71" s="132">
        <v>19022194</v>
      </c>
      <c r="H71" s="131">
        <f>_xlfn.COMPOUNDVALUE(552)</f>
        <v>279</v>
      </c>
      <c r="I71" s="133">
        <v>1561728</v>
      </c>
      <c r="J71" s="131">
        <v>251</v>
      </c>
      <c r="K71" s="133">
        <v>18935</v>
      </c>
      <c r="L71" s="131">
        <v>3912</v>
      </c>
      <c r="M71" s="133">
        <v>17479401</v>
      </c>
      <c r="N71" s="77" t="s">
        <v>94</v>
      </c>
    </row>
    <row r="72" spans="1:14" ht="15.75" customHeight="1">
      <c r="A72" s="181" t="s">
        <v>170</v>
      </c>
      <c r="B72" s="182">
        <v>232955</v>
      </c>
      <c r="C72" s="183">
        <v>6123281905</v>
      </c>
      <c r="D72" s="162">
        <v>73071</v>
      </c>
      <c r="E72" s="163">
        <v>50985860</v>
      </c>
      <c r="F72" s="162">
        <v>306026</v>
      </c>
      <c r="G72" s="163">
        <v>6174267757</v>
      </c>
      <c r="H72" s="162">
        <v>41599</v>
      </c>
      <c r="I72" s="164">
        <v>1975568485</v>
      </c>
      <c r="J72" s="162">
        <v>24220</v>
      </c>
      <c r="K72" s="164">
        <v>2998813</v>
      </c>
      <c r="L72" s="162">
        <v>351456</v>
      </c>
      <c r="M72" s="164">
        <v>4201698087</v>
      </c>
      <c r="N72" s="165" t="s">
        <v>96</v>
      </c>
    </row>
    <row r="73" spans="1:14" ht="15.75" customHeight="1">
      <c r="A73" s="176"/>
      <c r="B73" s="177"/>
      <c r="C73" s="178"/>
      <c r="D73" s="177"/>
      <c r="E73" s="178"/>
      <c r="F73" s="177"/>
      <c r="G73" s="178"/>
      <c r="H73" s="177"/>
      <c r="I73" s="179"/>
      <c r="J73" s="177"/>
      <c r="K73" s="179"/>
      <c r="L73" s="177"/>
      <c r="M73" s="179"/>
      <c r="N73" s="180" t="s">
        <v>38</v>
      </c>
    </row>
    <row r="74" spans="1:14" ht="15.75" customHeight="1">
      <c r="A74" s="76" t="s">
        <v>97</v>
      </c>
      <c r="B74" s="126">
        <f>_xlfn.COMPOUNDVALUE(553)</f>
        <v>4730</v>
      </c>
      <c r="C74" s="127">
        <v>28499094</v>
      </c>
      <c r="D74" s="126">
        <f>_xlfn.COMPOUNDVALUE(554)</f>
        <v>2220</v>
      </c>
      <c r="E74" s="127">
        <v>1341290</v>
      </c>
      <c r="F74" s="126">
        <f>_xlfn.COMPOUNDVALUE(555)</f>
        <v>6950</v>
      </c>
      <c r="G74" s="127">
        <v>29840384</v>
      </c>
      <c r="H74" s="126">
        <f>_xlfn.COMPOUNDVALUE(556)</f>
        <v>437</v>
      </c>
      <c r="I74" s="128">
        <v>13999345</v>
      </c>
      <c r="J74" s="126">
        <v>503</v>
      </c>
      <c r="K74" s="128">
        <v>112571</v>
      </c>
      <c r="L74" s="126">
        <v>7468</v>
      </c>
      <c r="M74" s="128">
        <v>15953610</v>
      </c>
      <c r="N74" s="86" t="s">
        <v>97</v>
      </c>
    </row>
    <row r="75" spans="1:14" ht="15.75" customHeight="1">
      <c r="A75" s="78" t="s">
        <v>98</v>
      </c>
      <c r="B75" s="131">
        <f>_xlfn.COMPOUNDVALUE(557)</f>
        <v>5752</v>
      </c>
      <c r="C75" s="132">
        <v>41322947</v>
      </c>
      <c r="D75" s="131">
        <f>_xlfn.COMPOUNDVALUE(558)</f>
        <v>2663</v>
      </c>
      <c r="E75" s="132">
        <v>1710548</v>
      </c>
      <c r="F75" s="131">
        <f>_xlfn.COMPOUNDVALUE(559)</f>
        <v>8415</v>
      </c>
      <c r="G75" s="132">
        <v>43033495</v>
      </c>
      <c r="H75" s="131">
        <f>_xlfn.COMPOUNDVALUE(560)</f>
        <v>544</v>
      </c>
      <c r="I75" s="133">
        <v>3592757</v>
      </c>
      <c r="J75" s="131">
        <v>526</v>
      </c>
      <c r="K75" s="133">
        <v>82657</v>
      </c>
      <c r="L75" s="131">
        <v>9040</v>
      </c>
      <c r="M75" s="133">
        <v>39523395</v>
      </c>
      <c r="N75" s="77" t="s">
        <v>98</v>
      </c>
    </row>
    <row r="76" spans="1:14" ht="15.75" customHeight="1">
      <c r="A76" s="78" t="s">
        <v>99</v>
      </c>
      <c r="B76" s="131">
        <f>_xlfn.COMPOUNDVALUE(561)</f>
        <v>3927</v>
      </c>
      <c r="C76" s="132">
        <v>37908261</v>
      </c>
      <c r="D76" s="131">
        <f>_xlfn.COMPOUNDVALUE(562)</f>
        <v>1984</v>
      </c>
      <c r="E76" s="132">
        <v>1215382</v>
      </c>
      <c r="F76" s="131">
        <f>_xlfn.COMPOUNDVALUE(563)</f>
        <v>5911</v>
      </c>
      <c r="G76" s="132">
        <v>39123643</v>
      </c>
      <c r="H76" s="131">
        <f>_xlfn.COMPOUNDVALUE(564)</f>
        <v>471</v>
      </c>
      <c r="I76" s="133">
        <v>6370520</v>
      </c>
      <c r="J76" s="131">
        <v>348</v>
      </c>
      <c r="K76" s="133">
        <v>2765</v>
      </c>
      <c r="L76" s="131">
        <v>6437</v>
      </c>
      <c r="M76" s="133">
        <v>32755889</v>
      </c>
      <c r="N76" s="77" t="s">
        <v>99</v>
      </c>
    </row>
    <row r="77" spans="1:14" ht="15.75" customHeight="1">
      <c r="A77" s="78" t="s">
        <v>100</v>
      </c>
      <c r="B77" s="131">
        <f>_xlfn.COMPOUNDVALUE(565)</f>
        <v>3344</v>
      </c>
      <c r="C77" s="132">
        <v>18571900</v>
      </c>
      <c r="D77" s="131">
        <f>_xlfn.COMPOUNDVALUE(566)</f>
        <v>1566</v>
      </c>
      <c r="E77" s="132">
        <v>956079</v>
      </c>
      <c r="F77" s="131">
        <f>_xlfn.COMPOUNDVALUE(567)</f>
        <v>4910</v>
      </c>
      <c r="G77" s="132">
        <v>19527979</v>
      </c>
      <c r="H77" s="131">
        <f>_xlfn.COMPOUNDVALUE(568)</f>
        <v>229</v>
      </c>
      <c r="I77" s="133">
        <v>2279024</v>
      </c>
      <c r="J77" s="131">
        <v>307</v>
      </c>
      <c r="K77" s="133">
        <v>49699</v>
      </c>
      <c r="L77" s="131">
        <v>5192</v>
      </c>
      <c r="M77" s="133">
        <v>17298654</v>
      </c>
      <c r="N77" s="77" t="s">
        <v>100</v>
      </c>
    </row>
    <row r="78" spans="1:14" ht="15.75" customHeight="1">
      <c r="A78" s="78" t="s">
        <v>101</v>
      </c>
      <c r="B78" s="131">
        <f>_xlfn.COMPOUNDVALUE(569)</f>
        <v>4507</v>
      </c>
      <c r="C78" s="132">
        <v>39133472</v>
      </c>
      <c r="D78" s="131">
        <f>_xlfn.COMPOUNDVALUE(570)</f>
        <v>2189</v>
      </c>
      <c r="E78" s="132">
        <v>1254750</v>
      </c>
      <c r="F78" s="131">
        <f>_xlfn.COMPOUNDVALUE(571)</f>
        <v>6696</v>
      </c>
      <c r="G78" s="132">
        <v>40388222</v>
      </c>
      <c r="H78" s="131">
        <f>_xlfn.COMPOUNDVALUE(572)</f>
        <v>411</v>
      </c>
      <c r="I78" s="133">
        <v>3809951</v>
      </c>
      <c r="J78" s="131">
        <v>449</v>
      </c>
      <c r="K78" s="133">
        <v>21699</v>
      </c>
      <c r="L78" s="131">
        <v>7173</v>
      </c>
      <c r="M78" s="133">
        <v>36599970</v>
      </c>
      <c r="N78" s="77" t="s">
        <v>101</v>
      </c>
    </row>
    <row r="79" spans="1:14" ht="15.75" customHeight="1">
      <c r="A79" s="104"/>
      <c r="B79" s="139"/>
      <c r="C79" s="140"/>
      <c r="D79" s="139"/>
      <c r="E79" s="140"/>
      <c r="F79" s="139"/>
      <c r="G79" s="140"/>
      <c r="H79" s="139"/>
      <c r="I79" s="141"/>
      <c r="J79" s="139"/>
      <c r="K79" s="141"/>
      <c r="L79" s="139"/>
      <c r="M79" s="141"/>
      <c r="N79" s="105" t="s">
        <v>38</v>
      </c>
    </row>
    <row r="80" spans="1:14" ht="15.75" customHeight="1">
      <c r="A80" s="99" t="s">
        <v>102</v>
      </c>
      <c r="B80" s="126">
        <f>_xlfn.COMPOUNDVALUE(573)</f>
        <v>3196</v>
      </c>
      <c r="C80" s="127">
        <v>15364464</v>
      </c>
      <c r="D80" s="126">
        <f>_xlfn.COMPOUNDVALUE(574)</f>
        <v>1603</v>
      </c>
      <c r="E80" s="127">
        <v>984575</v>
      </c>
      <c r="F80" s="126">
        <f>_xlfn.COMPOUNDVALUE(575)</f>
        <v>4799</v>
      </c>
      <c r="G80" s="127">
        <v>16349039</v>
      </c>
      <c r="H80" s="126">
        <f>_xlfn.COMPOUNDVALUE(576)</f>
        <v>342</v>
      </c>
      <c r="I80" s="128">
        <v>1184726</v>
      </c>
      <c r="J80" s="126">
        <v>322</v>
      </c>
      <c r="K80" s="128">
        <v>43420</v>
      </c>
      <c r="L80" s="126">
        <v>5214</v>
      </c>
      <c r="M80" s="128">
        <v>15207733</v>
      </c>
      <c r="N80" s="86" t="s">
        <v>102</v>
      </c>
    </row>
    <row r="81" spans="1:14" ht="15.75" customHeight="1">
      <c r="A81" s="78" t="s">
        <v>103</v>
      </c>
      <c r="B81" s="131">
        <f>_xlfn.COMPOUNDVALUE(577)</f>
        <v>2405</v>
      </c>
      <c r="C81" s="132">
        <v>17546779</v>
      </c>
      <c r="D81" s="131">
        <f>_xlfn.COMPOUNDVALUE(578)</f>
        <v>1182</v>
      </c>
      <c r="E81" s="132">
        <v>698000</v>
      </c>
      <c r="F81" s="131">
        <f>_xlfn.COMPOUNDVALUE(579)</f>
        <v>3587</v>
      </c>
      <c r="G81" s="132">
        <v>18244779</v>
      </c>
      <c r="H81" s="131">
        <f>_xlfn.COMPOUNDVALUE(580)</f>
        <v>228</v>
      </c>
      <c r="I81" s="133">
        <v>5988389</v>
      </c>
      <c r="J81" s="131">
        <v>176</v>
      </c>
      <c r="K81" s="133">
        <v>11394</v>
      </c>
      <c r="L81" s="131">
        <v>3845</v>
      </c>
      <c r="M81" s="133">
        <v>12267785</v>
      </c>
      <c r="N81" s="77" t="s">
        <v>103</v>
      </c>
    </row>
    <row r="82" spans="1:14" ht="15.75" customHeight="1">
      <c r="A82" s="78" t="s">
        <v>104</v>
      </c>
      <c r="B82" s="131">
        <f>_xlfn.COMPOUNDVALUE(581)</f>
        <v>4618</v>
      </c>
      <c r="C82" s="132">
        <v>22129585</v>
      </c>
      <c r="D82" s="131">
        <f>_xlfn.COMPOUNDVALUE(582)</f>
        <v>2358</v>
      </c>
      <c r="E82" s="132">
        <v>1360549</v>
      </c>
      <c r="F82" s="131">
        <f>_xlfn.COMPOUNDVALUE(583)</f>
        <v>6976</v>
      </c>
      <c r="G82" s="132">
        <v>23490133</v>
      </c>
      <c r="H82" s="131">
        <f>_xlfn.COMPOUNDVALUE(584)</f>
        <v>392</v>
      </c>
      <c r="I82" s="133">
        <v>3704973</v>
      </c>
      <c r="J82" s="131">
        <v>377</v>
      </c>
      <c r="K82" s="133">
        <v>28540</v>
      </c>
      <c r="L82" s="131">
        <v>7457</v>
      </c>
      <c r="M82" s="133">
        <v>19813700</v>
      </c>
      <c r="N82" s="77" t="s">
        <v>104</v>
      </c>
    </row>
    <row r="83" spans="1:14" ht="15.75" customHeight="1">
      <c r="A83" s="161" t="s">
        <v>171</v>
      </c>
      <c r="B83" s="162">
        <v>32479</v>
      </c>
      <c r="C83" s="163">
        <v>220476502</v>
      </c>
      <c r="D83" s="162">
        <v>15765</v>
      </c>
      <c r="E83" s="163">
        <v>9521173</v>
      </c>
      <c r="F83" s="162">
        <v>48244</v>
      </c>
      <c r="G83" s="163">
        <v>229997674</v>
      </c>
      <c r="H83" s="162">
        <v>3054</v>
      </c>
      <c r="I83" s="164">
        <v>40929685</v>
      </c>
      <c r="J83" s="162">
        <v>3008</v>
      </c>
      <c r="K83" s="164">
        <v>352745</v>
      </c>
      <c r="L83" s="162">
        <v>51826</v>
      </c>
      <c r="M83" s="164">
        <v>189420736</v>
      </c>
      <c r="N83" s="165" t="s">
        <v>106</v>
      </c>
    </row>
    <row r="84" spans="1:14" ht="15.75" customHeight="1">
      <c r="A84" s="176"/>
      <c r="B84" s="177"/>
      <c r="C84" s="178"/>
      <c r="D84" s="177"/>
      <c r="E84" s="178"/>
      <c r="F84" s="177"/>
      <c r="G84" s="178"/>
      <c r="H84" s="177"/>
      <c r="I84" s="179"/>
      <c r="J84" s="177"/>
      <c r="K84" s="179"/>
      <c r="L84" s="177"/>
      <c r="M84" s="179"/>
      <c r="N84" s="180" t="s">
        <v>38</v>
      </c>
    </row>
    <row r="85" spans="1:14" ht="15.75" customHeight="1">
      <c r="A85" s="171" t="s">
        <v>172</v>
      </c>
      <c r="B85" s="172">
        <v>265434</v>
      </c>
      <c r="C85" s="173">
        <v>6343758403</v>
      </c>
      <c r="D85" s="172">
        <v>88836</v>
      </c>
      <c r="E85" s="173">
        <v>60507029</v>
      </c>
      <c r="F85" s="172">
        <v>354270</v>
      </c>
      <c r="G85" s="173">
        <v>6404265432</v>
      </c>
      <c r="H85" s="172">
        <v>44653</v>
      </c>
      <c r="I85" s="174">
        <v>2016498169</v>
      </c>
      <c r="J85" s="172">
        <v>27228</v>
      </c>
      <c r="K85" s="174">
        <v>3351560</v>
      </c>
      <c r="L85" s="172">
        <v>403282</v>
      </c>
      <c r="M85" s="174">
        <v>4391118823</v>
      </c>
      <c r="N85" s="175" t="s">
        <v>108</v>
      </c>
    </row>
    <row r="86" spans="1:14" ht="15.75" customHeight="1">
      <c r="A86" s="166"/>
      <c r="B86" s="167"/>
      <c r="C86" s="168"/>
      <c r="D86" s="167"/>
      <c r="E86" s="168"/>
      <c r="F86" s="169"/>
      <c r="G86" s="168"/>
      <c r="H86" s="169"/>
      <c r="I86" s="168"/>
      <c r="J86" s="169"/>
      <c r="K86" s="168"/>
      <c r="L86" s="169"/>
      <c r="M86" s="168"/>
      <c r="N86" s="170"/>
    </row>
    <row r="87" spans="1:14" ht="15.75" customHeight="1">
      <c r="A87" s="76" t="s">
        <v>109</v>
      </c>
      <c r="B87" s="126">
        <f>_xlfn.COMPOUNDVALUE(585)</f>
        <v>2901</v>
      </c>
      <c r="C87" s="127">
        <v>28394423</v>
      </c>
      <c r="D87" s="126">
        <f>_xlfn.COMPOUNDVALUE(586)</f>
        <v>1321</v>
      </c>
      <c r="E87" s="127">
        <v>794828</v>
      </c>
      <c r="F87" s="126">
        <f>_xlfn.COMPOUNDVALUE(587)</f>
        <v>4222</v>
      </c>
      <c r="G87" s="127">
        <v>29189251</v>
      </c>
      <c r="H87" s="126">
        <f>_xlfn.COMPOUNDVALUE(588)</f>
        <v>284</v>
      </c>
      <c r="I87" s="128">
        <v>2019757</v>
      </c>
      <c r="J87" s="126">
        <v>284</v>
      </c>
      <c r="K87" s="128">
        <v>63377</v>
      </c>
      <c r="L87" s="126">
        <v>4545</v>
      </c>
      <c r="M87" s="128">
        <v>27232871</v>
      </c>
      <c r="N87" s="86" t="s">
        <v>109</v>
      </c>
    </row>
    <row r="88" spans="1:14" ht="15.75" customHeight="1">
      <c r="A88" s="76" t="s">
        <v>110</v>
      </c>
      <c r="B88" s="126">
        <f>_xlfn.COMPOUNDVALUE(589)</f>
        <v>7165</v>
      </c>
      <c r="C88" s="127">
        <v>177387622</v>
      </c>
      <c r="D88" s="126">
        <f>_xlfn.COMPOUNDVALUE(590)</f>
        <v>2420</v>
      </c>
      <c r="E88" s="127">
        <v>1701508</v>
      </c>
      <c r="F88" s="126">
        <f>_xlfn.COMPOUNDVALUE(591)</f>
        <v>9585</v>
      </c>
      <c r="G88" s="127">
        <v>179089130</v>
      </c>
      <c r="H88" s="126">
        <f>_xlfn.COMPOUNDVALUE(592)</f>
        <v>1595</v>
      </c>
      <c r="I88" s="128">
        <v>30441268</v>
      </c>
      <c r="J88" s="126">
        <v>813</v>
      </c>
      <c r="K88" s="128">
        <v>77571</v>
      </c>
      <c r="L88" s="126">
        <v>11295</v>
      </c>
      <c r="M88" s="128">
        <v>148725434</v>
      </c>
      <c r="N88" s="86" t="s">
        <v>110</v>
      </c>
    </row>
    <row r="89" spans="1:14" ht="15.75" customHeight="1">
      <c r="A89" s="76" t="s">
        <v>111</v>
      </c>
      <c r="B89" s="126">
        <f>_xlfn.COMPOUNDVALUE(593)</f>
        <v>3964</v>
      </c>
      <c r="C89" s="127">
        <v>24662046</v>
      </c>
      <c r="D89" s="126">
        <f>_xlfn.COMPOUNDVALUE(594)</f>
        <v>1966</v>
      </c>
      <c r="E89" s="127">
        <v>1141674</v>
      </c>
      <c r="F89" s="126">
        <f>_xlfn.COMPOUNDVALUE(595)</f>
        <v>5930</v>
      </c>
      <c r="G89" s="127">
        <v>25803719</v>
      </c>
      <c r="H89" s="126">
        <f>_xlfn.COMPOUNDVALUE(596)</f>
        <v>291</v>
      </c>
      <c r="I89" s="128">
        <v>5799285</v>
      </c>
      <c r="J89" s="126">
        <v>321</v>
      </c>
      <c r="K89" s="128">
        <v>39576</v>
      </c>
      <c r="L89" s="126">
        <v>6290</v>
      </c>
      <c r="M89" s="128">
        <v>20044011</v>
      </c>
      <c r="N89" s="86" t="s">
        <v>111</v>
      </c>
    </row>
    <row r="90" spans="1:14" ht="15.75" customHeight="1">
      <c r="A90" s="76" t="s">
        <v>112</v>
      </c>
      <c r="B90" s="126">
        <f>_xlfn.COMPOUNDVALUE(597)</f>
        <v>5509</v>
      </c>
      <c r="C90" s="127">
        <v>31925795</v>
      </c>
      <c r="D90" s="126">
        <f>_xlfn.COMPOUNDVALUE(598)</f>
        <v>2812</v>
      </c>
      <c r="E90" s="127">
        <v>1592629</v>
      </c>
      <c r="F90" s="126">
        <f>_xlfn.COMPOUNDVALUE(599)</f>
        <v>8321</v>
      </c>
      <c r="G90" s="127">
        <v>33518424</v>
      </c>
      <c r="H90" s="126">
        <f>_xlfn.COMPOUNDVALUE(600)</f>
        <v>624</v>
      </c>
      <c r="I90" s="128">
        <v>3951640</v>
      </c>
      <c r="J90" s="126">
        <v>526</v>
      </c>
      <c r="K90" s="128">
        <v>81055</v>
      </c>
      <c r="L90" s="126">
        <v>9023</v>
      </c>
      <c r="M90" s="128">
        <v>29647839</v>
      </c>
      <c r="N90" s="86" t="s">
        <v>112</v>
      </c>
    </row>
    <row r="91" spans="1:14" ht="15.75" customHeight="1">
      <c r="A91" s="76" t="s">
        <v>113</v>
      </c>
      <c r="B91" s="126">
        <f>_xlfn.COMPOUNDVALUE(601)</f>
        <v>6316</v>
      </c>
      <c r="C91" s="127">
        <v>79996864</v>
      </c>
      <c r="D91" s="126">
        <f>_xlfn.COMPOUNDVALUE(602)</f>
        <v>2785</v>
      </c>
      <c r="E91" s="127">
        <v>1736398</v>
      </c>
      <c r="F91" s="126">
        <f>_xlfn.COMPOUNDVALUE(603)</f>
        <v>9101</v>
      </c>
      <c r="G91" s="127">
        <v>81733262</v>
      </c>
      <c r="H91" s="126">
        <f>_xlfn.COMPOUNDVALUE(604)</f>
        <v>1015</v>
      </c>
      <c r="I91" s="128">
        <v>159315901</v>
      </c>
      <c r="J91" s="126">
        <v>597</v>
      </c>
      <c r="K91" s="128">
        <v>97716</v>
      </c>
      <c r="L91" s="126">
        <v>10213</v>
      </c>
      <c r="M91" s="128">
        <v>-77484923</v>
      </c>
      <c r="N91" s="86" t="s">
        <v>113</v>
      </c>
    </row>
    <row r="92" spans="1:14" ht="15.75" customHeight="1">
      <c r="A92" s="76"/>
      <c r="B92" s="126"/>
      <c r="C92" s="127"/>
      <c r="D92" s="126"/>
      <c r="E92" s="127"/>
      <c r="F92" s="126"/>
      <c r="G92" s="127"/>
      <c r="H92" s="126"/>
      <c r="I92" s="128"/>
      <c r="J92" s="126"/>
      <c r="K92" s="128"/>
      <c r="L92" s="126"/>
      <c r="M92" s="128"/>
      <c r="N92" s="86" t="s">
        <v>38</v>
      </c>
    </row>
    <row r="93" spans="1:14" ht="15.75" customHeight="1">
      <c r="A93" s="76" t="s">
        <v>114</v>
      </c>
      <c r="B93" s="126">
        <f>_xlfn.COMPOUNDVALUE(605)</f>
        <v>3214</v>
      </c>
      <c r="C93" s="127">
        <v>20582712</v>
      </c>
      <c r="D93" s="126">
        <f>_xlfn.COMPOUNDVALUE(606)</f>
        <v>1650</v>
      </c>
      <c r="E93" s="127">
        <v>996916</v>
      </c>
      <c r="F93" s="126">
        <f>_xlfn.COMPOUNDVALUE(607)</f>
        <v>4864</v>
      </c>
      <c r="G93" s="127">
        <v>21579628</v>
      </c>
      <c r="H93" s="126">
        <f>_xlfn.COMPOUNDVALUE(608)</f>
        <v>264</v>
      </c>
      <c r="I93" s="128">
        <v>5451127</v>
      </c>
      <c r="J93" s="126">
        <v>355</v>
      </c>
      <c r="K93" s="128">
        <v>69249</v>
      </c>
      <c r="L93" s="126">
        <v>5176</v>
      </c>
      <c r="M93" s="128">
        <v>16197750</v>
      </c>
      <c r="N93" s="86" t="s">
        <v>114</v>
      </c>
    </row>
    <row r="94" spans="1:14" ht="15.75" customHeight="1">
      <c r="A94" s="76" t="s">
        <v>168</v>
      </c>
      <c r="B94" s="126">
        <f>_xlfn.COMPOUNDVALUE(609)</f>
        <v>5629</v>
      </c>
      <c r="C94" s="127">
        <v>33053889</v>
      </c>
      <c r="D94" s="126">
        <f>_xlfn.COMPOUNDVALUE(610)</f>
        <v>2721</v>
      </c>
      <c r="E94" s="127">
        <v>1669134</v>
      </c>
      <c r="F94" s="126">
        <f>_xlfn.COMPOUNDVALUE(611)</f>
        <v>8350</v>
      </c>
      <c r="G94" s="127">
        <v>34723024</v>
      </c>
      <c r="H94" s="126">
        <f>_xlfn.COMPOUNDVALUE(612)</f>
        <v>697</v>
      </c>
      <c r="I94" s="128">
        <v>3621404</v>
      </c>
      <c r="J94" s="126">
        <v>442</v>
      </c>
      <c r="K94" s="128">
        <v>67755</v>
      </c>
      <c r="L94" s="126">
        <v>9125</v>
      </c>
      <c r="M94" s="128">
        <v>31169374</v>
      </c>
      <c r="N94" s="86" t="s">
        <v>115</v>
      </c>
    </row>
    <row r="95" spans="1:14" ht="15.75" customHeight="1">
      <c r="A95" s="76" t="s">
        <v>116</v>
      </c>
      <c r="B95" s="126">
        <f>_xlfn.COMPOUNDVALUE(613)</f>
        <v>4439</v>
      </c>
      <c r="C95" s="127">
        <v>96063876</v>
      </c>
      <c r="D95" s="126">
        <f>_xlfn.COMPOUNDVALUE(614)</f>
        <v>1927</v>
      </c>
      <c r="E95" s="127">
        <v>1208202</v>
      </c>
      <c r="F95" s="126">
        <f>_xlfn.COMPOUNDVALUE(615)</f>
        <v>6366</v>
      </c>
      <c r="G95" s="127">
        <v>97272077</v>
      </c>
      <c r="H95" s="126">
        <f>_xlfn.COMPOUNDVALUE(616)</f>
        <v>485</v>
      </c>
      <c r="I95" s="128">
        <v>35438923</v>
      </c>
      <c r="J95" s="126">
        <v>403</v>
      </c>
      <c r="K95" s="128">
        <v>1230567</v>
      </c>
      <c r="L95" s="126">
        <v>6898</v>
      </c>
      <c r="M95" s="128">
        <v>63063721</v>
      </c>
      <c r="N95" s="86" t="s">
        <v>116</v>
      </c>
    </row>
    <row r="96" spans="1:14" ht="15.75" customHeight="1">
      <c r="A96" s="76" t="s">
        <v>117</v>
      </c>
      <c r="B96" s="126">
        <f>_xlfn.COMPOUNDVALUE(617)</f>
        <v>5170</v>
      </c>
      <c r="C96" s="127">
        <v>67942244</v>
      </c>
      <c r="D96" s="126">
        <f>_xlfn.COMPOUNDVALUE(618)</f>
        <v>2604</v>
      </c>
      <c r="E96" s="127">
        <v>1596568</v>
      </c>
      <c r="F96" s="126">
        <f>_xlfn.COMPOUNDVALUE(619)</f>
        <v>7774</v>
      </c>
      <c r="G96" s="127">
        <v>69538812</v>
      </c>
      <c r="H96" s="126">
        <f>_xlfn.COMPOUNDVALUE(620)</f>
        <v>456</v>
      </c>
      <c r="I96" s="128">
        <v>6070036</v>
      </c>
      <c r="J96" s="126">
        <v>460</v>
      </c>
      <c r="K96" s="128">
        <v>134479</v>
      </c>
      <c r="L96" s="126">
        <v>8281</v>
      </c>
      <c r="M96" s="128">
        <v>63603255</v>
      </c>
      <c r="N96" s="86" t="s">
        <v>117</v>
      </c>
    </row>
    <row r="97" spans="1:14" ht="15.75" customHeight="1">
      <c r="A97" s="76" t="s">
        <v>118</v>
      </c>
      <c r="B97" s="126">
        <f>_xlfn.COMPOUNDVALUE(621)</f>
        <v>2201</v>
      </c>
      <c r="C97" s="127">
        <v>8133424</v>
      </c>
      <c r="D97" s="126">
        <f>_xlfn.COMPOUNDVALUE(622)</f>
        <v>1257</v>
      </c>
      <c r="E97" s="127">
        <v>741297</v>
      </c>
      <c r="F97" s="126">
        <f>_xlfn.COMPOUNDVALUE(623)</f>
        <v>3458</v>
      </c>
      <c r="G97" s="127">
        <v>8874721</v>
      </c>
      <c r="H97" s="126">
        <f>_xlfn.COMPOUNDVALUE(624)</f>
        <v>237</v>
      </c>
      <c r="I97" s="128">
        <v>1577056</v>
      </c>
      <c r="J97" s="126">
        <v>209</v>
      </c>
      <c r="K97" s="128">
        <v>45461</v>
      </c>
      <c r="L97" s="126">
        <v>3738</v>
      </c>
      <c r="M97" s="128">
        <v>7343126</v>
      </c>
      <c r="N97" s="86" t="s">
        <v>118</v>
      </c>
    </row>
    <row r="98" spans="1:14" ht="15.75" customHeight="1">
      <c r="A98" s="76"/>
      <c r="B98" s="126"/>
      <c r="C98" s="127"/>
      <c r="D98" s="126"/>
      <c r="E98" s="127"/>
      <c r="F98" s="126"/>
      <c r="G98" s="127"/>
      <c r="H98" s="126"/>
      <c r="I98" s="128"/>
      <c r="J98" s="126"/>
      <c r="K98" s="128"/>
      <c r="L98" s="126"/>
      <c r="M98" s="128"/>
      <c r="N98" s="86" t="s">
        <v>38</v>
      </c>
    </row>
    <row r="99" spans="1:14" ht="15.75" customHeight="1">
      <c r="A99" s="76" t="s">
        <v>119</v>
      </c>
      <c r="B99" s="126">
        <f>_xlfn.COMPOUNDVALUE(625)</f>
        <v>3160</v>
      </c>
      <c r="C99" s="127">
        <v>16139314</v>
      </c>
      <c r="D99" s="126">
        <f>_xlfn.COMPOUNDVALUE(626)</f>
        <v>1783</v>
      </c>
      <c r="E99" s="127">
        <v>1039026</v>
      </c>
      <c r="F99" s="126">
        <f>_xlfn.COMPOUNDVALUE(627)</f>
        <v>4943</v>
      </c>
      <c r="G99" s="127">
        <v>17178341</v>
      </c>
      <c r="H99" s="126">
        <f>_xlfn.COMPOUNDVALUE(628)</f>
        <v>196</v>
      </c>
      <c r="I99" s="128">
        <v>615058</v>
      </c>
      <c r="J99" s="126">
        <v>291</v>
      </c>
      <c r="K99" s="128">
        <v>32351</v>
      </c>
      <c r="L99" s="126">
        <v>5173</v>
      </c>
      <c r="M99" s="128">
        <v>16595633</v>
      </c>
      <c r="N99" s="86" t="s">
        <v>119</v>
      </c>
    </row>
    <row r="100" spans="1:14" ht="15.75" customHeight="1">
      <c r="A100" s="76" t="s">
        <v>120</v>
      </c>
      <c r="B100" s="126">
        <f>_xlfn.COMPOUNDVALUE(629)</f>
        <v>4242</v>
      </c>
      <c r="C100" s="127">
        <v>32559779</v>
      </c>
      <c r="D100" s="126">
        <f>_xlfn.COMPOUNDVALUE(630)</f>
        <v>2372</v>
      </c>
      <c r="E100" s="127">
        <v>1333742</v>
      </c>
      <c r="F100" s="126">
        <f>_xlfn.COMPOUNDVALUE(631)</f>
        <v>6614</v>
      </c>
      <c r="G100" s="127">
        <v>33893521</v>
      </c>
      <c r="H100" s="126">
        <f>_xlfn.COMPOUNDVALUE(632)</f>
        <v>332</v>
      </c>
      <c r="I100" s="128">
        <v>3936810</v>
      </c>
      <c r="J100" s="126">
        <v>367</v>
      </c>
      <c r="K100" s="128">
        <v>13246</v>
      </c>
      <c r="L100" s="126">
        <v>6998</v>
      </c>
      <c r="M100" s="128">
        <v>29969958</v>
      </c>
      <c r="N100" s="86" t="s">
        <v>120</v>
      </c>
    </row>
    <row r="101" spans="1:14" ht="15.75" customHeight="1">
      <c r="A101" s="78" t="s">
        <v>121</v>
      </c>
      <c r="B101" s="131">
        <f>_xlfn.COMPOUNDVALUE(633)</f>
        <v>2148</v>
      </c>
      <c r="C101" s="132">
        <v>9528750</v>
      </c>
      <c r="D101" s="131">
        <f>_xlfn.COMPOUNDVALUE(634)</f>
        <v>1357</v>
      </c>
      <c r="E101" s="132">
        <v>785893</v>
      </c>
      <c r="F101" s="131">
        <f>_xlfn.COMPOUNDVALUE(635)</f>
        <v>3505</v>
      </c>
      <c r="G101" s="132">
        <v>10314643</v>
      </c>
      <c r="H101" s="131">
        <f>_xlfn.COMPOUNDVALUE(636)</f>
        <v>243</v>
      </c>
      <c r="I101" s="133">
        <v>346071</v>
      </c>
      <c r="J101" s="131">
        <v>214</v>
      </c>
      <c r="K101" s="133">
        <v>29588</v>
      </c>
      <c r="L101" s="131">
        <v>3789</v>
      </c>
      <c r="M101" s="133">
        <v>9998160</v>
      </c>
      <c r="N101" s="77" t="s">
        <v>121</v>
      </c>
    </row>
    <row r="102" spans="1:14" ht="15.75" customHeight="1">
      <c r="A102" s="78" t="s">
        <v>122</v>
      </c>
      <c r="B102" s="131">
        <f>_xlfn.COMPOUNDVALUE(637)</f>
        <v>5172</v>
      </c>
      <c r="C102" s="132">
        <v>29811035</v>
      </c>
      <c r="D102" s="131">
        <f>_xlfn.COMPOUNDVALUE(638)</f>
        <v>2786</v>
      </c>
      <c r="E102" s="132">
        <v>1635014</v>
      </c>
      <c r="F102" s="131">
        <f>_xlfn.COMPOUNDVALUE(639)</f>
        <v>7958</v>
      </c>
      <c r="G102" s="132">
        <v>31446049</v>
      </c>
      <c r="H102" s="131">
        <f>_xlfn.COMPOUNDVALUE(640)</f>
        <v>491</v>
      </c>
      <c r="I102" s="133">
        <v>4982658</v>
      </c>
      <c r="J102" s="131">
        <v>460</v>
      </c>
      <c r="K102" s="133">
        <v>-22670</v>
      </c>
      <c r="L102" s="131">
        <v>8500</v>
      </c>
      <c r="M102" s="133">
        <v>26440721</v>
      </c>
      <c r="N102" s="77" t="s">
        <v>122</v>
      </c>
    </row>
    <row r="103" spans="1:14" ht="15.75" customHeight="1">
      <c r="A103" s="78" t="s">
        <v>123</v>
      </c>
      <c r="B103" s="131">
        <f>_xlfn.COMPOUNDVALUE(641)</f>
        <v>3345</v>
      </c>
      <c r="C103" s="132">
        <v>20596040</v>
      </c>
      <c r="D103" s="131">
        <f>_xlfn.COMPOUNDVALUE(642)</f>
        <v>1677</v>
      </c>
      <c r="E103" s="132">
        <v>985112</v>
      </c>
      <c r="F103" s="131">
        <f>_xlfn.COMPOUNDVALUE(643)</f>
        <v>5022</v>
      </c>
      <c r="G103" s="132">
        <v>21581153</v>
      </c>
      <c r="H103" s="131">
        <f>_xlfn.COMPOUNDVALUE(644)</f>
        <v>162</v>
      </c>
      <c r="I103" s="133">
        <v>464952</v>
      </c>
      <c r="J103" s="131">
        <v>226</v>
      </c>
      <c r="K103" s="133">
        <v>21375</v>
      </c>
      <c r="L103" s="131">
        <v>5213</v>
      </c>
      <c r="M103" s="133">
        <v>21137576</v>
      </c>
      <c r="N103" s="77" t="s">
        <v>123</v>
      </c>
    </row>
    <row r="104" spans="1:14" ht="15.75" customHeight="1">
      <c r="A104" s="78"/>
      <c r="B104" s="131"/>
      <c r="C104" s="132"/>
      <c r="D104" s="131"/>
      <c r="E104" s="132"/>
      <c r="F104" s="131"/>
      <c r="G104" s="132"/>
      <c r="H104" s="131"/>
      <c r="I104" s="133"/>
      <c r="J104" s="131"/>
      <c r="K104" s="133"/>
      <c r="L104" s="131"/>
      <c r="M104" s="133"/>
      <c r="N104" s="77" t="s">
        <v>38</v>
      </c>
    </row>
    <row r="105" spans="1:14" ht="15.75" customHeight="1">
      <c r="A105" s="78" t="s">
        <v>124</v>
      </c>
      <c r="B105" s="131">
        <f>_xlfn.COMPOUNDVALUE(645)</f>
        <v>5704</v>
      </c>
      <c r="C105" s="132">
        <v>34059512</v>
      </c>
      <c r="D105" s="131">
        <f>_xlfn.COMPOUNDVALUE(646)</f>
        <v>2794</v>
      </c>
      <c r="E105" s="132">
        <v>1694403</v>
      </c>
      <c r="F105" s="131">
        <f>_xlfn.COMPOUNDVALUE(647)</f>
        <v>8498</v>
      </c>
      <c r="G105" s="132">
        <v>35753914</v>
      </c>
      <c r="H105" s="131">
        <f>_xlfn.COMPOUNDVALUE(648)</f>
        <v>475</v>
      </c>
      <c r="I105" s="133">
        <v>14548260</v>
      </c>
      <c r="J105" s="131">
        <v>525</v>
      </c>
      <c r="K105" s="133">
        <v>32290</v>
      </c>
      <c r="L105" s="131">
        <v>9043</v>
      </c>
      <c r="M105" s="133">
        <v>21237944</v>
      </c>
      <c r="N105" s="77" t="s">
        <v>124</v>
      </c>
    </row>
    <row r="106" spans="1:14" ht="15.75" customHeight="1">
      <c r="A106" s="78" t="s">
        <v>125</v>
      </c>
      <c r="B106" s="131">
        <f>_xlfn.COMPOUNDVALUE(649)</f>
        <v>2692</v>
      </c>
      <c r="C106" s="132">
        <v>23362594</v>
      </c>
      <c r="D106" s="131">
        <f>_xlfn.COMPOUNDVALUE(650)</f>
        <v>1282</v>
      </c>
      <c r="E106" s="132">
        <v>789055</v>
      </c>
      <c r="F106" s="131">
        <f>_xlfn.COMPOUNDVALUE(651)</f>
        <v>3974</v>
      </c>
      <c r="G106" s="132">
        <v>24151649</v>
      </c>
      <c r="H106" s="131">
        <f>_xlfn.COMPOUNDVALUE(652)</f>
        <v>248</v>
      </c>
      <c r="I106" s="133">
        <v>30591158</v>
      </c>
      <c r="J106" s="131">
        <v>276</v>
      </c>
      <c r="K106" s="133">
        <v>12182</v>
      </c>
      <c r="L106" s="131">
        <v>4272</v>
      </c>
      <c r="M106" s="133">
        <v>-6427327</v>
      </c>
      <c r="N106" s="77" t="s">
        <v>125</v>
      </c>
    </row>
    <row r="107" spans="1:14" ht="15.75" customHeight="1">
      <c r="A107" s="78" t="s">
        <v>126</v>
      </c>
      <c r="B107" s="131">
        <f>_xlfn.COMPOUNDVALUE(653)</f>
        <v>4322</v>
      </c>
      <c r="C107" s="132">
        <v>25962727</v>
      </c>
      <c r="D107" s="131">
        <f>_xlfn.COMPOUNDVALUE(654)</f>
        <v>2142</v>
      </c>
      <c r="E107" s="132">
        <v>1337400</v>
      </c>
      <c r="F107" s="131">
        <f>_xlfn.COMPOUNDVALUE(655)</f>
        <v>6464</v>
      </c>
      <c r="G107" s="132">
        <v>27300126</v>
      </c>
      <c r="H107" s="131">
        <f>_xlfn.COMPOUNDVALUE(656)</f>
        <v>397</v>
      </c>
      <c r="I107" s="133">
        <v>7265263</v>
      </c>
      <c r="J107" s="131">
        <v>353</v>
      </c>
      <c r="K107" s="133">
        <v>10703</v>
      </c>
      <c r="L107" s="131">
        <v>6941</v>
      </c>
      <c r="M107" s="133">
        <v>20045566</v>
      </c>
      <c r="N107" s="77" t="s">
        <v>126</v>
      </c>
    </row>
    <row r="108" spans="1:14" ht="15.75" customHeight="1">
      <c r="A108" s="161" t="s">
        <v>173</v>
      </c>
      <c r="B108" s="162">
        <v>77293</v>
      </c>
      <c r="C108" s="163">
        <v>760162647</v>
      </c>
      <c r="D108" s="162">
        <v>37656</v>
      </c>
      <c r="E108" s="163">
        <v>22778799</v>
      </c>
      <c r="F108" s="162">
        <v>114949</v>
      </c>
      <c r="G108" s="163">
        <v>782941445</v>
      </c>
      <c r="H108" s="162">
        <v>8492</v>
      </c>
      <c r="I108" s="164">
        <v>316436626</v>
      </c>
      <c r="J108" s="162">
        <v>7122</v>
      </c>
      <c r="K108" s="164">
        <v>2035871</v>
      </c>
      <c r="L108" s="162">
        <v>124513</v>
      </c>
      <c r="M108" s="164">
        <v>468540690</v>
      </c>
      <c r="N108" s="165" t="s">
        <v>128</v>
      </c>
    </row>
    <row r="109" spans="1:14" ht="15.75" customHeight="1">
      <c r="A109" s="166"/>
      <c r="B109" s="167"/>
      <c r="C109" s="168"/>
      <c r="D109" s="167"/>
      <c r="E109" s="168"/>
      <c r="F109" s="169"/>
      <c r="G109" s="168"/>
      <c r="H109" s="169"/>
      <c r="I109" s="168"/>
      <c r="J109" s="169"/>
      <c r="K109" s="168"/>
      <c r="L109" s="169"/>
      <c r="M109" s="168"/>
      <c r="N109" s="170"/>
    </row>
    <row r="110" spans="1:14" ht="15.75" customHeight="1">
      <c r="A110" s="76" t="s">
        <v>129</v>
      </c>
      <c r="B110" s="126">
        <f>_xlfn.COMPOUNDVALUE(657)</f>
        <v>4737</v>
      </c>
      <c r="C110" s="127">
        <v>33742488</v>
      </c>
      <c r="D110" s="126">
        <f>_xlfn.COMPOUNDVALUE(658)</f>
        <v>1790</v>
      </c>
      <c r="E110" s="127">
        <v>1082114</v>
      </c>
      <c r="F110" s="126">
        <f>_xlfn.COMPOUNDVALUE(659)</f>
        <v>6527</v>
      </c>
      <c r="G110" s="127">
        <v>34824602</v>
      </c>
      <c r="H110" s="126">
        <f>_xlfn.COMPOUNDVALUE(660)</f>
        <v>347</v>
      </c>
      <c r="I110" s="128">
        <v>2657066</v>
      </c>
      <c r="J110" s="126">
        <v>400</v>
      </c>
      <c r="K110" s="128">
        <v>98751</v>
      </c>
      <c r="L110" s="126">
        <v>6934</v>
      </c>
      <c r="M110" s="128">
        <v>32266287</v>
      </c>
      <c r="N110" s="86" t="s">
        <v>129</v>
      </c>
    </row>
    <row r="111" spans="1:14" ht="15.75" customHeight="1">
      <c r="A111" s="78" t="s">
        <v>130</v>
      </c>
      <c r="B111" s="131">
        <f>_xlfn.COMPOUNDVALUE(661)</f>
        <v>1165</v>
      </c>
      <c r="C111" s="132">
        <v>5759243</v>
      </c>
      <c r="D111" s="131">
        <f>_xlfn.COMPOUNDVALUE(662)</f>
        <v>443</v>
      </c>
      <c r="E111" s="132">
        <v>235743</v>
      </c>
      <c r="F111" s="131">
        <f>_xlfn.COMPOUNDVALUE(663)</f>
        <v>1608</v>
      </c>
      <c r="G111" s="132">
        <v>5994986</v>
      </c>
      <c r="H111" s="131">
        <f>_xlfn.COMPOUNDVALUE(664)</f>
        <v>67</v>
      </c>
      <c r="I111" s="133">
        <v>169444</v>
      </c>
      <c r="J111" s="131">
        <v>129</v>
      </c>
      <c r="K111" s="133">
        <v>39637</v>
      </c>
      <c r="L111" s="131">
        <v>1685</v>
      </c>
      <c r="M111" s="133">
        <v>5865179</v>
      </c>
      <c r="N111" s="77" t="s">
        <v>130</v>
      </c>
    </row>
    <row r="112" spans="1:14" ht="15.75" customHeight="1">
      <c r="A112" s="78" t="s">
        <v>131</v>
      </c>
      <c r="B112" s="131">
        <f>_xlfn.COMPOUNDVALUE(665)</f>
        <v>1988</v>
      </c>
      <c r="C112" s="132">
        <v>10802807</v>
      </c>
      <c r="D112" s="131">
        <f>_xlfn.COMPOUNDVALUE(666)</f>
        <v>901</v>
      </c>
      <c r="E112" s="132">
        <v>556897</v>
      </c>
      <c r="F112" s="131">
        <f>_xlfn.COMPOUNDVALUE(667)</f>
        <v>2889</v>
      </c>
      <c r="G112" s="132">
        <v>11359703</v>
      </c>
      <c r="H112" s="131">
        <f>_xlfn.COMPOUNDVALUE(668)</f>
        <v>132</v>
      </c>
      <c r="I112" s="133">
        <v>14956693</v>
      </c>
      <c r="J112" s="131">
        <v>237</v>
      </c>
      <c r="K112" s="133">
        <v>49168</v>
      </c>
      <c r="L112" s="131">
        <v>3046</v>
      </c>
      <c r="M112" s="133">
        <v>-3547822</v>
      </c>
      <c r="N112" s="77" t="s">
        <v>131</v>
      </c>
    </row>
    <row r="113" spans="1:14" ht="15.75" customHeight="1">
      <c r="A113" s="78" t="s">
        <v>132</v>
      </c>
      <c r="B113" s="131">
        <f>_xlfn.COMPOUNDVALUE(669)</f>
        <v>453</v>
      </c>
      <c r="C113" s="132">
        <v>2165931</v>
      </c>
      <c r="D113" s="131">
        <f>_xlfn.COMPOUNDVALUE(670)</f>
        <v>214</v>
      </c>
      <c r="E113" s="132">
        <v>118707</v>
      </c>
      <c r="F113" s="131">
        <f>_xlfn.COMPOUNDVALUE(671)</f>
        <v>667</v>
      </c>
      <c r="G113" s="132">
        <v>2284638</v>
      </c>
      <c r="H113" s="131">
        <f>_xlfn.COMPOUNDVALUE(672)</f>
        <v>18</v>
      </c>
      <c r="I113" s="133">
        <v>71563</v>
      </c>
      <c r="J113" s="131">
        <v>37</v>
      </c>
      <c r="K113" s="133">
        <v>558</v>
      </c>
      <c r="L113" s="131">
        <v>687</v>
      </c>
      <c r="M113" s="133">
        <v>2213633</v>
      </c>
      <c r="N113" s="77" t="s">
        <v>132</v>
      </c>
    </row>
    <row r="114" spans="1:14" ht="15.75" customHeight="1">
      <c r="A114" s="79" t="s">
        <v>174</v>
      </c>
      <c r="B114" s="134">
        <v>8343</v>
      </c>
      <c r="C114" s="135">
        <v>52470469</v>
      </c>
      <c r="D114" s="134">
        <v>3348</v>
      </c>
      <c r="E114" s="135">
        <v>1993460</v>
      </c>
      <c r="F114" s="134">
        <v>11691</v>
      </c>
      <c r="G114" s="135">
        <v>54463929</v>
      </c>
      <c r="H114" s="134">
        <v>564</v>
      </c>
      <c r="I114" s="136">
        <v>17854765</v>
      </c>
      <c r="J114" s="134">
        <v>803</v>
      </c>
      <c r="K114" s="136">
        <v>188113</v>
      </c>
      <c r="L114" s="134">
        <v>12352</v>
      </c>
      <c r="M114" s="136">
        <v>36797277</v>
      </c>
      <c r="N114" s="84" t="s">
        <v>134</v>
      </c>
    </row>
    <row r="115" spans="1:14" ht="15.75" customHeight="1" thickBot="1">
      <c r="A115" s="200"/>
      <c r="B115" s="201"/>
      <c r="C115" s="202"/>
      <c r="D115" s="201"/>
      <c r="E115" s="202"/>
      <c r="F115" s="203"/>
      <c r="G115" s="202"/>
      <c r="H115" s="203"/>
      <c r="I115" s="202"/>
      <c r="J115" s="203"/>
      <c r="K115" s="202"/>
      <c r="L115" s="203"/>
      <c r="M115" s="202"/>
      <c r="N115" s="204"/>
    </row>
    <row r="116" spans="1:14" ht="15.75" customHeight="1" thickBot="1" thickTop="1">
      <c r="A116" s="82" t="s">
        <v>175</v>
      </c>
      <c r="B116" s="148">
        <v>399194</v>
      </c>
      <c r="C116" s="149">
        <v>7494124901</v>
      </c>
      <c r="D116" s="148">
        <v>150984</v>
      </c>
      <c r="E116" s="149">
        <v>98042784</v>
      </c>
      <c r="F116" s="148">
        <v>550178</v>
      </c>
      <c r="G116" s="149">
        <v>7592167685</v>
      </c>
      <c r="H116" s="148">
        <v>59099</v>
      </c>
      <c r="I116" s="150">
        <v>2387960747</v>
      </c>
      <c r="J116" s="148">
        <v>40192</v>
      </c>
      <c r="K116" s="150">
        <v>6087804</v>
      </c>
      <c r="L116" s="148">
        <v>615670</v>
      </c>
      <c r="M116" s="150">
        <v>5210294742</v>
      </c>
      <c r="N116" s="91" t="s">
        <v>37</v>
      </c>
    </row>
    <row r="117" spans="1:14" ht="13.5">
      <c r="A117" s="244" t="s">
        <v>178</v>
      </c>
      <c r="B117" s="244"/>
      <c r="C117" s="244"/>
      <c r="D117" s="244"/>
      <c r="E117" s="244"/>
      <c r="F117" s="244"/>
      <c r="G117" s="244"/>
      <c r="H117" s="244"/>
      <c r="I117" s="244"/>
      <c r="J117" s="66"/>
      <c r="K117" s="66"/>
      <c r="L117" s="65"/>
      <c r="M117" s="65"/>
      <c r="N117" s="65"/>
    </row>
  </sheetData>
  <sheetProtection/>
  <mergeCells count="11">
    <mergeCell ref="L3:M4"/>
    <mergeCell ref="N3:N5"/>
    <mergeCell ref="B4:C4"/>
    <mergeCell ref="D4:E4"/>
    <mergeCell ref="F4:G4"/>
    <mergeCell ref="A117:I117"/>
    <mergeCell ref="A2:I2"/>
    <mergeCell ref="A3:A5"/>
    <mergeCell ref="B3:G3"/>
    <mergeCell ref="H3:I4"/>
    <mergeCell ref="J3:K4"/>
  </mergeCells>
  <printOptions horizontalCentered="1"/>
  <pageMargins left="0.7874015748031497" right="0.7874015748031497" top="0.7874015748031497" bottom="0.8267716535433072" header="0.5118110236220472" footer="0.31496062992125984"/>
  <pageSetup fitToHeight="3" horizontalDpi="600" verticalDpi="600" orientation="landscape" paperSize="9" scale="71" r:id="rId1"/>
  <headerFooter alignWithMargins="0">
    <oddFooter>&amp;R東京国税局
消費税
(H29)</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SheetLayoutView="100" workbookViewId="0" topLeftCell="A1">
      <selection activeCell="A1" sqref="A1"/>
    </sheetView>
  </sheetViews>
  <sheetFormatPr defaultColWidth="9.00390625" defaultRowHeight="13.5"/>
  <cols>
    <col min="1" max="1" width="10.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7" width="10.625" style="125" customWidth="1"/>
    <col min="18" max="18" width="10.375" style="125" customWidth="1"/>
    <col min="19" max="16384" width="9.00390625" style="125" customWidth="1"/>
  </cols>
  <sheetData>
    <row r="1" spans="1:16" ht="13.5">
      <c r="A1" s="64" t="s">
        <v>185</v>
      </c>
      <c r="B1" s="64"/>
      <c r="C1" s="64"/>
      <c r="D1" s="64"/>
      <c r="E1" s="64"/>
      <c r="F1" s="64"/>
      <c r="G1" s="64"/>
      <c r="H1" s="64"/>
      <c r="I1" s="64"/>
      <c r="J1" s="64"/>
      <c r="K1" s="64"/>
      <c r="L1" s="65"/>
      <c r="M1" s="65"/>
      <c r="N1" s="65"/>
      <c r="O1" s="65"/>
      <c r="P1" s="65"/>
    </row>
    <row r="2" spans="1:16" ht="14.25" thickBot="1">
      <c r="A2" s="254" t="s">
        <v>26</v>
      </c>
      <c r="B2" s="254"/>
      <c r="C2" s="254"/>
      <c r="D2" s="254"/>
      <c r="E2" s="254"/>
      <c r="F2" s="254"/>
      <c r="G2" s="254"/>
      <c r="H2" s="254"/>
      <c r="I2" s="254"/>
      <c r="J2" s="66"/>
      <c r="K2" s="66"/>
      <c r="L2" s="65"/>
      <c r="M2" s="65"/>
      <c r="N2" s="65"/>
      <c r="O2" s="65"/>
      <c r="P2" s="65"/>
    </row>
    <row r="3" spans="1:18" ht="19.5" customHeight="1">
      <c r="A3" s="246" t="s">
        <v>27</v>
      </c>
      <c r="B3" s="249" t="s">
        <v>28</v>
      </c>
      <c r="C3" s="249"/>
      <c r="D3" s="249"/>
      <c r="E3" s="249"/>
      <c r="F3" s="249"/>
      <c r="G3" s="249"/>
      <c r="H3" s="249" t="s">
        <v>13</v>
      </c>
      <c r="I3" s="249"/>
      <c r="J3" s="264" t="s">
        <v>29</v>
      </c>
      <c r="K3" s="249"/>
      <c r="L3" s="249" t="s">
        <v>30</v>
      </c>
      <c r="M3" s="249"/>
      <c r="N3" s="255" t="s">
        <v>147</v>
      </c>
      <c r="O3" s="256"/>
      <c r="P3" s="256"/>
      <c r="Q3" s="256"/>
      <c r="R3" s="238" t="s">
        <v>31</v>
      </c>
    </row>
    <row r="4" spans="1:18" ht="17.25" customHeight="1">
      <c r="A4" s="247"/>
      <c r="B4" s="241" t="s">
        <v>16</v>
      </c>
      <c r="C4" s="241"/>
      <c r="D4" s="241" t="s">
        <v>32</v>
      </c>
      <c r="E4" s="241"/>
      <c r="F4" s="241" t="s">
        <v>33</v>
      </c>
      <c r="G4" s="241"/>
      <c r="H4" s="241"/>
      <c r="I4" s="241"/>
      <c r="J4" s="241"/>
      <c r="K4" s="241"/>
      <c r="L4" s="241"/>
      <c r="M4" s="241"/>
      <c r="N4" s="257" t="s">
        <v>34</v>
      </c>
      <c r="O4" s="259" t="s">
        <v>148</v>
      </c>
      <c r="P4" s="261" t="s">
        <v>149</v>
      </c>
      <c r="Q4" s="252" t="s">
        <v>35</v>
      </c>
      <c r="R4" s="239"/>
    </row>
    <row r="5" spans="1:18" ht="28.5" customHeight="1">
      <c r="A5" s="248"/>
      <c r="B5" s="67" t="s">
        <v>36</v>
      </c>
      <c r="C5" s="68" t="s">
        <v>138</v>
      </c>
      <c r="D5" s="67" t="s">
        <v>36</v>
      </c>
      <c r="E5" s="68" t="s">
        <v>138</v>
      </c>
      <c r="F5" s="67" t="s">
        <v>36</v>
      </c>
      <c r="G5" s="68" t="s">
        <v>139</v>
      </c>
      <c r="H5" s="67" t="s">
        <v>36</v>
      </c>
      <c r="I5" s="68" t="s">
        <v>140</v>
      </c>
      <c r="J5" s="67" t="s">
        <v>36</v>
      </c>
      <c r="K5" s="68" t="s">
        <v>141</v>
      </c>
      <c r="L5" s="67" t="s">
        <v>36</v>
      </c>
      <c r="M5" s="69" t="s">
        <v>150</v>
      </c>
      <c r="N5" s="258"/>
      <c r="O5" s="260"/>
      <c r="P5" s="262"/>
      <c r="Q5" s="263"/>
      <c r="R5" s="240"/>
    </row>
    <row r="6" spans="1:18" s="95" customFormat="1" ht="10.5">
      <c r="A6" s="70"/>
      <c r="B6" s="71" t="s">
        <v>4</v>
      </c>
      <c r="C6" s="72" t="s">
        <v>5</v>
      </c>
      <c r="D6" s="71" t="s">
        <v>4</v>
      </c>
      <c r="E6" s="72" t="s">
        <v>5</v>
      </c>
      <c r="F6" s="71" t="s">
        <v>4</v>
      </c>
      <c r="G6" s="72" t="s">
        <v>5</v>
      </c>
      <c r="H6" s="71" t="s">
        <v>4</v>
      </c>
      <c r="I6" s="72" t="s">
        <v>5</v>
      </c>
      <c r="J6" s="71" t="s">
        <v>4</v>
      </c>
      <c r="K6" s="72" t="s">
        <v>5</v>
      </c>
      <c r="L6" s="71" t="s">
        <v>183</v>
      </c>
      <c r="M6" s="72" t="s">
        <v>5</v>
      </c>
      <c r="N6" s="71" t="s">
        <v>4</v>
      </c>
      <c r="O6" s="73" t="s">
        <v>4</v>
      </c>
      <c r="P6" s="73" t="s">
        <v>4</v>
      </c>
      <c r="Q6" s="74" t="s">
        <v>4</v>
      </c>
      <c r="R6" s="75"/>
    </row>
    <row r="7" spans="1:18" ht="15.75" customHeight="1">
      <c r="A7" s="98" t="s">
        <v>39</v>
      </c>
      <c r="B7" s="126">
        <f>_xlfn.COMPOUNDVALUE(673)</f>
        <v>5837</v>
      </c>
      <c r="C7" s="127">
        <v>37442437</v>
      </c>
      <c r="D7" s="126">
        <f>_xlfn.COMPOUNDVALUE(674)</f>
        <v>3382</v>
      </c>
      <c r="E7" s="127">
        <v>1965328</v>
      </c>
      <c r="F7" s="126">
        <f>_xlfn.COMPOUNDVALUE(675)</f>
        <v>9219</v>
      </c>
      <c r="G7" s="127">
        <v>39407765</v>
      </c>
      <c r="H7" s="126">
        <f>_xlfn.COMPOUNDVALUE(676)</f>
        <v>611</v>
      </c>
      <c r="I7" s="128">
        <v>2394711</v>
      </c>
      <c r="J7" s="126">
        <v>774</v>
      </c>
      <c r="K7" s="128">
        <v>231877</v>
      </c>
      <c r="L7" s="126">
        <v>10060</v>
      </c>
      <c r="M7" s="128">
        <v>37244931</v>
      </c>
      <c r="N7" s="126">
        <v>10281</v>
      </c>
      <c r="O7" s="129">
        <v>448</v>
      </c>
      <c r="P7" s="129">
        <v>46</v>
      </c>
      <c r="Q7" s="130">
        <v>10775</v>
      </c>
      <c r="R7" s="97" t="s">
        <v>39</v>
      </c>
    </row>
    <row r="8" spans="1:18" ht="15.75" customHeight="1">
      <c r="A8" s="76" t="s">
        <v>40</v>
      </c>
      <c r="B8" s="126">
        <f>_xlfn.COMPOUNDVALUE(677)</f>
        <v>4956</v>
      </c>
      <c r="C8" s="127">
        <v>23981158</v>
      </c>
      <c r="D8" s="126">
        <f>_xlfn.COMPOUNDVALUE(678)</f>
        <v>3205</v>
      </c>
      <c r="E8" s="127">
        <v>1742651</v>
      </c>
      <c r="F8" s="126">
        <f>_xlfn.COMPOUNDVALUE(679)</f>
        <v>8161</v>
      </c>
      <c r="G8" s="127">
        <v>25723809</v>
      </c>
      <c r="H8" s="126">
        <f>_xlfn.COMPOUNDVALUE(680)</f>
        <v>439</v>
      </c>
      <c r="I8" s="128">
        <v>1232902</v>
      </c>
      <c r="J8" s="126">
        <v>599</v>
      </c>
      <c r="K8" s="128">
        <v>99745</v>
      </c>
      <c r="L8" s="126">
        <v>8790</v>
      </c>
      <c r="M8" s="128">
        <v>24590652</v>
      </c>
      <c r="N8" s="126">
        <v>8804</v>
      </c>
      <c r="O8" s="129">
        <v>277</v>
      </c>
      <c r="P8" s="129">
        <v>23</v>
      </c>
      <c r="Q8" s="130">
        <v>9104</v>
      </c>
      <c r="R8" s="77" t="s">
        <v>40</v>
      </c>
    </row>
    <row r="9" spans="1:18" ht="15.75" customHeight="1">
      <c r="A9" s="76" t="s">
        <v>41</v>
      </c>
      <c r="B9" s="126">
        <f>_xlfn.COMPOUNDVALUE(681)</f>
        <v>5481</v>
      </c>
      <c r="C9" s="127">
        <v>77324324</v>
      </c>
      <c r="D9" s="126">
        <f>_xlfn.COMPOUNDVALUE(682)</f>
        <v>3639</v>
      </c>
      <c r="E9" s="127">
        <v>2027984</v>
      </c>
      <c r="F9" s="126">
        <f>_xlfn.COMPOUNDVALUE(683)</f>
        <v>9120</v>
      </c>
      <c r="G9" s="127">
        <v>79352308</v>
      </c>
      <c r="H9" s="126">
        <f>_xlfn.COMPOUNDVALUE(684)</f>
        <v>669</v>
      </c>
      <c r="I9" s="128">
        <v>6377020</v>
      </c>
      <c r="J9" s="126">
        <v>690</v>
      </c>
      <c r="K9" s="128">
        <v>37429</v>
      </c>
      <c r="L9" s="126">
        <v>9958</v>
      </c>
      <c r="M9" s="128">
        <v>73012717</v>
      </c>
      <c r="N9" s="126">
        <v>10299</v>
      </c>
      <c r="O9" s="129">
        <v>466</v>
      </c>
      <c r="P9" s="129">
        <v>45</v>
      </c>
      <c r="Q9" s="130">
        <v>10810</v>
      </c>
      <c r="R9" s="77" t="s">
        <v>41</v>
      </c>
    </row>
    <row r="10" spans="1:18" ht="15.75" customHeight="1">
      <c r="A10" s="76" t="s">
        <v>42</v>
      </c>
      <c r="B10" s="126">
        <f>_xlfn.COMPOUNDVALUE(685)</f>
        <v>2588</v>
      </c>
      <c r="C10" s="127">
        <v>9751073</v>
      </c>
      <c r="D10" s="126">
        <f>_xlfn.COMPOUNDVALUE(686)</f>
        <v>3138</v>
      </c>
      <c r="E10" s="127">
        <v>1336965</v>
      </c>
      <c r="F10" s="126">
        <f>_xlfn.COMPOUNDVALUE(687)</f>
        <v>5726</v>
      </c>
      <c r="G10" s="127">
        <v>11088038</v>
      </c>
      <c r="H10" s="126">
        <f>_xlfn.COMPOUNDVALUE(688)</f>
        <v>184</v>
      </c>
      <c r="I10" s="128">
        <v>848432</v>
      </c>
      <c r="J10" s="126">
        <v>427</v>
      </c>
      <c r="K10" s="128">
        <v>63376</v>
      </c>
      <c r="L10" s="126">
        <v>5994</v>
      </c>
      <c r="M10" s="128">
        <v>10302981</v>
      </c>
      <c r="N10" s="126">
        <v>6202</v>
      </c>
      <c r="O10" s="129">
        <v>155</v>
      </c>
      <c r="P10" s="129">
        <v>10</v>
      </c>
      <c r="Q10" s="130">
        <v>6367</v>
      </c>
      <c r="R10" s="77" t="s">
        <v>42</v>
      </c>
    </row>
    <row r="11" spans="1:18" ht="15.75" customHeight="1">
      <c r="A11" s="76" t="s">
        <v>43</v>
      </c>
      <c r="B11" s="126">
        <f>_xlfn.COMPOUNDVALUE(689)</f>
        <v>6004</v>
      </c>
      <c r="C11" s="127">
        <v>50202282</v>
      </c>
      <c r="D11" s="126">
        <f>_xlfn.COMPOUNDVALUE(690)</f>
        <v>4230</v>
      </c>
      <c r="E11" s="127">
        <v>2403991</v>
      </c>
      <c r="F11" s="126">
        <f>_xlfn.COMPOUNDVALUE(691)</f>
        <v>10234</v>
      </c>
      <c r="G11" s="127">
        <v>52606273</v>
      </c>
      <c r="H11" s="126">
        <f>_xlfn.COMPOUNDVALUE(692)</f>
        <v>663</v>
      </c>
      <c r="I11" s="128">
        <v>2924649</v>
      </c>
      <c r="J11" s="126">
        <v>852</v>
      </c>
      <c r="K11" s="128">
        <v>113464</v>
      </c>
      <c r="L11" s="126">
        <v>11212</v>
      </c>
      <c r="M11" s="128">
        <v>49795088</v>
      </c>
      <c r="N11" s="126">
        <v>11715</v>
      </c>
      <c r="O11" s="129">
        <v>486</v>
      </c>
      <c r="P11" s="129">
        <v>35</v>
      </c>
      <c r="Q11" s="130">
        <v>12236</v>
      </c>
      <c r="R11" s="77" t="s">
        <v>43</v>
      </c>
    </row>
    <row r="12" spans="1:18" ht="15.75" customHeight="1">
      <c r="A12" s="76"/>
      <c r="B12" s="126"/>
      <c r="C12" s="127"/>
      <c r="D12" s="126"/>
      <c r="E12" s="127"/>
      <c r="F12" s="126"/>
      <c r="G12" s="127"/>
      <c r="H12" s="126"/>
      <c r="I12" s="128"/>
      <c r="J12" s="126"/>
      <c r="K12" s="128"/>
      <c r="L12" s="126"/>
      <c r="M12" s="128"/>
      <c r="N12" s="126"/>
      <c r="O12" s="129"/>
      <c r="P12" s="129"/>
      <c r="Q12" s="130"/>
      <c r="R12" s="77" t="s">
        <v>38</v>
      </c>
    </row>
    <row r="13" spans="1:18" ht="15.75" customHeight="1">
      <c r="A13" s="76" t="s">
        <v>44</v>
      </c>
      <c r="B13" s="126">
        <f>_xlfn.COMPOUNDVALUE(693)</f>
        <v>5463</v>
      </c>
      <c r="C13" s="127">
        <v>24361993</v>
      </c>
      <c r="D13" s="126">
        <f>_xlfn.COMPOUNDVALUE(694)</f>
        <v>3942</v>
      </c>
      <c r="E13" s="127">
        <v>2125336</v>
      </c>
      <c r="F13" s="126">
        <f>_xlfn.COMPOUNDVALUE(695)</f>
        <v>9405</v>
      </c>
      <c r="G13" s="127">
        <v>26487329</v>
      </c>
      <c r="H13" s="126">
        <f>_xlfn.COMPOUNDVALUE(696)</f>
        <v>550</v>
      </c>
      <c r="I13" s="128">
        <v>3144843</v>
      </c>
      <c r="J13" s="126">
        <v>752</v>
      </c>
      <c r="K13" s="128">
        <v>60699</v>
      </c>
      <c r="L13" s="126">
        <v>10206</v>
      </c>
      <c r="M13" s="128">
        <v>23403185</v>
      </c>
      <c r="N13" s="126">
        <v>10366</v>
      </c>
      <c r="O13" s="129">
        <v>407</v>
      </c>
      <c r="P13" s="129">
        <v>40</v>
      </c>
      <c r="Q13" s="130">
        <v>10813</v>
      </c>
      <c r="R13" s="77" t="s">
        <v>44</v>
      </c>
    </row>
    <row r="14" spans="1:18" ht="15.75" customHeight="1">
      <c r="A14" s="76" t="s">
        <v>45</v>
      </c>
      <c r="B14" s="126">
        <f>_xlfn.COMPOUNDVALUE(697)</f>
        <v>1783</v>
      </c>
      <c r="C14" s="127">
        <v>5131926</v>
      </c>
      <c r="D14" s="126">
        <f>_xlfn.COMPOUNDVALUE(698)</f>
        <v>1456</v>
      </c>
      <c r="E14" s="127">
        <v>616539</v>
      </c>
      <c r="F14" s="126">
        <f>_xlfn.COMPOUNDVALUE(699)</f>
        <v>3239</v>
      </c>
      <c r="G14" s="127">
        <v>5748465</v>
      </c>
      <c r="H14" s="126">
        <f>_xlfn.COMPOUNDVALUE(700)</f>
        <v>106</v>
      </c>
      <c r="I14" s="128">
        <v>266693</v>
      </c>
      <c r="J14" s="126">
        <v>285</v>
      </c>
      <c r="K14" s="128">
        <v>17372</v>
      </c>
      <c r="L14" s="126">
        <v>3433</v>
      </c>
      <c r="M14" s="128">
        <v>5499144</v>
      </c>
      <c r="N14" s="126">
        <v>3325</v>
      </c>
      <c r="O14" s="129">
        <v>80</v>
      </c>
      <c r="P14" s="129">
        <v>7</v>
      </c>
      <c r="Q14" s="130">
        <v>3412</v>
      </c>
      <c r="R14" s="77" t="s">
        <v>45</v>
      </c>
    </row>
    <row r="15" spans="1:18" ht="15.75" customHeight="1">
      <c r="A15" s="76" t="s">
        <v>46</v>
      </c>
      <c r="B15" s="126">
        <f>_xlfn.COMPOUNDVALUE(701)</f>
        <v>3644</v>
      </c>
      <c r="C15" s="127">
        <v>16260088</v>
      </c>
      <c r="D15" s="126">
        <f>_xlfn.COMPOUNDVALUE(702)</f>
        <v>2819</v>
      </c>
      <c r="E15" s="127">
        <v>1390547</v>
      </c>
      <c r="F15" s="126">
        <f>_xlfn.COMPOUNDVALUE(703)</f>
        <v>6463</v>
      </c>
      <c r="G15" s="127">
        <v>17650635</v>
      </c>
      <c r="H15" s="126">
        <f>_xlfn.COMPOUNDVALUE(704)</f>
        <v>231</v>
      </c>
      <c r="I15" s="128">
        <v>1940681</v>
      </c>
      <c r="J15" s="126">
        <v>558</v>
      </c>
      <c r="K15" s="128">
        <v>28922</v>
      </c>
      <c r="L15" s="126">
        <v>6883</v>
      </c>
      <c r="M15" s="128">
        <v>15738875</v>
      </c>
      <c r="N15" s="126">
        <v>6780</v>
      </c>
      <c r="O15" s="129">
        <v>200</v>
      </c>
      <c r="P15" s="129">
        <v>24</v>
      </c>
      <c r="Q15" s="130">
        <v>7004</v>
      </c>
      <c r="R15" s="77" t="s">
        <v>46</v>
      </c>
    </row>
    <row r="16" spans="1:18" ht="15.75" customHeight="1">
      <c r="A16" s="78" t="s">
        <v>47</v>
      </c>
      <c r="B16" s="131">
        <f>_xlfn.COMPOUNDVALUE(705)</f>
        <v>6731</v>
      </c>
      <c r="C16" s="132">
        <v>23794883</v>
      </c>
      <c r="D16" s="131">
        <f>_xlfn.COMPOUNDVALUE(706)</f>
        <v>5256</v>
      </c>
      <c r="E16" s="132">
        <v>2807806</v>
      </c>
      <c r="F16" s="131">
        <f>_xlfn.COMPOUNDVALUE(707)</f>
        <v>11987</v>
      </c>
      <c r="G16" s="132">
        <v>26602690</v>
      </c>
      <c r="H16" s="131">
        <f>_xlfn.COMPOUNDVALUE(708)</f>
        <v>716</v>
      </c>
      <c r="I16" s="133">
        <v>4010661</v>
      </c>
      <c r="J16" s="131">
        <v>1049</v>
      </c>
      <c r="K16" s="133">
        <v>97574</v>
      </c>
      <c r="L16" s="131">
        <v>12981</v>
      </c>
      <c r="M16" s="133">
        <v>22689603</v>
      </c>
      <c r="N16" s="126">
        <v>13025</v>
      </c>
      <c r="O16" s="129">
        <v>509</v>
      </c>
      <c r="P16" s="129">
        <v>29</v>
      </c>
      <c r="Q16" s="130">
        <v>13563</v>
      </c>
      <c r="R16" s="77" t="s">
        <v>47</v>
      </c>
    </row>
    <row r="17" spans="1:18" ht="15.75" customHeight="1">
      <c r="A17" s="78" t="s">
        <v>48</v>
      </c>
      <c r="B17" s="131">
        <f>_xlfn.COMPOUNDVALUE(709)</f>
        <v>1661</v>
      </c>
      <c r="C17" s="132">
        <v>5882827</v>
      </c>
      <c r="D17" s="131">
        <f>_xlfn.COMPOUNDVALUE(710)</f>
        <v>1460</v>
      </c>
      <c r="E17" s="132">
        <v>603324</v>
      </c>
      <c r="F17" s="131">
        <f>_xlfn.COMPOUNDVALUE(711)</f>
        <v>3121</v>
      </c>
      <c r="G17" s="132">
        <v>6486150</v>
      </c>
      <c r="H17" s="131">
        <f>_xlfn.COMPOUNDVALUE(712)</f>
        <v>115</v>
      </c>
      <c r="I17" s="133">
        <v>363195</v>
      </c>
      <c r="J17" s="131">
        <v>210</v>
      </c>
      <c r="K17" s="133">
        <v>5998</v>
      </c>
      <c r="L17" s="131">
        <v>3320</v>
      </c>
      <c r="M17" s="133">
        <v>6128953</v>
      </c>
      <c r="N17" s="126">
        <v>3910</v>
      </c>
      <c r="O17" s="129">
        <v>96</v>
      </c>
      <c r="P17" s="129">
        <v>6</v>
      </c>
      <c r="Q17" s="130">
        <v>4012</v>
      </c>
      <c r="R17" s="77" t="s">
        <v>48</v>
      </c>
    </row>
    <row r="18" spans="1:18" ht="15.75" customHeight="1">
      <c r="A18" s="78"/>
      <c r="B18" s="131"/>
      <c r="C18" s="132"/>
      <c r="D18" s="131"/>
      <c r="E18" s="132"/>
      <c r="F18" s="131"/>
      <c r="G18" s="132"/>
      <c r="H18" s="131"/>
      <c r="I18" s="133"/>
      <c r="J18" s="131"/>
      <c r="K18" s="133"/>
      <c r="L18" s="131"/>
      <c r="M18" s="133"/>
      <c r="N18" s="126"/>
      <c r="O18" s="129"/>
      <c r="P18" s="129"/>
      <c r="Q18" s="130"/>
      <c r="R18" s="77" t="s">
        <v>38</v>
      </c>
    </row>
    <row r="19" spans="1:18" ht="15.75" customHeight="1">
      <c r="A19" s="78" t="s">
        <v>49</v>
      </c>
      <c r="B19" s="131">
        <f>_xlfn.COMPOUNDVALUE(713)</f>
        <v>2608</v>
      </c>
      <c r="C19" s="132">
        <v>8179249</v>
      </c>
      <c r="D19" s="131">
        <f>_xlfn.COMPOUNDVALUE(714)</f>
        <v>2055</v>
      </c>
      <c r="E19" s="132">
        <v>930995</v>
      </c>
      <c r="F19" s="131">
        <f>_xlfn.COMPOUNDVALUE(715)</f>
        <v>4663</v>
      </c>
      <c r="G19" s="132">
        <v>9110245</v>
      </c>
      <c r="H19" s="131">
        <f>_xlfn.COMPOUNDVALUE(716)</f>
        <v>213</v>
      </c>
      <c r="I19" s="133">
        <v>838000</v>
      </c>
      <c r="J19" s="131">
        <v>433</v>
      </c>
      <c r="K19" s="133">
        <v>40772</v>
      </c>
      <c r="L19" s="131">
        <v>5006</v>
      </c>
      <c r="M19" s="133">
        <v>8313017</v>
      </c>
      <c r="N19" s="126">
        <v>5001</v>
      </c>
      <c r="O19" s="129">
        <v>154</v>
      </c>
      <c r="P19" s="129">
        <v>10</v>
      </c>
      <c r="Q19" s="130">
        <v>5165</v>
      </c>
      <c r="R19" s="77" t="s">
        <v>49</v>
      </c>
    </row>
    <row r="20" spans="1:18" ht="15.75" customHeight="1">
      <c r="A20" s="78" t="s">
        <v>50</v>
      </c>
      <c r="B20" s="131">
        <f>_xlfn.COMPOUNDVALUE(717)</f>
        <v>7046</v>
      </c>
      <c r="C20" s="132">
        <v>28946691</v>
      </c>
      <c r="D20" s="131">
        <f>_xlfn.COMPOUNDVALUE(718)</f>
        <v>5252</v>
      </c>
      <c r="E20" s="132">
        <v>2622690</v>
      </c>
      <c r="F20" s="131">
        <f>_xlfn.COMPOUNDVALUE(719)</f>
        <v>12298</v>
      </c>
      <c r="G20" s="132">
        <v>31569381</v>
      </c>
      <c r="H20" s="131">
        <f>_xlfn.COMPOUNDVALUE(720)</f>
        <v>1257</v>
      </c>
      <c r="I20" s="133">
        <v>11575360</v>
      </c>
      <c r="J20" s="131">
        <v>1100</v>
      </c>
      <c r="K20" s="133">
        <v>-82657</v>
      </c>
      <c r="L20" s="131">
        <v>14009</v>
      </c>
      <c r="M20" s="133">
        <v>19911364</v>
      </c>
      <c r="N20" s="126">
        <v>13851</v>
      </c>
      <c r="O20" s="129">
        <v>773</v>
      </c>
      <c r="P20" s="129">
        <v>46</v>
      </c>
      <c r="Q20" s="130">
        <v>14670</v>
      </c>
      <c r="R20" s="77" t="s">
        <v>50</v>
      </c>
    </row>
    <row r="21" spans="1:18" ht="15.75" customHeight="1">
      <c r="A21" s="78" t="s">
        <v>51</v>
      </c>
      <c r="B21" s="131">
        <f>_xlfn.COMPOUNDVALUE(721)</f>
        <v>2536</v>
      </c>
      <c r="C21" s="132">
        <v>8243103</v>
      </c>
      <c r="D21" s="131">
        <f>_xlfn.COMPOUNDVALUE(722)</f>
        <v>2300</v>
      </c>
      <c r="E21" s="132">
        <v>1016393</v>
      </c>
      <c r="F21" s="131">
        <f>_xlfn.COMPOUNDVALUE(723)</f>
        <v>4836</v>
      </c>
      <c r="G21" s="132">
        <v>9259496</v>
      </c>
      <c r="H21" s="131">
        <f>_xlfn.COMPOUNDVALUE(724)</f>
        <v>240</v>
      </c>
      <c r="I21" s="133">
        <v>525506</v>
      </c>
      <c r="J21" s="131">
        <v>434</v>
      </c>
      <c r="K21" s="133">
        <v>58764</v>
      </c>
      <c r="L21" s="131">
        <v>5218</v>
      </c>
      <c r="M21" s="133">
        <v>8792754</v>
      </c>
      <c r="N21" s="126">
        <v>5219</v>
      </c>
      <c r="O21" s="129">
        <v>195</v>
      </c>
      <c r="P21" s="129">
        <v>8</v>
      </c>
      <c r="Q21" s="130">
        <v>5422</v>
      </c>
      <c r="R21" s="77" t="s">
        <v>51</v>
      </c>
    </row>
    <row r="22" spans="1:18" ht="15.75" customHeight="1">
      <c r="A22" s="78" t="s">
        <v>166</v>
      </c>
      <c r="B22" s="131">
        <f>_xlfn.COMPOUNDVALUE(725)</f>
        <v>6870</v>
      </c>
      <c r="C22" s="132">
        <v>27960251</v>
      </c>
      <c r="D22" s="131">
        <f>_xlfn.COMPOUNDVALUE(726)</f>
        <v>5123</v>
      </c>
      <c r="E22" s="132">
        <v>2684029</v>
      </c>
      <c r="F22" s="131">
        <f>_xlfn.COMPOUNDVALUE(727)</f>
        <v>11993</v>
      </c>
      <c r="G22" s="132">
        <v>30644279</v>
      </c>
      <c r="H22" s="131">
        <f>_xlfn.COMPOUNDVALUE(728)</f>
        <v>724</v>
      </c>
      <c r="I22" s="133">
        <v>2490927</v>
      </c>
      <c r="J22" s="131">
        <v>986</v>
      </c>
      <c r="K22" s="133">
        <v>457772</v>
      </c>
      <c r="L22" s="131">
        <v>12942</v>
      </c>
      <c r="M22" s="133">
        <v>28611124</v>
      </c>
      <c r="N22" s="126">
        <v>12878</v>
      </c>
      <c r="O22" s="129">
        <v>590</v>
      </c>
      <c r="P22" s="129">
        <v>32</v>
      </c>
      <c r="Q22" s="130">
        <v>13500</v>
      </c>
      <c r="R22" s="77" t="s">
        <v>52</v>
      </c>
    </row>
    <row r="23" spans="1:18" ht="15.75" customHeight="1">
      <c r="A23" s="161" t="s">
        <v>53</v>
      </c>
      <c r="B23" s="162">
        <v>63208</v>
      </c>
      <c r="C23" s="163">
        <v>347462283</v>
      </c>
      <c r="D23" s="162">
        <v>47257</v>
      </c>
      <c r="E23" s="163">
        <v>24274578</v>
      </c>
      <c r="F23" s="162">
        <v>110465</v>
      </c>
      <c r="G23" s="163">
        <v>371736861</v>
      </c>
      <c r="H23" s="162">
        <v>6718</v>
      </c>
      <c r="I23" s="164">
        <v>38933580</v>
      </c>
      <c r="J23" s="162">
        <v>9149</v>
      </c>
      <c r="K23" s="164">
        <v>1231107</v>
      </c>
      <c r="L23" s="162">
        <v>120012</v>
      </c>
      <c r="M23" s="164">
        <v>334034388</v>
      </c>
      <c r="N23" s="162">
        <v>121656</v>
      </c>
      <c r="O23" s="184">
        <v>4836</v>
      </c>
      <c r="P23" s="184">
        <v>361</v>
      </c>
      <c r="Q23" s="185">
        <v>126853</v>
      </c>
      <c r="R23" s="165" t="s">
        <v>54</v>
      </c>
    </row>
    <row r="24" spans="1:18" ht="15.75" customHeight="1">
      <c r="A24" s="166"/>
      <c r="B24" s="167"/>
      <c r="C24" s="168"/>
      <c r="D24" s="167"/>
      <c r="E24" s="168"/>
      <c r="F24" s="169"/>
      <c r="G24" s="168"/>
      <c r="H24" s="169"/>
      <c r="I24" s="168"/>
      <c r="J24" s="169"/>
      <c r="K24" s="168"/>
      <c r="L24" s="169"/>
      <c r="M24" s="168"/>
      <c r="N24" s="186"/>
      <c r="O24" s="187"/>
      <c r="P24" s="187"/>
      <c r="Q24" s="188"/>
      <c r="R24" s="170" t="s">
        <v>38</v>
      </c>
    </row>
    <row r="25" spans="1:18" ht="15.75" customHeight="1">
      <c r="A25" s="76" t="s">
        <v>55</v>
      </c>
      <c r="B25" s="126">
        <f>_xlfn.COMPOUNDVALUE(729)</f>
        <v>11855</v>
      </c>
      <c r="C25" s="127">
        <v>1240970100</v>
      </c>
      <c r="D25" s="126">
        <f>_xlfn.COMPOUNDVALUE(730)</f>
        <v>3519</v>
      </c>
      <c r="E25" s="127">
        <v>3043354</v>
      </c>
      <c r="F25" s="126">
        <f>_xlfn.COMPOUNDVALUE(731)</f>
        <v>15374</v>
      </c>
      <c r="G25" s="127">
        <v>1244013454</v>
      </c>
      <c r="H25" s="126">
        <f>_xlfn.COMPOUNDVALUE(732)</f>
        <v>3969</v>
      </c>
      <c r="I25" s="128">
        <v>502713415</v>
      </c>
      <c r="J25" s="126">
        <v>1331</v>
      </c>
      <c r="K25" s="128">
        <v>-5331884</v>
      </c>
      <c r="L25" s="126">
        <v>19499</v>
      </c>
      <c r="M25" s="128">
        <v>735968155</v>
      </c>
      <c r="N25" s="126">
        <v>15204</v>
      </c>
      <c r="O25" s="129">
        <v>3784</v>
      </c>
      <c r="P25" s="129">
        <v>531</v>
      </c>
      <c r="Q25" s="130">
        <v>19519</v>
      </c>
      <c r="R25" s="86" t="s">
        <v>55</v>
      </c>
    </row>
    <row r="26" spans="1:18" ht="15.75" customHeight="1">
      <c r="A26" s="76" t="s">
        <v>56</v>
      </c>
      <c r="B26" s="126">
        <f>_xlfn.COMPOUNDVALUE(733)</f>
        <v>12176</v>
      </c>
      <c r="C26" s="127">
        <v>307566028</v>
      </c>
      <c r="D26" s="126">
        <f>_xlfn.COMPOUNDVALUE(734)</f>
        <v>3447</v>
      </c>
      <c r="E26" s="127">
        <v>2520789</v>
      </c>
      <c r="F26" s="126">
        <f>_xlfn.COMPOUNDVALUE(735)</f>
        <v>15623</v>
      </c>
      <c r="G26" s="127">
        <v>310086816</v>
      </c>
      <c r="H26" s="126">
        <f>_xlfn.COMPOUNDVALUE(736)</f>
        <v>2333</v>
      </c>
      <c r="I26" s="128">
        <v>67935149</v>
      </c>
      <c r="J26" s="126">
        <v>1210</v>
      </c>
      <c r="K26" s="128">
        <v>638512</v>
      </c>
      <c r="L26" s="126">
        <v>18130</v>
      </c>
      <c r="M26" s="128">
        <v>242790179</v>
      </c>
      <c r="N26" s="126">
        <v>16435</v>
      </c>
      <c r="O26" s="129">
        <v>1484</v>
      </c>
      <c r="P26" s="129">
        <v>326</v>
      </c>
      <c r="Q26" s="130">
        <v>18245</v>
      </c>
      <c r="R26" s="77" t="s">
        <v>56</v>
      </c>
    </row>
    <row r="27" spans="1:18" ht="15.75" customHeight="1">
      <c r="A27" s="76" t="s">
        <v>57</v>
      </c>
      <c r="B27" s="126">
        <f>_xlfn.COMPOUNDVALUE(737)</f>
        <v>9783</v>
      </c>
      <c r="C27" s="127">
        <v>347261749</v>
      </c>
      <c r="D27" s="126">
        <f>_xlfn.COMPOUNDVALUE(738)</f>
        <v>2604</v>
      </c>
      <c r="E27" s="127">
        <v>2168315</v>
      </c>
      <c r="F27" s="126">
        <f>_xlfn.COMPOUNDVALUE(739)</f>
        <v>12387</v>
      </c>
      <c r="G27" s="127">
        <v>349430064</v>
      </c>
      <c r="H27" s="126">
        <f>_xlfn.COMPOUNDVALUE(740)</f>
        <v>2444</v>
      </c>
      <c r="I27" s="128">
        <v>117630329</v>
      </c>
      <c r="J27" s="126">
        <v>1102</v>
      </c>
      <c r="K27" s="128">
        <v>-186845</v>
      </c>
      <c r="L27" s="126">
        <v>14977</v>
      </c>
      <c r="M27" s="128">
        <v>231612890</v>
      </c>
      <c r="N27" s="126">
        <v>12925</v>
      </c>
      <c r="O27" s="129">
        <v>1626</v>
      </c>
      <c r="P27" s="129">
        <v>284</v>
      </c>
      <c r="Q27" s="130">
        <v>14835</v>
      </c>
      <c r="R27" s="77" t="s">
        <v>57</v>
      </c>
    </row>
    <row r="28" spans="1:18" ht="15.75" customHeight="1">
      <c r="A28" s="76" t="s">
        <v>58</v>
      </c>
      <c r="B28" s="126">
        <f>_xlfn.COMPOUNDVALUE(741)</f>
        <v>13023</v>
      </c>
      <c r="C28" s="127">
        <v>394925731</v>
      </c>
      <c r="D28" s="126">
        <f>_xlfn.COMPOUNDVALUE(742)</f>
        <v>3833</v>
      </c>
      <c r="E28" s="127">
        <v>2733842</v>
      </c>
      <c r="F28" s="126">
        <f>_xlfn.COMPOUNDVALUE(743)</f>
        <v>16856</v>
      </c>
      <c r="G28" s="127">
        <v>397659573</v>
      </c>
      <c r="H28" s="126">
        <f>_xlfn.COMPOUNDVALUE(744)</f>
        <v>2776</v>
      </c>
      <c r="I28" s="128">
        <v>191167570</v>
      </c>
      <c r="J28" s="126">
        <v>1427</v>
      </c>
      <c r="K28" s="128">
        <v>1205187</v>
      </c>
      <c r="L28" s="126">
        <v>19897</v>
      </c>
      <c r="M28" s="128">
        <v>207697191</v>
      </c>
      <c r="N28" s="126">
        <v>19279</v>
      </c>
      <c r="O28" s="129">
        <v>1528</v>
      </c>
      <c r="P28" s="129">
        <v>355</v>
      </c>
      <c r="Q28" s="130">
        <v>21162</v>
      </c>
      <c r="R28" s="77" t="s">
        <v>58</v>
      </c>
    </row>
    <row r="29" spans="1:18" ht="15.75" customHeight="1">
      <c r="A29" s="76" t="s">
        <v>167</v>
      </c>
      <c r="B29" s="126">
        <f>_xlfn.COMPOUNDVALUE(745)</f>
        <v>17260</v>
      </c>
      <c r="C29" s="127">
        <v>908327233</v>
      </c>
      <c r="D29" s="126">
        <f>_xlfn.COMPOUNDVALUE(746)</f>
        <v>5084</v>
      </c>
      <c r="E29" s="127">
        <v>5003297</v>
      </c>
      <c r="F29" s="126">
        <f>_xlfn.COMPOUNDVALUE(747)</f>
        <v>22344</v>
      </c>
      <c r="G29" s="127">
        <v>913330530</v>
      </c>
      <c r="H29" s="126">
        <f>_xlfn.COMPOUNDVALUE(748)</f>
        <v>4939</v>
      </c>
      <c r="I29" s="128">
        <v>414840108</v>
      </c>
      <c r="J29" s="126">
        <v>2097</v>
      </c>
      <c r="K29" s="128">
        <v>-719262</v>
      </c>
      <c r="L29" s="126">
        <v>27622</v>
      </c>
      <c r="M29" s="128">
        <v>497771160</v>
      </c>
      <c r="N29" s="126">
        <v>24764</v>
      </c>
      <c r="O29" s="129">
        <v>3515</v>
      </c>
      <c r="P29" s="129">
        <v>719</v>
      </c>
      <c r="Q29" s="130">
        <v>28998</v>
      </c>
      <c r="R29" s="77" t="s">
        <v>59</v>
      </c>
    </row>
    <row r="30" spans="1:18" ht="15.75" customHeight="1">
      <c r="A30" s="76"/>
      <c r="B30" s="126"/>
      <c r="C30" s="127"/>
      <c r="D30" s="126"/>
      <c r="E30" s="127"/>
      <c r="F30" s="126"/>
      <c r="G30" s="127"/>
      <c r="H30" s="126"/>
      <c r="I30" s="128"/>
      <c r="J30" s="126"/>
      <c r="K30" s="128"/>
      <c r="L30" s="126"/>
      <c r="M30" s="128"/>
      <c r="N30" s="126"/>
      <c r="O30" s="129"/>
      <c r="P30" s="129"/>
      <c r="Q30" s="130"/>
      <c r="R30" s="77" t="s">
        <v>38</v>
      </c>
    </row>
    <row r="31" spans="1:18" ht="15.75" customHeight="1">
      <c r="A31" s="76" t="s">
        <v>60</v>
      </c>
      <c r="B31" s="126">
        <f>_xlfn.COMPOUNDVALUE(749)</f>
        <v>16318</v>
      </c>
      <c r="C31" s="127">
        <v>376815660</v>
      </c>
      <c r="D31" s="126">
        <f>_xlfn.COMPOUNDVALUE(750)</f>
        <v>4934</v>
      </c>
      <c r="E31" s="127">
        <v>3862635</v>
      </c>
      <c r="F31" s="126">
        <f>_xlfn.COMPOUNDVALUE(751)</f>
        <v>21252</v>
      </c>
      <c r="G31" s="127">
        <v>380678294</v>
      </c>
      <c r="H31" s="126">
        <f>_xlfn.COMPOUNDVALUE(752)</f>
        <v>3597</v>
      </c>
      <c r="I31" s="128">
        <v>237551501</v>
      </c>
      <c r="J31" s="126">
        <v>1435</v>
      </c>
      <c r="K31" s="128">
        <v>458946</v>
      </c>
      <c r="L31" s="126">
        <v>25194</v>
      </c>
      <c r="M31" s="128">
        <v>143585739</v>
      </c>
      <c r="N31" s="126">
        <v>24783</v>
      </c>
      <c r="O31" s="129">
        <v>2778</v>
      </c>
      <c r="P31" s="129">
        <v>706</v>
      </c>
      <c r="Q31" s="130">
        <v>28267</v>
      </c>
      <c r="R31" s="77" t="s">
        <v>60</v>
      </c>
    </row>
    <row r="32" spans="1:18" ht="15.75" customHeight="1">
      <c r="A32" s="76" t="s">
        <v>61</v>
      </c>
      <c r="B32" s="126">
        <f>_xlfn.COMPOUNDVALUE(753)</f>
        <v>8146</v>
      </c>
      <c r="C32" s="127">
        <v>255467328</v>
      </c>
      <c r="D32" s="126">
        <f>_xlfn.COMPOUNDVALUE(754)</f>
        <v>3256</v>
      </c>
      <c r="E32" s="127">
        <v>2056750</v>
      </c>
      <c r="F32" s="126">
        <f>_xlfn.COMPOUNDVALUE(755)</f>
        <v>11402</v>
      </c>
      <c r="G32" s="127">
        <v>257524078</v>
      </c>
      <c r="H32" s="126">
        <f>_xlfn.COMPOUNDVALUE(756)</f>
        <v>1603</v>
      </c>
      <c r="I32" s="128">
        <v>73463819</v>
      </c>
      <c r="J32" s="126">
        <v>1065</v>
      </c>
      <c r="K32" s="128">
        <v>1022417</v>
      </c>
      <c r="L32" s="126">
        <v>13211</v>
      </c>
      <c r="M32" s="128">
        <v>185082676</v>
      </c>
      <c r="N32" s="126">
        <v>12707</v>
      </c>
      <c r="O32" s="129">
        <v>1105</v>
      </c>
      <c r="P32" s="129">
        <v>197</v>
      </c>
      <c r="Q32" s="130">
        <v>14009</v>
      </c>
      <c r="R32" s="77" t="s">
        <v>61</v>
      </c>
    </row>
    <row r="33" spans="1:18" ht="15.75" customHeight="1">
      <c r="A33" s="76" t="s">
        <v>62</v>
      </c>
      <c r="B33" s="126">
        <f>_xlfn.COMPOUNDVALUE(757)</f>
        <v>9113</v>
      </c>
      <c r="C33" s="127">
        <v>135577202</v>
      </c>
      <c r="D33" s="126">
        <f>_xlfn.COMPOUNDVALUE(758)</f>
        <v>3976</v>
      </c>
      <c r="E33" s="127">
        <v>2983383</v>
      </c>
      <c r="F33" s="126">
        <f>_xlfn.COMPOUNDVALUE(759)</f>
        <v>13089</v>
      </c>
      <c r="G33" s="127">
        <v>138560585</v>
      </c>
      <c r="H33" s="126">
        <f>_xlfn.COMPOUNDVALUE(760)</f>
        <v>1274</v>
      </c>
      <c r="I33" s="128">
        <v>22259704</v>
      </c>
      <c r="J33" s="126">
        <v>892</v>
      </c>
      <c r="K33" s="128">
        <v>637133</v>
      </c>
      <c r="L33" s="126">
        <v>14536</v>
      </c>
      <c r="M33" s="128">
        <v>116938014</v>
      </c>
      <c r="N33" s="126">
        <v>14239</v>
      </c>
      <c r="O33" s="129">
        <v>769</v>
      </c>
      <c r="P33" s="129">
        <v>208</v>
      </c>
      <c r="Q33" s="130">
        <v>15216</v>
      </c>
      <c r="R33" s="77" t="s">
        <v>62</v>
      </c>
    </row>
    <row r="34" spans="1:18" ht="15.75" customHeight="1">
      <c r="A34" s="76" t="s">
        <v>63</v>
      </c>
      <c r="B34" s="126">
        <f>_xlfn.COMPOUNDVALUE(761)</f>
        <v>10279</v>
      </c>
      <c r="C34" s="127">
        <v>364583448</v>
      </c>
      <c r="D34" s="126">
        <f>_xlfn.COMPOUNDVALUE(762)</f>
        <v>3678</v>
      </c>
      <c r="E34" s="127">
        <v>3125513</v>
      </c>
      <c r="F34" s="126">
        <f>_xlfn.COMPOUNDVALUE(763)</f>
        <v>13957</v>
      </c>
      <c r="G34" s="127">
        <v>367708961</v>
      </c>
      <c r="H34" s="126">
        <f>_xlfn.COMPOUNDVALUE(764)</f>
        <v>1972</v>
      </c>
      <c r="I34" s="128">
        <v>26291882</v>
      </c>
      <c r="J34" s="126">
        <v>1320</v>
      </c>
      <c r="K34" s="128">
        <v>2012795</v>
      </c>
      <c r="L34" s="126">
        <v>16234</v>
      </c>
      <c r="M34" s="128">
        <v>343429874</v>
      </c>
      <c r="N34" s="126">
        <v>16143</v>
      </c>
      <c r="O34" s="129">
        <v>1215</v>
      </c>
      <c r="P34" s="129">
        <v>335</v>
      </c>
      <c r="Q34" s="130">
        <v>17693</v>
      </c>
      <c r="R34" s="77" t="s">
        <v>63</v>
      </c>
    </row>
    <row r="35" spans="1:18" ht="15.75" customHeight="1">
      <c r="A35" s="76" t="s">
        <v>64</v>
      </c>
      <c r="B35" s="126">
        <f>_xlfn.COMPOUNDVALUE(765)</f>
        <v>2913</v>
      </c>
      <c r="C35" s="127">
        <v>49369573</v>
      </c>
      <c r="D35" s="126">
        <f>_xlfn.COMPOUNDVALUE(766)</f>
        <v>1808</v>
      </c>
      <c r="E35" s="127">
        <v>1109884</v>
      </c>
      <c r="F35" s="126">
        <f>_xlfn.COMPOUNDVALUE(767)</f>
        <v>4721</v>
      </c>
      <c r="G35" s="127">
        <v>50479457</v>
      </c>
      <c r="H35" s="126">
        <f>_xlfn.COMPOUNDVALUE(768)</f>
        <v>394</v>
      </c>
      <c r="I35" s="128">
        <v>3857636</v>
      </c>
      <c r="J35" s="126">
        <v>447</v>
      </c>
      <c r="K35" s="128">
        <v>298159</v>
      </c>
      <c r="L35" s="126">
        <v>5177</v>
      </c>
      <c r="M35" s="128">
        <v>46919980</v>
      </c>
      <c r="N35" s="126">
        <v>5118</v>
      </c>
      <c r="O35" s="129">
        <v>346</v>
      </c>
      <c r="P35" s="129">
        <v>43</v>
      </c>
      <c r="Q35" s="130">
        <v>5507</v>
      </c>
      <c r="R35" s="77" t="s">
        <v>64</v>
      </c>
    </row>
    <row r="36" spans="1:18" ht="15.75" customHeight="1">
      <c r="A36" s="76"/>
      <c r="B36" s="126"/>
      <c r="C36" s="127"/>
      <c r="D36" s="126"/>
      <c r="E36" s="127"/>
      <c r="F36" s="126"/>
      <c r="G36" s="127"/>
      <c r="H36" s="126"/>
      <c r="I36" s="128"/>
      <c r="J36" s="126"/>
      <c r="K36" s="128"/>
      <c r="L36" s="126"/>
      <c r="M36" s="128"/>
      <c r="N36" s="126"/>
      <c r="O36" s="129"/>
      <c r="P36" s="129"/>
      <c r="Q36" s="130"/>
      <c r="R36" s="77" t="s">
        <v>38</v>
      </c>
    </row>
    <row r="37" spans="1:18" ht="15.75" customHeight="1">
      <c r="A37" s="76" t="s">
        <v>65</v>
      </c>
      <c r="B37" s="126">
        <f>_xlfn.COMPOUNDVALUE(769)</f>
        <v>3650</v>
      </c>
      <c r="C37" s="127">
        <v>43120942</v>
      </c>
      <c r="D37" s="126">
        <f>_xlfn.COMPOUNDVALUE(770)</f>
        <v>1956</v>
      </c>
      <c r="E37" s="127">
        <v>1210576</v>
      </c>
      <c r="F37" s="126">
        <f>_xlfn.COMPOUNDVALUE(771)</f>
        <v>5606</v>
      </c>
      <c r="G37" s="127">
        <v>44331517</v>
      </c>
      <c r="H37" s="126">
        <f>_xlfn.COMPOUNDVALUE(772)</f>
        <v>503</v>
      </c>
      <c r="I37" s="128">
        <v>5061273</v>
      </c>
      <c r="J37" s="126">
        <v>409</v>
      </c>
      <c r="K37" s="128">
        <v>106768</v>
      </c>
      <c r="L37" s="126">
        <v>6207</v>
      </c>
      <c r="M37" s="128">
        <v>39377012</v>
      </c>
      <c r="N37" s="126">
        <v>6170</v>
      </c>
      <c r="O37" s="129">
        <v>324</v>
      </c>
      <c r="P37" s="129">
        <v>60</v>
      </c>
      <c r="Q37" s="130">
        <v>6554</v>
      </c>
      <c r="R37" s="77" t="s">
        <v>65</v>
      </c>
    </row>
    <row r="38" spans="1:18" ht="15.75" customHeight="1">
      <c r="A38" s="76" t="s">
        <v>66</v>
      </c>
      <c r="B38" s="126">
        <f>_xlfn.COMPOUNDVALUE(773)</f>
        <v>5675</v>
      </c>
      <c r="C38" s="127">
        <v>86891085</v>
      </c>
      <c r="D38" s="126">
        <f>_xlfn.COMPOUNDVALUE(774)</f>
        <v>2329</v>
      </c>
      <c r="E38" s="127">
        <v>1446264</v>
      </c>
      <c r="F38" s="126">
        <f>_xlfn.COMPOUNDVALUE(775)</f>
        <v>8004</v>
      </c>
      <c r="G38" s="127">
        <v>88337349</v>
      </c>
      <c r="H38" s="126">
        <f>_xlfn.COMPOUNDVALUE(776)</f>
        <v>1107</v>
      </c>
      <c r="I38" s="128">
        <v>20924728</v>
      </c>
      <c r="J38" s="126">
        <v>811</v>
      </c>
      <c r="K38" s="128">
        <v>172647</v>
      </c>
      <c r="L38" s="126">
        <v>9235</v>
      </c>
      <c r="M38" s="128">
        <v>67585268</v>
      </c>
      <c r="N38" s="126">
        <v>8981</v>
      </c>
      <c r="O38" s="129">
        <v>462</v>
      </c>
      <c r="P38" s="129">
        <v>110</v>
      </c>
      <c r="Q38" s="130">
        <v>9553</v>
      </c>
      <c r="R38" s="77" t="s">
        <v>66</v>
      </c>
    </row>
    <row r="39" spans="1:18" ht="15.75" customHeight="1">
      <c r="A39" s="76" t="s">
        <v>67</v>
      </c>
      <c r="B39" s="126">
        <f>_xlfn.COMPOUNDVALUE(777)</f>
        <v>5653</v>
      </c>
      <c r="C39" s="127">
        <v>74047849</v>
      </c>
      <c r="D39" s="126">
        <f>_xlfn.COMPOUNDVALUE(778)</f>
        <v>2748</v>
      </c>
      <c r="E39" s="127">
        <v>1488979</v>
      </c>
      <c r="F39" s="126">
        <f>_xlfn.COMPOUNDVALUE(779)</f>
        <v>8401</v>
      </c>
      <c r="G39" s="127">
        <v>75536828</v>
      </c>
      <c r="H39" s="126">
        <f>_xlfn.COMPOUNDVALUE(780)</f>
        <v>920</v>
      </c>
      <c r="I39" s="128">
        <v>5401520</v>
      </c>
      <c r="J39" s="126">
        <v>739</v>
      </c>
      <c r="K39" s="128">
        <v>327514</v>
      </c>
      <c r="L39" s="126">
        <v>9480</v>
      </c>
      <c r="M39" s="128">
        <v>70462821</v>
      </c>
      <c r="N39" s="126">
        <v>9385</v>
      </c>
      <c r="O39" s="129">
        <v>508</v>
      </c>
      <c r="P39" s="129">
        <v>76</v>
      </c>
      <c r="Q39" s="130">
        <v>9969</v>
      </c>
      <c r="R39" s="77" t="s">
        <v>67</v>
      </c>
    </row>
    <row r="40" spans="1:18" ht="15.75" customHeight="1">
      <c r="A40" s="76" t="s">
        <v>68</v>
      </c>
      <c r="B40" s="126">
        <f>_xlfn.COMPOUNDVALUE(781)</f>
        <v>4735</v>
      </c>
      <c r="C40" s="127">
        <v>92995760</v>
      </c>
      <c r="D40" s="126">
        <f>_xlfn.COMPOUNDVALUE(782)</f>
        <v>2223</v>
      </c>
      <c r="E40" s="127">
        <v>1244838</v>
      </c>
      <c r="F40" s="126">
        <f>_xlfn.COMPOUNDVALUE(783)</f>
        <v>6958</v>
      </c>
      <c r="G40" s="127">
        <v>94240598</v>
      </c>
      <c r="H40" s="126">
        <f>_xlfn.COMPOUNDVALUE(784)</f>
        <v>586</v>
      </c>
      <c r="I40" s="128">
        <v>4430315</v>
      </c>
      <c r="J40" s="126">
        <v>437</v>
      </c>
      <c r="K40" s="128">
        <v>142625</v>
      </c>
      <c r="L40" s="126">
        <v>7656</v>
      </c>
      <c r="M40" s="128">
        <v>89952908</v>
      </c>
      <c r="N40" s="126">
        <v>7834</v>
      </c>
      <c r="O40" s="129">
        <v>337</v>
      </c>
      <c r="P40" s="129">
        <v>50</v>
      </c>
      <c r="Q40" s="130">
        <v>8221</v>
      </c>
      <c r="R40" s="77" t="s">
        <v>68</v>
      </c>
    </row>
    <row r="41" spans="1:18" ht="15.75" customHeight="1">
      <c r="A41" s="76" t="s">
        <v>69</v>
      </c>
      <c r="B41" s="126">
        <f>_xlfn.COMPOUNDVALUE(785)</f>
        <v>1863</v>
      </c>
      <c r="C41" s="127">
        <v>10624192</v>
      </c>
      <c r="D41" s="126">
        <f>_xlfn.COMPOUNDVALUE(786)</f>
        <v>1261</v>
      </c>
      <c r="E41" s="127">
        <v>603816</v>
      </c>
      <c r="F41" s="126">
        <f>_xlfn.COMPOUNDVALUE(787)</f>
        <v>3124</v>
      </c>
      <c r="G41" s="127">
        <v>11228009</v>
      </c>
      <c r="H41" s="126">
        <f>_xlfn.COMPOUNDVALUE(788)</f>
        <v>159</v>
      </c>
      <c r="I41" s="128">
        <v>385195</v>
      </c>
      <c r="J41" s="126">
        <v>259</v>
      </c>
      <c r="K41" s="128">
        <v>2004</v>
      </c>
      <c r="L41" s="126">
        <v>3367</v>
      </c>
      <c r="M41" s="128">
        <v>10844817</v>
      </c>
      <c r="N41" s="126">
        <v>3366</v>
      </c>
      <c r="O41" s="129">
        <v>92</v>
      </c>
      <c r="P41" s="129">
        <v>13</v>
      </c>
      <c r="Q41" s="130">
        <v>3471</v>
      </c>
      <c r="R41" s="77" t="s">
        <v>69</v>
      </c>
    </row>
    <row r="42" spans="1:18" ht="15.75" customHeight="1">
      <c r="A42" s="103"/>
      <c r="B42" s="126"/>
      <c r="C42" s="127"/>
      <c r="D42" s="126"/>
      <c r="E42" s="127"/>
      <c r="F42" s="126"/>
      <c r="G42" s="127"/>
      <c r="H42" s="126"/>
      <c r="I42" s="128"/>
      <c r="J42" s="126"/>
      <c r="K42" s="128"/>
      <c r="L42" s="126"/>
      <c r="M42" s="128"/>
      <c r="N42" s="126"/>
      <c r="O42" s="129"/>
      <c r="P42" s="129"/>
      <c r="Q42" s="130"/>
      <c r="R42" s="105" t="s">
        <v>38</v>
      </c>
    </row>
    <row r="43" spans="1:18" ht="15.75" customHeight="1">
      <c r="A43" s="98" t="s">
        <v>70</v>
      </c>
      <c r="B43" s="126">
        <f>_xlfn.COMPOUNDVALUE(789)</f>
        <v>5572</v>
      </c>
      <c r="C43" s="127">
        <v>158143473</v>
      </c>
      <c r="D43" s="126">
        <f>_xlfn.COMPOUNDVALUE(790)</f>
        <v>2637</v>
      </c>
      <c r="E43" s="127">
        <v>1483755</v>
      </c>
      <c r="F43" s="126">
        <f>_xlfn.COMPOUNDVALUE(791)</f>
        <v>8209</v>
      </c>
      <c r="G43" s="127">
        <v>159627227</v>
      </c>
      <c r="H43" s="126">
        <f>_xlfn.COMPOUNDVALUE(792)</f>
        <v>939</v>
      </c>
      <c r="I43" s="128">
        <v>46421158</v>
      </c>
      <c r="J43" s="126">
        <v>724</v>
      </c>
      <c r="K43" s="128">
        <v>239833</v>
      </c>
      <c r="L43" s="126">
        <v>9301</v>
      </c>
      <c r="M43" s="128">
        <v>113445903</v>
      </c>
      <c r="N43" s="126">
        <v>9295</v>
      </c>
      <c r="O43" s="129">
        <v>565</v>
      </c>
      <c r="P43" s="129">
        <v>95</v>
      </c>
      <c r="Q43" s="130">
        <v>9955</v>
      </c>
      <c r="R43" s="97" t="s">
        <v>70</v>
      </c>
    </row>
    <row r="44" spans="1:18" ht="15.75" customHeight="1">
      <c r="A44" s="76" t="s">
        <v>71</v>
      </c>
      <c r="B44" s="126">
        <f>_xlfn.COMPOUNDVALUE(793)</f>
        <v>3149</v>
      </c>
      <c r="C44" s="127">
        <v>63147545</v>
      </c>
      <c r="D44" s="126">
        <f>_xlfn.COMPOUNDVALUE(794)</f>
        <v>1942</v>
      </c>
      <c r="E44" s="127">
        <v>978938</v>
      </c>
      <c r="F44" s="126">
        <f>_xlfn.COMPOUNDVALUE(795)</f>
        <v>5091</v>
      </c>
      <c r="G44" s="127">
        <v>64126483</v>
      </c>
      <c r="H44" s="126">
        <f>_xlfn.COMPOUNDVALUE(796)</f>
        <v>403</v>
      </c>
      <c r="I44" s="128">
        <v>3265246</v>
      </c>
      <c r="J44" s="126">
        <v>499</v>
      </c>
      <c r="K44" s="128">
        <v>427418</v>
      </c>
      <c r="L44" s="126">
        <v>5651</v>
      </c>
      <c r="M44" s="128">
        <v>61288654</v>
      </c>
      <c r="N44" s="126">
        <v>5562</v>
      </c>
      <c r="O44" s="129">
        <v>252</v>
      </c>
      <c r="P44" s="129">
        <v>31</v>
      </c>
      <c r="Q44" s="130">
        <v>5845</v>
      </c>
      <c r="R44" s="77" t="s">
        <v>71</v>
      </c>
    </row>
    <row r="45" spans="1:18" ht="15.75" customHeight="1">
      <c r="A45" s="76" t="s">
        <v>72</v>
      </c>
      <c r="B45" s="126">
        <f>_xlfn.COMPOUNDVALUE(797)</f>
        <v>2146</v>
      </c>
      <c r="C45" s="127">
        <v>12160904</v>
      </c>
      <c r="D45" s="126">
        <f>_xlfn.COMPOUNDVALUE(798)</f>
        <v>1623</v>
      </c>
      <c r="E45" s="127">
        <v>855747</v>
      </c>
      <c r="F45" s="126">
        <f>_xlfn.COMPOUNDVALUE(799)</f>
        <v>3769</v>
      </c>
      <c r="G45" s="127">
        <v>13016651</v>
      </c>
      <c r="H45" s="126">
        <f>_xlfn.COMPOUNDVALUE(800)</f>
        <v>234</v>
      </c>
      <c r="I45" s="128">
        <v>1586512</v>
      </c>
      <c r="J45" s="126">
        <v>310</v>
      </c>
      <c r="K45" s="128">
        <v>9281</v>
      </c>
      <c r="L45" s="126">
        <v>4080</v>
      </c>
      <c r="M45" s="128">
        <v>11439420</v>
      </c>
      <c r="N45" s="126">
        <v>4461</v>
      </c>
      <c r="O45" s="129">
        <v>154</v>
      </c>
      <c r="P45" s="129">
        <v>14</v>
      </c>
      <c r="Q45" s="130">
        <v>4629</v>
      </c>
      <c r="R45" s="77" t="s">
        <v>72</v>
      </c>
    </row>
    <row r="46" spans="1:18" ht="15.75" customHeight="1">
      <c r="A46" s="76" t="s">
        <v>73</v>
      </c>
      <c r="B46" s="126">
        <f>_xlfn.COMPOUNDVALUE(801)</f>
        <v>7296</v>
      </c>
      <c r="C46" s="127">
        <v>74230625</v>
      </c>
      <c r="D46" s="126">
        <f>_xlfn.COMPOUNDVALUE(802)</f>
        <v>4259</v>
      </c>
      <c r="E46" s="127">
        <v>2607547</v>
      </c>
      <c r="F46" s="126">
        <f>_xlfn.COMPOUNDVALUE(803)</f>
        <v>11555</v>
      </c>
      <c r="G46" s="127">
        <v>76838171</v>
      </c>
      <c r="H46" s="126">
        <f>_xlfn.COMPOUNDVALUE(804)</f>
        <v>868</v>
      </c>
      <c r="I46" s="128">
        <v>8662276</v>
      </c>
      <c r="J46" s="126">
        <v>741</v>
      </c>
      <c r="K46" s="128">
        <v>39685</v>
      </c>
      <c r="L46" s="126">
        <v>12652</v>
      </c>
      <c r="M46" s="128">
        <v>68215580</v>
      </c>
      <c r="N46" s="126">
        <v>13141</v>
      </c>
      <c r="O46" s="129">
        <v>669</v>
      </c>
      <c r="P46" s="129">
        <v>114</v>
      </c>
      <c r="Q46" s="130">
        <v>13924</v>
      </c>
      <c r="R46" s="77" t="s">
        <v>73</v>
      </c>
    </row>
    <row r="47" spans="1:18" ht="15.75" customHeight="1">
      <c r="A47" s="76" t="s">
        <v>74</v>
      </c>
      <c r="B47" s="126">
        <f>_xlfn.COMPOUNDVALUE(805)</f>
        <v>4359</v>
      </c>
      <c r="C47" s="127">
        <v>45745373</v>
      </c>
      <c r="D47" s="126">
        <f>_xlfn.COMPOUNDVALUE(806)</f>
        <v>2617</v>
      </c>
      <c r="E47" s="127">
        <v>1353224</v>
      </c>
      <c r="F47" s="126">
        <f>_xlfn.COMPOUNDVALUE(807)</f>
        <v>6976</v>
      </c>
      <c r="G47" s="127">
        <v>47098597</v>
      </c>
      <c r="H47" s="126">
        <f>_xlfn.COMPOUNDVALUE(808)</f>
        <v>428</v>
      </c>
      <c r="I47" s="128">
        <v>15458000</v>
      </c>
      <c r="J47" s="126">
        <v>519</v>
      </c>
      <c r="K47" s="128">
        <v>117857</v>
      </c>
      <c r="L47" s="126">
        <v>7515</v>
      </c>
      <c r="M47" s="128">
        <v>31758455</v>
      </c>
      <c r="N47" s="126">
        <v>7755</v>
      </c>
      <c r="O47" s="129">
        <v>305</v>
      </c>
      <c r="P47" s="129">
        <v>34</v>
      </c>
      <c r="Q47" s="130">
        <v>8094</v>
      </c>
      <c r="R47" s="77" t="s">
        <v>74</v>
      </c>
    </row>
    <row r="48" spans="1:18" ht="15.75" customHeight="1">
      <c r="A48" s="76"/>
      <c r="B48" s="126"/>
      <c r="C48" s="127"/>
      <c r="D48" s="126"/>
      <c r="E48" s="127"/>
      <c r="F48" s="126"/>
      <c r="G48" s="127"/>
      <c r="H48" s="126"/>
      <c r="I48" s="128"/>
      <c r="J48" s="126"/>
      <c r="K48" s="128"/>
      <c r="L48" s="126"/>
      <c r="M48" s="128"/>
      <c r="N48" s="126"/>
      <c r="O48" s="129"/>
      <c r="P48" s="129"/>
      <c r="Q48" s="130"/>
      <c r="R48" s="77" t="s">
        <v>38</v>
      </c>
    </row>
    <row r="49" spans="1:18" ht="15.75" customHeight="1">
      <c r="A49" s="76" t="s">
        <v>75</v>
      </c>
      <c r="B49" s="126">
        <f>_xlfn.COMPOUNDVALUE(809)</f>
        <v>2509</v>
      </c>
      <c r="C49" s="127">
        <v>12001604</v>
      </c>
      <c r="D49" s="126">
        <f>_xlfn.COMPOUNDVALUE(810)</f>
        <v>1891</v>
      </c>
      <c r="E49" s="127">
        <v>1079219</v>
      </c>
      <c r="F49" s="126">
        <f>_xlfn.COMPOUNDVALUE(811)</f>
        <v>4400</v>
      </c>
      <c r="G49" s="127">
        <v>13080823</v>
      </c>
      <c r="H49" s="126">
        <f>_xlfn.COMPOUNDVALUE(812)</f>
        <v>346</v>
      </c>
      <c r="I49" s="128">
        <v>9265274</v>
      </c>
      <c r="J49" s="126">
        <v>338</v>
      </c>
      <c r="K49" s="128">
        <v>66281</v>
      </c>
      <c r="L49" s="126">
        <v>4843</v>
      </c>
      <c r="M49" s="128">
        <v>3881829</v>
      </c>
      <c r="N49" s="126">
        <v>4957</v>
      </c>
      <c r="O49" s="129">
        <v>245</v>
      </c>
      <c r="P49" s="129">
        <v>31</v>
      </c>
      <c r="Q49" s="130">
        <v>5233</v>
      </c>
      <c r="R49" s="77" t="s">
        <v>75</v>
      </c>
    </row>
    <row r="50" spans="1:18" ht="15.75" customHeight="1">
      <c r="A50" s="76" t="s">
        <v>76</v>
      </c>
      <c r="B50" s="126">
        <f>_xlfn.COMPOUNDVALUE(813)</f>
        <v>4739</v>
      </c>
      <c r="C50" s="127">
        <v>59822515</v>
      </c>
      <c r="D50" s="126">
        <f>_xlfn.COMPOUNDVALUE(814)</f>
        <v>3186</v>
      </c>
      <c r="E50" s="127">
        <v>1664780</v>
      </c>
      <c r="F50" s="126">
        <f>_xlfn.COMPOUNDVALUE(815)</f>
        <v>7925</v>
      </c>
      <c r="G50" s="127">
        <v>61487295</v>
      </c>
      <c r="H50" s="126">
        <f>_xlfn.COMPOUNDVALUE(816)</f>
        <v>398</v>
      </c>
      <c r="I50" s="128">
        <v>45287029</v>
      </c>
      <c r="J50" s="126">
        <v>719</v>
      </c>
      <c r="K50" s="128">
        <v>106413</v>
      </c>
      <c r="L50" s="126">
        <v>8483</v>
      </c>
      <c r="M50" s="128">
        <v>16306679</v>
      </c>
      <c r="N50" s="126">
        <v>8757</v>
      </c>
      <c r="O50" s="129">
        <v>242</v>
      </c>
      <c r="P50" s="129">
        <v>30</v>
      </c>
      <c r="Q50" s="130">
        <v>9029</v>
      </c>
      <c r="R50" s="77" t="s">
        <v>76</v>
      </c>
    </row>
    <row r="51" spans="1:18" ht="15.75" customHeight="1">
      <c r="A51" s="76" t="s">
        <v>77</v>
      </c>
      <c r="B51" s="126">
        <f>_xlfn.COMPOUNDVALUE(817)</f>
        <v>5237</v>
      </c>
      <c r="C51" s="127">
        <v>23731415</v>
      </c>
      <c r="D51" s="126">
        <f>_xlfn.COMPOUNDVALUE(818)</f>
        <v>3851</v>
      </c>
      <c r="E51" s="127">
        <v>2217725</v>
      </c>
      <c r="F51" s="126">
        <f>_xlfn.COMPOUNDVALUE(819)</f>
        <v>9088</v>
      </c>
      <c r="G51" s="127">
        <v>25949139</v>
      </c>
      <c r="H51" s="126">
        <f>_xlfn.COMPOUNDVALUE(820)</f>
        <v>646</v>
      </c>
      <c r="I51" s="128">
        <v>1483594</v>
      </c>
      <c r="J51" s="126">
        <v>655</v>
      </c>
      <c r="K51" s="128">
        <v>159767</v>
      </c>
      <c r="L51" s="126">
        <v>9924</v>
      </c>
      <c r="M51" s="128">
        <v>24625313</v>
      </c>
      <c r="N51" s="126">
        <v>11040</v>
      </c>
      <c r="O51" s="129">
        <v>495</v>
      </c>
      <c r="P51" s="129">
        <v>42</v>
      </c>
      <c r="Q51" s="130">
        <v>11577</v>
      </c>
      <c r="R51" s="77" t="s">
        <v>77</v>
      </c>
    </row>
    <row r="52" spans="1:18" ht="15.75" customHeight="1">
      <c r="A52" s="76" t="s">
        <v>78</v>
      </c>
      <c r="B52" s="126">
        <f>_xlfn.COMPOUNDVALUE(821)</f>
        <v>4610</v>
      </c>
      <c r="C52" s="127">
        <v>21221115</v>
      </c>
      <c r="D52" s="126">
        <f>_xlfn.COMPOUNDVALUE(822)</f>
        <v>3610</v>
      </c>
      <c r="E52" s="127">
        <v>2107281</v>
      </c>
      <c r="F52" s="126">
        <f>_xlfn.COMPOUNDVALUE(823)</f>
        <v>8220</v>
      </c>
      <c r="G52" s="127">
        <v>23328396</v>
      </c>
      <c r="H52" s="126">
        <f>_xlfn.COMPOUNDVALUE(824)</f>
        <v>487</v>
      </c>
      <c r="I52" s="128">
        <v>1059119</v>
      </c>
      <c r="J52" s="126">
        <v>622</v>
      </c>
      <c r="K52" s="128">
        <v>135826</v>
      </c>
      <c r="L52" s="126">
        <v>8918</v>
      </c>
      <c r="M52" s="128">
        <v>22405102</v>
      </c>
      <c r="N52" s="126">
        <v>9657</v>
      </c>
      <c r="O52" s="129">
        <v>380</v>
      </c>
      <c r="P52" s="129">
        <v>20</v>
      </c>
      <c r="Q52" s="130">
        <v>10057</v>
      </c>
      <c r="R52" s="77" t="s">
        <v>78</v>
      </c>
    </row>
    <row r="53" spans="1:18" ht="15.75" customHeight="1">
      <c r="A53" s="76" t="s">
        <v>79</v>
      </c>
      <c r="B53" s="126">
        <f>_xlfn.COMPOUNDVALUE(825)</f>
        <v>4579</v>
      </c>
      <c r="C53" s="127">
        <v>40514344</v>
      </c>
      <c r="D53" s="126">
        <f>_xlfn.COMPOUNDVALUE(826)</f>
        <v>3389</v>
      </c>
      <c r="E53" s="127">
        <v>2073970</v>
      </c>
      <c r="F53" s="126">
        <f>_xlfn.COMPOUNDVALUE(827)</f>
        <v>7968</v>
      </c>
      <c r="G53" s="127">
        <v>42588314</v>
      </c>
      <c r="H53" s="126">
        <f>_xlfn.COMPOUNDVALUE(828)</f>
        <v>617</v>
      </c>
      <c r="I53" s="128">
        <v>2933897</v>
      </c>
      <c r="J53" s="126">
        <v>535</v>
      </c>
      <c r="K53" s="128">
        <v>19618</v>
      </c>
      <c r="L53" s="126">
        <v>8736</v>
      </c>
      <c r="M53" s="128">
        <v>39674034</v>
      </c>
      <c r="N53" s="126">
        <v>9257</v>
      </c>
      <c r="O53" s="129">
        <v>470</v>
      </c>
      <c r="P53" s="129">
        <v>44</v>
      </c>
      <c r="Q53" s="130">
        <v>9771</v>
      </c>
      <c r="R53" s="77" t="s">
        <v>79</v>
      </c>
    </row>
    <row r="54" spans="1:18" ht="15.75" customHeight="1">
      <c r="A54" s="76"/>
      <c r="B54" s="126"/>
      <c r="C54" s="127"/>
      <c r="D54" s="126"/>
      <c r="E54" s="127"/>
      <c r="F54" s="126"/>
      <c r="G54" s="127"/>
      <c r="H54" s="126"/>
      <c r="I54" s="128"/>
      <c r="J54" s="126"/>
      <c r="K54" s="128"/>
      <c r="L54" s="126"/>
      <c r="M54" s="128"/>
      <c r="N54" s="126"/>
      <c r="O54" s="129"/>
      <c r="P54" s="129"/>
      <c r="Q54" s="130"/>
      <c r="R54" s="77" t="s">
        <v>38</v>
      </c>
    </row>
    <row r="55" spans="1:18" ht="15.75" customHeight="1">
      <c r="A55" s="76" t="s">
        <v>80</v>
      </c>
      <c r="B55" s="126">
        <f>_xlfn.COMPOUNDVALUE(829)</f>
        <v>22768</v>
      </c>
      <c r="C55" s="127">
        <v>467060492</v>
      </c>
      <c r="D55" s="126">
        <f>_xlfn.COMPOUNDVALUE(830)</f>
        <v>8081</v>
      </c>
      <c r="E55" s="127">
        <v>6051463</v>
      </c>
      <c r="F55" s="126">
        <f>_xlfn.COMPOUNDVALUE(831)</f>
        <v>30849</v>
      </c>
      <c r="G55" s="127">
        <v>473111955</v>
      </c>
      <c r="H55" s="126">
        <f>_xlfn.COMPOUNDVALUE(832)</f>
        <v>3002</v>
      </c>
      <c r="I55" s="128">
        <v>107482742</v>
      </c>
      <c r="J55" s="126">
        <v>2408</v>
      </c>
      <c r="K55" s="128">
        <v>1438200</v>
      </c>
      <c r="L55" s="126">
        <v>34419</v>
      </c>
      <c r="M55" s="128">
        <v>367067413</v>
      </c>
      <c r="N55" s="126">
        <v>34857</v>
      </c>
      <c r="O55" s="129">
        <v>1928</v>
      </c>
      <c r="P55" s="129">
        <v>645</v>
      </c>
      <c r="Q55" s="130">
        <v>37430</v>
      </c>
      <c r="R55" s="77" t="s">
        <v>80</v>
      </c>
    </row>
    <row r="56" spans="1:18" ht="15.75" customHeight="1">
      <c r="A56" s="76" t="s">
        <v>81</v>
      </c>
      <c r="B56" s="126">
        <f>_xlfn.COMPOUNDVALUE(833)</f>
        <v>5337</v>
      </c>
      <c r="C56" s="127">
        <v>71305839</v>
      </c>
      <c r="D56" s="126">
        <f>_xlfn.COMPOUNDVALUE(834)</f>
        <v>3452</v>
      </c>
      <c r="E56" s="127">
        <v>1979846</v>
      </c>
      <c r="F56" s="126">
        <f>_xlfn.COMPOUNDVALUE(835)</f>
        <v>8789</v>
      </c>
      <c r="G56" s="127">
        <v>73285686</v>
      </c>
      <c r="H56" s="126">
        <f>_xlfn.COMPOUNDVALUE(836)</f>
        <v>682</v>
      </c>
      <c r="I56" s="128">
        <v>3849750</v>
      </c>
      <c r="J56" s="126">
        <v>673</v>
      </c>
      <c r="K56" s="128">
        <v>147477</v>
      </c>
      <c r="L56" s="126">
        <v>9642</v>
      </c>
      <c r="M56" s="128">
        <v>69583413</v>
      </c>
      <c r="N56" s="126">
        <v>10377</v>
      </c>
      <c r="O56" s="129">
        <v>488</v>
      </c>
      <c r="P56" s="129">
        <v>66</v>
      </c>
      <c r="Q56" s="130">
        <v>10931</v>
      </c>
      <c r="R56" s="77" t="s">
        <v>81</v>
      </c>
    </row>
    <row r="57" spans="1:18" ht="15.75" customHeight="1">
      <c r="A57" s="76" t="s">
        <v>82</v>
      </c>
      <c r="B57" s="126">
        <f>_xlfn.COMPOUNDVALUE(837)</f>
        <v>4343</v>
      </c>
      <c r="C57" s="127">
        <v>21922428</v>
      </c>
      <c r="D57" s="126">
        <f>_xlfn.COMPOUNDVALUE(838)</f>
        <v>3146</v>
      </c>
      <c r="E57" s="127">
        <v>1793200</v>
      </c>
      <c r="F57" s="126">
        <f>_xlfn.COMPOUNDVALUE(839)</f>
        <v>7489</v>
      </c>
      <c r="G57" s="127">
        <v>23715628</v>
      </c>
      <c r="H57" s="126">
        <f>_xlfn.COMPOUNDVALUE(840)</f>
        <v>460</v>
      </c>
      <c r="I57" s="128">
        <v>1826766</v>
      </c>
      <c r="J57" s="126">
        <v>579</v>
      </c>
      <c r="K57" s="128">
        <v>121532</v>
      </c>
      <c r="L57" s="126">
        <v>8149</v>
      </c>
      <c r="M57" s="128">
        <v>22010394</v>
      </c>
      <c r="N57" s="126">
        <v>8509</v>
      </c>
      <c r="O57" s="129">
        <v>375</v>
      </c>
      <c r="P57" s="129">
        <v>25</v>
      </c>
      <c r="Q57" s="130">
        <v>8909</v>
      </c>
      <c r="R57" s="77" t="s">
        <v>82</v>
      </c>
    </row>
    <row r="58" spans="1:18" ht="15.75" customHeight="1">
      <c r="A58" s="76" t="s">
        <v>83</v>
      </c>
      <c r="B58" s="126">
        <f>_xlfn.COMPOUNDVALUE(841)</f>
        <v>3219</v>
      </c>
      <c r="C58" s="127">
        <v>17906979</v>
      </c>
      <c r="D58" s="126">
        <f>_xlfn.COMPOUNDVALUE(842)</f>
        <v>2540</v>
      </c>
      <c r="E58" s="127">
        <v>1452279</v>
      </c>
      <c r="F58" s="126">
        <f>_xlfn.COMPOUNDVALUE(843)</f>
        <v>5759</v>
      </c>
      <c r="G58" s="127">
        <v>19359258</v>
      </c>
      <c r="H58" s="126">
        <f>_xlfn.COMPOUNDVALUE(844)</f>
        <v>396</v>
      </c>
      <c r="I58" s="128">
        <v>1101132</v>
      </c>
      <c r="J58" s="126">
        <v>414</v>
      </c>
      <c r="K58" s="128">
        <v>67213</v>
      </c>
      <c r="L58" s="126">
        <v>6260</v>
      </c>
      <c r="M58" s="128">
        <v>18325340</v>
      </c>
      <c r="N58" s="126">
        <v>6527</v>
      </c>
      <c r="O58" s="129">
        <v>334</v>
      </c>
      <c r="P58" s="129">
        <v>25</v>
      </c>
      <c r="Q58" s="130">
        <v>6886</v>
      </c>
      <c r="R58" s="77" t="s">
        <v>83</v>
      </c>
    </row>
    <row r="59" spans="1:18" ht="15.75" customHeight="1">
      <c r="A59" s="76" t="s">
        <v>84</v>
      </c>
      <c r="B59" s="126">
        <f>_xlfn.COMPOUNDVALUE(845)</f>
        <v>9577</v>
      </c>
      <c r="C59" s="127">
        <v>123549715</v>
      </c>
      <c r="D59" s="126">
        <f>_xlfn.COMPOUNDVALUE(846)</f>
        <v>4521</v>
      </c>
      <c r="E59" s="127">
        <v>2883084</v>
      </c>
      <c r="F59" s="126">
        <f>_xlfn.COMPOUNDVALUE(847)</f>
        <v>14098</v>
      </c>
      <c r="G59" s="127">
        <v>126432799</v>
      </c>
      <c r="H59" s="126">
        <f>_xlfn.COMPOUNDVALUE(848)</f>
        <v>1621</v>
      </c>
      <c r="I59" s="128">
        <v>12832566</v>
      </c>
      <c r="J59" s="126">
        <v>1238</v>
      </c>
      <c r="K59" s="128">
        <v>86362</v>
      </c>
      <c r="L59" s="126">
        <v>15992</v>
      </c>
      <c r="M59" s="128">
        <v>113686595</v>
      </c>
      <c r="N59" s="126">
        <v>16030</v>
      </c>
      <c r="O59" s="129">
        <v>888</v>
      </c>
      <c r="P59" s="129">
        <v>182</v>
      </c>
      <c r="Q59" s="130">
        <v>17100</v>
      </c>
      <c r="R59" s="77" t="s">
        <v>84</v>
      </c>
    </row>
    <row r="60" spans="1:18" ht="15.75" customHeight="1">
      <c r="A60" s="76"/>
      <c r="B60" s="126"/>
      <c r="C60" s="127"/>
      <c r="D60" s="126"/>
      <c r="E60" s="127"/>
      <c r="F60" s="126"/>
      <c r="G60" s="127"/>
      <c r="H60" s="126"/>
      <c r="I60" s="128"/>
      <c r="J60" s="126"/>
      <c r="K60" s="128"/>
      <c r="L60" s="126"/>
      <c r="M60" s="128"/>
      <c r="N60" s="126"/>
      <c r="O60" s="129"/>
      <c r="P60" s="129"/>
      <c r="Q60" s="130"/>
      <c r="R60" s="77" t="s">
        <v>38</v>
      </c>
    </row>
    <row r="61" spans="1:18" ht="15.75" customHeight="1">
      <c r="A61" s="76" t="s">
        <v>85</v>
      </c>
      <c r="B61" s="126">
        <f>_xlfn.COMPOUNDVALUE(849)</f>
        <v>4796</v>
      </c>
      <c r="C61" s="127">
        <v>50163285</v>
      </c>
      <c r="D61" s="126">
        <f>_xlfn.COMPOUNDVALUE(850)</f>
        <v>3113</v>
      </c>
      <c r="E61" s="127">
        <v>1635191</v>
      </c>
      <c r="F61" s="126">
        <f>_xlfn.COMPOUNDVALUE(851)</f>
        <v>7909</v>
      </c>
      <c r="G61" s="127">
        <v>51798476</v>
      </c>
      <c r="H61" s="126">
        <f>_xlfn.COMPOUNDVALUE(852)</f>
        <v>567</v>
      </c>
      <c r="I61" s="128">
        <v>3045025</v>
      </c>
      <c r="J61" s="126">
        <v>644</v>
      </c>
      <c r="K61" s="128">
        <v>-31325</v>
      </c>
      <c r="L61" s="126">
        <v>8625</v>
      </c>
      <c r="M61" s="128">
        <v>48722125</v>
      </c>
      <c r="N61" s="126">
        <v>8414</v>
      </c>
      <c r="O61" s="129">
        <v>316</v>
      </c>
      <c r="P61" s="129">
        <v>30</v>
      </c>
      <c r="Q61" s="130">
        <v>8760</v>
      </c>
      <c r="R61" s="77" t="s">
        <v>85</v>
      </c>
    </row>
    <row r="62" spans="1:18" ht="15.75" customHeight="1">
      <c r="A62" s="76" t="s">
        <v>86</v>
      </c>
      <c r="B62" s="126">
        <f>_xlfn.COMPOUNDVALUE(853)</f>
        <v>3967</v>
      </c>
      <c r="C62" s="127">
        <v>26728511</v>
      </c>
      <c r="D62" s="126">
        <f>_xlfn.COMPOUNDVALUE(854)</f>
        <v>2434</v>
      </c>
      <c r="E62" s="127">
        <v>1239459</v>
      </c>
      <c r="F62" s="126">
        <f>_xlfn.COMPOUNDVALUE(855)</f>
        <v>6401</v>
      </c>
      <c r="G62" s="127">
        <v>27967971</v>
      </c>
      <c r="H62" s="126">
        <f>_xlfn.COMPOUNDVALUE(856)</f>
        <v>520</v>
      </c>
      <c r="I62" s="128">
        <v>1761287</v>
      </c>
      <c r="J62" s="126">
        <v>516</v>
      </c>
      <c r="K62" s="128">
        <v>133806</v>
      </c>
      <c r="L62" s="126">
        <v>7087</v>
      </c>
      <c r="M62" s="128">
        <v>26340490</v>
      </c>
      <c r="N62" s="126">
        <v>7101</v>
      </c>
      <c r="O62" s="129">
        <v>303</v>
      </c>
      <c r="P62" s="129">
        <v>31</v>
      </c>
      <c r="Q62" s="130">
        <v>7435</v>
      </c>
      <c r="R62" s="77" t="s">
        <v>86</v>
      </c>
    </row>
    <row r="63" spans="1:18" ht="15.75" customHeight="1">
      <c r="A63" s="76" t="s">
        <v>87</v>
      </c>
      <c r="B63" s="126">
        <f>_xlfn.COMPOUNDVALUE(857)</f>
        <v>7676</v>
      </c>
      <c r="C63" s="127">
        <v>46387178</v>
      </c>
      <c r="D63" s="126">
        <f>_xlfn.COMPOUNDVALUE(858)</f>
        <v>4868</v>
      </c>
      <c r="E63" s="127">
        <v>2584427</v>
      </c>
      <c r="F63" s="126">
        <f>_xlfn.COMPOUNDVALUE(859)</f>
        <v>12544</v>
      </c>
      <c r="G63" s="127">
        <v>48971604</v>
      </c>
      <c r="H63" s="126">
        <f>_xlfn.COMPOUNDVALUE(860)</f>
        <v>721</v>
      </c>
      <c r="I63" s="128">
        <v>3911108</v>
      </c>
      <c r="J63" s="126">
        <v>1021</v>
      </c>
      <c r="K63" s="128">
        <v>6847</v>
      </c>
      <c r="L63" s="126">
        <v>13559</v>
      </c>
      <c r="M63" s="128">
        <v>45067343</v>
      </c>
      <c r="N63" s="126">
        <v>13829</v>
      </c>
      <c r="O63" s="129">
        <v>496</v>
      </c>
      <c r="P63" s="129">
        <v>55</v>
      </c>
      <c r="Q63" s="130">
        <v>14380</v>
      </c>
      <c r="R63" s="77" t="s">
        <v>87</v>
      </c>
    </row>
    <row r="64" spans="1:18" ht="15.75" customHeight="1">
      <c r="A64" s="76" t="s">
        <v>88</v>
      </c>
      <c r="B64" s="126">
        <f>_xlfn.COMPOUNDVALUE(861)</f>
        <v>5300</v>
      </c>
      <c r="C64" s="127">
        <v>19965072</v>
      </c>
      <c r="D64" s="126">
        <f>_xlfn.COMPOUNDVALUE(862)</f>
        <v>3934</v>
      </c>
      <c r="E64" s="127">
        <v>2210019</v>
      </c>
      <c r="F64" s="126">
        <f>_xlfn.COMPOUNDVALUE(863)</f>
        <v>9234</v>
      </c>
      <c r="G64" s="127">
        <v>22175091</v>
      </c>
      <c r="H64" s="126">
        <f>_xlfn.COMPOUNDVALUE(864)</f>
        <v>593</v>
      </c>
      <c r="I64" s="128">
        <v>5654559</v>
      </c>
      <c r="J64" s="126">
        <v>669</v>
      </c>
      <c r="K64" s="128">
        <v>109465</v>
      </c>
      <c r="L64" s="126">
        <v>10037</v>
      </c>
      <c r="M64" s="128">
        <v>16629996</v>
      </c>
      <c r="N64" s="126">
        <v>10530</v>
      </c>
      <c r="O64" s="129">
        <v>432</v>
      </c>
      <c r="P64" s="129">
        <v>26</v>
      </c>
      <c r="Q64" s="130">
        <v>10988</v>
      </c>
      <c r="R64" s="77" t="s">
        <v>88</v>
      </c>
    </row>
    <row r="65" spans="1:18" ht="15.75" customHeight="1">
      <c r="A65" s="78" t="s">
        <v>89</v>
      </c>
      <c r="B65" s="131">
        <f>_xlfn.COMPOUNDVALUE(865)</f>
        <v>3170</v>
      </c>
      <c r="C65" s="132">
        <v>9370313</v>
      </c>
      <c r="D65" s="131">
        <f>_xlfn.COMPOUNDVALUE(866)</f>
        <v>2637</v>
      </c>
      <c r="E65" s="132">
        <v>1416433</v>
      </c>
      <c r="F65" s="131">
        <f>_xlfn.COMPOUNDVALUE(867)</f>
        <v>5807</v>
      </c>
      <c r="G65" s="132">
        <v>10786747</v>
      </c>
      <c r="H65" s="131">
        <f>_xlfn.COMPOUNDVALUE(868)</f>
        <v>295</v>
      </c>
      <c r="I65" s="133">
        <v>419620</v>
      </c>
      <c r="J65" s="131">
        <v>483</v>
      </c>
      <c r="K65" s="133">
        <v>85828</v>
      </c>
      <c r="L65" s="131">
        <v>6270</v>
      </c>
      <c r="M65" s="133">
        <v>10452955</v>
      </c>
      <c r="N65" s="126">
        <v>6629</v>
      </c>
      <c r="O65" s="129">
        <v>196</v>
      </c>
      <c r="P65" s="129">
        <v>15</v>
      </c>
      <c r="Q65" s="130">
        <v>6840</v>
      </c>
      <c r="R65" s="77" t="s">
        <v>89</v>
      </c>
    </row>
    <row r="66" spans="1:18" ht="15.75" customHeight="1">
      <c r="A66" s="78"/>
      <c r="B66" s="131"/>
      <c r="C66" s="132"/>
      <c r="D66" s="131"/>
      <c r="E66" s="132"/>
      <c r="F66" s="131"/>
      <c r="G66" s="132"/>
      <c r="H66" s="131"/>
      <c r="I66" s="133"/>
      <c r="J66" s="131"/>
      <c r="K66" s="133"/>
      <c r="L66" s="131"/>
      <c r="M66" s="133"/>
      <c r="N66" s="126"/>
      <c r="O66" s="129"/>
      <c r="P66" s="129"/>
      <c r="Q66" s="130"/>
      <c r="R66" s="77" t="s">
        <v>38</v>
      </c>
    </row>
    <row r="67" spans="1:18" ht="15.75" customHeight="1">
      <c r="A67" s="78" t="s">
        <v>90</v>
      </c>
      <c r="B67" s="131">
        <f>_xlfn.COMPOUNDVALUE(869)</f>
        <v>5787</v>
      </c>
      <c r="C67" s="132">
        <v>25766887</v>
      </c>
      <c r="D67" s="131">
        <f>_xlfn.COMPOUNDVALUE(870)</f>
        <v>3621</v>
      </c>
      <c r="E67" s="132">
        <v>1938389</v>
      </c>
      <c r="F67" s="131">
        <f>_xlfn.COMPOUNDVALUE(871)</f>
        <v>9408</v>
      </c>
      <c r="G67" s="132">
        <v>27705276</v>
      </c>
      <c r="H67" s="131">
        <f>_xlfn.COMPOUNDVALUE(872)</f>
        <v>486</v>
      </c>
      <c r="I67" s="133">
        <v>2754636</v>
      </c>
      <c r="J67" s="131">
        <v>688</v>
      </c>
      <c r="K67" s="133">
        <v>133487</v>
      </c>
      <c r="L67" s="131">
        <v>10107</v>
      </c>
      <c r="M67" s="133">
        <v>25084127</v>
      </c>
      <c r="N67" s="126">
        <v>10423</v>
      </c>
      <c r="O67" s="129">
        <v>305</v>
      </c>
      <c r="P67" s="129">
        <v>34</v>
      </c>
      <c r="Q67" s="130">
        <v>10762</v>
      </c>
      <c r="R67" s="77" t="s">
        <v>90</v>
      </c>
    </row>
    <row r="68" spans="1:18" ht="15.75" customHeight="1">
      <c r="A68" s="78" t="s">
        <v>91</v>
      </c>
      <c r="B68" s="131">
        <f>_xlfn.COMPOUNDVALUE(873)</f>
        <v>4636</v>
      </c>
      <c r="C68" s="132">
        <v>19598790</v>
      </c>
      <c r="D68" s="131">
        <f>_xlfn.COMPOUNDVALUE(874)</f>
        <v>3137</v>
      </c>
      <c r="E68" s="132">
        <v>1639924</v>
      </c>
      <c r="F68" s="131">
        <f>_xlfn.COMPOUNDVALUE(875)</f>
        <v>7773</v>
      </c>
      <c r="G68" s="132">
        <v>21238714</v>
      </c>
      <c r="H68" s="131">
        <f>_xlfn.COMPOUNDVALUE(876)</f>
        <v>399</v>
      </c>
      <c r="I68" s="133">
        <v>1503590</v>
      </c>
      <c r="J68" s="131">
        <v>486</v>
      </c>
      <c r="K68" s="133">
        <v>14927</v>
      </c>
      <c r="L68" s="131">
        <v>8329</v>
      </c>
      <c r="M68" s="133">
        <v>19750052</v>
      </c>
      <c r="N68" s="126">
        <v>8475</v>
      </c>
      <c r="O68" s="129">
        <v>221</v>
      </c>
      <c r="P68" s="129">
        <v>24</v>
      </c>
      <c r="Q68" s="130">
        <v>8720</v>
      </c>
      <c r="R68" s="77" t="s">
        <v>91</v>
      </c>
    </row>
    <row r="69" spans="1:18" ht="15.75" customHeight="1">
      <c r="A69" s="78" t="s">
        <v>92</v>
      </c>
      <c r="B69" s="131">
        <f>_xlfn.COMPOUNDVALUE(877)</f>
        <v>6091</v>
      </c>
      <c r="C69" s="132">
        <v>23910828</v>
      </c>
      <c r="D69" s="131">
        <f>_xlfn.COMPOUNDVALUE(878)</f>
        <v>4534</v>
      </c>
      <c r="E69" s="132">
        <v>2333788</v>
      </c>
      <c r="F69" s="131">
        <f>_xlfn.COMPOUNDVALUE(879)</f>
        <v>10625</v>
      </c>
      <c r="G69" s="132">
        <v>26244616</v>
      </c>
      <c r="H69" s="131">
        <f>_xlfn.COMPOUNDVALUE(880)</f>
        <v>650</v>
      </c>
      <c r="I69" s="133">
        <v>2067501</v>
      </c>
      <c r="J69" s="131">
        <v>855</v>
      </c>
      <c r="K69" s="133">
        <v>106550</v>
      </c>
      <c r="L69" s="131">
        <v>11529</v>
      </c>
      <c r="M69" s="133">
        <v>24283665</v>
      </c>
      <c r="N69" s="126">
        <v>11815</v>
      </c>
      <c r="O69" s="129">
        <v>385</v>
      </c>
      <c r="P69" s="129">
        <v>27</v>
      </c>
      <c r="Q69" s="130">
        <v>12227</v>
      </c>
      <c r="R69" s="77" t="s">
        <v>92</v>
      </c>
    </row>
    <row r="70" spans="1:18" ht="15.75" customHeight="1">
      <c r="A70" s="78" t="s">
        <v>93</v>
      </c>
      <c r="B70" s="131">
        <f>_xlfn.COMPOUNDVALUE(881)</f>
        <v>6712</v>
      </c>
      <c r="C70" s="132">
        <v>26847857</v>
      </c>
      <c r="D70" s="131">
        <f>_xlfn.COMPOUNDVALUE(882)</f>
        <v>4506</v>
      </c>
      <c r="E70" s="132">
        <v>2407109</v>
      </c>
      <c r="F70" s="131">
        <f>_xlfn.COMPOUNDVALUE(883)</f>
        <v>11218</v>
      </c>
      <c r="G70" s="132">
        <v>29254966</v>
      </c>
      <c r="H70" s="131">
        <f>_xlfn.COMPOUNDVALUE(884)</f>
        <v>610</v>
      </c>
      <c r="I70" s="133">
        <v>2499029</v>
      </c>
      <c r="J70" s="131">
        <v>1000</v>
      </c>
      <c r="K70" s="133">
        <v>195342</v>
      </c>
      <c r="L70" s="131">
        <v>12128</v>
      </c>
      <c r="M70" s="133">
        <v>26951279</v>
      </c>
      <c r="N70" s="126">
        <v>12593</v>
      </c>
      <c r="O70" s="129">
        <v>350</v>
      </c>
      <c r="P70" s="129">
        <v>40</v>
      </c>
      <c r="Q70" s="130">
        <v>12983</v>
      </c>
      <c r="R70" s="77" t="s">
        <v>93</v>
      </c>
    </row>
    <row r="71" spans="1:18" ht="15.75" customHeight="1">
      <c r="A71" s="78" t="s">
        <v>94</v>
      </c>
      <c r="B71" s="131">
        <f>_xlfn.COMPOUNDVALUE(885)</f>
        <v>3169</v>
      </c>
      <c r="C71" s="132">
        <v>18908041</v>
      </c>
      <c r="D71" s="131">
        <f>_xlfn.COMPOUNDVALUE(886)</f>
        <v>1991</v>
      </c>
      <c r="E71" s="132">
        <v>1124242</v>
      </c>
      <c r="F71" s="131">
        <f>_xlfn.COMPOUNDVALUE(887)</f>
        <v>5160</v>
      </c>
      <c r="G71" s="132">
        <v>20032282</v>
      </c>
      <c r="H71" s="131">
        <f>_xlfn.COMPOUNDVALUE(888)</f>
        <v>342</v>
      </c>
      <c r="I71" s="133">
        <v>1667709</v>
      </c>
      <c r="J71" s="131">
        <v>415</v>
      </c>
      <c r="K71" s="133">
        <v>47987</v>
      </c>
      <c r="L71" s="131">
        <v>5596</v>
      </c>
      <c r="M71" s="133">
        <v>18412561</v>
      </c>
      <c r="N71" s="126">
        <v>5635</v>
      </c>
      <c r="O71" s="129">
        <v>251</v>
      </c>
      <c r="P71" s="129">
        <v>22</v>
      </c>
      <c r="Q71" s="130">
        <v>5908</v>
      </c>
      <c r="R71" s="77" t="s">
        <v>94</v>
      </c>
    </row>
    <row r="72" spans="1:18" ht="15.75" customHeight="1">
      <c r="A72" s="161" t="s">
        <v>95</v>
      </c>
      <c r="B72" s="162">
        <v>273186</v>
      </c>
      <c r="C72" s="163">
        <v>6168655008</v>
      </c>
      <c r="D72" s="162">
        <v>132176</v>
      </c>
      <c r="E72" s="163">
        <v>83713274</v>
      </c>
      <c r="F72" s="162">
        <v>405362</v>
      </c>
      <c r="G72" s="163">
        <v>6252368278</v>
      </c>
      <c r="H72" s="162">
        <v>45286</v>
      </c>
      <c r="I72" s="164">
        <v>1981713269</v>
      </c>
      <c r="J72" s="162">
        <v>32732</v>
      </c>
      <c r="K72" s="164">
        <v>4772393</v>
      </c>
      <c r="L72" s="162">
        <v>458254</v>
      </c>
      <c r="M72" s="164">
        <v>4275427401</v>
      </c>
      <c r="N72" s="162">
        <v>452959</v>
      </c>
      <c r="O72" s="184">
        <v>30918</v>
      </c>
      <c r="P72" s="184">
        <v>5715</v>
      </c>
      <c r="Q72" s="185">
        <v>489592</v>
      </c>
      <c r="R72" s="165" t="s">
        <v>96</v>
      </c>
    </row>
    <row r="73" spans="1:18" ht="15.75" customHeight="1">
      <c r="A73" s="176"/>
      <c r="B73" s="177"/>
      <c r="C73" s="178"/>
      <c r="D73" s="177"/>
      <c r="E73" s="178"/>
      <c r="F73" s="177"/>
      <c r="G73" s="178"/>
      <c r="H73" s="177"/>
      <c r="I73" s="179"/>
      <c r="J73" s="177"/>
      <c r="K73" s="179"/>
      <c r="L73" s="177"/>
      <c r="M73" s="179"/>
      <c r="N73" s="189"/>
      <c r="O73" s="190"/>
      <c r="P73" s="190"/>
      <c r="Q73" s="191"/>
      <c r="R73" s="180" t="s">
        <v>38</v>
      </c>
    </row>
    <row r="74" spans="1:18" ht="15.75" customHeight="1">
      <c r="A74" s="76" t="s">
        <v>97</v>
      </c>
      <c r="B74" s="126">
        <f>_xlfn.COMPOUNDVALUE(889)</f>
        <v>6090</v>
      </c>
      <c r="C74" s="127">
        <v>29344658</v>
      </c>
      <c r="D74" s="126">
        <f>_xlfn.COMPOUNDVALUE(890)</f>
        <v>4504</v>
      </c>
      <c r="E74" s="127">
        <v>2427765</v>
      </c>
      <c r="F74" s="126">
        <f>_xlfn.COMPOUNDVALUE(891)</f>
        <v>10594</v>
      </c>
      <c r="G74" s="127">
        <v>31772423</v>
      </c>
      <c r="H74" s="126">
        <f>_xlfn.COMPOUNDVALUE(892)</f>
        <v>540</v>
      </c>
      <c r="I74" s="128">
        <v>14102324</v>
      </c>
      <c r="J74" s="126">
        <v>862</v>
      </c>
      <c r="K74" s="128">
        <v>178057</v>
      </c>
      <c r="L74" s="126">
        <v>11426</v>
      </c>
      <c r="M74" s="128">
        <v>17848156</v>
      </c>
      <c r="N74" s="126">
        <v>11565</v>
      </c>
      <c r="O74" s="129">
        <v>383</v>
      </c>
      <c r="P74" s="129">
        <v>29</v>
      </c>
      <c r="Q74" s="130">
        <v>11977</v>
      </c>
      <c r="R74" s="86" t="s">
        <v>97</v>
      </c>
    </row>
    <row r="75" spans="1:18" ht="15.75" customHeight="1">
      <c r="A75" s="78" t="s">
        <v>98</v>
      </c>
      <c r="B75" s="131">
        <f>_xlfn.COMPOUNDVALUE(893)</f>
        <v>7487</v>
      </c>
      <c r="C75" s="132">
        <v>42559921</v>
      </c>
      <c r="D75" s="131">
        <f>_xlfn.COMPOUNDVALUE(894)</f>
        <v>5758</v>
      </c>
      <c r="E75" s="132">
        <v>3237957</v>
      </c>
      <c r="F75" s="131">
        <f>_xlfn.COMPOUNDVALUE(895)</f>
        <v>13245</v>
      </c>
      <c r="G75" s="132">
        <v>45797877</v>
      </c>
      <c r="H75" s="131">
        <f>_xlfn.COMPOUNDVALUE(896)</f>
        <v>670</v>
      </c>
      <c r="I75" s="133">
        <v>3718276</v>
      </c>
      <c r="J75" s="131">
        <v>1045</v>
      </c>
      <c r="K75" s="133">
        <v>181766</v>
      </c>
      <c r="L75" s="131">
        <v>14242</v>
      </c>
      <c r="M75" s="133">
        <v>42261367</v>
      </c>
      <c r="N75" s="126">
        <v>14195</v>
      </c>
      <c r="O75" s="129">
        <v>475</v>
      </c>
      <c r="P75" s="129">
        <v>44</v>
      </c>
      <c r="Q75" s="130">
        <v>14714</v>
      </c>
      <c r="R75" s="77" t="s">
        <v>98</v>
      </c>
    </row>
    <row r="76" spans="1:18" ht="15.75" customHeight="1">
      <c r="A76" s="78" t="s">
        <v>99</v>
      </c>
      <c r="B76" s="131">
        <f>_xlfn.COMPOUNDVALUE(897)</f>
        <v>5187</v>
      </c>
      <c r="C76" s="132">
        <v>39268471</v>
      </c>
      <c r="D76" s="131">
        <f>_xlfn.COMPOUNDVALUE(898)</f>
        <v>4441</v>
      </c>
      <c r="E76" s="132">
        <v>2602381</v>
      </c>
      <c r="F76" s="131">
        <f>_xlfn.COMPOUNDVALUE(899)</f>
        <v>9628</v>
      </c>
      <c r="G76" s="132">
        <v>41870852</v>
      </c>
      <c r="H76" s="131">
        <f>_xlfn.COMPOUNDVALUE(900)</f>
        <v>601</v>
      </c>
      <c r="I76" s="133">
        <v>6505148</v>
      </c>
      <c r="J76" s="131">
        <v>653</v>
      </c>
      <c r="K76" s="133">
        <v>49693</v>
      </c>
      <c r="L76" s="131">
        <v>10412</v>
      </c>
      <c r="M76" s="133">
        <v>35415397</v>
      </c>
      <c r="N76" s="126">
        <v>10571</v>
      </c>
      <c r="O76" s="129">
        <v>425</v>
      </c>
      <c r="P76" s="129">
        <v>52</v>
      </c>
      <c r="Q76" s="130">
        <v>11048</v>
      </c>
      <c r="R76" s="77" t="s">
        <v>99</v>
      </c>
    </row>
    <row r="77" spans="1:18" ht="15.75" customHeight="1">
      <c r="A77" s="78" t="s">
        <v>100</v>
      </c>
      <c r="B77" s="131">
        <f>_xlfn.COMPOUNDVALUE(901)</f>
        <v>4514</v>
      </c>
      <c r="C77" s="132">
        <v>19361227</v>
      </c>
      <c r="D77" s="131">
        <f>_xlfn.COMPOUNDVALUE(902)</f>
        <v>3520</v>
      </c>
      <c r="E77" s="132">
        <v>1815729</v>
      </c>
      <c r="F77" s="131">
        <f>_xlfn.COMPOUNDVALUE(903)</f>
        <v>8034</v>
      </c>
      <c r="G77" s="132">
        <v>21176957</v>
      </c>
      <c r="H77" s="131">
        <f>_xlfn.COMPOUNDVALUE(904)</f>
        <v>314</v>
      </c>
      <c r="I77" s="133">
        <v>2335632</v>
      </c>
      <c r="J77" s="131">
        <v>578</v>
      </c>
      <c r="K77" s="133">
        <v>91901</v>
      </c>
      <c r="L77" s="131">
        <v>8554</v>
      </c>
      <c r="M77" s="133">
        <v>18933226</v>
      </c>
      <c r="N77" s="126">
        <v>8792</v>
      </c>
      <c r="O77" s="129">
        <v>191</v>
      </c>
      <c r="P77" s="129">
        <v>14</v>
      </c>
      <c r="Q77" s="130">
        <v>8997</v>
      </c>
      <c r="R77" s="77" t="s">
        <v>100</v>
      </c>
    </row>
    <row r="78" spans="1:18" ht="15.75" customHeight="1">
      <c r="A78" s="78" t="s">
        <v>101</v>
      </c>
      <c r="B78" s="131">
        <f>_xlfn.COMPOUNDVALUE(905)</f>
        <v>5992</v>
      </c>
      <c r="C78" s="132">
        <v>40164071</v>
      </c>
      <c r="D78" s="131">
        <f>_xlfn.COMPOUNDVALUE(906)</f>
        <v>4644</v>
      </c>
      <c r="E78" s="132">
        <v>2484374</v>
      </c>
      <c r="F78" s="131">
        <f>_xlfn.COMPOUNDVALUE(907)</f>
        <v>10636</v>
      </c>
      <c r="G78" s="132">
        <v>42648445</v>
      </c>
      <c r="H78" s="131">
        <f>_xlfn.COMPOUNDVALUE(908)</f>
        <v>508</v>
      </c>
      <c r="I78" s="133">
        <v>3938876</v>
      </c>
      <c r="J78" s="131">
        <v>792</v>
      </c>
      <c r="K78" s="133">
        <v>69465</v>
      </c>
      <c r="L78" s="131">
        <v>11382</v>
      </c>
      <c r="M78" s="133">
        <v>38779034</v>
      </c>
      <c r="N78" s="126">
        <v>11684</v>
      </c>
      <c r="O78" s="129">
        <v>395</v>
      </c>
      <c r="P78" s="129">
        <v>34</v>
      </c>
      <c r="Q78" s="130">
        <v>12113</v>
      </c>
      <c r="R78" s="77" t="s">
        <v>101</v>
      </c>
    </row>
    <row r="79" spans="1:18" ht="15.75" customHeight="1">
      <c r="A79" s="103"/>
      <c r="B79" s="139"/>
      <c r="C79" s="140"/>
      <c r="D79" s="139"/>
      <c r="E79" s="140"/>
      <c r="F79" s="139"/>
      <c r="G79" s="140"/>
      <c r="H79" s="139"/>
      <c r="I79" s="141"/>
      <c r="J79" s="139"/>
      <c r="K79" s="141"/>
      <c r="L79" s="139"/>
      <c r="M79" s="140"/>
      <c r="N79" s="126"/>
      <c r="O79" s="129"/>
      <c r="P79" s="129"/>
      <c r="Q79" s="130"/>
      <c r="R79" s="105" t="s">
        <v>38</v>
      </c>
    </row>
    <row r="80" spans="1:18" ht="15.75" customHeight="1">
      <c r="A80" s="98" t="s">
        <v>102</v>
      </c>
      <c r="B80" s="126">
        <f>_xlfn.COMPOUNDVALUE(909)</f>
        <v>4197</v>
      </c>
      <c r="C80" s="127">
        <v>16192327</v>
      </c>
      <c r="D80" s="126">
        <f>_xlfn.COMPOUNDVALUE(910)</f>
        <v>3327</v>
      </c>
      <c r="E80" s="127">
        <v>1884132</v>
      </c>
      <c r="F80" s="126">
        <f>_xlfn.COMPOUNDVALUE(911)</f>
        <v>7524</v>
      </c>
      <c r="G80" s="127">
        <v>18076459</v>
      </c>
      <c r="H80" s="126">
        <f>_xlfn.COMPOUNDVALUE(912)</f>
        <v>407</v>
      </c>
      <c r="I80" s="128">
        <v>1253915</v>
      </c>
      <c r="J80" s="126">
        <v>596</v>
      </c>
      <c r="K80" s="128">
        <v>82821</v>
      </c>
      <c r="L80" s="126">
        <v>8137</v>
      </c>
      <c r="M80" s="128">
        <v>16905365</v>
      </c>
      <c r="N80" s="126">
        <v>8454</v>
      </c>
      <c r="O80" s="129">
        <v>299</v>
      </c>
      <c r="P80" s="129">
        <v>32</v>
      </c>
      <c r="Q80" s="130">
        <v>8785</v>
      </c>
      <c r="R80" s="97" t="s">
        <v>102</v>
      </c>
    </row>
    <row r="81" spans="1:18" ht="15.75" customHeight="1">
      <c r="A81" s="78" t="s">
        <v>103</v>
      </c>
      <c r="B81" s="131">
        <f>_xlfn.COMPOUNDVALUE(913)</f>
        <v>3196</v>
      </c>
      <c r="C81" s="132">
        <v>18127998</v>
      </c>
      <c r="D81" s="131">
        <f>_xlfn.COMPOUNDVALUE(914)</f>
        <v>2620</v>
      </c>
      <c r="E81" s="132">
        <v>1410508</v>
      </c>
      <c r="F81" s="131">
        <f>_xlfn.COMPOUNDVALUE(915)</f>
        <v>5816</v>
      </c>
      <c r="G81" s="132">
        <v>19538506</v>
      </c>
      <c r="H81" s="131">
        <f>_xlfn.COMPOUNDVALUE(916)</f>
        <v>312</v>
      </c>
      <c r="I81" s="133">
        <v>6111524</v>
      </c>
      <c r="J81" s="131">
        <v>382</v>
      </c>
      <c r="K81" s="133">
        <v>45567</v>
      </c>
      <c r="L81" s="131">
        <v>6259</v>
      </c>
      <c r="M81" s="133">
        <v>13472549</v>
      </c>
      <c r="N81" s="126">
        <v>6624</v>
      </c>
      <c r="O81" s="129">
        <v>218</v>
      </c>
      <c r="P81" s="129">
        <v>25</v>
      </c>
      <c r="Q81" s="130">
        <v>6867</v>
      </c>
      <c r="R81" s="77" t="s">
        <v>103</v>
      </c>
    </row>
    <row r="82" spans="1:18" ht="15.75" customHeight="1">
      <c r="A82" s="78" t="s">
        <v>104</v>
      </c>
      <c r="B82" s="131">
        <f>_xlfn.COMPOUNDVALUE(917)</f>
        <v>6352</v>
      </c>
      <c r="C82" s="132">
        <v>23251851</v>
      </c>
      <c r="D82" s="131">
        <f>_xlfn.COMPOUNDVALUE(918)</f>
        <v>5342</v>
      </c>
      <c r="E82" s="132">
        <v>2747982</v>
      </c>
      <c r="F82" s="131">
        <f>_xlfn.COMPOUNDVALUE(919)</f>
        <v>11694</v>
      </c>
      <c r="G82" s="132">
        <v>25999833</v>
      </c>
      <c r="H82" s="131">
        <f>_xlfn.COMPOUNDVALUE(920)</f>
        <v>508</v>
      </c>
      <c r="I82" s="133">
        <v>3860365</v>
      </c>
      <c r="J82" s="131">
        <v>783</v>
      </c>
      <c r="K82" s="133">
        <v>85818</v>
      </c>
      <c r="L82" s="131">
        <v>12466</v>
      </c>
      <c r="M82" s="133">
        <v>22225287</v>
      </c>
      <c r="N82" s="126">
        <v>12721</v>
      </c>
      <c r="O82" s="129">
        <v>408</v>
      </c>
      <c r="P82" s="129">
        <v>26</v>
      </c>
      <c r="Q82" s="130">
        <v>13155</v>
      </c>
      <c r="R82" s="77" t="s">
        <v>104</v>
      </c>
    </row>
    <row r="83" spans="1:18" ht="15.75" customHeight="1">
      <c r="A83" s="161" t="s">
        <v>105</v>
      </c>
      <c r="B83" s="162">
        <v>43015</v>
      </c>
      <c r="C83" s="163">
        <v>228270524</v>
      </c>
      <c r="D83" s="162">
        <v>34156</v>
      </c>
      <c r="E83" s="163">
        <v>18610828</v>
      </c>
      <c r="F83" s="162">
        <v>77171</v>
      </c>
      <c r="G83" s="163">
        <v>246881352</v>
      </c>
      <c r="H83" s="162">
        <v>3860</v>
      </c>
      <c r="I83" s="164">
        <v>41826060</v>
      </c>
      <c r="J83" s="162">
        <v>5691</v>
      </c>
      <c r="K83" s="164">
        <v>785088</v>
      </c>
      <c r="L83" s="162">
        <v>82878</v>
      </c>
      <c r="M83" s="164">
        <v>205840381</v>
      </c>
      <c r="N83" s="162">
        <v>84606</v>
      </c>
      <c r="O83" s="184">
        <v>2794</v>
      </c>
      <c r="P83" s="184">
        <v>256</v>
      </c>
      <c r="Q83" s="185">
        <v>87656</v>
      </c>
      <c r="R83" s="165" t="s">
        <v>106</v>
      </c>
    </row>
    <row r="84" spans="1:18" ht="15.75" customHeight="1">
      <c r="A84" s="176"/>
      <c r="B84" s="177"/>
      <c r="C84" s="178"/>
      <c r="D84" s="177"/>
      <c r="E84" s="178"/>
      <c r="F84" s="177"/>
      <c r="G84" s="178"/>
      <c r="H84" s="177"/>
      <c r="I84" s="179"/>
      <c r="J84" s="177"/>
      <c r="K84" s="179"/>
      <c r="L84" s="177"/>
      <c r="M84" s="179"/>
      <c r="N84" s="189"/>
      <c r="O84" s="190"/>
      <c r="P84" s="190"/>
      <c r="Q84" s="191"/>
      <c r="R84" s="180" t="s">
        <v>38</v>
      </c>
    </row>
    <row r="85" spans="1:18" ht="15.75" customHeight="1">
      <c r="A85" s="171" t="s">
        <v>107</v>
      </c>
      <c r="B85" s="172">
        <v>316201</v>
      </c>
      <c r="C85" s="173">
        <v>6396925531</v>
      </c>
      <c r="D85" s="172">
        <v>166332</v>
      </c>
      <c r="E85" s="173">
        <v>102324099</v>
      </c>
      <c r="F85" s="172">
        <v>482533</v>
      </c>
      <c r="G85" s="173">
        <v>6499249630</v>
      </c>
      <c r="H85" s="172">
        <v>49146</v>
      </c>
      <c r="I85" s="174">
        <v>2023539329</v>
      </c>
      <c r="J85" s="172">
        <v>38423</v>
      </c>
      <c r="K85" s="174">
        <v>5557480</v>
      </c>
      <c r="L85" s="172">
        <v>541132</v>
      </c>
      <c r="M85" s="174">
        <v>4481267781</v>
      </c>
      <c r="N85" s="172">
        <v>537565</v>
      </c>
      <c r="O85" s="192">
        <v>33712</v>
      </c>
      <c r="P85" s="192">
        <v>5971</v>
      </c>
      <c r="Q85" s="193">
        <v>577248</v>
      </c>
      <c r="R85" s="175" t="s">
        <v>108</v>
      </c>
    </row>
    <row r="86" spans="1:18" ht="15.75" customHeight="1">
      <c r="A86" s="166"/>
      <c r="B86" s="167"/>
      <c r="C86" s="168"/>
      <c r="D86" s="167"/>
      <c r="E86" s="168"/>
      <c r="F86" s="169"/>
      <c r="G86" s="168"/>
      <c r="H86" s="169"/>
      <c r="I86" s="168"/>
      <c r="J86" s="169"/>
      <c r="K86" s="168"/>
      <c r="L86" s="169"/>
      <c r="M86" s="168"/>
      <c r="N86" s="186"/>
      <c r="O86" s="187"/>
      <c r="P86" s="187"/>
      <c r="Q86" s="188"/>
      <c r="R86" s="170" t="s">
        <v>38</v>
      </c>
    </row>
    <row r="87" spans="1:18" ht="15.75" customHeight="1">
      <c r="A87" s="76" t="s">
        <v>109</v>
      </c>
      <c r="B87" s="126">
        <f>_xlfn.COMPOUNDVALUE(921)</f>
        <v>3556</v>
      </c>
      <c r="C87" s="127">
        <v>28733568</v>
      </c>
      <c r="D87" s="126">
        <f>_xlfn.COMPOUNDVALUE(922)</f>
        <v>2317</v>
      </c>
      <c r="E87" s="127">
        <v>1220506</v>
      </c>
      <c r="F87" s="126">
        <f>_xlfn.COMPOUNDVALUE(923)</f>
        <v>5873</v>
      </c>
      <c r="G87" s="127">
        <v>29954074</v>
      </c>
      <c r="H87" s="126">
        <f>_xlfn.COMPOUNDVALUE(924)</f>
        <v>331</v>
      </c>
      <c r="I87" s="128">
        <v>2144844</v>
      </c>
      <c r="J87" s="126">
        <v>423</v>
      </c>
      <c r="K87" s="128">
        <v>83720</v>
      </c>
      <c r="L87" s="126">
        <v>6326</v>
      </c>
      <c r="M87" s="128">
        <v>27892950</v>
      </c>
      <c r="N87" s="126">
        <v>6421</v>
      </c>
      <c r="O87" s="129">
        <v>237</v>
      </c>
      <c r="P87" s="129">
        <v>19</v>
      </c>
      <c r="Q87" s="130">
        <v>6677</v>
      </c>
      <c r="R87" s="86" t="s">
        <v>109</v>
      </c>
    </row>
    <row r="88" spans="1:18" ht="15.75" customHeight="1">
      <c r="A88" s="76" t="s">
        <v>110</v>
      </c>
      <c r="B88" s="126">
        <f>_xlfn.COMPOUNDVALUE(925)</f>
        <v>8193</v>
      </c>
      <c r="C88" s="127">
        <v>178448003</v>
      </c>
      <c r="D88" s="126">
        <f>_xlfn.COMPOUNDVALUE(926)</f>
        <v>3851</v>
      </c>
      <c r="E88" s="127">
        <v>2546987</v>
      </c>
      <c r="F88" s="126">
        <f>_xlfn.COMPOUNDVALUE(927)</f>
        <v>12044</v>
      </c>
      <c r="G88" s="127">
        <v>180994990</v>
      </c>
      <c r="H88" s="126">
        <f>_xlfn.COMPOUNDVALUE(928)</f>
        <v>1764</v>
      </c>
      <c r="I88" s="128">
        <v>30610890</v>
      </c>
      <c r="J88" s="126">
        <v>1067</v>
      </c>
      <c r="K88" s="128">
        <v>144429</v>
      </c>
      <c r="L88" s="126">
        <v>14054</v>
      </c>
      <c r="M88" s="128">
        <v>150528529</v>
      </c>
      <c r="N88" s="126">
        <v>13797</v>
      </c>
      <c r="O88" s="129">
        <v>925</v>
      </c>
      <c r="P88" s="129">
        <v>142</v>
      </c>
      <c r="Q88" s="130">
        <v>14864</v>
      </c>
      <c r="R88" s="77" t="s">
        <v>110</v>
      </c>
    </row>
    <row r="89" spans="1:18" ht="15.75" customHeight="1">
      <c r="A89" s="76" t="s">
        <v>111</v>
      </c>
      <c r="B89" s="126">
        <f>_xlfn.COMPOUNDVALUE(929)</f>
        <v>5084</v>
      </c>
      <c r="C89" s="127">
        <v>25361859</v>
      </c>
      <c r="D89" s="126">
        <f>_xlfn.COMPOUNDVALUE(930)</f>
        <v>3927</v>
      </c>
      <c r="E89" s="127">
        <v>2022753</v>
      </c>
      <c r="F89" s="126">
        <f>_xlfn.COMPOUNDVALUE(931)</f>
        <v>9011</v>
      </c>
      <c r="G89" s="127">
        <v>27384612</v>
      </c>
      <c r="H89" s="126">
        <f>_xlfn.COMPOUNDVALUE(932)</f>
        <v>372</v>
      </c>
      <c r="I89" s="128">
        <v>5867867</v>
      </c>
      <c r="J89" s="126">
        <v>681</v>
      </c>
      <c r="K89" s="128">
        <v>100160</v>
      </c>
      <c r="L89" s="126">
        <v>9642</v>
      </c>
      <c r="M89" s="128">
        <v>21616906</v>
      </c>
      <c r="N89" s="126">
        <v>10006</v>
      </c>
      <c r="O89" s="129">
        <v>251</v>
      </c>
      <c r="P89" s="129">
        <v>20</v>
      </c>
      <c r="Q89" s="130">
        <v>10277</v>
      </c>
      <c r="R89" s="77" t="s">
        <v>111</v>
      </c>
    </row>
    <row r="90" spans="1:18" ht="15.75" customHeight="1">
      <c r="A90" s="76" t="s">
        <v>112</v>
      </c>
      <c r="B90" s="126">
        <f>_xlfn.COMPOUNDVALUE(933)</f>
        <v>6972</v>
      </c>
      <c r="C90" s="127">
        <v>32957201</v>
      </c>
      <c r="D90" s="126">
        <f>_xlfn.COMPOUNDVALUE(934)</f>
        <v>5139</v>
      </c>
      <c r="E90" s="127">
        <v>2721375</v>
      </c>
      <c r="F90" s="126">
        <f>_xlfn.COMPOUNDVALUE(935)</f>
        <v>12111</v>
      </c>
      <c r="G90" s="127">
        <v>35678576</v>
      </c>
      <c r="H90" s="126">
        <f>_xlfn.COMPOUNDVALUE(936)</f>
        <v>768</v>
      </c>
      <c r="I90" s="128">
        <v>4098105</v>
      </c>
      <c r="J90" s="126">
        <v>878</v>
      </c>
      <c r="K90" s="128">
        <v>133319</v>
      </c>
      <c r="L90" s="126">
        <v>13131</v>
      </c>
      <c r="M90" s="128">
        <v>31713789</v>
      </c>
      <c r="N90" s="126">
        <v>13512</v>
      </c>
      <c r="O90" s="129">
        <v>461</v>
      </c>
      <c r="P90" s="129">
        <v>43</v>
      </c>
      <c r="Q90" s="130">
        <v>14016</v>
      </c>
      <c r="R90" s="77" t="s">
        <v>112</v>
      </c>
    </row>
    <row r="91" spans="1:18" ht="15.75" customHeight="1">
      <c r="A91" s="76" t="s">
        <v>113</v>
      </c>
      <c r="B91" s="126">
        <f>_xlfn.COMPOUNDVALUE(937)</f>
        <v>7641</v>
      </c>
      <c r="C91" s="127">
        <v>81227965</v>
      </c>
      <c r="D91" s="126">
        <f>_xlfn.COMPOUNDVALUE(938)</f>
        <v>5060</v>
      </c>
      <c r="E91" s="127">
        <v>2947405</v>
      </c>
      <c r="F91" s="126">
        <f>_xlfn.COMPOUNDVALUE(939)</f>
        <v>12701</v>
      </c>
      <c r="G91" s="127">
        <v>84175370</v>
      </c>
      <c r="H91" s="126">
        <f>_xlfn.COMPOUNDVALUE(940)</f>
        <v>1196</v>
      </c>
      <c r="I91" s="128">
        <v>159550758</v>
      </c>
      <c r="J91" s="126">
        <v>909</v>
      </c>
      <c r="K91" s="128">
        <v>159704</v>
      </c>
      <c r="L91" s="126">
        <v>14165</v>
      </c>
      <c r="M91" s="128">
        <v>-75215684</v>
      </c>
      <c r="N91" s="126">
        <v>13747</v>
      </c>
      <c r="O91" s="129">
        <v>660</v>
      </c>
      <c r="P91" s="129">
        <v>64</v>
      </c>
      <c r="Q91" s="130">
        <v>14471</v>
      </c>
      <c r="R91" s="77" t="s">
        <v>113</v>
      </c>
    </row>
    <row r="92" spans="1:18" ht="15.75" customHeight="1">
      <c r="A92" s="76"/>
      <c r="B92" s="126"/>
      <c r="C92" s="127"/>
      <c r="D92" s="126"/>
      <c r="E92" s="127"/>
      <c r="F92" s="126"/>
      <c r="G92" s="127"/>
      <c r="H92" s="126"/>
      <c r="I92" s="128"/>
      <c r="J92" s="126"/>
      <c r="K92" s="128"/>
      <c r="L92" s="126"/>
      <c r="M92" s="128"/>
      <c r="N92" s="126"/>
      <c r="O92" s="129"/>
      <c r="P92" s="129"/>
      <c r="Q92" s="130"/>
      <c r="R92" s="77" t="s">
        <v>38</v>
      </c>
    </row>
    <row r="93" spans="1:18" ht="15.75" customHeight="1">
      <c r="A93" s="76" t="s">
        <v>114</v>
      </c>
      <c r="B93" s="126">
        <f>_xlfn.COMPOUNDVALUE(941)</f>
        <v>4181</v>
      </c>
      <c r="C93" s="127">
        <v>21321760</v>
      </c>
      <c r="D93" s="126">
        <f>_xlfn.COMPOUNDVALUE(942)</f>
        <v>3477</v>
      </c>
      <c r="E93" s="127">
        <v>1909958</v>
      </c>
      <c r="F93" s="126">
        <f>_xlfn.COMPOUNDVALUE(943)</f>
        <v>7658</v>
      </c>
      <c r="G93" s="127">
        <v>23231718</v>
      </c>
      <c r="H93" s="126">
        <f>_xlfn.COMPOUNDVALUE(944)</f>
        <v>359</v>
      </c>
      <c r="I93" s="128">
        <v>5639928</v>
      </c>
      <c r="J93" s="126">
        <v>675</v>
      </c>
      <c r="K93" s="128">
        <v>110027</v>
      </c>
      <c r="L93" s="126">
        <v>8198</v>
      </c>
      <c r="M93" s="128">
        <v>17701816</v>
      </c>
      <c r="N93" s="126">
        <v>8339</v>
      </c>
      <c r="O93" s="129">
        <v>322</v>
      </c>
      <c r="P93" s="129">
        <v>17</v>
      </c>
      <c r="Q93" s="130">
        <v>8678</v>
      </c>
      <c r="R93" s="77" t="s">
        <v>114</v>
      </c>
    </row>
    <row r="94" spans="1:18" ht="15.75" customHeight="1">
      <c r="A94" s="76" t="s">
        <v>168</v>
      </c>
      <c r="B94" s="126">
        <f>_xlfn.COMPOUNDVALUE(945)</f>
        <v>7338</v>
      </c>
      <c r="C94" s="127">
        <v>35006065</v>
      </c>
      <c r="D94" s="126">
        <f>_xlfn.COMPOUNDVALUE(946)</f>
        <v>5815</v>
      </c>
      <c r="E94" s="127">
        <v>3356083</v>
      </c>
      <c r="F94" s="126">
        <f>_xlfn.COMPOUNDVALUE(947)</f>
        <v>13153</v>
      </c>
      <c r="G94" s="127">
        <v>38362148</v>
      </c>
      <c r="H94" s="126">
        <f>_xlfn.COMPOUNDVALUE(948)</f>
        <v>870</v>
      </c>
      <c r="I94" s="128">
        <v>3825049</v>
      </c>
      <c r="J94" s="126">
        <v>823</v>
      </c>
      <c r="K94" s="128">
        <v>156234</v>
      </c>
      <c r="L94" s="126">
        <v>14283</v>
      </c>
      <c r="M94" s="128">
        <v>34693332</v>
      </c>
      <c r="N94" s="126">
        <v>14505</v>
      </c>
      <c r="O94" s="129">
        <v>594</v>
      </c>
      <c r="P94" s="129">
        <v>37</v>
      </c>
      <c r="Q94" s="130">
        <v>15136</v>
      </c>
      <c r="R94" s="77" t="s">
        <v>115</v>
      </c>
    </row>
    <row r="95" spans="1:18" ht="15.75" customHeight="1">
      <c r="A95" s="76" t="s">
        <v>116</v>
      </c>
      <c r="B95" s="126">
        <f>_xlfn.COMPOUNDVALUE(949)</f>
        <v>5423</v>
      </c>
      <c r="C95" s="127">
        <v>96605192</v>
      </c>
      <c r="D95" s="126">
        <f>_xlfn.COMPOUNDVALUE(950)</f>
        <v>3302</v>
      </c>
      <c r="E95" s="127">
        <v>1850942</v>
      </c>
      <c r="F95" s="126">
        <f>_xlfn.COMPOUNDVALUE(951)</f>
        <v>8725</v>
      </c>
      <c r="G95" s="127">
        <v>98456133</v>
      </c>
      <c r="H95" s="126">
        <f>_xlfn.COMPOUNDVALUE(952)</f>
        <v>577</v>
      </c>
      <c r="I95" s="128">
        <v>35560998</v>
      </c>
      <c r="J95" s="126">
        <v>642</v>
      </c>
      <c r="K95" s="128">
        <v>1275182</v>
      </c>
      <c r="L95" s="126">
        <v>9514</v>
      </c>
      <c r="M95" s="128">
        <v>64170317</v>
      </c>
      <c r="N95" s="126">
        <v>9847</v>
      </c>
      <c r="O95" s="129">
        <v>297</v>
      </c>
      <c r="P95" s="129">
        <v>34</v>
      </c>
      <c r="Q95" s="130">
        <v>10178</v>
      </c>
      <c r="R95" s="77" t="s">
        <v>116</v>
      </c>
    </row>
    <row r="96" spans="1:18" ht="15.75" customHeight="1">
      <c r="A96" s="76" t="s">
        <v>117</v>
      </c>
      <c r="B96" s="126">
        <f>_xlfn.COMPOUNDVALUE(953)</f>
        <v>6778</v>
      </c>
      <c r="C96" s="127">
        <v>69128063</v>
      </c>
      <c r="D96" s="126">
        <f>_xlfn.COMPOUNDVALUE(954)</f>
        <v>5316</v>
      </c>
      <c r="E96" s="127">
        <v>3013154</v>
      </c>
      <c r="F96" s="126">
        <f>_xlfn.COMPOUNDVALUE(955)</f>
        <v>12094</v>
      </c>
      <c r="G96" s="127">
        <v>72141217</v>
      </c>
      <c r="H96" s="126">
        <f>_xlfn.COMPOUNDVALUE(956)</f>
        <v>615</v>
      </c>
      <c r="I96" s="128">
        <v>6324426</v>
      </c>
      <c r="J96" s="126">
        <v>739</v>
      </c>
      <c r="K96" s="128">
        <v>185858</v>
      </c>
      <c r="L96" s="126">
        <v>12918</v>
      </c>
      <c r="M96" s="128">
        <v>66002650</v>
      </c>
      <c r="N96" s="126">
        <v>13393</v>
      </c>
      <c r="O96" s="129">
        <v>517</v>
      </c>
      <c r="P96" s="129">
        <v>31</v>
      </c>
      <c r="Q96" s="130">
        <v>13941</v>
      </c>
      <c r="R96" s="77" t="s">
        <v>117</v>
      </c>
    </row>
    <row r="97" spans="1:18" ht="15.75" customHeight="1">
      <c r="A97" s="76" t="s">
        <v>118</v>
      </c>
      <c r="B97" s="126">
        <f>_xlfn.COMPOUNDVALUE(957)</f>
        <v>3102</v>
      </c>
      <c r="C97" s="127">
        <v>8806953</v>
      </c>
      <c r="D97" s="126">
        <f>_xlfn.COMPOUNDVALUE(958)</f>
        <v>2679</v>
      </c>
      <c r="E97" s="127">
        <v>1442453</v>
      </c>
      <c r="F97" s="126">
        <f>_xlfn.COMPOUNDVALUE(959)</f>
        <v>5781</v>
      </c>
      <c r="G97" s="127">
        <v>10249406</v>
      </c>
      <c r="H97" s="126">
        <f>_xlfn.COMPOUNDVALUE(960)</f>
        <v>333</v>
      </c>
      <c r="I97" s="128">
        <v>1658590</v>
      </c>
      <c r="J97" s="126">
        <v>372</v>
      </c>
      <c r="K97" s="128">
        <v>100485</v>
      </c>
      <c r="L97" s="126">
        <v>6246</v>
      </c>
      <c r="M97" s="128">
        <v>8691301</v>
      </c>
      <c r="N97" s="126">
        <v>6435</v>
      </c>
      <c r="O97" s="129">
        <v>256</v>
      </c>
      <c r="P97" s="129">
        <v>21</v>
      </c>
      <c r="Q97" s="130">
        <v>6712</v>
      </c>
      <c r="R97" s="77" t="s">
        <v>118</v>
      </c>
    </row>
    <row r="98" spans="1:18" ht="15.75" customHeight="1">
      <c r="A98" s="76"/>
      <c r="B98" s="126"/>
      <c r="C98" s="127"/>
      <c r="D98" s="126"/>
      <c r="E98" s="127"/>
      <c r="F98" s="126"/>
      <c r="G98" s="127"/>
      <c r="H98" s="126"/>
      <c r="I98" s="128"/>
      <c r="J98" s="126"/>
      <c r="K98" s="128"/>
      <c r="L98" s="126"/>
      <c r="M98" s="128"/>
      <c r="N98" s="126"/>
      <c r="O98" s="129"/>
      <c r="P98" s="129"/>
      <c r="Q98" s="130"/>
      <c r="R98" s="77" t="s">
        <v>38</v>
      </c>
    </row>
    <row r="99" spans="1:18" ht="15.75" customHeight="1">
      <c r="A99" s="76" t="s">
        <v>119</v>
      </c>
      <c r="B99" s="126">
        <f>_xlfn.COMPOUNDVALUE(961)</f>
        <v>4097</v>
      </c>
      <c r="C99" s="127">
        <v>16678533</v>
      </c>
      <c r="D99" s="126">
        <f>_xlfn.COMPOUNDVALUE(962)</f>
        <v>4044</v>
      </c>
      <c r="E99" s="127">
        <v>1984957</v>
      </c>
      <c r="F99" s="126">
        <f>_xlfn.COMPOUNDVALUE(963)</f>
        <v>8141</v>
      </c>
      <c r="G99" s="127">
        <v>18663490</v>
      </c>
      <c r="H99" s="126">
        <f>_xlfn.COMPOUNDVALUE(964)</f>
        <v>251</v>
      </c>
      <c r="I99" s="128">
        <v>689636</v>
      </c>
      <c r="J99" s="126">
        <v>534</v>
      </c>
      <c r="K99" s="128">
        <v>91993</v>
      </c>
      <c r="L99" s="126">
        <v>8553</v>
      </c>
      <c r="M99" s="128">
        <v>18065846</v>
      </c>
      <c r="N99" s="126">
        <v>8795</v>
      </c>
      <c r="O99" s="129">
        <v>180</v>
      </c>
      <c r="P99" s="129">
        <v>14</v>
      </c>
      <c r="Q99" s="130">
        <v>8989</v>
      </c>
      <c r="R99" s="77" t="s">
        <v>119</v>
      </c>
    </row>
    <row r="100" spans="1:18" ht="15.75" customHeight="1">
      <c r="A100" s="76" t="s">
        <v>120</v>
      </c>
      <c r="B100" s="126">
        <f>_xlfn.COMPOUNDVALUE(965)</f>
        <v>5366</v>
      </c>
      <c r="C100" s="127">
        <v>33209594</v>
      </c>
      <c r="D100" s="126">
        <f>_xlfn.COMPOUNDVALUE(966)</f>
        <v>4553</v>
      </c>
      <c r="E100" s="127">
        <v>2269653</v>
      </c>
      <c r="F100" s="126">
        <f>_xlfn.COMPOUNDVALUE(967)</f>
        <v>9919</v>
      </c>
      <c r="G100" s="127">
        <v>35479247</v>
      </c>
      <c r="H100" s="126">
        <f>_xlfn.COMPOUNDVALUE(968)</f>
        <v>402</v>
      </c>
      <c r="I100" s="128">
        <v>4032912</v>
      </c>
      <c r="J100" s="126">
        <v>635</v>
      </c>
      <c r="K100" s="128">
        <v>58840</v>
      </c>
      <c r="L100" s="126">
        <v>10521</v>
      </c>
      <c r="M100" s="128">
        <v>31505174</v>
      </c>
      <c r="N100" s="126">
        <v>10245</v>
      </c>
      <c r="O100" s="129">
        <v>306</v>
      </c>
      <c r="P100" s="129">
        <v>15</v>
      </c>
      <c r="Q100" s="130">
        <v>10566</v>
      </c>
      <c r="R100" s="77" t="s">
        <v>120</v>
      </c>
    </row>
    <row r="101" spans="1:18" ht="15.75" customHeight="1">
      <c r="A101" s="78" t="s">
        <v>121</v>
      </c>
      <c r="B101" s="131">
        <f>_xlfn.COMPOUNDVALUE(969)</f>
        <v>2910</v>
      </c>
      <c r="C101" s="132">
        <v>10100770</v>
      </c>
      <c r="D101" s="131">
        <f>_xlfn.COMPOUNDVALUE(970)</f>
        <v>2740</v>
      </c>
      <c r="E101" s="132">
        <v>1473420</v>
      </c>
      <c r="F101" s="131">
        <f>_xlfn.COMPOUNDVALUE(971)</f>
        <v>5650</v>
      </c>
      <c r="G101" s="132">
        <v>11574190</v>
      </c>
      <c r="H101" s="131">
        <f>_xlfn.COMPOUNDVALUE(972)</f>
        <v>340</v>
      </c>
      <c r="I101" s="133">
        <v>400129</v>
      </c>
      <c r="J101" s="131">
        <v>420</v>
      </c>
      <c r="K101" s="133">
        <v>54333</v>
      </c>
      <c r="L101" s="131">
        <v>6116</v>
      </c>
      <c r="M101" s="133">
        <v>11228395</v>
      </c>
      <c r="N101" s="126">
        <v>6271</v>
      </c>
      <c r="O101" s="129">
        <v>253</v>
      </c>
      <c r="P101" s="129">
        <v>24</v>
      </c>
      <c r="Q101" s="130">
        <v>6548</v>
      </c>
      <c r="R101" s="77" t="s">
        <v>121</v>
      </c>
    </row>
    <row r="102" spans="1:18" ht="15.75" customHeight="1">
      <c r="A102" s="78" t="s">
        <v>122</v>
      </c>
      <c r="B102" s="131">
        <f>_xlfn.COMPOUNDVALUE(973)</f>
        <v>6866</v>
      </c>
      <c r="C102" s="132">
        <v>31200983</v>
      </c>
      <c r="D102" s="131">
        <f>_xlfn.COMPOUNDVALUE(974)</f>
        <v>5758</v>
      </c>
      <c r="E102" s="132">
        <v>3092934</v>
      </c>
      <c r="F102" s="131">
        <f>_xlfn.COMPOUNDVALUE(975)</f>
        <v>12624</v>
      </c>
      <c r="G102" s="132">
        <v>34293917</v>
      </c>
      <c r="H102" s="131">
        <f>_xlfn.COMPOUNDVALUE(976)</f>
        <v>625</v>
      </c>
      <c r="I102" s="133">
        <v>5167126</v>
      </c>
      <c r="J102" s="131">
        <v>882</v>
      </c>
      <c r="K102" s="133">
        <v>56634</v>
      </c>
      <c r="L102" s="131">
        <v>13495</v>
      </c>
      <c r="M102" s="133">
        <v>29183426</v>
      </c>
      <c r="N102" s="126">
        <v>13667</v>
      </c>
      <c r="O102" s="129">
        <v>473</v>
      </c>
      <c r="P102" s="129">
        <v>27</v>
      </c>
      <c r="Q102" s="130">
        <v>14167</v>
      </c>
      <c r="R102" s="77" t="s">
        <v>122</v>
      </c>
    </row>
    <row r="103" spans="1:18" ht="15.75" customHeight="1">
      <c r="A103" s="78" t="s">
        <v>123</v>
      </c>
      <c r="B103" s="131">
        <f>_xlfn.COMPOUNDVALUE(977)</f>
        <v>4283</v>
      </c>
      <c r="C103" s="132">
        <v>21081014</v>
      </c>
      <c r="D103" s="131">
        <f>_xlfn.COMPOUNDVALUE(978)</f>
        <v>3239</v>
      </c>
      <c r="E103" s="132">
        <v>1645110</v>
      </c>
      <c r="F103" s="131">
        <f>_xlfn.COMPOUNDVALUE(979)</f>
        <v>7522</v>
      </c>
      <c r="G103" s="132">
        <v>22726124</v>
      </c>
      <c r="H103" s="131">
        <f>_xlfn.COMPOUNDVALUE(980)</f>
        <v>233</v>
      </c>
      <c r="I103" s="133">
        <v>595690</v>
      </c>
      <c r="J103" s="131">
        <v>365</v>
      </c>
      <c r="K103" s="133">
        <v>44932</v>
      </c>
      <c r="L103" s="131">
        <v>7850</v>
      </c>
      <c r="M103" s="133">
        <v>22175365</v>
      </c>
      <c r="N103" s="126">
        <v>8001</v>
      </c>
      <c r="O103" s="129">
        <v>189</v>
      </c>
      <c r="P103" s="129">
        <v>33</v>
      </c>
      <c r="Q103" s="130">
        <v>8223</v>
      </c>
      <c r="R103" s="77" t="s">
        <v>123</v>
      </c>
    </row>
    <row r="104" spans="1:18" ht="15.75" customHeight="1">
      <c r="A104" s="78"/>
      <c r="B104" s="131"/>
      <c r="C104" s="132"/>
      <c r="D104" s="131"/>
      <c r="E104" s="132"/>
      <c r="F104" s="131"/>
      <c r="G104" s="132"/>
      <c r="H104" s="131"/>
      <c r="I104" s="133"/>
      <c r="J104" s="131"/>
      <c r="K104" s="133"/>
      <c r="L104" s="131"/>
      <c r="M104" s="133"/>
      <c r="N104" s="126"/>
      <c r="O104" s="129"/>
      <c r="P104" s="129"/>
      <c r="Q104" s="130"/>
      <c r="R104" s="77" t="s">
        <v>38</v>
      </c>
    </row>
    <row r="105" spans="1:18" ht="15.75" customHeight="1">
      <c r="A105" s="78" t="s">
        <v>124</v>
      </c>
      <c r="B105" s="131">
        <f>_xlfn.COMPOUNDVALUE(981)</f>
        <v>7229</v>
      </c>
      <c r="C105" s="132">
        <v>35116956</v>
      </c>
      <c r="D105" s="131">
        <f>_xlfn.COMPOUNDVALUE(982)</f>
        <v>5399</v>
      </c>
      <c r="E105" s="132">
        <v>2924596</v>
      </c>
      <c r="F105" s="131">
        <f>_xlfn.COMPOUNDVALUE(983)</f>
        <v>12628</v>
      </c>
      <c r="G105" s="132">
        <v>38041552</v>
      </c>
      <c r="H105" s="131">
        <f>_xlfn.COMPOUNDVALUE(984)</f>
        <v>596</v>
      </c>
      <c r="I105" s="133">
        <v>14748303</v>
      </c>
      <c r="J105" s="131">
        <v>836</v>
      </c>
      <c r="K105" s="133">
        <v>117881</v>
      </c>
      <c r="L105" s="131">
        <v>13507</v>
      </c>
      <c r="M105" s="133">
        <v>23411129</v>
      </c>
      <c r="N105" s="126">
        <v>14143</v>
      </c>
      <c r="O105" s="129">
        <v>469</v>
      </c>
      <c r="P105" s="129">
        <v>38</v>
      </c>
      <c r="Q105" s="130">
        <v>14650</v>
      </c>
      <c r="R105" s="77" t="s">
        <v>124</v>
      </c>
    </row>
    <row r="106" spans="1:18" ht="15.75" customHeight="1">
      <c r="A106" s="78" t="s">
        <v>125</v>
      </c>
      <c r="B106" s="131">
        <f>_xlfn.COMPOUNDVALUE(985)</f>
        <v>3369</v>
      </c>
      <c r="C106" s="132">
        <v>23800460</v>
      </c>
      <c r="D106" s="131">
        <f>_xlfn.COMPOUNDVALUE(986)</f>
        <v>2478</v>
      </c>
      <c r="E106" s="132">
        <v>1348212</v>
      </c>
      <c r="F106" s="131">
        <f>_xlfn.COMPOUNDVALUE(987)</f>
        <v>5847</v>
      </c>
      <c r="G106" s="132">
        <v>25148672</v>
      </c>
      <c r="H106" s="131">
        <f>_xlfn.COMPOUNDVALUE(988)</f>
        <v>292</v>
      </c>
      <c r="I106" s="133">
        <v>30619869</v>
      </c>
      <c r="J106" s="131">
        <v>448</v>
      </c>
      <c r="K106" s="133">
        <v>49969</v>
      </c>
      <c r="L106" s="131">
        <v>6287</v>
      </c>
      <c r="M106" s="133">
        <v>-5421228</v>
      </c>
      <c r="N106" s="126">
        <v>6225</v>
      </c>
      <c r="O106" s="129">
        <v>225</v>
      </c>
      <c r="P106" s="129">
        <v>21</v>
      </c>
      <c r="Q106" s="130">
        <v>6471</v>
      </c>
      <c r="R106" s="77" t="s">
        <v>125</v>
      </c>
    </row>
    <row r="107" spans="1:18" ht="15.75" customHeight="1">
      <c r="A107" s="78" t="s">
        <v>126</v>
      </c>
      <c r="B107" s="131">
        <f>_xlfn.COMPOUNDVALUE(989)</f>
        <v>5497</v>
      </c>
      <c r="C107" s="132">
        <v>26649963</v>
      </c>
      <c r="D107" s="131">
        <f>_xlfn.COMPOUNDVALUE(990)</f>
        <v>4311</v>
      </c>
      <c r="E107" s="132">
        <v>2364536</v>
      </c>
      <c r="F107" s="131">
        <f>_xlfn.COMPOUNDVALUE(991)</f>
        <v>9808</v>
      </c>
      <c r="G107" s="132">
        <v>29014499</v>
      </c>
      <c r="H107" s="131">
        <f>_xlfn.COMPOUNDVALUE(992)</f>
        <v>489</v>
      </c>
      <c r="I107" s="133">
        <v>7418436</v>
      </c>
      <c r="J107" s="131">
        <v>678</v>
      </c>
      <c r="K107" s="133">
        <v>66945</v>
      </c>
      <c r="L107" s="131">
        <v>10533</v>
      </c>
      <c r="M107" s="133">
        <v>21663008</v>
      </c>
      <c r="N107" s="126">
        <v>10846</v>
      </c>
      <c r="O107" s="129">
        <v>371</v>
      </c>
      <c r="P107" s="129">
        <v>24</v>
      </c>
      <c r="Q107" s="130">
        <v>11241</v>
      </c>
      <c r="R107" s="77" t="s">
        <v>126</v>
      </c>
    </row>
    <row r="108" spans="1:18" ht="15.75" customHeight="1">
      <c r="A108" s="161" t="s">
        <v>127</v>
      </c>
      <c r="B108" s="162">
        <v>97885</v>
      </c>
      <c r="C108" s="163">
        <v>775434902</v>
      </c>
      <c r="D108" s="162">
        <v>73405</v>
      </c>
      <c r="E108" s="163">
        <v>40135032</v>
      </c>
      <c r="F108" s="162">
        <v>171290</v>
      </c>
      <c r="G108" s="163">
        <v>815569934</v>
      </c>
      <c r="H108" s="162">
        <v>10413</v>
      </c>
      <c r="I108" s="164">
        <v>318953557</v>
      </c>
      <c r="J108" s="162">
        <v>12007</v>
      </c>
      <c r="K108" s="164">
        <v>2990644</v>
      </c>
      <c r="L108" s="162">
        <v>185339</v>
      </c>
      <c r="M108" s="164">
        <v>499607021</v>
      </c>
      <c r="N108" s="162">
        <v>188195</v>
      </c>
      <c r="O108" s="184">
        <v>6986</v>
      </c>
      <c r="P108" s="184">
        <v>624</v>
      </c>
      <c r="Q108" s="185">
        <v>195805</v>
      </c>
      <c r="R108" s="165" t="s">
        <v>128</v>
      </c>
    </row>
    <row r="109" spans="1:18" ht="15.75" customHeight="1">
      <c r="A109" s="166"/>
      <c r="B109" s="167"/>
      <c r="C109" s="168"/>
      <c r="D109" s="167"/>
      <c r="E109" s="168"/>
      <c r="F109" s="169"/>
      <c r="G109" s="168"/>
      <c r="H109" s="169"/>
      <c r="I109" s="168"/>
      <c r="J109" s="169"/>
      <c r="K109" s="168"/>
      <c r="L109" s="169"/>
      <c r="M109" s="168"/>
      <c r="N109" s="186"/>
      <c r="O109" s="187"/>
      <c r="P109" s="187"/>
      <c r="Q109" s="188"/>
      <c r="R109" s="170" t="s">
        <v>38</v>
      </c>
    </row>
    <row r="110" spans="1:18" ht="15.75" customHeight="1">
      <c r="A110" s="76" t="s">
        <v>129</v>
      </c>
      <c r="B110" s="126">
        <f>_xlfn.COMPOUNDVALUE(993)</f>
        <v>6738</v>
      </c>
      <c r="C110" s="127">
        <v>35036552</v>
      </c>
      <c r="D110" s="126">
        <f>_xlfn.COMPOUNDVALUE(994)</f>
        <v>4683</v>
      </c>
      <c r="E110" s="127">
        <v>2272045</v>
      </c>
      <c r="F110" s="126">
        <f>_xlfn.COMPOUNDVALUE(995)</f>
        <v>11421</v>
      </c>
      <c r="G110" s="127">
        <v>37308597</v>
      </c>
      <c r="H110" s="126">
        <f>_xlfn.COMPOUNDVALUE(996)</f>
        <v>474</v>
      </c>
      <c r="I110" s="128">
        <v>2749383</v>
      </c>
      <c r="J110" s="126">
        <v>745</v>
      </c>
      <c r="K110" s="128">
        <v>173399</v>
      </c>
      <c r="L110" s="126">
        <v>12130</v>
      </c>
      <c r="M110" s="128">
        <v>34732613</v>
      </c>
      <c r="N110" s="126">
        <v>12119</v>
      </c>
      <c r="O110" s="129">
        <v>352</v>
      </c>
      <c r="P110" s="129">
        <v>34</v>
      </c>
      <c r="Q110" s="130">
        <v>12505</v>
      </c>
      <c r="R110" s="86" t="s">
        <v>129</v>
      </c>
    </row>
    <row r="111" spans="1:18" ht="15.75" customHeight="1">
      <c r="A111" s="78" t="s">
        <v>130</v>
      </c>
      <c r="B111" s="131">
        <f>_xlfn.COMPOUNDVALUE(997)</f>
        <v>1780</v>
      </c>
      <c r="C111" s="132">
        <v>6118989</v>
      </c>
      <c r="D111" s="131">
        <f>_xlfn.COMPOUNDVALUE(998)</f>
        <v>1715</v>
      </c>
      <c r="E111" s="132">
        <v>676623</v>
      </c>
      <c r="F111" s="131">
        <f>_xlfn.COMPOUNDVALUE(999)</f>
        <v>3495</v>
      </c>
      <c r="G111" s="132">
        <v>6795612</v>
      </c>
      <c r="H111" s="131">
        <f>_xlfn.COMPOUNDVALUE(1000)</f>
        <v>84</v>
      </c>
      <c r="I111" s="133">
        <v>179803</v>
      </c>
      <c r="J111" s="131">
        <v>288</v>
      </c>
      <c r="K111" s="133">
        <v>60295</v>
      </c>
      <c r="L111" s="131">
        <v>3671</v>
      </c>
      <c r="M111" s="133">
        <v>6676105</v>
      </c>
      <c r="N111" s="126">
        <v>3955</v>
      </c>
      <c r="O111" s="129">
        <v>114</v>
      </c>
      <c r="P111" s="129">
        <v>2</v>
      </c>
      <c r="Q111" s="130">
        <v>4071</v>
      </c>
      <c r="R111" s="77" t="s">
        <v>130</v>
      </c>
    </row>
    <row r="112" spans="1:18" ht="15.75" customHeight="1">
      <c r="A112" s="78" t="s">
        <v>131</v>
      </c>
      <c r="B112" s="131">
        <f>_xlfn.COMPOUNDVALUE(1001)</f>
        <v>2996</v>
      </c>
      <c r="C112" s="132">
        <v>11418331</v>
      </c>
      <c r="D112" s="131">
        <f>_xlfn.COMPOUNDVALUE(1002)</f>
        <v>2216</v>
      </c>
      <c r="E112" s="132">
        <v>1098339</v>
      </c>
      <c r="F112" s="131">
        <f>_xlfn.COMPOUNDVALUE(1003)</f>
        <v>5212</v>
      </c>
      <c r="G112" s="132">
        <v>12516670</v>
      </c>
      <c r="H112" s="131">
        <f>_xlfn.COMPOUNDVALUE(1004)</f>
        <v>179</v>
      </c>
      <c r="I112" s="133">
        <v>14987639</v>
      </c>
      <c r="J112" s="131">
        <v>441</v>
      </c>
      <c r="K112" s="133">
        <v>74759</v>
      </c>
      <c r="L112" s="131">
        <v>5492</v>
      </c>
      <c r="M112" s="133">
        <v>-2396210</v>
      </c>
      <c r="N112" s="126">
        <v>5371</v>
      </c>
      <c r="O112" s="129">
        <v>156</v>
      </c>
      <c r="P112" s="129">
        <v>17</v>
      </c>
      <c r="Q112" s="130">
        <v>5544</v>
      </c>
      <c r="R112" s="77" t="s">
        <v>131</v>
      </c>
    </row>
    <row r="113" spans="1:18" ht="15.75" customHeight="1">
      <c r="A113" s="78" t="s">
        <v>132</v>
      </c>
      <c r="B113" s="131">
        <f>_xlfn.COMPOUNDVALUE(1005)</f>
        <v>637</v>
      </c>
      <c r="C113" s="132">
        <v>2295792</v>
      </c>
      <c r="D113" s="131">
        <f>_xlfn.COMPOUNDVALUE(1006)</f>
        <v>621</v>
      </c>
      <c r="E113" s="132">
        <v>262471</v>
      </c>
      <c r="F113" s="131">
        <f>_xlfn.COMPOUNDVALUE(1007)</f>
        <v>1258</v>
      </c>
      <c r="G113" s="132">
        <v>2558263</v>
      </c>
      <c r="H113" s="131">
        <f>_xlfn.COMPOUNDVALUE(1008)</f>
        <v>27</v>
      </c>
      <c r="I113" s="133">
        <v>75946</v>
      </c>
      <c r="J113" s="131">
        <v>88</v>
      </c>
      <c r="K113" s="133">
        <v>5008</v>
      </c>
      <c r="L113" s="131">
        <v>1295</v>
      </c>
      <c r="M113" s="133">
        <v>2487325</v>
      </c>
      <c r="N113" s="126">
        <v>1324</v>
      </c>
      <c r="O113" s="129">
        <v>22</v>
      </c>
      <c r="P113" s="129">
        <v>3</v>
      </c>
      <c r="Q113" s="130">
        <v>1349</v>
      </c>
      <c r="R113" s="77" t="s">
        <v>132</v>
      </c>
    </row>
    <row r="114" spans="1:18" ht="15.75" customHeight="1">
      <c r="A114" s="79" t="s">
        <v>133</v>
      </c>
      <c r="B114" s="134">
        <v>12151</v>
      </c>
      <c r="C114" s="135">
        <v>54869664</v>
      </c>
      <c r="D114" s="134">
        <v>9235</v>
      </c>
      <c r="E114" s="135">
        <v>4309478</v>
      </c>
      <c r="F114" s="134">
        <v>21386</v>
      </c>
      <c r="G114" s="135">
        <v>59179142</v>
      </c>
      <c r="H114" s="134">
        <v>764</v>
      </c>
      <c r="I114" s="136">
        <v>17992771</v>
      </c>
      <c r="J114" s="134">
        <v>1562</v>
      </c>
      <c r="K114" s="136">
        <v>313462</v>
      </c>
      <c r="L114" s="134">
        <v>22588</v>
      </c>
      <c r="M114" s="136">
        <v>41499833</v>
      </c>
      <c r="N114" s="134">
        <v>22769</v>
      </c>
      <c r="O114" s="137">
        <v>644</v>
      </c>
      <c r="P114" s="137">
        <v>56</v>
      </c>
      <c r="Q114" s="138">
        <v>23469</v>
      </c>
      <c r="R114" s="84" t="s">
        <v>134</v>
      </c>
    </row>
    <row r="115" spans="1:18" ht="15.75" customHeight="1" thickBot="1">
      <c r="A115" s="80"/>
      <c r="B115" s="142"/>
      <c r="C115" s="143"/>
      <c r="D115" s="142"/>
      <c r="E115" s="143"/>
      <c r="F115" s="144"/>
      <c r="G115" s="143"/>
      <c r="H115" s="144"/>
      <c r="I115" s="143"/>
      <c r="J115" s="144"/>
      <c r="K115" s="143"/>
      <c r="L115" s="144"/>
      <c r="M115" s="143"/>
      <c r="N115" s="145"/>
      <c r="O115" s="146"/>
      <c r="P115" s="146"/>
      <c r="Q115" s="147"/>
      <c r="R115" s="81" t="s">
        <v>38</v>
      </c>
    </row>
    <row r="116" spans="1:18" ht="15.75" customHeight="1" thickBot="1" thickTop="1">
      <c r="A116" s="82" t="s">
        <v>37</v>
      </c>
      <c r="B116" s="148">
        <v>489445</v>
      </c>
      <c r="C116" s="149">
        <v>7574692380</v>
      </c>
      <c r="D116" s="148">
        <v>296229</v>
      </c>
      <c r="E116" s="149">
        <v>171043187</v>
      </c>
      <c r="F116" s="148">
        <v>785674</v>
      </c>
      <c r="G116" s="149">
        <v>7745735567</v>
      </c>
      <c r="H116" s="148">
        <v>67041</v>
      </c>
      <c r="I116" s="150">
        <v>2399419237</v>
      </c>
      <c r="J116" s="148">
        <v>61141</v>
      </c>
      <c r="K116" s="150">
        <v>10092693</v>
      </c>
      <c r="L116" s="148">
        <v>869071</v>
      </c>
      <c r="M116" s="150">
        <v>5356409022</v>
      </c>
      <c r="N116" s="151">
        <v>870185</v>
      </c>
      <c r="O116" s="152">
        <v>46178</v>
      </c>
      <c r="P116" s="152">
        <v>7012</v>
      </c>
      <c r="Q116" s="153">
        <v>923375</v>
      </c>
      <c r="R116" s="83" t="s">
        <v>37</v>
      </c>
    </row>
    <row r="117" spans="1:10" ht="13.5">
      <c r="A117" s="244" t="s">
        <v>179</v>
      </c>
      <c r="B117" s="244"/>
      <c r="C117" s="244"/>
      <c r="D117" s="244"/>
      <c r="E117" s="244"/>
      <c r="F117" s="244"/>
      <c r="G117" s="244"/>
      <c r="H117" s="244"/>
      <c r="I117" s="244"/>
      <c r="J117" s="244"/>
    </row>
  </sheetData>
  <sheetProtection/>
  <mergeCells count="16">
    <mergeCell ref="A117:J117"/>
    <mergeCell ref="A2:I2"/>
    <mergeCell ref="A3:A5"/>
    <mergeCell ref="B3:G3"/>
    <mergeCell ref="H3:I4"/>
    <mergeCell ref="J3:K4"/>
    <mergeCell ref="L3:M4"/>
    <mergeCell ref="N3:Q3"/>
    <mergeCell ref="R3:R5"/>
    <mergeCell ref="B4:C4"/>
    <mergeCell ref="D4:E4"/>
    <mergeCell ref="F4:G4"/>
    <mergeCell ref="N4:N5"/>
    <mergeCell ref="O4:O5"/>
    <mergeCell ref="P4:P5"/>
    <mergeCell ref="Q4:Q5"/>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4" r:id="rId1"/>
  <headerFooter alignWithMargins="0">
    <oddFooter>&amp;R東京国税局
消費税
(H29)</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国税庁</cp:lastModifiedBy>
  <cp:lastPrinted>2019-05-16T23:31:39Z</cp:lastPrinted>
  <dcterms:created xsi:type="dcterms:W3CDTF">2003-07-09T01:05:10Z</dcterms:created>
  <dcterms:modified xsi:type="dcterms:W3CDTF">2019-05-16T23:31:46Z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