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950" tabRatio="901" activeTab="3"/>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3">'(4)税務署別(個人事業者）'!$A$1:$N$117</definedName>
    <definedName name="_xlnm.Print_Area" localSheetId="5">'(4)税務署別（合計）'!$A$1:$R$117</definedName>
    <definedName name="_xlnm.Print_Area" localSheetId="4">'(4)税務署別（法人）'!$A$1:$N$117</definedName>
    <definedName name="_xlnm.Print_Titles" localSheetId="3">'(4)税務署別(個人事業者）'!$1:$6</definedName>
    <definedName name="_xlnm.Print_Titles" localSheetId="5">'(4)税務署別（合計）'!$1:$6</definedName>
    <definedName name="_xlnm.Print_Titles" localSheetId="4">'(4)税務署別（法人）'!$1:$6</definedName>
  </definedNames>
  <calcPr fullCalcOnLoad="1"/>
</workbook>
</file>

<file path=xl/sharedStrings.xml><?xml version="1.0" encoding="utf-8"?>
<sst xmlns="http://schemas.openxmlformats.org/spreadsheetml/2006/main" count="793" uniqueCount="191">
  <si>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</si>
  <si>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</si>
  <si>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</si>
  <si>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</si>
  <si>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</si>
  <si>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</si>
  <si>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</si>
  <si>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</si>
  <si>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</si>
  <si>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</si>
  <si>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</si>
  <si>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</si>
  <si>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</si>
  <si>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</si>
  <si>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</si>
  <si>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</si>
  <si>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一般申告及び処理</t>
  </si>
  <si>
    <t>合　　　　　　　　　計</t>
  </si>
  <si>
    <t>法　　　　　　　人</t>
  </si>
  <si>
    <t>合　　　　　　　計</t>
  </si>
  <si>
    <t>件　　数</t>
  </si>
  <si>
    <t>税　　額</t>
  </si>
  <si>
    <t>(3)　課税事業者等届出件数</t>
  </si>
  <si>
    <t>千円</t>
  </si>
  <si>
    <t>件</t>
  </si>
  <si>
    <t>(2)　課税状況の累年比較</t>
  </si>
  <si>
    <t>　ハ　個人事業者と法人の合計</t>
  </si>
  <si>
    <t>税務署名</t>
  </si>
  <si>
    <t>納　　　税　　　申　　　告　　　及　　　び　　　処　　　理</t>
  </si>
  <si>
    <t>既往年分の
申告及び処理</t>
  </si>
  <si>
    <t>合　　　　　　計</t>
  </si>
  <si>
    <t>税務署名</t>
  </si>
  <si>
    <t>簡易申告及び処理</t>
  </si>
  <si>
    <t>小　　　　　　計</t>
  </si>
  <si>
    <t>課税事業者
届出</t>
  </si>
  <si>
    <t>合　　　計</t>
  </si>
  <si>
    <t>件数</t>
  </si>
  <si>
    <t>総　計</t>
  </si>
  <si>
    <t/>
  </si>
  <si>
    <t>千葉東</t>
  </si>
  <si>
    <t>千葉南</t>
  </si>
  <si>
    <t>千葉西</t>
  </si>
  <si>
    <t>銚子</t>
  </si>
  <si>
    <t>市川</t>
  </si>
  <si>
    <t>船橋</t>
  </si>
  <si>
    <t>館山</t>
  </si>
  <si>
    <t>木更津</t>
  </si>
  <si>
    <t>松戸</t>
  </si>
  <si>
    <t>佐原</t>
  </si>
  <si>
    <t>茂原</t>
  </si>
  <si>
    <t>成田</t>
  </si>
  <si>
    <t>東金</t>
  </si>
  <si>
    <t>柏</t>
  </si>
  <si>
    <t>千葉県計</t>
  </si>
  <si>
    <t>千葉県計</t>
  </si>
  <si>
    <t>麹町</t>
  </si>
  <si>
    <t>神田</t>
  </si>
  <si>
    <t>日本橋</t>
  </si>
  <si>
    <t>京橋</t>
  </si>
  <si>
    <t>芝</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</si>
  <si>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</si>
  <si>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</si>
  <si>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</si>
  <si>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</si>
  <si>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</si>
  <si>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</si>
  <si>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</si>
  <si>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</si>
  <si>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</si>
  <si>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</si>
  <si>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</si>
  <si>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</si>
  <si>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</si>
  <si>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</si>
  <si>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</si>
  <si>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</si>
  <si>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</si>
  <si>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</si>
  <si>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</si>
  <si>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</si>
  <si>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</si>
  <si>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</si>
  <si>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</si>
  <si>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</si>
  <si>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</si>
  <si>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</si>
  <si>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</si>
  <si>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</si>
  <si>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</si>
  <si>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</si>
  <si>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</si>
  <si>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</si>
  <si>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</si>
  <si>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</si>
  <si>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</si>
  <si>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都区内計</t>
  </si>
  <si>
    <t>都区内計</t>
  </si>
  <si>
    <t>八王子</t>
  </si>
  <si>
    <t>立川</t>
  </si>
  <si>
    <t>武蔵野</t>
  </si>
  <si>
    <t>青梅</t>
  </si>
  <si>
    <t>武蔵府中</t>
  </si>
  <si>
    <t>町田</t>
  </si>
  <si>
    <t>日野</t>
  </si>
  <si>
    <t>東村山</t>
  </si>
  <si>
    <t>多摩地区計</t>
  </si>
  <si>
    <t>多摩地区計</t>
  </si>
  <si>
    <t>東京都計</t>
  </si>
  <si>
    <t>東京都計</t>
  </si>
  <si>
    <t>鶴見</t>
  </si>
  <si>
    <t>横浜中</t>
  </si>
  <si>
    <t>保土ケ谷</t>
  </si>
  <si>
    <t>横浜南</t>
  </si>
  <si>
    <t>神奈川</t>
  </si>
  <si>
    <t>戸塚</t>
  </si>
  <si>
    <t>緑</t>
  </si>
  <si>
    <t>川崎南</t>
  </si>
  <si>
    <t>川崎北</t>
  </si>
  <si>
    <t>川崎西</t>
  </si>
  <si>
    <t>横須賀</t>
  </si>
  <si>
    <t>平塚</t>
  </si>
  <si>
    <t>鎌倉</t>
  </si>
  <si>
    <t>藤沢</t>
  </si>
  <si>
    <t>小田原</t>
  </si>
  <si>
    <t>相模原</t>
  </si>
  <si>
    <t>厚木</t>
  </si>
  <si>
    <t>大和</t>
  </si>
  <si>
    <t>神奈川県計</t>
  </si>
  <si>
    <t>神奈川県計</t>
  </si>
  <si>
    <t>甲府</t>
  </si>
  <si>
    <t>山梨</t>
  </si>
  <si>
    <t>大月</t>
  </si>
  <si>
    <t>鰍沢</t>
  </si>
  <si>
    <t>山梨県計</t>
  </si>
  <si>
    <t>山梨県計</t>
  </si>
  <si>
    <t>　ロ　法　　　人</t>
  </si>
  <si>
    <t>　イ　個人事業者</t>
  </si>
  <si>
    <t>税務署名</t>
  </si>
  <si>
    <t>税額</t>
  </si>
  <si>
    <t>税　額　①</t>
  </si>
  <si>
    <t>税　額　②</t>
  </si>
  <si>
    <t>税　額　③</t>
  </si>
  <si>
    <t>税　　　額
(①－②＋③)</t>
  </si>
  <si>
    <t>都区内計</t>
  </si>
  <si>
    <t>東京都計</t>
  </si>
  <si>
    <t>神奈川県計</t>
  </si>
  <si>
    <t>総　計</t>
  </si>
  <si>
    <t>課　税　事　業　者　等　届　出　件　数</t>
  </si>
  <si>
    <t>課税事業者
選択届出</t>
  </si>
  <si>
    <t>新設法人に
該当する旨
の届出</t>
  </si>
  <si>
    <t>税　　額
(①－②＋③)</t>
  </si>
  <si>
    <t>平成24年度</t>
  </si>
  <si>
    <t>平成25年度</t>
  </si>
  <si>
    <t>調査対象等：</t>
  </si>
  <si>
    <t>税関分は含まない。</t>
  </si>
  <si>
    <t>(1)　課税状況</t>
  </si>
  <si>
    <t>個　人　事　業　者</t>
  </si>
  <si>
    <t>法　　　　　人</t>
  </si>
  <si>
    <t>合　　　　　計</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</si>
  <si>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</si>
  <si>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</si>
  <si>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</si>
  <si>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</si>
  <si>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</si>
  <si>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</si>
  <si>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</si>
  <si>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</si>
  <si>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柏</t>
  </si>
  <si>
    <t>芝</t>
  </si>
  <si>
    <t>緑</t>
  </si>
  <si>
    <t>千葉県計</t>
  </si>
  <si>
    <t>都区内計</t>
  </si>
  <si>
    <t>多摩地区計</t>
  </si>
  <si>
    <t>東京都計</t>
  </si>
  <si>
    <t>神奈川県計</t>
  </si>
  <si>
    <t>山梨県計</t>
  </si>
  <si>
    <t>総　計</t>
  </si>
  <si>
    <t>平成26年度</t>
  </si>
  <si>
    <t>平成27年度</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</si>
  <si>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</si>
  <si>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</si>
  <si>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　  （注）１</t>
  </si>
  <si>
    <t>　　 　 　２</t>
  </si>
  <si>
    <t>　「現年分」は、平成28年４月１日から平成29年３月31日までに終了した課税期間について、平成29年６月30日現在の申告（国・地方公共団体等については平成29年９月30日までの申告を含む。）及び処理（更正、決定等）による課税事績を「申告書及び決議書」に基づいて作成した。</t>
  </si>
  <si>
    <t>　「既往年分」は、平成28年３月31日以前に終了した課税期間について、平成28年７月１日から平成29年６月30日までの間の申告（平成28年７月１日から同年９月30日までの間の国・地方公共団体等に係る申告を除く。）及び処理（更正、決定等）による課税事績を「申告書及び決議書」に基づいて作成した。</t>
  </si>
  <si>
    <t>平成28年度</t>
  </si>
  <si>
    <t>調査対象等：平成28年度末（平成29年３月31日現在）の届出件数を示している。</t>
  </si>
  <si>
    <t>実件</t>
  </si>
  <si>
    <t>(4)　税務署別課税状況等</t>
  </si>
  <si>
    <t>(4)　税務署別課税状況等（続）</t>
  </si>
  <si>
    <t>「件数」欄の「実」は、実件数を示す。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</si>
</sst>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7">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b/>
      <sz val="9"/>
      <name val="ＭＳ 明朝"/>
      <family val="1"/>
    </font>
    <font>
      <sz val="8"/>
      <name val="ＭＳ Ｐゴシック"/>
      <family val="3"/>
    </font>
    <font>
      <sz val="11"/>
      <name val="ＭＳ ゴシック"/>
      <family val="3"/>
    </font>
    <font>
      <b/>
      <sz val="11"/>
      <name val="ＭＳ 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
      <patternFill patternType="solid">
        <fgColor rgb="FFFFFF99"/>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style="thin"/>
      <right style="hair"/>
      <top style="hair"/>
      <bottom style="thin"/>
    </border>
    <border>
      <left style="hair"/>
      <right style="thin"/>
      <top style="hair"/>
      <bottom style="thin"/>
    </border>
    <border>
      <left style="hair"/>
      <right/>
      <top style="thin"/>
      <bottom/>
    </border>
    <border>
      <left style="medium"/>
      <right/>
      <top/>
      <bottom style="hair">
        <color indexed="55"/>
      </bottom>
    </border>
    <border>
      <left style="thin"/>
      <right style="medium"/>
      <top style="hair">
        <color indexed="55"/>
      </top>
      <bottom style="hair">
        <color indexed="55"/>
      </bottom>
    </border>
    <border>
      <left style="medium"/>
      <right/>
      <top style="hair">
        <color indexed="55"/>
      </top>
      <bottom style="hair">
        <color indexed="55"/>
      </bottom>
    </border>
    <border>
      <left style="medium"/>
      <right/>
      <top style="hair">
        <color indexed="55"/>
      </top>
      <bottom style="thin">
        <color indexed="55"/>
      </bottom>
    </border>
    <border>
      <left style="medium"/>
      <right/>
      <top/>
      <bottom style="double"/>
    </border>
    <border>
      <left style="thin"/>
      <right style="medium"/>
      <top style="thin">
        <color indexed="23"/>
      </top>
      <bottom/>
    </border>
    <border>
      <left style="medium"/>
      <right>
        <color indexed="63"/>
      </right>
      <top>
        <color indexed="63"/>
      </top>
      <bottom style="medium"/>
    </border>
    <border>
      <left style="thin"/>
      <right style="medium"/>
      <top style="double"/>
      <bottom style="medium"/>
    </border>
    <border>
      <left style="thin"/>
      <right style="medium"/>
      <top style="hair">
        <color indexed="55"/>
      </top>
      <bottom style="thin">
        <color indexed="55"/>
      </bottom>
    </border>
    <border>
      <left style="thin"/>
      <right style="medium"/>
      <top style="thin">
        <color indexed="55"/>
      </top>
      <bottom style="hair">
        <color indexed="55"/>
      </bottom>
    </border>
    <border>
      <left style="thin"/>
      <right style="medium"/>
      <top/>
      <bottom style="hair">
        <color indexed="55"/>
      </bottom>
    </border>
    <border>
      <left style="hair"/>
      <right/>
      <top style="hair"/>
      <bottom style="thin"/>
    </border>
    <border>
      <left style="thin"/>
      <right style="medium"/>
      <top/>
      <bottom style="double"/>
    </border>
    <border>
      <left style="thin"/>
      <right style="medium"/>
      <top>
        <color indexed="63"/>
      </top>
      <bottom style="medium"/>
    </border>
    <border>
      <left style="thin"/>
      <right style="medium"/>
      <top style="thin"/>
      <bottom style="thin">
        <color rgb="FFCCFFFF"/>
      </bottom>
    </border>
    <border>
      <left style="thin"/>
      <right style="medium"/>
      <top style="thin">
        <color rgb="FFCCFFFF"/>
      </top>
      <bottom style="hair">
        <color indexed="55"/>
      </bottom>
    </border>
    <border>
      <left style="medium"/>
      <right style="thin"/>
      <top style="thin">
        <color rgb="FFCCFFFF"/>
      </top>
      <bottom style="hair">
        <color indexed="55"/>
      </bottom>
    </border>
    <border>
      <left style="medium"/>
      <right style="thin"/>
      <top>
        <color indexed="63"/>
      </top>
      <bottom style="hair">
        <color indexed="55"/>
      </bottom>
    </border>
    <border>
      <left style="medium"/>
      <right>
        <color indexed="63"/>
      </right>
      <top style="thin"/>
      <bottom style="thin">
        <color rgb="FFCCFFFF"/>
      </bottom>
    </border>
    <border>
      <left style="medium"/>
      <right style="thin"/>
      <top style="hair">
        <color indexed="55"/>
      </top>
      <bottom style="hair"/>
    </border>
    <border>
      <left style="medium"/>
      <right/>
      <top style="hair">
        <color indexed="55"/>
      </top>
      <bottom style="hair"/>
    </border>
    <border>
      <left style="thin"/>
      <right style="medium"/>
      <top style="hair">
        <color indexed="55"/>
      </top>
      <bottom style="hair"/>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style="thin"/>
      <bottom style="thin"/>
    </border>
    <border>
      <left style="hair"/>
      <right style="thin"/>
      <top style="thin"/>
      <bottom style="thin"/>
    </border>
    <border>
      <left style="hair"/>
      <right style="medium"/>
      <top style="thin"/>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hair"/>
      <right style="hair"/>
      <top style="hair">
        <color indexed="55"/>
      </top>
      <bottom style="thin">
        <color indexed="55"/>
      </bottom>
    </border>
    <border>
      <left style="thin"/>
      <right style="hair"/>
      <top style="hair">
        <color indexed="55"/>
      </top>
      <bottom style="hair"/>
    </border>
    <border>
      <left style="hair"/>
      <right style="thin"/>
      <top style="hair">
        <color indexed="55"/>
      </top>
      <bottom style="hair"/>
    </border>
    <border>
      <left style="hair"/>
      <right/>
      <top style="hair">
        <color indexed="55"/>
      </top>
      <bottom style="hair"/>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hair"/>
      <top style="thin">
        <color indexed="55"/>
      </top>
      <bottom/>
    </border>
    <border>
      <left style="hair"/>
      <right style="hair"/>
      <top style="thin">
        <color indexed="55"/>
      </top>
      <bottom/>
    </border>
    <border>
      <left style="hair"/>
      <right/>
      <top style="thin">
        <color indexed="55"/>
      </top>
      <bottom/>
    </border>
    <border>
      <left style="hair"/>
      <right/>
      <top/>
      <bottom style="medium"/>
    </border>
    <border>
      <left style="thin"/>
      <right style="hair"/>
      <top style="double"/>
      <bottom style="medium"/>
    </border>
    <border>
      <left style="hair"/>
      <right style="hair"/>
      <top style="double"/>
      <bottom style="medium"/>
    </border>
    <border>
      <left style="hair"/>
      <right/>
      <top style="double"/>
      <bottom style="medium"/>
    </border>
    <border>
      <left style="medium"/>
      <right/>
      <top style="thin">
        <color indexed="55"/>
      </top>
      <bottom style="thin">
        <color indexed="55"/>
      </bottom>
    </border>
    <border>
      <left style="thin"/>
      <right style="medium"/>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top style="thin">
        <color indexed="55"/>
      </top>
      <bottom style="thin">
        <color indexed="55"/>
      </bottom>
    </border>
    <border>
      <left style="medium"/>
      <right/>
      <top style="hair">
        <color indexed="55"/>
      </top>
      <bottom>
        <color indexed="63"/>
      </bottom>
    </border>
    <border>
      <left style="thin"/>
      <right style="hair"/>
      <top style="hair">
        <color indexed="55"/>
      </top>
      <bottom>
        <color indexed="63"/>
      </bottom>
    </border>
    <border>
      <left style="hair"/>
      <right/>
      <top style="hair">
        <color indexed="55"/>
      </top>
      <bottom>
        <color indexed="63"/>
      </bottom>
    </border>
    <border>
      <left style="thin"/>
      <right style="medium"/>
      <top style="hair">
        <color indexed="55"/>
      </top>
      <bottom>
        <color indexed="63"/>
      </bottom>
    </border>
    <border>
      <left style="medium"/>
      <right/>
      <top style="thin">
        <color theme="0" tint="-0.3499799966812134"/>
      </top>
      <bottom style="thin">
        <color theme="0" tint="-0.3499799966812134"/>
      </bottom>
    </border>
    <border>
      <left style="thin"/>
      <right/>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thin"/>
      <right style="medium"/>
      <top style="thin">
        <color theme="0" tint="-0.3499799966812134"/>
      </top>
      <bottom style="thin">
        <color theme="0" tint="-0.3499799966812134"/>
      </bottom>
    </border>
    <border>
      <left style="medium"/>
      <right>
        <color indexed="63"/>
      </right>
      <top>
        <color indexed="63"/>
      </top>
      <bottom>
        <color indexed="63"/>
      </bottom>
    </border>
    <border>
      <left style="hair"/>
      <right style="thin"/>
      <top>
        <color indexed="63"/>
      </top>
      <bottom>
        <color indexed="63"/>
      </bottom>
    </border>
    <border>
      <left style="hair"/>
      <right/>
      <top>
        <color indexed="63"/>
      </top>
      <bottom>
        <color indexed="63"/>
      </bottom>
    </border>
    <border>
      <left style="thin"/>
      <right style="medium"/>
      <top/>
      <bottom/>
    </border>
    <border>
      <left style="hair"/>
      <right/>
      <top style="thin">
        <color theme="0" tint="-0.3499799966812134"/>
      </top>
      <bottom style="thin">
        <color theme="0" tint="-0.3499799966812134"/>
      </bottom>
    </border>
    <border>
      <left style="hair"/>
      <right style="hair"/>
      <top style="thin">
        <color theme="0" tint="-0.3499799966812134"/>
      </top>
      <bottom style="thin">
        <color theme="0" tint="-0.3499799966812134"/>
      </bottom>
    </border>
    <border>
      <left style="hair"/>
      <right style="hair"/>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style="hair"/>
      <bottom style="hair"/>
    </border>
    <border>
      <left style="medium"/>
      <right/>
      <top style="thin">
        <color indexed="55"/>
      </top>
      <bottom style="double"/>
    </border>
    <border>
      <left style="thin"/>
      <right style="medium"/>
      <top style="thin">
        <color indexed="55"/>
      </top>
      <bottom style="double"/>
    </border>
    <border>
      <left style="medium"/>
      <right style="hair"/>
      <top>
        <color indexed="63"/>
      </top>
      <bottom>
        <color indexed="63"/>
      </bottom>
    </border>
    <border>
      <left style="medium"/>
      <right style="hair"/>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medium"/>
      <right style="hair"/>
      <top style="thin"/>
      <bottom style="hair"/>
    </border>
    <border>
      <left style="medium"/>
      <right style="hair"/>
      <top style="hair"/>
      <bottom style="hair"/>
    </border>
    <border>
      <left>
        <color indexed="63"/>
      </left>
      <right style="medium"/>
      <top style="medium"/>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style="thin"/>
      <bottom>
        <color indexed="63"/>
      </bottom>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style="thin"/>
    </border>
    <border>
      <left style="thin"/>
      <right style="thin"/>
      <top style="hair"/>
      <bottom style="hair"/>
    </border>
    <border>
      <left style="hair"/>
      <right style="thin"/>
      <top style="hair"/>
      <bottom style="hair"/>
    </border>
    <border>
      <left style="medium"/>
      <right/>
      <top/>
      <bottom style="thin"/>
    </border>
    <border>
      <left style="thin"/>
      <right style="thin"/>
      <top style="medium"/>
      <bottom style="hair"/>
    </border>
    <border>
      <left/>
      <right/>
      <top/>
      <bottom style="medium"/>
    </border>
    <border>
      <left style="thin"/>
      <right/>
      <top style="medium"/>
      <bottom style="hair"/>
    </border>
    <border>
      <left/>
      <right/>
      <top style="medium"/>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4" fillId="0" borderId="0" applyNumberFormat="0" applyFill="0" applyBorder="0" applyAlignment="0" applyProtection="0"/>
    <xf numFmtId="0" fontId="46" fillId="32" borderId="0" applyNumberFormat="0" applyBorder="0" applyAlignment="0" applyProtection="0"/>
  </cellStyleXfs>
  <cellXfs count="265">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right" vertical="center"/>
    </xf>
    <xf numFmtId="0" fontId="6" fillId="0" borderId="19" xfId="0" applyFont="1" applyBorder="1" applyAlignment="1">
      <alignment horizontal="right" vertical="center"/>
    </xf>
    <xf numFmtId="0" fontId="2" fillId="0" borderId="20" xfId="0" applyFont="1" applyBorder="1" applyAlignment="1">
      <alignment horizontal="right" vertical="center"/>
    </xf>
    <xf numFmtId="3" fontId="2" fillId="0" borderId="19" xfId="0" applyNumberFormat="1" applyFont="1" applyBorder="1" applyAlignment="1">
      <alignment horizontal="right" vertical="center"/>
    </xf>
    <xf numFmtId="3" fontId="2" fillId="0" borderId="20" xfId="0" applyNumberFormat="1" applyFont="1" applyBorder="1" applyAlignment="1">
      <alignment horizontal="right" vertical="center"/>
    </xf>
    <xf numFmtId="3" fontId="2" fillId="33" borderId="21" xfId="0" applyNumberFormat="1" applyFont="1" applyFill="1" applyBorder="1" applyAlignment="1">
      <alignment horizontal="right" vertical="center"/>
    </xf>
    <xf numFmtId="3" fontId="2" fillId="33" borderId="22" xfId="0" applyNumberFormat="1" applyFont="1" applyFill="1" applyBorder="1" applyAlignment="1">
      <alignment horizontal="right" vertical="center"/>
    </xf>
    <xf numFmtId="0" fontId="2" fillId="0" borderId="21" xfId="0" applyFont="1" applyBorder="1" applyAlignment="1">
      <alignment horizontal="distributed" vertical="center"/>
    </xf>
    <xf numFmtId="0" fontId="2" fillId="0" borderId="23" xfId="0" applyFont="1" applyBorder="1" applyAlignment="1">
      <alignment horizontal="distributed" vertical="center"/>
    </xf>
    <xf numFmtId="0" fontId="6" fillId="0" borderId="23" xfId="0" applyFont="1" applyBorder="1" applyAlignment="1">
      <alignment horizontal="distributed" vertical="center"/>
    </xf>
    <xf numFmtId="0" fontId="2" fillId="0" borderId="24" xfId="0" applyFont="1" applyBorder="1" applyAlignment="1">
      <alignment horizontal="distributed" vertical="center"/>
    </xf>
    <xf numFmtId="0" fontId="6" fillId="0" borderId="25" xfId="0" applyFont="1" applyBorder="1" applyAlignment="1">
      <alignment horizontal="right" vertical="center"/>
    </xf>
    <xf numFmtId="3" fontId="2" fillId="34" borderId="26" xfId="0" applyNumberFormat="1" applyFont="1" applyFill="1" applyBorder="1" applyAlignment="1">
      <alignment horizontal="right" vertical="center"/>
    </xf>
    <xf numFmtId="3" fontId="2" fillId="34" borderId="27" xfId="0" applyNumberFormat="1" applyFont="1" applyFill="1" applyBorder="1" applyAlignment="1">
      <alignment horizontal="right" vertical="center"/>
    </xf>
    <xf numFmtId="3" fontId="2" fillId="33" borderId="24"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0" fontId="2" fillId="0" borderId="29" xfId="0" applyFont="1" applyBorder="1" applyAlignment="1">
      <alignment horizontal="distributed" vertical="center"/>
    </xf>
    <xf numFmtId="3" fontId="2" fillId="34" borderId="30"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1" xfId="0" applyNumberFormat="1" applyFont="1" applyFill="1" applyBorder="1" applyAlignment="1">
      <alignment horizontal="right" vertical="center"/>
    </xf>
    <xf numFmtId="0" fontId="7" fillId="33" borderId="10" xfId="0" applyFont="1" applyFill="1" applyBorder="1" applyAlignment="1">
      <alignment horizontal="right" vertical="top"/>
    </xf>
    <xf numFmtId="0" fontId="7" fillId="34" borderId="32"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19" xfId="0" applyFont="1" applyBorder="1" applyAlignment="1">
      <alignment horizontal="center" vertical="center"/>
    </xf>
    <xf numFmtId="3" fontId="2" fillId="0" borderId="19" xfId="0" applyNumberFormat="1" applyFont="1" applyBorder="1" applyAlignment="1">
      <alignment horizontal="center" vertical="center"/>
    </xf>
    <xf numFmtId="0" fontId="2" fillId="0" borderId="33" xfId="0" applyFont="1" applyBorder="1" applyAlignment="1">
      <alignment horizontal="distributed" vertical="center"/>
    </xf>
    <xf numFmtId="3" fontId="2" fillId="33" borderId="33" xfId="0" applyNumberFormat="1" applyFont="1" applyFill="1" applyBorder="1" applyAlignment="1">
      <alignment horizontal="right" vertical="center"/>
    </xf>
    <xf numFmtId="3" fontId="2" fillId="33" borderId="34" xfId="0" applyNumberFormat="1" applyFont="1" applyFill="1" applyBorder="1" applyAlignment="1">
      <alignment horizontal="right" vertical="center"/>
    </xf>
    <xf numFmtId="0" fontId="7" fillId="0" borderId="35" xfId="0" applyFont="1" applyFill="1" applyBorder="1" applyAlignment="1">
      <alignment horizontal="center" vertical="center"/>
    </xf>
    <xf numFmtId="0" fontId="7" fillId="0" borderId="13" xfId="0" applyFont="1" applyFill="1" applyBorder="1" applyAlignment="1">
      <alignment horizontal="right" vertical="top"/>
    </xf>
    <xf numFmtId="0" fontId="7" fillId="33" borderId="18"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6" xfId="0" applyNumberFormat="1" applyFont="1" applyFill="1" applyBorder="1" applyAlignment="1">
      <alignment horizontal="right" vertical="center"/>
    </xf>
    <xf numFmtId="0" fontId="2" fillId="0" borderId="35"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8" xfId="0" applyFont="1" applyFill="1" applyBorder="1" applyAlignment="1">
      <alignment horizontal="right"/>
    </xf>
    <xf numFmtId="0" fontId="7" fillId="34" borderId="37" xfId="0" applyFont="1" applyFill="1" applyBorder="1" applyAlignment="1">
      <alignment horizontal="right"/>
    </xf>
    <xf numFmtId="0" fontId="7" fillId="34" borderId="38" xfId="0" applyFont="1" applyFill="1" applyBorder="1" applyAlignment="1">
      <alignment horizontal="right"/>
    </xf>
    <xf numFmtId="0" fontId="7" fillId="34" borderId="39" xfId="0" applyFont="1" applyFill="1" applyBorder="1" applyAlignment="1">
      <alignment horizontal="right"/>
    </xf>
    <xf numFmtId="0" fontId="7" fillId="34" borderId="40" xfId="0" applyFont="1" applyFill="1" applyBorder="1" applyAlignment="1">
      <alignment horizontal="right"/>
    </xf>
    <xf numFmtId="0" fontId="2" fillId="0" borderId="41" xfId="0" applyFont="1" applyBorder="1" applyAlignment="1">
      <alignment horizontal="left" vertical="top" wrapText="1"/>
    </xf>
    <xf numFmtId="0" fontId="5" fillId="0" borderId="0" xfId="0" applyFont="1" applyAlignment="1">
      <alignment horizontal="center" vertical="top"/>
    </xf>
    <xf numFmtId="0" fontId="2" fillId="0" borderId="21" xfId="0" applyFont="1" applyBorder="1" applyAlignment="1">
      <alignment horizontal="distributed" vertical="center" wrapText="1"/>
    </xf>
    <xf numFmtId="0" fontId="2" fillId="0" borderId="23"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0" xfId="61" applyFont="1" applyBorder="1" applyAlignment="1">
      <alignment horizontal="left" vertical="center"/>
      <protection/>
    </xf>
    <xf numFmtId="0" fontId="2" fillId="0" borderId="42" xfId="61" applyFont="1" applyBorder="1" applyAlignment="1">
      <alignment horizontal="distributed" vertical="center" indent="1"/>
      <protection/>
    </xf>
    <xf numFmtId="0" fontId="2" fillId="0" borderId="43" xfId="61" applyFont="1" applyBorder="1" applyAlignment="1">
      <alignment horizontal="distributed" vertical="center" indent="1"/>
      <protection/>
    </xf>
    <xf numFmtId="0" fontId="2" fillId="0" borderId="43" xfId="61" applyFont="1" applyBorder="1" applyAlignment="1">
      <alignment horizontal="center" vertical="center" wrapText="1"/>
      <protection/>
    </xf>
    <xf numFmtId="0" fontId="7" fillId="35" borderId="35" xfId="61" applyFont="1" applyFill="1" applyBorder="1" applyAlignment="1">
      <alignment horizontal="distributed" vertical="top"/>
      <protection/>
    </xf>
    <xf numFmtId="0" fontId="7" fillId="34" borderId="13" xfId="61" applyFont="1" applyFill="1" applyBorder="1" applyAlignment="1">
      <alignment horizontal="right" vertical="top"/>
      <protection/>
    </xf>
    <xf numFmtId="0" fontId="7" fillId="33" borderId="10" xfId="61" applyFont="1" applyFill="1" applyBorder="1" applyAlignment="1">
      <alignment horizontal="right" vertical="top"/>
      <protection/>
    </xf>
    <xf numFmtId="0" fontId="7" fillId="34" borderId="32" xfId="61" applyFont="1" applyFill="1" applyBorder="1" applyAlignment="1">
      <alignment horizontal="right" vertical="top"/>
      <protection/>
    </xf>
    <xf numFmtId="0" fontId="7" fillId="34" borderId="44" xfId="61" applyFont="1" applyFill="1" applyBorder="1" applyAlignment="1">
      <alignment horizontal="right" vertical="top"/>
      <protection/>
    </xf>
    <xf numFmtId="0" fontId="7" fillId="35" borderId="40" xfId="61" applyFont="1" applyFill="1" applyBorder="1" applyAlignment="1">
      <alignment horizontal="distributed" vertical="top"/>
      <protection/>
    </xf>
    <xf numFmtId="0" fontId="2" fillId="36" borderId="45" xfId="61" applyFont="1" applyFill="1" applyBorder="1" applyAlignment="1">
      <alignment horizontal="distributed" vertical="center"/>
      <protection/>
    </xf>
    <xf numFmtId="0" fontId="2" fillId="36" borderId="46" xfId="61" applyFont="1" applyFill="1" applyBorder="1" applyAlignment="1">
      <alignment horizontal="distributed" vertical="center"/>
      <protection/>
    </xf>
    <xf numFmtId="0" fontId="2" fillId="36" borderId="47" xfId="61" applyFont="1" applyFill="1" applyBorder="1" applyAlignment="1">
      <alignment horizontal="distributed" vertical="center"/>
      <protection/>
    </xf>
    <xf numFmtId="0" fontId="6" fillId="36" borderId="48" xfId="61" applyFont="1" applyFill="1" applyBorder="1" applyAlignment="1">
      <alignment horizontal="distributed" vertical="center"/>
      <protection/>
    </xf>
    <xf numFmtId="0" fontId="8" fillId="0" borderId="49" xfId="61" applyFont="1" applyFill="1" applyBorder="1" applyAlignment="1">
      <alignment horizontal="distributed" vertical="center"/>
      <protection/>
    </xf>
    <xf numFmtId="0" fontId="8" fillId="0" borderId="50" xfId="61" applyFont="1" applyFill="1" applyBorder="1" applyAlignment="1">
      <alignment horizontal="center" vertical="center"/>
      <protection/>
    </xf>
    <xf numFmtId="0" fontId="6" fillId="0" borderId="51" xfId="61" applyFont="1" applyBorder="1" applyAlignment="1">
      <alignment horizontal="center" vertical="center"/>
      <protection/>
    </xf>
    <xf numFmtId="0" fontId="6" fillId="0" borderId="52" xfId="61" applyFont="1" applyBorder="1" applyAlignment="1">
      <alignment horizontal="center" vertical="center"/>
      <protection/>
    </xf>
    <xf numFmtId="0" fontId="6" fillId="36" borderId="53" xfId="61" applyFont="1" applyFill="1" applyBorder="1" applyAlignment="1">
      <alignment horizontal="distributed" vertical="center"/>
      <protection/>
    </xf>
    <xf numFmtId="0" fontId="2" fillId="36" borderId="54" xfId="61" applyFont="1" applyFill="1" applyBorder="1" applyAlignment="1">
      <alignment horizontal="distributed" vertical="center"/>
      <protection/>
    </xf>
    <xf numFmtId="0" fontId="2" fillId="36" borderId="55" xfId="61" applyFont="1" applyFill="1" applyBorder="1" applyAlignment="1">
      <alignment horizontal="distributed" vertical="center"/>
      <protection/>
    </xf>
    <xf numFmtId="0" fontId="2" fillId="0" borderId="56" xfId="61" applyFont="1" applyBorder="1" applyAlignment="1">
      <alignment horizontal="distributed" vertical="center" indent="1"/>
      <protection/>
    </xf>
    <xf numFmtId="0" fontId="2" fillId="0" borderId="56" xfId="61" applyFont="1" applyBorder="1" applyAlignment="1">
      <alignment horizontal="centerContinuous" vertical="center" wrapText="1"/>
      <protection/>
    </xf>
    <xf numFmtId="0" fontId="7" fillId="33" borderId="44" xfId="61" applyFont="1" applyFill="1" applyBorder="1" applyAlignment="1">
      <alignment horizontal="right" vertical="top"/>
      <protection/>
    </xf>
    <xf numFmtId="0" fontId="8" fillId="0" borderId="57" xfId="61" applyFont="1" applyFill="1" applyBorder="1" applyAlignment="1">
      <alignment horizontal="center" vertical="center"/>
      <protection/>
    </xf>
    <xf numFmtId="0" fontId="6" fillId="0" borderId="58" xfId="61" applyFont="1" applyBorder="1" applyAlignment="1">
      <alignment horizontal="center" vertical="center"/>
      <protection/>
    </xf>
    <xf numFmtId="0" fontId="9" fillId="0" borderId="0" xfId="61" applyFont="1" applyAlignment="1">
      <alignment horizontal="right" vertical="top"/>
      <protection/>
    </xf>
    <xf numFmtId="0" fontId="10" fillId="0" borderId="0" xfId="61" applyFont="1">
      <alignment/>
      <protection/>
    </xf>
    <xf numFmtId="0" fontId="11" fillId="0" borderId="0" xfId="61" applyFont="1">
      <alignment/>
      <protection/>
    </xf>
    <xf numFmtId="0" fontId="9" fillId="0" borderId="0" xfId="61" applyFont="1" applyAlignment="1">
      <alignment vertical="top"/>
      <protection/>
    </xf>
    <xf numFmtId="0" fontId="7" fillId="35" borderId="59" xfId="61" applyFont="1" applyFill="1" applyBorder="1" applyAlignment="1">
      <alignment horizontal="distributed" vertical="top"/>
      <protection/>
    </xf>
    <xf numFmtId="0" fontId="2" fillId="36" borderId="60" xfId="61" applyFont="1" applyFill="1" applyBorder="1" applyAlignment="1">
      <alignment horizontal="distributed" vertical="center"/>
      <protection/>
    </xf>
    <xf numFmtId="0" fontId="2" fillId="36" borderId="61" xfId="61" applyFont="1" applyFill="1" applyBorder="1" applyAlignment="1">
      <alignment horizontal="distributed" vertical="center"/>
      <protection/>
    </xf>
    <xf numFmtId="0" fontId="2" fillId="36" borderId="62" xfId="61" applyFont="1" applyFill="1" applyBorder="1" applyAlignment="1">
      <alignment horizontal="distributed" vertical="center"/>
      <protection/>
    </xf>
    <xf numFmtId="0" fontId="12" fillId="37" borderId="60" xfId="61" applyFont="1" applyFill="1" applyBorder="1" applyAlignment="1">
      <alignment horizontal="distributed" vertical="center"/>
      <protection/>
    </xf>
    <xf numFmtId="0" fontId="7" fillId="35" borderId="63" xfId="61" applyFont="1" applyFill="1" applyBorder="1" applyAlignment="1">
      <alignment horizontal="distributed" vertical="top"/>
      <protection/>
    </xf>
    <xf numFmtId="0" fontId="7" fillId="28" borderId="13" xfId="61" applyFont="1" applyFill="1" applyBorder="1" applyAlignment="1">
      <alignment horizontal="right" vertical="top"/>
      <protection/>
    </xf>
    <xf numFmtId="0" fontId="2" fillId="36" borderId="64" xfId="61" applyFont="1" applyFill="1" applyBorder="1" applyAlignment="1">
      <alignment horizontal="distributed" vertical="center"/>
      <protection/>
    </xf>
    <xf numFmtId="0" fontId="2" fillId="36" borderId="65" xfId="61" applyFont="1" applyFill="1" applyBorder="1" applyAlignment="1">
      <alignment horizontal="distributed" vertical="center"/>
      <protection/>
    </xf>
    <xf numFmtId="0" fontId="2" fillId="36" borderId="66" xfId="61" applyFont="1" applyFill="1" applyBorder="1" applyAlignment="1">
      <alignment horizontal="distributed" vertical="center"/>
      <protection/>
    </xf>
    <xf numFmtId="3" fontId="2" fillId="34" borderId="67" xfId="0" applyNumberFormat="1" applyFont="1" applyFill="1" applyBorder="1" applyAlignment="1">
      <alignment horizontal="right" vertical="center"/>
    </xf>
    <xf numFmtId="3" fontId="2" fillId="34" borderId="68" xfId="0" applyNumberFormat="1" applyFont="1" applyFill="1" applyBorder="1" applyAlignment="1">
      <alignment horizontal="right" vertical="center"/>
    </xf>
    <xf numFmtId="3" fontId="2" fillId="33" borderId="23" xfId="0" applyNumberFormat="1" applyFont="1" applyFill="1" applyBorder="1" applyAlignment="1">
      <alignment horizontal="right" vertical="center"/>
    </xf>
    <xf numFmtId="3" fontId="2" fillId="33" borderId="69" xfId="0" applyNumberFormat="1" applyFont="1" applyFill="1" applyBorder="1" applyAlignment="1">
      <alignment horizontal="right" vertical="center"/>
    </xf>
    <xf numFmtId="3" fontId="6" fillId="34" borderId="68" xfId="0" applyNumberFormat="1" applyFont="1" applyFill="1" applyBorder="1" applyAlignment="1">
      <alignment horizontal="right" vertical="center"/>
    </xf>
    <xf numFmtId="3" fontId="6" fillId="33" borderId="23" xfId="0" applyNumberFormat="1" applyFont="1" applyFill="1" applyBorder="1" applyAlignment="1">
      <alignment horizontal="right" vertical="center"/>
    </xf>
    <xf numFmtId="3" fontId="6" fillId="33" borderId="69" xfId="0" applyNumberFormat="1" applyFont="1" applyFill="1" applyBorder="1" applyAlignment="1">
      <alignment horizontal="right" vertical="center"/>
    </xf>
    <xf numFmtId="3" fontId="2" fillId="34" borderId="70" xfId="0" applyNumberFormat="1" applyFont="1" applyFill="1" applyBorder="1" applyAlignment="1">
      <alignment horizontal="right" vertical="center"/>
    </xf>
    <xf numFmtId="3" fontId="2" fillId="33" borderId="71" xfId="0" applyNumberFormat="1" applyFont="1" applyFill="1" applyBorder="1" applyAlignment="1">
      <alignment horizontal="right" vertical="center"/>
    </xf>
    <xf numFmtId="3" fontId="2" fillId="33" borderId="72" xfId="0" applyNumberFormat="1" applyFont="1" applyFill="1" applyBorder="1" applyAlignment="1">
      <alignment horizontal="right" vertical="center"/>
    </xf>
    <xf numFmtId="3" fontId="2" fillId="34" borderId="73" xfId="0" applyNumberFormat="1" applyFont="1" applyFill="1" applyBorder="1" applyAlignment="1">
      <alignment horizontal="right" vertical="center"/>
    </xf>
    <xf numFmtId="3" fontId="2" fillId="34" borderId="73" xfId="0" applyNumberFormat="1" applyFont="1" applyFill="1" applyBorder="1" applyAlignment="1">
      <alignment vertical="center"/>
    </xf>
    <xf numFmtId="3" fontId="2" fillId="34" borderId="68" xfId="0" applyNumberFormat="1" applyFont="1" applyFill="1" applyBorder="1" applyAlignment="1">
      <alignment vertical="center"/>
    </xf>
    <xf numFmtId="3" fontId="6" fillId="34" borderId="74" xfId="0" applyNumberFormat="1" applyFont="1" applyFill="1" applyBorder="1" applyAlignment="1">
      <alignment horizontal="right" vertical="center"/>
    </xf>
    <xf numFmtId="3" fontId="6" fillId="33" borderId="75" xfId="0" applyNumberFormat="1" applyFont="1" applyFill="1" applyBorder="1" applyAlignment="1">
      <alignment horizontal="right" vertical="center"/>
    </xf>
    <xf numFmtId="3" fontId="6" fillId="33" borderId="76" xfId="0" applyNumberFormat="1" applyFont="1" applyFill="1" applyBorder="1" applyAlignment="1">
      <alignment horizontal="right" vertical="center"/>
    </xf>
    <xf numFmtId="3" fontId="2" fillId="34" borderId="77" xfId="0" applyNumberFormat="1" applyFont="1" applyFill="1" applyBorder="1" applyAlignment="1">
      <alignment horizontal="right" vertical="center"/>
    </xf>
    <xf numFmtId="3" fontId="2" fillId="33" borderId="78" xfId="0" applyNumberFormat="1" applyFont="1" applyFill="1" applyBorder="1" applyAlignment="1">
      <alignment horizontal="right" vertical="center"/>
    </xf>
    <xf numFmtId="3" fontId="2" fillId="33" borderId="79" xfId="0" applyNumberFormat="1" applyFont="1" applyFill="1" applyBorder="1" applyAlignment="1">
      <alignment horizontal="right" vertical="center"/>
    </xf>
    <xf numFmtId="0" fontId="0" fillId="0" borderId="0" xfId="61" applyFont="1">
      <alignment/>
      <protection/>
    </xf>
    <xf numFmtId="177" fontId="2" fillId="34" borderId="36" xfId="61" applyNumberFormat="1" applyFont="1" applyFill="1" applyBorder="1" applyAlignment="1">
      <alignment horizontal="right" vertical="center"/>
      <protection/>
    </xf>
    <xf numFmtId="177" fontId="2" fillId="33" borderId="33" xfId="61" applyNumberFormat="1" applyFont="1" applyFill="1" applyBorder="1" applyAlignment="1">
      <alignment horizontal="right" vertical="center"/>
      <protection/>
    </xf>
    <xf numFmtId="177" fontId="2" fillId="33" borderId="80" xfId="61" applyNumberFormat="1" applyFont="1" applyFill="1" applyBorder="1" applyAlignment="1">
      <alignment horizontal="right" vertical="center"/>
      <protection/>
    </xf>
    <xf numFmtId="177" fontId="2" fillId="34" borderId="67" xfId="61" applyNumberFormat="1" applyFont="1" applyFill="1" applyBorder="1" applyAlignment="1">
      <alignment horizontal="right" vertical="center"/>
      <protection/>
    </xf>
    <xf numFmtId="177" fontId="2" fillId="34" borderId="80" xfId="61" applyNumberFormat="1" applyFont="1" applyFill="1" applyBorder="1" applyAlignment="1">
      <alignment horizontal="right" vertical="center"/>
      <protection/>
    </xf>
    <xf numFmtId="177" fontId="2" fillId="34" borderId="81" xfId="61" applyNumberFormat="1" applyFont="1" applyFill="1" applyBorder="1" applyAlignment="1">
      <alignment horizontal="right" vertical="center"/>
      <protection/>
    </xf>
    <xf numFmtId="177" fontId="2" fillId="33" borderId="23" xfId="61" applyNumberFormat="1" applyFont="1" applyFill="1" applyBorder="1" applyAlignment="1">
      <alignment horizontal="right" vertical="center"/>
      <protection/>
    </xf>
    <xf numFmtId="177" fontId="2" fillId="33" borderId="82" xfId="61" applyNumberFormat="1" applyFont="1" applyFill="1" applyBorder="1" applyAlignment="1">
      <alignment horizontal="right" vertical="center"/>
      <protection/>
    </xf>
    <xf numFmtId="177" fontId="6" fillId="34" borderId="83" xfId="61" applyNumberFormat="1" applyFont="1" applyFill="1" applyBorder="1" applyAlignment="1">
      <alignment horizontal="right" vertical="center"/>
      <protection/>
    </xf>
    <xf numFmtId="177" fontId="6" fillId="33" borderId="84" xfId="61" applyNumberFormat="1" applyFont="1" applyFill="1" applyBorder="1" applyAlignment="1">
      <alignment horizontal="right" vertical="center"/>
      <protection/>
    </xf>
    <xf numFmtId="177" fontId="6" fillId="33" borderId="85" xfId="61" applyNumberFormat="1" applyFont="1" applyFill="1" applyBorder="1" applyAlignment="1">
      <alignment horizontal="right" vertical="center"/>
      <protection/>
    </xf>
    <xf numFmtId="177" fontId="6" fillId="34" borderId="86" xfId="61" applyNumberFormat="1" applyFont="1" applyFill="1" applyBorder="1" applyAlignment="1">
      <alignment horizontal="right" vertical="center"/>
      <protection/>
    </xf>
    <xf numFmtId="177" fontId="6" fillId="34" borderId="85" xfId="61" applyNumberFormat="1" applyFont="1" applyFill="1" applyBorder="1" applyAlignment="1">
      <alignment horizontal="right" vertical="center"/>
      <protection/>
    </xf>
    <xf numFmtId="177" fontId="2" fillId="34" borderId="87" xfId="61" applyNumberFormat="1" applyFont="1" applyFill="1" applyBorder="1" applyAlignment="1">
      <alignment horizontal="right" vertical="center"/>
      <protection/>
    </xf>
    <xf numFmtId="177" fontId="2" fillId="33" borderId="88" xfId="61" applyNumberFormat="1" applyFont="1" applyFill="1" applyBorder="1" applyAlignment="1">
      <alignment horizontal="right" vertical="center"/>
      <protection/>
    </xf>
    <xf numFmtId="177" fontId="2" fillId="33" borderId="89" xfId="61" applyNumberFormat="1" applyFont="1" applyFill="1" applyBorder="1" applyAlignment="1">
      <alignment horizontal="right" vertical="center"/>
      <protection/>
    </xf>
    <xf numFmtId="177" fontId="2" fillId="0" borderId="90" xfId="61" applyNumberFormat="1" applyFont="1" applyFill="1" applyBorder="1" applyAlignment="1">
      <alignment horizontal="right" vertical="center"/>
      <protection/>
    </xf>
    <xf numFmtId="177" fontId="2" fillId="0" borderId="91" xfId="61" applyNumberFormat="1" applyFont="1" applyFill="1" applyBorder="1" applyAlignment="1">
      <alignment horizontal="right" vertical="center"/>
      <protection/>
    </xf>
    <xf numFmtId="177" fontId="2" fillId="0" borderId="92" xfId="61" applyNumberFormat="1" applyFont="1" applyFill="1" applyBorder="1" applyAlignment="1">
      <alignment horizontal="right" vertical="center"/>
      <protection/>
    </xf>
    <xf numFmtId="177" fontId="2" fillId="0" borderId="93" xfId="61" applyNumberFormat="1" applyFont="1" applyFill="1" applyBorder="1" applyAlignment="1">
      <alignment horizontal="right" vertical="center"/>
      <protection/>
    </xf>
    <xf numFmtId="177" fontId="2" fillId="0" borderId="94" xfId="61" applyNumberFormat="1" applyFont="1" applyFill="1" applyBorder="1" applyAlignment="1">
      <alignment horizontal="right" vertical="center"/>
      <protection/>
    </xf>
    <xf numFmtId="177" fontId="2" fillId="0" borderId="95" xfId="61" applyNumberFormat="1" applyFont="1" applyFill="1" applyBorder="1" applyAlignment="1">
      <alignment horizontal="right" vertical="center"/>
      <protection/>
    </xf>
    <xf numFmtId="177" fontId="6" fillId="34" borderId="20" xfId="61" applyNumberFormat="1" applyFont="1" applyFill="1" applyBorder="1" applyAlignment="1">
      <alignment horizontal="right" vertical="center"/>
      <protection/>
    </xf>
    <xf numFmtId="177" fontId="6" fillId="33" borderId="78" xfId="61" applyNumberFormat="1" applyFont="1" applyFill="1" applyBorder="1" applyAlignment="1">
      <alignment horizontal="right" vertical="center"/>
      <protection/>
    </xf>
    <xf numFmtId="177" fontId="6" fillId="33" borderId="96" xfId="61" applyNumberFormat="1" applyFont="1" applyFill="1" applyBorder="1" applyAlignment="1">
      <alignment horizontal="right" vertical="center"/>
      <protection/>
    </xf>
    <xf numFmtId="177" fontId="6" fillId="34" borderId="97" xfId="61" applyNumberFormat="1" applyFont="1" applyFill="1" applyBorder="1" applyAlignment="1">
      <alignment horizontal="right" vertical="center"/>
      <protection/>
    </xf>
    <xf numFmtId="177" fontId="6" fillId="34" borderId="98" xfId="61" applyNumberFormat="1" applyFont="1" applyFill="1" applyBorder="1" applyAlignment="1">
      <alignment horizontal="right" vertical="center"/>
      <protection/>
    </xf>
    <xf numFmtId="177" fontId="6" fillId="34" borderId="99" xfId="61" applyNumberFormat="1" applyFont="1" applyFill="1" applyBorder="1" applyAlignment="1">
      <alignment horizontal="right" vertical="center"/>
      <protection/>
    </xf>
    <xf numFmtId="0" fontId="0" fillId="0" borderId="0" xfId="61" applyFont="1" applyAlignment="1">
      <alignment horizontal="center"/>
      <protection/>
    </xf>
    <xf numFmtId="0" fontId="0" fillId="0" borderId="0" xfId="61" applyFont="1" applyBorder="1">
      <alignment/>
      <protection/>
    </xf>
    <xf numFmtId="0" fontId="8" fillId="37" borderId="100" xfId="61" applyFont="1" applyFill="1" applyBorder="1" applyAlignment="1">
      <alignment horizontal="distributed" vertical="center"/>
      <protection/>
    </xf>
    <xf numFmtId="0" fontId="8" fillId="37" borderId="101" xfId="61" applyFont="1" applyFill="1" applyBorder="1" applyAlignment="1">
      <alignment horizontal="center" vertical="center"/>
      <protection/>
    </xf>
    <xf numFmtId="177" fontId="8" fillId="28" borderId="102" xfId="61" applyNumberFormat="1" applyFont="1" applyFill="1" applyBorder="1" applyAlignment="1">
      <alignment horizontal="right" vertical="center"/>
      <protection/>
    </xf>
    <xf numFmtId="177" fontId="8" fillId="38" borderId="103" xfId="61" applyNumberFormat="1" applyFont="1" applyFill="1" applyBorder="1" applyAlignment="1">
      <alignment horizontal="right" vertical="center"/>
      <protection/>
    </xf>
    <xf numFmtId="177" fontId="8" fillId="38" borderId="104" xfId="61" applyNumberFormat="1" applyFont="1" applyFill="1" applyBorder="1" applyAlignment="1">
      <alignment horizontal="right" vertical="center"/>
      <protection/>
    </xf>
    <xf numFmtId="0" fontId="6" fillId="36" borderId="105" xfId="61" applyFont="1" applyFill="1" applyBorder="1" applyAlignment="1">
      <alignment horizontal="distributed" vertical="center"/>
      <protection/>
    </xf>
    <xf numFmtId="177" fontId="6" fillId="34" borderId="106" xfId="61" applyNumberFormat="1" applyFont="1" applyFill="1" applyBorder="1" applyAlignment="1">
      <alignment horizontal="right" vertical="center"/>
      <protection/>
    </xf>
    <xf numFmtId="177" fontId="6" fillId="33" borderId="71" xfId="61" applyNumberFormat="1" applyFont="1" applyFill="1" applyBorder="1" applyAlignment="1">
      <alignment horizontal="right" vertical="center"/>
      <protection/>
    </xf>
    <xf numFmtId="177" fontId="6" fillId="33" borderId="107" xfId="61" applyNumberFormat="1" applyFont="1" applyFill="1" applyBorder="1" applyAlignment="1">
      <alignment horizontal="right" vertical="center"/>
      <protection/>
    </xf>
    <xf numFmtId="0" fontId="6" fillId="36" borderId="108" xfId="61" applyFont="1" applyFill="1" applyBorder="1" applyAlignment="1">
      <alignment horizontal="distributed" vertical="center"/>
      <protection/>
    </xf>
    <xf numFmtId="0" fontId="8" fillId="0" borderId="109" xfId="61" applyFont="1" applyFill="1" applyBorder="1" applyAlignment="1">
      <alignment horizontal="distributed" vertical="center"/>
      <protection/>
    </xf>
    <xf numFmtId="177" fontId="8" fillId="0" borderId="110" xfId="61" applyNumberFormat="1" applyFont="1" applyFill="1" applyBorder="1" applyAlignment="1">
      <alignment horizontal="right" vertical="center"/>
      <protection/>
    </xf>
    <xf numFmtId="177" fontId="8" fillId="0" borderId="111" xfId="61" applyNumberFormat="1" applyFont="1" applyFill="1" applyBorder="1" applyAlignment="1">
      <alignment horizontal="right" vertical="center"/>
      <protection/>
    </xf>
    <xf numFmtId="177" fontId="8" fillId="0" borderId="112" xfId="61" applyNumberFormat="1" applyFont="1" applyFill="1" applyBorder="1" applyAlignment="1">
      <alignment horizontal="right" vertical="center"/>
      <protection/>
    </xf>
    <xf numFmtId="0" fontId="8" fillId="0" borderId="113" xfId="61" applyFont="1" applyFill="1" applyBorder="1" applyAlignment="1">
      <alignment horizontal="center" vertical="center"/>
      <protection/>
    </xf>
    <xf numFmtId="0" fontId="6" fillId="36" borderId="114" xfId="61" applyFont="1" applyFill="1" applyBorder="1" applyAlignment="1">
      <alignment horizontal="distributed" vertical="center"/>
      <protection/>
    </xf>
    <xf numFmtId="177" fontId="6" fillId="34" borderId="19" xfId="61" applyNumberFormat="1" applyFont="1" applyFill="1" applyBorder="1" applyAlignment="1">
      <alignment horizontal="right" vertical="center"/>
      <protection/>
    </xf>
    <xf numFmtId="177" fontId="6" fillId="33" borderId="115" xfId="61" applyNumberFormat="1" applyFont="1" applyFill="1" applyBorder="1" applyAlignment="1">
      <alignment horizontal="right" vertical="center"/>
      <protection/>
    </xf>
    <xf numFmtId="177" fontId="6" fillId="33" borderId="116" xfId="61" applyNumberFormat="1" applyFont="1" applyFill="1" applyBorder="1" applyAlignment="1">
      <alignment horizontal="right" vertical="center"/>
      <protection/>
    </xf>
    <xf numFmtId="0" fontId="6" fillId="36" borderId="117" xfId="61" applyFont="1" applyFill="1" applyBorder="1" applyAlignment="1">
      <alignment horizontal="distributed" vertical="center"/>
      <protection/>
    </xf>
    <xf numFmtId="0" fontId="8" fillId="37" borderId="109" xfId="61" applyFont="1" applyFill="1" applyBorder="1" applyAlignment="1">
      <alignment horizontal="distributed" vertical="center"/>
      <protection/>
    </xf>
    <xf numFmtId="177" fontId="8" fillId="28" borderId="112" xfId="61" applyNumberFormat="1" applyFont="1" applyFill="1" applyBorder="1" applyAlignment="1">
      <alignment horizontal="right" vertical="center"/>
      <protection/>
    </xf>
    <xf numFmtId="177" fontId="8" fillId="38" borderId="111" xfId="61" applyNumberFormat="1" applyFont="1" applyFill="1" applyBorder="1" applyAlignment="1">
      <alignment horizontal="right" vertical="center"/>
      <protection/>
    </xf>
    <xf numFmtId="177" fontId="8" fillId="38" borderId="118" xfId="61" applyNumberFormat="1" applyFont="1" applyFill="1" applyBorder="1" applyAlignment="1">
      <alignment horizontal="right" vertical="center"/>
      <protection/>
    </xf>
    <xf numFmtId="0" fontId="8" fillId="37" borderId="113" xfId="61" applyFont="1" applyFill="1" applyBorder="1" applyAlignment="1">
      <alignment horizontal="center" vertical="center"/>
      <protection/>
    </xf>
    <xf numFmtId="0" fontId="6" fillId="37" borderId="105" xfId="61" applyFont="1" applyFill="1" applyBorder="1" applyAlignment="1">
      <alignment horizontal="distributed" vertical="center"/>
      <protection/>
    </xf>
    <xf numFmtId="177" fontId="6" fillId="28" borderId="106" xfId="61" applyNumberFormat="1" applyFont="1" applyFill="1" applyBorder="1" applyAlignment="1">
      <alignment horizontal="right" vertical="center"/>
      <protection/>
    </xf>
    <xf numFmtId="177" fontId="6" fillId="38" borderId="71" xfId="61" applyNumberFormat="1" applyFont="1" applyFill="1" applyBorder="1" applyAlignment="1">
      <alignment horizontal="right" vertical="center"/>
      <protection/>
    </xf>
    <xf numFmtId="177" fontId="6" fillId="34" borderId="70" xfId="61" applyNumberFormat="1" applyFont="1" applyFill="1" applyBorder="1" applyAlignment="1">
      <alignment horizontal="right" vertical="center"/>
      <protection/>
    </xf>
    <xf numFmtId="177" fontId="6" fillId="34" borderId="107" xfId="61" applyNumberFormat="1" applyFont="1" applyFill="1" applyBorder="1" applyAlignment="1">
      <alignment horizontal="right" vertical="center"/>
      <protection/>
    </xf>
    <xf numFmtId="177" fontId="2" fillId="0" borderId="112" xfId="61" applyNumberFormat="1" applyFont="1" applyFill="1" applyBorder="1" applyAlignment="1">
      <alignment horizontal="right" vertical="center"/>
      <protection/>
    </xf>
    <xf numFmtId="177" fontId="2" fillId="0" borderId="119" xfId="61" applyNumberFormat="1" applyFont="1" applyFill="1" applyBorder="1" applyAlignment="1">
      <alignment horizontal="right" vertical="center"/>
      <protection/>
    </xf>
    <xf numFmtId="177" fontId="2" fillId="0" borderId="118" xfId="61" applyNumberFormat="1" applyFont="1" applyFill="1" applyBorder="1" applyAlignment="1">
      <alignment horizontal="right" vertical="center"/>
      <protection/>
    </xf>
    <xf numFmtId="177" fontId="2" fillId="28" borderId="112" xfId="61" applyNumberFormat="1" applyFont="1" applyFill="1" applyBorder="1" applyAlignment="1">
      <alignment horizontal="right" vertical="center"/>
      <protection/>
    </xf>
    <xf numFmtId="177" fontId="2" fillId="28" borderId="119" xfId="61" applyNumberFormat="1" applyFont="1" applyFill="1" applyBorder="1" applyAlignment="1">
      <alignment horizontal="right" vertical="center"/>
      <protection/>
    </xf>
    <xf numFmtId="177" fontId="2" fillId="28" borderId="118" xfId="61" applyNumberFormat="1" applyFont="1" applyFill="1" applyBorder="1" applyAlignment="1">
      <alignment horizontal="right" vertical="center"/>
      <protection/>
    </xf>
    <xf numFmtId="177" fontId="6" fillId="34" borderId="120" xfId="61" applyNumberFormat="1" applyFont="1" applyFill="1" applyBorder="1" applyAlignment="1">
      <alignment horizontal="right" vertical="center"/>
      <protection/>
    </xf>
    <xf numFmtId="177" fontId="6" fillId="34" borderId="116" xfId="61" applyNumberFormat="1" applyFont="1" applyFill="1" applyBorder="1" applyAlignment="1">
      <alignment horizontal="right" vertical="center"/>
      <protection/>
    </xf>
    <xf numFmtId="3" fontId="2" fillId="34" borderId="121" xfId="0" applyNumberFormat="1" applyFont="1" applyFill="1" applyBorder="1" applyAlignment="1">
      <alignment horizontal="right" vertical="center"/>
    </xf>
    <xf numFmtId="3" fontId="2" fillId="34" borderId="122" xfId="0" applyNumberFormat="1" applyFont="1" applyFill="1" applyBorder="1" applyAlignment="1">
      <alignment vertical="center"/>
    </xf>
    <xf numFmtId="3" fontId="2" fillId="34" borderId="123" xfId="0" applyNumberFormat="1" applyFont="1" applyFill="1" applyBorder="1" applyAlignment="1">
      <alignment vertical="center"/>
    </xf>
    <xf numFmtId="3" fontId="2" fillId="34" borderId="58" xfId="0" applyNumberFormat="1" applyFont="1" applyFill="1" applyBorder="1" applyAlignment="1">
      <alignment vertical="center"/>
    </xf>
    <xf numFmtId="0" fontId="2" fillId="36" borderId="117" xfId="61" applyFont="1" applyFill="1" applyBorder="1" applyAlignment="1">
      <alignment horizontal="distributed" vertical="center"/>
      <protection/>
    </xf>
    <xf numFmtId="0" fontId="2" fillId="36" borderId="124" xfId="61" applyFont="1" applyFill="1" applyBorder="1" applyAlignment="1">
      <alignment horizontal="distributed" vertical="center"/>
      <protection/>
    </xf>
    <xf numFmtId="0" fontId="8" fillId="0" borderId="125" xfId="61" applyFont="1" applyFill="1" applyBorder="1" applyAlignment="1">
      <alignment horizontal="distributed" vertical="center"/>
      <protection/>
    </xf>
    <xf numFmtId="177" fontId="8" fillId="0" borderId="90" xfId="61" applyNumberFormat="1" applyFont="1" applyFill="1" applyBorder="1" applyAlignment="1">
      <alignment horizontal="right" vertical="center"/>
      <protection/>
    </xf>
    <xf numFmtId="177" fontId="8" fillId="0" borderId="91" xfId="61" applyNumberFormat="1" applyFont="1" applyFill="1" applyBorder="1" applyAlignment="1">
      <alignment horizontal="right" vertical="center"/>
      <protection/>
    </xf>
    <xf numFmtId="177" fontId="8" fillId="0" borderId="92" xfId="61" applyNumberFormat="1" applyFont="1" applyFill="1" applyBorder="1" applyAlignment="1">
      <alignment horizontal="right" vertical="center"/>
      <protection/>
    </xf>
    <xf numFmtId="0" fontId="8" fillId="0" borderId="126" xfId="61" applyFont="1" applyFill="1" applyBorder="1" applyAlignment="1">
      <alignment horizontal="center" vertical="center"/>
      <protection/>
    </xf>
    <xf numFmtId="0" fontId="2" fillId="0" borderId="127" xfId="0" applyFont="1" applyBorder="1" applyAlignment="1">
      <alignment horizontal="distributed" vertical="center" wrapText="1"/>
    </xf>
    <xf numFmtId="0" fontId="2" fillId="0" borderId="127" xfId="0" applyFont="1" applyBorder="1" applyAlignment="1">
      <alignment horizontal="distributed" vertical="center"/>
    </xf>
    <xf numFmtId="0" fontId="2" fillId="0" borderId="128" xfId="0" applyFont="1" applyBorder="1" applyAlignment="1">
      <alignment horizontal="distributed" vertical="center"/>
    </xf>
    <xf numFmtId="0" fontId="2" fillId="0" borderId="0" xfId="0" applyFont="1" applyAlignment="1">
      <alignment horizontal="left" vertical="top"/>
    </xf>
    <xf numFmtId="0" fontId="2" fillId="0" borderId="13" xfId="0" applyFont="1" applyBorder="1" applyAlignment="1">
      <alignment horizontal="center" vertical="center"/>
    </xf>
    <xf numFmtId="0" fontId="2" fillId="0" borderId="32" xfId="0" applyFont="1" applyBorder="1" applyAlignment="1">
      <alignment horizontal="center" vertical="center"/>
    </xf>
    <xf numFmtId="0" fontId="2" fillId="0" borderId="129" xfId="0" applyFont="1" applyBorder="1" applyAlignment="1">
      <alignment horizontal="center" vertical="center"/>
    </xf>
    <xf numFmtId="0" fontId="2" fillId="0" borderId="130" xfId="0" applyFont="1" applyBorder="1" applyAlignment="1">
      <alignment horizontal="center" vertical="center"/>
    </xf>
    <xf numFmtId="0" fontId="2" fillId="0" borderId="131" xfId="0" applyFont="1" applyBorder="1" applyAlignment="1">
      <alignment horizontal="center" vertical="center"/>
    </xf>
    <xf numFmtId="0" fontId="2" fillId="0" borderId="132" xfId="0" applyFont="1" applyBorder="1" applyAlignment="1">
      <alignment horizontal="center" vertical="center"/>
    </xf>
    <xf numFmtId="0" fontId="2" fillId="0" borderId="133" xfId="0" applyFont="1" applyBorder="1" applyAlignment="1">
      <alignment horizontal="center" vertical="center"/>
    </xf>
    <xf numFmtId="0" fontId="2" fillId="0" borderId="114" xfId="0" applyFont="1" applyBorder="1" applyAlignment="1">
      <alignment horizontal="center" vertical="center"/>
    </xf>
    <xf numFmtId="0" fontId="2" fillId="0" borderId="134" xfId="0" applyFont="1" applyBorder="1" applyAlignment="1">
      <alignment horizontal="center" vertical="center"/>
    </xf>
    <xf numFmtId="0" fontId="2" fillId="0" borderId="41" xfId="0" applyFont="1" applyBorder="1" applyAlignment="1">
      <alignment horizontal="justify" vertical="top" wrapText="1"/>
    </xf>
    <xf numFmtId="0" fontId="2" fillId="0" borderId="0" xfId="0" applyFont="1" applyAlignment="1">
      <alignment horizontal="justify" vertical="top" wrapText="1"/>
    </xf>
    <xf numFmtId="0" fontId="5" fillId="0" borderId="0" xfId="0" applyFont="1" applyAlignment="1">
      <alignment horizontal="center" vertical="top"/>
    </xf>
    <xf numFmtId="0" fontId="6" fillId="0" borderId="135" xfId="0" applyFont="1" applyBorder="1" applyAlignment="1">
      <alignment horizontal="distributed" vertical="center"/>
    </xf>
    <xf numFmtId="0" fontId="6" fillId="0" borderId="136" xfId="0" applyFont="1" applyBorder="1" applyAlignment="1">
      <alignment horizontal="distributed" vertical="center"/>
    </xf>
    <xf numFmtId="0" fontId="2" fillId="0" borderId="51" xfId="0" applyFont="1" applyBorder="1" applyAlignment="1">
      <alignment horizontal="distributed" vertical="center"/>
    </xf>
    <xf numFmtId="0" fontId="2" fillId="0" borderId="137" xfId="0" applyFont="1" applyBorder="1" applyAlignment="1">
      <alignment horizontal="distributed" vertical="center"/>
    </xf>
    <xf numFmtId="0" fontId="2" fillId="0" borderId="138" xfId="0" applyFont="1" applyBorder="1" applyAlignment="1">
      <alignment horizontal="distributed" vertical="center" wrapText="1"/>
    </xf>
    <xf numFmtId="0" fontId="2" fillId="0" borderId="139" xfId="0" applyFont="1" applyBorder="1" applyAlignment="1">
      <alignment horizontal="distributed"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41" xfId="0" applyFont="1" applyBorder="1" applyAlignment="1">
      <alignment horizontal="center" vertical="center"/>
    </xf>
    <xf numFmtId="0" fontId="2" fillId="0" borderId="142" xfId="0" applyFont="1" applyBorder="1" applyAlignment="1">
      <alignment horizontal="center" vertical="center"/>
    </xf>
    <xf numFmtId="0" fontId="2" fillId="0" borderId="138" xfId="0" applyFont="1" applyBorder="1" applyAlignment="1">
      <alignment horizontal="center" vertical="center"/>
    </xf>
    <xf numFmtId="0" fontId="2" fillId="0" borderId="143" xfId="0" applyFont="1" applyBorder="1" applyAlignment="1">
      <alignment horizontal="center" vertical="center"/>
    </xf>
    <xf numFmtId="0" fontId="2" fillId="0" borderId="127" xfId="0" applyFont="1" applyBorder="1" applyAlignment="1">
      <alignment horizontal="center" vertical="center"/>
    </xf>
    <xf numFmtId="0" fontId="2" fillId="0" borderId="128" xfId="0" applyFont="1" applyBorder="1" applyAlignment="1">
      <alignment horizontal="center" vertical="center"/>
    </xf>
    <xf numFmtId="0" fontId="2" fillId="0" borderId="144" xfId="0" applyFont="1" applyBorder="1" applyAlignment="1">
      <alignment horizontal="center" vertical="center"/>
    </xf>
    <xf numFmtId="0" fontId="2" fillId="0" borderId="41" xfId="0" applyFont="1" applyBorder="1" applyAlignment="1">
      <alignment horizontal="left" vertical="center"/>
    </xf>
    <xf numFmtId="0" fontId="2" fillId="0" borderId="0" xfId="0" applyFont="1" applyAlignment="1">
      <alignment horizontal="left" vertical="center"/>
    </xf>
    <xf numFmtId="0" fontId="2" fillId="0" borderId="145" xfId="61" applyFont="1" applyBorder="1" applyAlignment="1">
      <alignment horizontal="center" vertical="center"/>
      <protection/>
    </xf>
    <xf numFmtId="0" fontId="2" fillId="0" borderId="146" xfId="61" applyFont="1" applyBorder="1" applyAlignment="1">
      <alignment horizontal="center" vertical="center"/>
      <protection/>
    </xf>
    <xf numFmtId="0" fontId="2" fillId="0" borderId="147" xfId="61" applyFont="1" applyBorder="1" applyAlignment="1">
      <alignment horizontal="center" vertical="center"/>
      <protection/>
    </xf>
    <xf numFmtId="0" fontId="2" fillId="0" borderId="148" xfId="61" applyFont="1" applyBorder="1" applyAlignment="1">
      <alignment horizontal="center" vertical="center"/>
      <protection/>
    </xf>
    <xf numFmtId="0" fontId="2" fillId="0" borderId="16" xfId="61" applyFont="1" applyBorder="1" applyAlignment="1">
      <alignment horizontal="distributed" vertical="center" wrapText="1"/>
      <protection/>
    </xf>
    <xf numFmtId="0" fontId="2" fillId="0" borderId="117" xfId="61" applyFont="1" applyBorder="1" applyAlignment="1">
      <alignment horizontal="distributed" vertical="center" wrapText="1"/>
      <protection/>
    </xf>
    <xf numFmtId="0" fontId="2" fillId="0" borderId="149" xfId="61" applyFont="1" applyBorder="1" applyAlignment="1">
      <alignment horizontal="distributed" vertical="center" wrapText="1"/>
      <protection/>
    </xf>
    <xf numFmtId="0" fontId="2" fillId="0" borderId="150" xfId="61" applyFont="1" applyBorder="1" applyAlignment="1">
      <alignment horizontal="center" vertical="center"/>
      <protection/>
    </xf>
    <xf numFmtId="0" fontId="2" fillId="0" borderId="151" xfId="61" applyFont="1" applyBorder="1" applyAlignment="1">
      <alignment horizontal="center" vertical="center"/>
      <protection/>
    </xf>
    <xf numFmtId="0" fontId="2" fillId="0" borderId="41" xfId="61" applyFont="1" applyBorder="1" applyAlignment="1">
      <alignment horizontal="left" vertical="center"/>
      <protection/>
    </xf>
    <xf numFmtId="0" fontId="2" fillId="0" borderId="0" xfId="61" applyFont="1" applyAlignment="1">
      <alignment horizontal="left" vertical="center"/>
      <protection/>
    </xf>
    <xf numFmtId="0" fontId="2" fillId="0" borderId="132" xfId="61" applyFont="1" applyBorder="1" applyAlignment="1">
      <alignment horizontal="distributed" vertical="center"/>
      <protection/>
    </xf>
    <xf numFmtId="0" fontId="2" fillId="0" borderId="114" xfId="61" applyFont="1" applyBorder="1" applyAlignment="1">
      <alignment horizontal="distributed" vertical="center"/>
      <protection/>
    </xf>
    <xf numFmtId="0" fontId="2" fillId="0" borderId="152" xfId="61" applyFont="1" applyBorder="1" applyAlignment="1">
      <alignment horizontal="distributed" vertical="center"/>
      <protection/>
    </xf>
    <xf numFmtId="0" fontId="2" fillId="0" borderId="153" xfId="61" applyFont="1" applyBorder="1" applyAlignment="1">
      <alignment horizontal="center" vertical="center"/>
      <protection/>
    </xf>
    <xf numFmtId="0" fontId="2" fillId="0" borderId="145" xfId="61" applyFont="1" applyBorder="1" applyAlignment="1">
      <alignment horizontal="center" vertical="center" wrapText="1"/>
      <protection/>
    </xf>
    <xf numFmtId="0" fontId="2" fillId="0" borderId="154" xfId="61" applyFont="1" applyBorder="1" applyAlignment="1">
      <alignment horizontal="left" vertical="center"/>
      <protection/>
    </xf>
    <xf numFmtId="0" fontId="2" fillId="0" borderId="153" xfId="61" applyFont="1" applyBorder="1" applyAlignment="1">
      <alignment horizontal="center" vertical="center" wrapText="1"/>
      <protection/>
    </xf>
    <xf numFmtId="0" fontId="2" fillId="0" borderId="155" xfId="61" applyFont="1" applyBorder="1" applyAlignment="1">
      <alignment horizontal="center" vertical="center"/>
      <protection/>
    </xf>
    <xf numFmtId="0" fontId="2" fillId="0" borderId="156" xfId="61" applyFont="1" applyBorder="1" applyAlignment="1">
      <alignment horizontal="center" vertical="center"/>
      <protection/>
    </xf>
    <xf numFmtId="0" fontId="2" fillId="0" borderId="157" xfId="61" applyFont="1" applyBorder="1" applyAlignment="1">
      <alignment horizontal="distributed" vertical="center" wrapText="1"/>
      <protection/>
    </xf>
    <xf numFmtId="0" fontId="2" fillId="0" borderId="158" xfId="61" applyFont="1" applyBorder="1" applyAlignment="1">
      <alignment horizontal="distributed" vertical="center"/>
      <protection/>
    </xf>
    <xf numFmtId="0" fontId="2" fillId="0" borderId="159" xfId="61" applyFont="1" applyBorder="1" applyAlignment="1">
      <alignment horizontal="distributed" vertical="center" wrapText="1"/>
      <protection/>
    </xf>
    <xf numFmtId="0" fontId="2" fillId="0" borderId="160" xfId="61" applyFont="1" applyBorder="1" applyAlignment="1">
      <alignment horizontal="distributed" vertical="center"/>
      <protection/>
    </xf>
    <xf numFmtId="0" fontId="2" fillId="0" borderId="161" xfId="61" applyFont="1" applyBorder="1" applyAlignment="1">
      <alignment horizontal="distributed" vertical="center" wrapText="1"/>
      <protection/>
    </xf>
    <xf numFmtId="0" fontId="2" fillId="0" borderId="162" xfId="61" applyFont="1" applyBorder="1" applyAlignment="1">
      <alignment horizontal="distributed" vertical="center" wrapText="1"/>
      <protection/>
    </xf>
    <xf numFmtId="0" fontId="2" fillId="0" borderId="56"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workbookViewId="0" topLeftCell="A1">
      <selection activeCell="A1" sqref="A1:K1"/>
    </sheetView>
  </sheetViews>
  <sheetFormatPr defaultColWidth="5.875" defaultRowHeight="13.5"/>
  <cols>
    <col min="1" max="1" width="11.5039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3.125" style="1" customWidth="1"/>
    <col min="9" max="9" width="3.00390625" style="1" customWidth="1"/>
    <col min="10" max="10" width="6.75390625" style="1" customWidth="1"/>
    <col min="11" max="11" width="13.625" style="1" customWidth="1"/>
    <col min="12" max="16384" width="5.875" style="1" customWidth="1"/>
  </cols>
  <sheetData>
    <row r="1" spans="1:11" ht="15">
      <c r="A1" s="220" t="s">
        <v>0</v>
      </c>
      <c r="B1" s="220"/>
      <c r="C1" s="220"/>
      <c r="D1" s="220"/>
      <c r="E1" s="220"/>
      <c r="F1" s="220"/>
      <c r="G1" s="220"/>
      <c r="H1" s="220"/>
      <c r="I1" s="220"/>
      <c r="J1" s="220"/>
      <c r="K1" s="220"/>
    </row>
    <row r="2" spans="1:11" ht="15">
      <c r="A2" s="58"/>
      <c r="B2" s="58"/>
      <c r="C2" s="58"/>
      <c r="D2" s="58"/>
      <c r="E2" s="58"/>
      <c r="F2" s="58"/>
      <c r="G2" s="58"/>
      <c r="H2" s="58"/>
      <c r="I2" s="58"/>
      <c r="J2" s="58"/>
      <c r="K2" s="58"/>
    </row>
    <row r="3" spans="1:11" ht="12" thickBot="1">
      <c r="A3" s="208" t="s">
        <v>155</v>
      </c>
      <c r="B3" s="208"/>
      <c r="C3" s="208"/>
      <c r="D3" s="208"/>
      <c r="E3" s="208"/>
      <c r="F3" s="208"/>
      <c r="G3" s="208"/>
      <c r="H3" s="208"/>
      <c r="I3" s="208"/>
      <c r="J3" s="208"/>
      <c r="K3" s="208"/>
    </row>
    <row r="4" spans="1:11" ht="24" customHeight="1">
      <c r="A4" s="214" t="s">
        <v>1</v>
      </c>
      <c r="B4" s="215"/>
      <c r="C4" s="211" t="s">
        <v>156</v>
      </c>
      <c r="D4" s="212"/>
      <c r="E4" s="213"/>
      <c r="F4" s="211" t="s">
        <v>157</v>
      </c>
      <c r="G4" s="212"/>
      <c r="H4" s="213"/>
      <c r="I4" s="211" t="s">
        <v>158</v>
      </c>
      <c r="J4" s="212"/>
      <c r="K4" s="227"/>
    </row>
    <row r="5" spans="1:11" ht="24" customHeight="1">
      <c r="A5" s="216"/>
      <c r="B5" s="217"/>
      <c r="C5" s="209" t="s">
        <v>2</v>
      </c>
      <c r="D5" s="210"/>
      <c r="E5" s="6" t="s">
        <v>3</v>
      </c>
      <c r="F5" s="209" t="s">
        <v>2</v>
      </c>
      <c r="G5" s="210"/>
      <c r="H5" s="6" t="s">
        <v>3</v>
      </c>
      <c r="I5" s="209" t="s">
        <v>2</v>
      </c>
      <c r="J5" s="210"/>
      <c r="K5" s="15" t="s">
        <v>3</v>
      </c>
    </row>
    <row r="6" spans="1:11" ht="12" customHeight="1">
      <c r="A6" s="44"/>
      <c r="B6" s="47"/>
      <c r="C6" s="45"/>
      <c r="D6" s="37" t="s">
        <v>24</v>
      </c>
      <c r="E6" s="36" t="s">
        <v>23</v>
      </c>
      <c r="F6" s="45"/>
      <c r="G6" s="37" t="s">
        <v>24</v>
      </c>
      <c r="H6" s="36" t="s">
        <v>23</v>
      </c>
      <c r="I6" s="45"/>
      <c r="J6" s="37" t="s">
        <v>24</v>
      </c>
      <c r="K6" s="46" t="s">
        <v>23</v>
      </c>
    </row>
    <row r="7" spans="1:11" ht="30" customHeight="1">
      <c r="A7" s="205" t="s">
        <v>159</v>
      </c>
      <c r="B7" s="41" t="s">
        <v>160</v>
      </c>
      <c r="C7" s="16"/>
      <c r="D7" s="106">
        <v>88080</v>
      </c>
      <c r="E7" s="42">
        <v>79285957</v>
      </c>
      <c r="F7" s="19"/>
      <c r="G7" s="106">
        <v>393637</v>
      </c>
      <c r="H7" s="42">
        <v>7277874071</v>
      </c>
      <c r="I7" s="19"/>
      <c r="J7" s="106">
        <v>481717</v>
      </c>
      <c r="K7" s="43">
        <v>7357160028</v>
      </c>
    </row>
    <row r="8" spans="1:11" ht="30" customHeight="1">
      <c r="A8" s="206"/>
      <c r="B8" s="24" t="s">
        <v>161</v>
      </c>
      <c r="C8" s="16"/>
      <c r="D8" s="107">
        <v>146597</v>
      </c>
      <c r="E8" s="108">
        <v>73267583</v>
      </c>
      <c r="F8" s="19"/>
      <c r="G8" s="107">
        <v>153179</v>
      </c>
      <c r="H8" s="108">
        <v>97181214</v>
      </c>
      <c r="I8" s="19"/>
      <c r="J8" s="107">
        <v>299776</v>
      </c>
      <c r="K8" s="109">
        <v>170448797</v>
      </c>
    </row>
    <row r="9" spans="1:11" s="3" customFormat="1" ht="30" customHeight="1">
      <c r="A9" s="206"/>
      <c r="B9" s="25" t="s">
        <v>162</v>
      </c>
      <c r="C9" s="17"/>
      <c r="D9" s="110">
        <v>234677</v>
      </c>
      <c r="E9" s="111">
        <v>152553540</v>
      </c>
      <c r="F9" s="17"/>
      <c r="G9" s="110">
        <v>546816</v>
      </c>
      <c r="H9" s="111">
        <v>7375055285</v>
      </c>
      <c r="I9" s="17"/>
      <c r="J9" s="110">
        <v>781493</v>
      </c>
      <c r="K9" s="112">
        <v>7527608825</v>
      </c>
    </row>
    <row r="10" spans="1:11" ht="30" customHeight="1">
      <c r="A10" s="207"/>
      <c r="B10" s="26" t="s">
        <v>163</v>
      </c>
      <c r="C10" s="16"/>
      <c r="D10" s="113">
        <v>7619</v>
      </c>
      <c r="E10" s="114">
        <v>10145160</v>
      </c>
      <c r="F10" s="16"/>
      <c r="G10" s="113">
        <v>56132</v>
      </c>
      <c r="H10" s="114">
        <v>2235731183</v>
      </c>
      <c r="I10" s="16"/>
      <c r="J10" s="113">
        <v>63751</v>
      </c>
      <c r="K10" s="115">
        <v>2245876344</v>
      </c>
    </row>
    <row r="11" spans="1:11" ht="30" customHeight="1">
      <c r="A11" s="225" t="s">
        <v>164</v>
      </c>
      <c r="B11" s="59" t="s">
        <v>165</v>
      </c>
      <c r="C11" s="9"/>
      <c r="D11" s="116">
        <v>17187</v>
      </c>
      <c r="E11" s="21">
        <v>4803382</v>
      </c>
      <c r="F11" s="38"/>
      <c r="G11" s="117">
        <v>31994</v>
      </c>
      <c r="H11" s="21">
        <v>33410606</v>
      </c>
      <c r="I11" s="38"/>
      <c r="J11" s="117">
        <v>49181</v>
      </c>
      <c r="K11" s="22">
        <v>38213988</v>
      </c>
    </row>
    <row r="12" spans="1:11" ht="30" customHeight="1">
      <c r="A12" s="226"/>
      <c r="B12" s="60" t="s">
        <v>166</v>
      </c>
      <c r="C12" s="39"/>
      <c r="D12" s="107">
        <v>3612</v>
      </c>
      <c r="E12" s="108">
        <v>1116152</v>
      </c>
      <c r="F12" s="40"/>
      <c r="G12" s="118">
        <v>6605</v>
      </c>
      <c r="H12" s="108">
        <v>18790538</v>
      </c>
      <c r="I12" s="40"/>
      <c r="J12" s="118">
        <v>10217</v>
      </c>
      <c r="K12" s="109">
        <v>19906690</v>
      </c>
    </row>
    <row r="13" spans="1:11" s="3" customFormat="1" ht="30" customHeight="1">
      <c r="A13" s="221" t="s">
        <v>6</v>
      </c>
      <c r="B13" s="222"/>
      <c r="C13" s="27" t="s">
        <v>14</v>
      </c>
      <c r="D13" s="119">
        <v>252038</v>
      </c>
      <c r="E13" s="120">
        <v>146095610</v>
      </c>
      <c r="F13" s="27" t="s">
        <v>14</v>
      </c>
      <c r="G13" s="119">
        <v>609110</v>
      </c>
      <c r="H13" s="120">
        <v>5153944169</v>
      </c>
      <c r="I13" s="27" t="s">
        <v>14</v>
      </c>
      <c r="J13" s="119">
        <v>861148</v>
      </c>
      <c r="K13" s="121">
        <v>5300039779</v>
      </c>
    </row>
    <row r="14" spans="1:11" ht="30" customHeight="1" thickBot="1">
      <c r="A14" s="223" t="s">
        <v>7</v>
      </c>
      <c r="B14" s="224"/>
      <c r="C14" s="18"/>
      <c r="D14" s="122">
        <v>18553</v>
      </c>
      <c r="E14" s="123">
        <v>846592</v>
      </c>
      <c r="F14" s="20"/>
      <c r="G14" s="122">
        <v>26467</v>
      </c>
      <c r="H14" s="123">
        <v>8725147</v>
      </c>
      <c r="I14" s="20"/>
      <c r="J14" s="122">
        <v>45020</v>
      </c>
      <c r="K14" s="124">
        <v>9571739</v>
      </c>
    </row>
    <row r="15" spans="1:11" s="4" customFormat="1" ht="37.5" customHeight="1">
      <c r="A15" s="57" t="s">
        <v>153</v>
      </c>
      <c r="B15" s="218" t="s">
        <v>183</v>
      </c>
      <c r="C15" s="218"/>
      <c r="D15" s="218"/>
      <c r="E15" s="218"/>
      <c r="F15" s="218"/>
      <c r="G15" s="218"/>
      <c r="H15" s="218"/>
      <c r="I15" s="218"/>
      <c r="J15" s="218"/>
      <c r="K15" s="218"/>
    </row>
    <row r="16" spans="2:11" ht="45" customHeight="1">
      <c r="B16" s="219" t="s">
        <v>184</v>
      </c>
      <c r="C16" s="219"/>
      <c r="D16" s="219"/>
      <c r="E16" s="219"/>
      <c r="F16" s="219"/>
      <c r="G16" s="219"/>
      <c r="H16" s="219"/>
      <c r="I16" s="219"/>
      <c r="J16" s="219"/>
      <c r="K16" s="219"/>
    </row>
    <row r="17" spans="1:2" ht="14.25" customHeight="1">
      <c r="A17" s="1" t="s">
        <v>181</v>
      </c>
      <c r="B17" s="1" t="s">
        <v>154</v>
      </c>
    </row>
    <row r="18" spans="1:2" ht="11.25">
      <c r="A18" s="63" t="s">
        <v>182</v>
      </c>
      <c r="B18" s="1" t="s">
        <v>190</v>
      </c>
    </row>
  </sheetData>
  <sheetProtection/>
  <mergeCells count="15">
    <mergeCell ref="B15:K15"/>
    <mergeCell ref="B16:K16"/>
    <mergeCell ref="A1:K1"/>
    <mergeCell ref="A13:B13"/>
    <mergeCell ref="A14:B14"/>
    <mergeCell ref="A11:A12"/>
    <mergeCell ref="I4:K4"/>
    <mergeCell ref="A7:A10"/>
    <mergeCell ref="A3:K3"/>
    <mergeCell ref="I5:J5"/>
    <mergeCell ref="C4:E4"/>
    <mergeCell ref="F4:H4"/>
    <mergeCell ref="C5:D5"/>
    <mergeCell ref="F5:G5"/>
    <mergeCell ref="A4:B5"/>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3" r:id="rId1"/>
  <headerFooter alignWithMargins="0">
    <oddFooter>&amp;R東京国税局
消費税
(H28)</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workbookViewId="0" topLeftCell="A1">
      <selection activeCell="A1" sqref="A1"/>
    </sheetView>
  </sheetViews>
  <sheetFormatPr defaultColWidth="9.00390625" defaultRowHeight="13.5"/>
  <cols>
    <col min="1" max="1" width="10.625" style="62" customWidth="1"/>
    <col min="2" max="2" width="15.625" style="62" customWidth="1"/>
    <col min="3" max="3" width="8.625" style="62" customWidth="1"/>
    <col min="4" max="4" width="10.625" style="62" customWidth="1"/>
    <col min="5" max="5" width="8.625" style="62" customWidth="1"/>
    <col min="6" max="6" width="12.875" style="62" bestFit="1" customWidth="1"/>
    <col min="7" max="7" width="8.625" style="62" customWidth="1"/>
    <col min="8" max="8" width="12.875" style="62" bestFit="1" customWidth="1"/>
    <col min="9" max="16384" width="9.00390625" style="62" customWidth="1"/>
  </cols>
  <sheetData>
    <row r="1" s="1" customFormat="1" ht="12" thickBot="1">
      <c r="A1" s="1" t="s">
        <v>25</v>
      </c>
    </row>
    <row r="2" spans="1:8" s="1" customFormat="1" ht="15" customHeight="1">
      <c r="A2" s="214" t="s">
        <v>1</v>
      </c>
      <c r="B2" s="215"/>
      <c r="C2" s="228" t="s">
        <v>15</v>
      </c>
      <c r="D2" s="228"/>
      <c r="E2" s="228" t="s">
        <v>18</v>
      </c>
      <c r="F2" s="228"/>
      <c r="G2" s="229" t="s">
        <v>19</v>
      </c>
      <c r="H2" s="230"/>
    </row>
    <row r="3" spans="1:8" s="1" customFormat="1" ht="15" customHeight="1">
      <c r="A3" s="216"/>
      <c r="B3" s="217"/>
      <c r="C3" s="9" t="s">
        <v>20</v>
      </c>
      <c r="D3" s="6" t="s">
        <v>21</v>
      </c>
      <c r="E3" s="9" t="s">
        <v>20</v>
      </c>
      <c r="F3" s="7" t="s">
        <v>21</v>
      </c>
      <c r="G3" s="9" t="s">
        <v>20</v>
      </c>
      <c r="H3" s="8" t="s">
        <v>21</v>
      </c>
    </row>
    <row r="4" spans="1:8" s="10" customFormat="1" ht="15" customHeight="1">
      <c r="A4" s="49"/>
      <c r="B4" s="6"/>
      <c r="C4" s="50" t="s">
        <v>4</v>
      </c>
      <c r="D4" s="51" t="s">
        <v>5</v>
      </c>
      <c r="E4" s="50" t="s">
        <v>4</v>
      </c>
      <c r="F4" s="51" t="s">
        <v>5</v>
      </c>
      <c r="G4" s="50" t="s">
        <v>4</v>
      </c>
      <c r="H4" s="52" t="s">
        <v>5</v>
      </c>
    </row>
    <row r="5" spans="1:8" s="61" customFormat="1" ht="30" customHeight="1">
      <c r="A5" s="233" t="s">
        <v>151</v>
      </c>
      <c r="B5" s="41" t="s">
        <v>12</v>
      </c>
      <c r="C5" s="48">
        <v>235575</v>
      </c>
      <c r="D5" s="42">
        <v>94392719</v>
      </c>
      <c r="E5" s="48">
        <v>538562</v>
      </c>
      <c r="F5" s="42">
        <v>4196439370</v>
      </c>
      <c r="G5" s="48">
        <v>774137</v>
      </c>
      <c r="H5" s="43">
        <v>4290832089</v>
      </c>
    </row>
    <row r="6" spans="1:8" s="61" customFormat="1" ht="30" customHeight="1">
      <c r="A6" s="234"/>
      <c r="B6" s="26" t="s">
        <v>13</v>
      </c>
      <c r="C6" s="29">
        <v>5557</v>
      </c>
      <c r="D6" s="30">
        <v>4342149</v>
      </c>
      <c r="E6" s="29">
        <v>44769</v>
      </c>
      <c r="F6" s="30">
        <v>1128974442</v>
      </c>
      <c r="G6" s="29">
        <v>50326</v>
      </c>
      <c r="H6" s="31">
        <v>1133316591</v>
      </c>
    </row>
    <row r="7" spans="1:8" s="61" customFormat="1" ht="30" customHeight="1">
      <c r="A7" s="235" t="s">
        <v>152</v>
      </c>
      <c r="B7" s="23" t="s">
        <v>12</v>
      </c>
      <c r="C7" s="28">
        <v>230025</v>
      </c>
      <c r="D7" s="21">
        <v>94061605</v>
      </c>
      <c r="E7" s="28">
        <v>536099</v>
      </c>
      <c r="F7" s="21">
        <v>4275817752</v>
      </c>
      <c r="G7" s="28">
        <v>766124</v>
      </c>
      <c r="H7" s="22">
        <v>4369879357</v>
      </c>
    </row>
    <row r="8" spans="1:8" s="61" customFormat="1" ht="30" customHeight="1">
      <c r="A8" s="234"/>
      <c r="B8" s="26" t="s">
        <v>13</v>
      </c>
      <c r="C8" s="29">
        <v>5893</v>
      </c>
      <c r="D8" s="30">
        <v>5439994</v>
      </c>
      <c r="E8" s="29">
        <v>46112</v>
      </c>
      <c r="F8" s="30">
        <v>1229022101</v>
      </c>
      <c r="G8" s="29">
        <v>52005</v>
      </c>
      <c r="H8" s="31">
        <v>1234462095</v>
      </c>
    </row>
    <row r="9" spans="1:8" s="61" customFormat="1" ht="30" customHeight="1">
      <c r="A9" s="235" t="s">
        <v>177</v>
      </c>
      <c r="B9" s="23" t="s">
        <v>12</v>
      </c>
      <c r="C9" s="28">
        <v>230373</v>
      </c>
      <c r="D9" s="21">
        <v>131569900</v>
      </c>
      <c r="E9" s="28">
        <v>538063</v>
      </c>
      <c r="F9" s="21">
        <v>6259806616</v>
      </c>
      <c r="G9" s="28">
        <v>768436</v>
      </c>
      <c r="H9" s="22">
        <v>6391376516</v>
      </c>
    </row>
    <row r="10" spans="1:8" s="61" customFormat="1" ht="30" customHeight="1">
      <c r="A10" s="234"/>
      <c r="B10" s="26" t="s">
        <v>13</v>
      </c>
      <c r="C10" s="29">
        <v>6715</v>
      </c>
      <c r="D10" s="30">
        <v>8743154</v>
      </c>
      <c r="E10" s="29">
        <v>50053</v>
      </c>
      <c r="F10" s="30">
        <v>2160825496</v>
      </c>
      <c r="G10" s="29">
        <v>56768</v>
      </c>
      <c r="H10" s="31">
        <v>2169568650</v>
      </c>
    </row>
    <row r="11" spans="1:8" s="61" customFormat="1" ht="30" customHeight="1">
      <c r="A11" s="235" t="s">
        <v>178</v>
      </c>
      <c r="B11" s="23" t="s">
        <v>12</v>
      </c>
      <c r="C11" s="28">
        <v>231730</v>
      </c>
      <c r="D11" s="21">
        <v>147319992</v>
      </c>
      <c r="E11" s="28">
        <v>541584</v>
      </c>
      <c r="F11" s="21">
        <v>6919877094</v>
      </c>
      <c r="G11" s="28">
        <v>773314</v>
      </c>
      <c r="H11" s="22">
        <v>7067197087</v>
      </c>
    </row>
    <row r="12" spans="1:8" s="61" customFormat="1" ht="30" customHeight="1">
      <c r="A12" s="234"/>
      <c r="B12" s="26" t="s">
        <v>13</v>
      </c>
      <c r="C12" s="29">
        <v>7304</v>
      </c>
      <c r="D12" s="30">
        <v>11117846</v>
      </c>
      <c r="E12" s="29">
        <v>53509</v>
      </c>
      <c r="F12" s="30">
        <v>2134273947</v>
      </c>
      <c r="G12" s="29">
        <v>60813</v>
      </c>
      <c r="H12" s="31">
        <v>2145391793</v>
      </c>
    </row>
    <row r="13" spans="1:8" s="1" customFormat="1" ht="30" customHeight="1">
      <c r="A13" s="231" t="s">
        <v>185</v>
      </c>
      <c r="B13" s="23" t="s">
        <v>12</v>
      </c>
      <c r="C13" s="28">
        <v>234677</v>
      </c>
      <c r="D13" s="21">
        <v>152553540</v>
      </c>
      <c r="E13" s="28">
        <v>546816</v>
      </c>
      <c r="F13" s="21">
        <v>7375055285</v>
      </c>
      <c r="G13" s="28">
        <v>781493</v>
      </c>
      <c r="H13" s="22">
        <v>7527608825</v>
      </c>
    </row>
    <row r="14" spans="1:8" s="1" customFormat="1" ht="30" customHeight="1" thickBot="1">
      <c r="A14" s="232"/>
      <c r="B14" s="32" t="s">
        <v>13</v>
      </c>
      <c r="C14" s="33">
        <v>7619</v>
      </c>
      <c r="D14" s="34">
        <v>10145160</v>
      </c>
      <c r="E14" s="33">
        <v>56132</v>
      </c>
      <c r="F14" s="34">
        <v>2235731183</v>
      </c>
      <c r="G14" s="33">
        <v>63751</v>
      </c>
      <c r="H14" s="35">
        <v>2245876344</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Footer>&amp;R東京国税局
消費税
(H28)</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workbookViewId="0" topLeftCell="A1">
      <selection activeCell="A1" sqref="A1"/>
    </sheetView>
  </sheetViews>
  <sheetFormatPr defaultColWidth="9.00390625" defaultRowHeight="13.5"/>
  <cols>
    <col min="1" max="2" width="18.625" style="62" customWidth="1"/>
    <col min="3" max="3" width="23.625" style="62" customWidth="1"/>
    <col min="4" max="4" width="18.625" style="62" customWidth="1"/>
    <col min="5" max="16384" width="9.00390625" style="62" customWidth="1"/>
  </cols>
  <sheetData>
    <row r="1" s="1" customFormat="1" ht="20.25" customHeight="1" thickBot="1">
      <c r="A1" s="1" t="s">
        <v>22</v>
      </c>
    </row>
    <row r="2" spans="1:4" s="4" customFormat="1" ht="19.5" customHeight="1">
      <c r="A2" s="11" t="s">
        <v>8</v>
      </c>
      <c r="B2" s="12" t="s">
        <v>9</v>
      </c>
      <c r="C2" s="14" t="s">
        <v>10</v>
      </c>
      <c r="D2" s="13" t="s">
        <v>17</v>
      </c>
    </row>
    <row r="3" spans="1:4" s="10" customFormat="1" ht="15" customHeight="1">
      <c r="A3" s="53" t="s">
        <v>4</v>
      </c>
      <c r="B3" s="54" t="s">
        <v>4</v>
      </c>
      <c r="C3" s="55" t="s">
        <v>4</v>
      </c>
      <c r="D3" s="56" t="s">
        <v>4</v>
      </c>
    </row>
    <row r="4" spans="1:9" s="4" customFormat="1" ht="30" customHeight="1" thickBot="1">
      <c r="A4" s="194">
        <v>860016</v>
      </c>
      <c r="B4" s="195">
        <v>42231</v>
      </c>
      <c r="C4" s="196">
        <v>6929</v>
      </c>
      <c r="D4" s="197">
        <v>909176</v>
      </c>
      <c r="E4" s="5"/>
      <c r="G4" s="5"/>
      <c r="I4" s="5"/>
    </row>
    <row r="5" spans="1:4" s="4" customFormat="1" ht="15" customHeight="1">
      <c r="A5" s="236" t="s">
        <v>186</v>
      </c>
      <c r="B5" s="236"/>
      <c r="C5" s="236"/>
      <c r="D5" s="236"/>
    </row>
    <row r="6" spans="1:4" s="4" customFormat="1" ht="15" customHeight="1">
      <c r="A6" s="237" t="s">
        <v>11</v>
      </c>
      <c r="B6" s="237"/>
      <c r="C6" s="237"/>
      <c r="D6" s="237"/>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r:id="rId1"/>
  <headerFooter alignWithMargins="0">
    <oddFooter>&amp;R東京国税局
消費税
(H28)</oddFooter>
  </headerFooter>
</worksheet>
</file>

<file path=xl/worksheets/sheet4.xml><?xml version="1.0" encoding="utf-8"?>
<worksheet xmlns="http://schemas.openxmlformats.org/spreadsheetml/2006/main" xmlns:r="http://schemas.openxmlformats.org/officeDocument/2006/relationships">
  <dimension ref="A1:O131"/>
  <sheetViews>
    <sheetView showGridLines="0" tabSelected="1" zoomScaleSheetLayoutView="115" workbookViewId="0" topLeftCell="A1">
      <selection activeCell="E82" sqref="E82"/>
    </sheetView>
  </sheetViews>
  <sheetFormatPr defaultColWidth="9.00390625" defaultRowHeight="13.5"/>
  <cols>
    <col min="1" max="1" width="11.375" style="125" customWidth="1"/>
    <col min="2" max="2" width="10.625" style="125" customWidth="1"/>
    <col min="3" max="3" width="12.625" style="125" customWidth="1"/>
    <col min="4" max="4" width="10.625" style="125" customWidth="1"/>
    <col min="5" max="5" width="12.625" style="125" customWidth="1"/>
    <col min="6" max="6" width="10.625" style="125" customWidth="1"/>
    <col min="7" max="7" width="12.625" style="125" customWidth="1"/>
    <col min="8" max="8" width="10.625" style="125" customWidth="1"/>
    <col min="9" max="9" width="12.625" style="125" customWidth="1"/>
    <col min="10" max="10" width="10.625" style="125" customWidth="1"/>
    <col min="11" max="11" width="12.625" style="125" customWidth="1"/>
    <col min="12" max="12" width="10.625" style="125" customWidth="1"/>
    <col min="13" max="13" width="12.625" style="125" customWidth="1"/>
    <col min="14" max="14" width="11.375" style="125" customWidth="1"/>
    <col min="15" max="16384" width="9.00390625" style="125" customWidth="1"/>
  </cols>
  <sheetData>
    <row r="1" spans="1:14" ht="13.5">
      <c r="A1" s="64" t="s">
        <v>188</v>
      </c>
      <c r="B1" s="64"/>
      <c r="C1" s="64"/>
      <c r="D1" s="64"/>
      <c r="E1" s="64"/>
      <c r="F1" s="64"/>
      <c r="G1" s="64"/>
      <c r="H1" s="65"/>
      <c r="I1" s="65"/>
      <c r="J1" s="65"/>
      <c r="K1" s="65"/>
      <c r="L1" s="65"/>
      <c r="M1" s="65"/>
      <c r="N1" s="65"/>
    </row>
    <row r="2" spans="1:14" ht="14.25" thickBot="1">
      <c r="A2" s="248" t="s">
        <v>136</v>
      </c>
      <c r="B2" s="248"/>
      <c r="C2" s="248"/>
      <c r="D2" s="248"/>
      <c r="E2" s="248"/>
      <c r="F2" s="248"/>
      <c r="G2" s="248"/>
      <c r="H2" s="65"/>
      <c r="I2" s="65"/>
      <c r="J2" s="65"/>
      <c r="K2" s="65"/>
      <c r="L2" s="65"/>
      <c r="M2" s="65"/>
      <c r="N2" s="65"/>
    </row>
    <row r="3" spans="1:14" ht="19.5" customHeight="1">
      <c r="A3" s="249" t="s">
        <v>27</v>
      </c>
      <c r="B3" s="252" t="s">
        <v>28</v>
      </c>
      <c r="C3" s="252"/>
      <c r="D3" s="252"/>
      <c r="E3" s="252"/>
      <c r="F3" s="252"/>
      <c r="G3" s="252"/>
      <c r="H3" s="238" t="s">
        <v>13</v>
      </c>
      <c r="I3" s="239"/>
      <c r="J3" s="253" t="s">
        <v>29</v>
      </c>
      <c r="K3" s="239"/>
      <c r="L3" s="238" t="s">
        <v>30</v>
      </c>
      <c r="M3" s="239"/>
      <c r="N3" s="242" t="s">
        <v>137</v>
      </c>
    </row>
    <row r="4" spans="1:14" ht="17.25" customHeight="1">
      <c r="A4" s="250"/>
      <c r="B4" s="245" t="s">
        <v>16</v>
      </c>
      <c r="C4" s="245"/>
      <c r="D4" s="240" t="s">
        <v>32</v>
      </c>
      <c r="E4" s="246"/>
      <c r="F4" s="240" t="s">
        <v>33</v>
      </c>
      <c r="G4" s="246"/>
      <c r="H4" s="240"/>
      <c r="I4" s="241"/>
      <c r="J4" s="240"/>
      <c r="K4" s="241"/>
      <c r="L4" s="240"/>
      <c r="M4" s="241"/>
      <c r="N4" s="243"/>
    </row>
    <row r="5" spans="1:14" s="154" customFormat="1" ht="28.5" customHeight="1">
      <c r="A5" s="251"/>
      <c r="B5" s="67" t="s">
        <v>36</v>
      </c>
      <c r="C5" s="68" t="s">
        <v>138</v>
      </c>
      <c r="D5" s="67" t="s">
        <v>36</v>
      </c>
      <c r="E5" s="68" t="s">
        <v>138</v>
      </c>
      <c r="F5" s="67" t="s">
        <v>36</v>
      </c>
      <c r="G5" s="68" t="s">
        <v>139</v>
      </c>
      <c r="H5" s="67" t="s">
        <v>36</v>
      </c>
      <c r="I5" s="87" t="s">
        <v>140</v>
      </c>
      <c r="J5" s="67" t="s">
        <v>36</v>
      </c>
      <c r="K5" s="87" t="s">
        <v>141</v>
      </c>
      <c r="L5" s="67" t="s">
        <v>36</v>
      </c>
      <c r="M5" s="88" t="s">
        <v>142</v>
      </c>
      <c r="N5" s="244"/>
    </row>
    <row r="6" spans="1:14" s="92" customFormat="1" ht="10.5">
      <c r="A6" s="101"/>
      <c r="B6" s="102" t="s">
        <v>4</v>
      </c>
      <c r="C6" s="72" t="s">
        <v>5</v>
      </c>
      <c r="D6" s="102" t="s">
        <v>4</v>
      </c>
      <c r="E6" s="72" t="s">
        <v>5</v>
      </c>
      <c r="F6" s="102" t="s">
        <v>4</v>
      </c>
      <c r="G6" s="72" t="s">
        <v>5</v>
      </c>
      <c r="H6" s="102" t="s">
        <v>4</v>
      </c>
      <c r="I6" s="89" t="s">
        <v>5</v>
      </c>
      <c r="J6" s="102" t="s">
        <v>4</v>
      </c>
      <c r="K6" s="89" t="s">
        <v>5</v>
      </c>
      <c r="L6" s="102" t="s">
        <v>187</v>
      </c>
      <c r="M6" s="89" t="s">
        <v>5</v>
      </c>
      <c r="N6" s="96"/>
    </row>
    <row r="7" spans="1:14" s="93" customFormat="1" ht="15.75" customHeight="1">
      <c r="A7" s="98" t="s">
        <v>39</v>
      </c>
      <c r="B7" s="126">
        <f>_xlfn.COMPOUNDVALUE(1)</f>
        <v>1029</v>
      </c>
      <c r="C7" s="127">
        <v>734514</v>
      </c>
      <c r="D7" s="126">
        <f>_xlfn.COMPOUNDVALUE(2)</f>
        <v>1520</v>
      </c>
      <c r="E7" s="127">
        <v>765627</v>
      </c>
      <c r="F7" s="126">
        <f>_xlfn.COMPOUNDVALUE(3)</f>
        <v>2549</v>
      </c>
      <c r="G7" s="127">
        <v>1500140</v>
      </c>
      <c r="H7" s="126">
        <f>_xlfn.COMPOUNDVALUE(4)</f>
        <v>103</v>
      </c>
      <c r="I7" s="128">
        <v>113118</v>
      </c>
      <c r="J7" s="126">
        <v>240</v>
      </c>
      <c r="K7" s="128">
        <v>43707</v>
      </c>
      <c r="L7" s="126">
        <v>2752</v>
      </c>
      <c r="M7" s="128">
        <v>1430729</v>
      </c>
      <c r="N7" s="100" t="s">
        <v>39</v>
      </c>
    </row>
    <row r="8" spans="1:14" s="93" customFormat="1" ht="15.75" customHeight="1">
      <c r="A8" s="76" t="s">
        <v>40</v>
      </c>
      <c r="B8" s="126">
        <f>_xlfn.COMPOUNDVALUE(5)</f>
        <v>1001</v>
      </c>
      <c r="C8" s="127">
        <v>554085</v>
      </c>
      <c r="D8" s="126">
        <f>_xlfn.COMPOUNDVALUE(6)</f>
        <v>1513</v>
      </c>
      <c r="E8" s="127">
        <v>720536</v>
      </c>
      <c r="F8" s="126">
        <f>_xlfn.COMPOUNDVALUE(7)</f>
        <v>2514</v>
      </c>
      <c r="G8" s="127">
        <v>1274621</v>
      </c>
      <c r="H8" s="126">
        <f>_xlfn.COMPOUNDVALUE(8)</f>
        <v>92</v>
      </c>
      <c r="I8" s="128">
        <v>85540</v>
      </c>
      <c r="J8" s="126">
        <v>290</v>
      </c>
      <c r="K8" s="128">
        <v>71749</v>
      </c>
      <c r="L8" s="126">
        <v>2778</v>
      </c>
      <c r="M8" s="128">
        <v>1260830</v>
      </c>
      <c r="N8" s="86" t="s">
        <v>40</v>
      </c>
    </row>
    <row r="9" spans="1:14" s="93" customFormat="1" ht="15.75" customHeight="1">
      <c r="A9" s="76" t="s">
        <v>41</v>
      </c>
      <c r="B9" s="126">
        <f>_xlfn.COMPOUNDVALUE(9)</f>
        <v>1065</v>
      </c>
      <c r="C9" s="127">
        <v>778145</v>
      </c>
      <c r="D9" s="126">
        <f>_xlfn.COMPOUNDVALUE(10)</f>
        <v>1846</v>
      </c>
      <c r="E9" s="127">
        <v>877790</v>
      </c>
      <c r="F9" s="126">
        <f>_xlfn.COMPOUNDVALUE(11)</f>
        <v>2911</v>
      </c>
      <c r="G9" s="127">
        <v>1655935</v>
      </c>
      <c r="H9" s="126">
        <f>_xlfn.COMPOUNDVALUE(12)</f>
        <v>127</v>
      </c>
      <c r="I9" s="128">
        <v>103428</v>
      </c>
      <c r="J9" s="126">
        <v>365</v>
      </c>
      <c r="K9" s="128">
        <v>53589</v>
      </c>
      <c r="L9" s="126">
        <v>3156</v>
      </c>
      <c r="M9" s="128">
        <v>1606096</v>
      </c>
      <c r="N9" s="86" t="s">
        <v>41</v>
      </c>
    </row>
    <row r="10" spans="1:14" s="93" customFormat="1" ht="15.75" customHeight="1">
      <c r="A10" s="76" t="s">
        <v>42</v>
      </c>
      <c r="B10" s="126">
        <f>_xlfn.COMPOUNDVALUE(13)</f>
        <v>836</v>
      </c>
      <c r="C10" s="127">
        <v>780076</v>
      </c>
      <c r="D10" s="126">
        <f>_xlfn.COMPOUNDVALUE(14)</f>
        <v>2431</v>
      </c>
      <c r="E10" s="127">
        <v>946664</v>
      </c>
      <c r="F10" s="126">
        <f>_xlfn.COMPOUNDVALUE(15)</f>
        <v>3267</v>
      </c>
      <c r="G10" s="127">
        <v>1726740</v>
      </c>
      <c r="H10" s="126">
        <f>_xlfn.COMPOUNDVALUE(16)</f>
        <v>56</v>
      </c>
      <c r="I10" s="128">
        <v>36534</v>
      </c>
      <c r="J10" s="126">
        <v>217</v>
      </c>
      <c r="K10" s="128">
        <v>34498</v>
      </c>
      <c r="L10" s="126">
        <v>3393</v>
      </c>
      <c r="M10" s="128">
        <v>1724704</v>
      </c>
      <c r="N10" s="86" t="s">
        <v>42</v>
      </c>
    </row>
    <row r="11" spans="1:14" s="93" customFormat="1" ht="15.75" customHeight="1">
      <c r="A11" s="76" t="s">
        <v>43</v>
      </c>
      <c r="B11" s="126">
        <f>_xlfn.COMPOUNDVALUE(17)</f>
        <v>1402</v>
      </c>
      <c r="C11" s="127">
        <v>956193</v>
      </c>
      <c r="D11" s="126">
        <f>_xlfn.COMPOUNDVALUE(18)</f>
        <v>2301</v>
      </c>
      <c r="E11" s="127">
        <v>1146029</v>
      </c>
      <c r="F11" s="126">
        <f>_xlfn.COMPOUNDVALUE(19)</f>
        <v>3703</v>
      </c>
      <c r="G11" s="127">
        <v>2102222</v>
      </c>
      <c r="H11" s="126">
        <f>_xlfn.COMPOUNDVALUE(20)</f>
        <v>158</v>
      </c>
      <c r="I11" s="128">
        <v>142622</v>
      </c>
      <c r="J11" s="126">
        <v>297</v>
      </c>
      <c r="K11" s="128">
        <v>65047</v>
      </c>
      <c r="L11" s="126">
        <v>4008</v>
      </c>
      <c r="M11" s="128">
        <v>2024647</v>
      </c>
      <c r="N11" s="86" t="s">
        <v>43</v>
      </c>
    </row>
    <row r="12" spans="1:14" s="93" customFormat="1" ht="15.75" customHeight="1">
      <c r="A12" s="76"/>
      <c r="B12" s="126"/>
      <c r="C12" s="127"/>
      <c r="D12" s="126"/>
      <c r="E12" s="127"/>
      <c r="F12" s="126"/>
      <c r="G12" s="127"/>
      <c r="H12" s="126"/>
      <c r="I12" s="128"/>
      <c r="J12" s="126"/>
      <c r="K12" s="128"/>
      <c r="L12" s="126"/>
      <c r="M12" s="128"/>
      <c r="N12" s="86" t="s">
        <v>38</v>
      </c>
    </row>
    <row r="13" spans="1:14" s="93" customFormat="1" ht="15.75" customHeight="1">
      <c r="A13" s="76" t="s">
        <v>44</v>
      </c>
      <c r="B13" s="126">
        <f>_xlfn.COMPOUNDVALUE(21)</f>
        <v>1225</v>
      </c>
      <c r="C13" s="127">
        <v>786025</v>
      </c>
      <c r="D13" s="126">
        <f>_xlfn.COMPOUNDVALUE(22)</f>
        <v>1991</v>
      </c>
      <c r="E13" s="127">
        <v>909751</v>
      </c>
      <c r="F13" s="126">
        <f>_xlfn.COMPOUNDVALUE(23)</f>
        <v>3216</v>
      </c>
      <c r="G13" s="127">
        <v>1695776</v>
      </c>
      <c r="H13" s="126">
        <f>_xlfn.COMPOUNDVALUE(24)</f>
        <v>120</v>
      </c>
      <c r="I13" s="128">
        <v>216443</v>
      </c>
      <c r="J13" s="126">
        <v>298</v>
      </c>
      <c r="K13" s="128">
        <v>38452</v>
      </c>
      <c r="L13" s="126">
        <v>3463</v>
      </c>
      <c r="M13" s="128">
        <v>1517785</v>
      </c>
      <c r="N13" s="86" t="s">
        <v>44</v>
      </c>
    </row>
    <row r="14" spans="1:14" s="93" customFormat="1" ht="15.75" customHeight="1">
      <c r="A14" s="76" t="s">
        <v>45</v>
      </c>
      <c r="B14" s="126">
        <f>_xlfn.COMPOUNDVALUE(25)</f>
        <v>573</v>
      </c>
      <c r="C14" s="127">
        <v>334330</v>
      </c>
      <c r="D14" s="126">
        <f>_xlfn.COMPOUNDVALUE(26)</f>
        <v>953</v>
      </c>
      <c r="E14" s="127">
        <v>348215</v>
      </c>
      <c r="F14" s="126">
        <f>_xlfn.COMPOUNDVALUE(27)</f>
        <v>1526</v>
      </c>
      <c r="G14" s="127">
        <v>682545</v>
      </c>
      <c r="H14" s="126">
        <f>_xlfn.COMPOUNDVALUE(28)</f>
        <v>34</v>
      </c>
      <c r="I14" s="128">
        <v>8640</v>
      </c>
      <c r="J14" s="126">
        <v>181</v>
      </c>
      <c r="K14" s="128">
        <v>19957</v>
      </c>
      <c r="L14" s="126">
        <v>1621</v>
      </c>
      <c r="M14" s="128">
        <v>693862</v>
      </c>
      <c r="N14" s="86" t="s">
        <v>45</v>
      </c>
    </row>
    <row r="15" spans="1:14" s="93" customFormat="1" ht="15.75" customHeight="1">
      <c r="A15" s="76" t="s">
        <v>46</v>
      </c>
      <c r="B15" s="126">
        <f>_xlfn.COMPOUNDVALUE(29)</f>
        <v>894</v>
      </c>
      <c r="C15" s="127">
        <v>534107</v>
      </c>
      <c r="D15" s="126">
        <f>_xlfn.COMPOUNDVALUE(30)</f>
        <v>1526</v>
      </c>
      <c r="E15" s="127">
        <v>593137</v>
      </c>
      <c r="F15" s="126">
        <f>_xlfn.COMPOUNDVALUE(31)</f>
        <v>2420</v>
      </c>
      <c r="G15" s="127">
        <v>1127244</v>
      </c>
      <c r="H15" s="126">
        <f>_xlfn.COMPOUNDVALUE(32)</f>
        <v>68</v>
      </c>
      <c r="I15" s="128">
        <v>42641</v>
      </c>
      <c r="J15" s="126">
        <v>284</v>
      </c>
      <c r="K15" s="128">
        <v>38312</v>
      </c>
      <c r="L15" s="126">
        <v>2627</v>
      </c>
      <c r="M15" s="128">
        <v>1122915</v>
      </c>
      <c r="N15" s="86" t="s">
        <v>46</v>
      </c>
    </row>
    <row r="16" spans="1:14" s="93" customFormat="1" ht="15.75" customHeight="1">
      <c r="A16" s="78" t="s">
        <v>47</v>
      </c>
      <c r="B16" s="131">
        <f>_xlfn.COMPOUNDVALUE(33)</f>
        <v>1632</v>
      </c>
      <c r="C16" s="132">
        <v>1173761</v>
      </c>
      <c r="D16" s="131">
        <f>_xlfn.COMPOUNDVALUE(34)</f>
        <v>2824</v>
      </c>
      <c r="E16" s="132">
        <v>1324979</v>
      </c>
      <c r="F16" s="131">
        <f>_xlfn.COMPOUNDVALUE(35)</f>
        <v>4456</v>
      </c>
      <c r="G16" s="132">
        <v>2498740</v>
      </c>
      <c r="H16" s="131">
        <f>_xlfn.COMPOUNDVALUE(36)</f>
        <v>153</v>
      </c>
      <c r="I16" s="133">
        <v>248368</v>
      </c>
      <c r="J16" s="131">
        <v>399</v>
      </c>
      <c r="K16" s="133">
        <v>39894</v>
      </c>
      <c r="L16" s="131">
        <v>4784</v>
      </c>
      <c r="M16" s="133">
        <v>2290265</v>
      </c>
      <c r="N16" s="77" t="s">
        <v>47</v>
      </c>
    </row>
    <row r="17" spans="1:14" s="93" customFormat="1" ht="15.75" customHeight="1">
      <c r="A17" s="78" t="s">
        <v>48</v>
      </c>
      <c r="B17" s="131">
        <f>_xlfn.COMPOUNDVALUE(37)</f>
        <v>547</v>
      </c>
      <c r="C17" s="132">
        <v>432805</v>
      </c>
      <c r="D17" s="131">
        <f>_xlfn.COMPOUNDVALUE(38)</f>
        <v>1092</v>
      </c>
      <c r="E17" s="132">
        <v>402180</v>
      </c>
      <c r="F17" s="131">
        <f>_xlfn.COMPOUNDVALUE(39)</f>
        <v>1639</v>
      </c>
      <c r="G17" s="132">
        <v>834984</v>
      </c>
      <c r="H17" s="131">
        <f>_xlfn.COMPOUNDVALUE(40)</f>
        <v>35</v>
      </c>
      <c r="I17" s="133">
        <v>37296</v>
      </c>
      <c r="J17" s="131">
        <v>127</v>
      </c>
      <c r="K17" s="133">
        <v>22798</v>
      </c>
      <c r="L17" s="131">
        <v>1736</v>
      </c>
      <c r="M17" s="133">
        <v>820486</v>
      </c>
      <c r="N17" s="77" t="s">
        <v>48</v>
      </c>
    </row>
    <row r="18" spans="1:14" s="93" customFormat="1" ht="15.75" customHeight="1">
      <c r="A18" s="78"/>
      <c r="B18" s="131"/>
      <c r="C18" s="132"/>
      <c r="D18" s="131"/>
      <c r="E18" s="132"/>
      <c r="F18" s="131"/>
      <c r="G18" s="132"/>
      <c r="H18" s="131"/>
      <c r="I18" s="133"/>
      <c r="J18" s="131"/>
      <c r="K18" s="133"/>
      <c r="L18" s="131"/>
      <c r="M18" s="133"/>
      <c r="N18" s="77" t="s">
        <v>38</v>
      </c>
    </row>
    <row r="19" spans="1:14" s="93" customFormat="1" ht="15.75" customHeight="1">
      <c r="A19" s="78" t="s">
        <v>49</v>
      </c>
      <c r="B19" s="131">
        <f>_xlfn.COMPOUNDVALUE(41)</f>
        <v>708</v>
      </c>
      <c r="C19" s="132">
        <v>352593</v>
      </c>
      <c r="D19" s="131">
        <f>_xlfn.COMPOUNDVALUE(42)</f>
        <v>1244</v>
      </c>
      <c r="E19" s="132">
        <v>489250</v>
      </c>
      <c r="F19" s="131">
        <f>_xlfn.COMPOUNDVALUE(43)</f>
        <v>1952</v>
      </c>
      <c r="G19" s="132">
        <v>841843</v>
      </c>
      <c r="H19" s="131">
        <f>_xlfn.COMPOUNDVALUE(44)</f>
        <v>61</v>
      </c>
      <c r="I19" s="133">
        <v>66851</v>
      </c>
      <c r="J19" s="131">
        <v>256</v>
      </c>
      <c r="K19" s="133">
        <v>31619</v>
      </c>
      <c r="L19" s="131">
        <v>2114</v>
      </c>
      <c r="M19" s="133">
        <v>806611</v>
      </c>
      <c r="N19" s="77" t="s">
        <v>49</v>
      </c>
    </row>
    <row r="20" spans="1:14" s="93" customFormat="1" ht="15.75" customHeight="1">
      <c r="A20" s="78" t="s">
        <v>50</v>
      </c>
      <c r="B20" s="131">
        <f>_xlfn.COMPOUNDVALUE(45)</f>
        <v>1682</v>
      </c>
      <c r="C20" s="132">
        <v>946544</v>
      </c>
      <c r="D20" s="131">
        <f>_xlfn.COMPOUNDVALUE(46)</f>
        <v>3032</v>
      </c>
      <c r="E20" s="132">
        <v>1253101</v>
      </c>
      <c r="F20" s="131">
        <f>_xlfn.COMPOUNDVALUE(47)</f>
        <v>4714</v>
      </c>
      <c r="G20" s="132">
        <v>2199645</v>
      </c>
      <c r="H20" s="131">
        <f>_xlfn.COMPOUNDVALUE(48)</f>
        <v>168</v>
      </c>
      <c r="I20" s="133">
        <v>146740</v>
      </c>
      <c r="J20" s="131">
        <v>370</v>
      </c>
      <c r="K20" s="133">
        <v>31756</v>
      </c>
      <c r="L20" s="131">
        <v>5041</v>
      </c>
      <c r="M20" s="133">
        <v>2084661</v>
      </c>
      <c r="N20" s="77" t="s">
        <v>50</v>
      </c>
    </row>
    <row r="21" spans="1:14" s="93" customFormat="1" ht="15.75" customHeight="1">
      <c r="A21" s="78" t="s">
        <v>51</v>
      </c>
      <c r="B21" s="131">
        <f>_xlfn.COMPOUNDVALUE(49)</f>
        <v>646</v>
      </c>
      <c r="C21" s="132">
        <v>389286</v>
      </c>
      <c r="D21" s="131">
        <f>_xlfn.COMPOUNDVALUE(50)</f>
        <v>1551</v>
      </c>
      <c r="E21" s="132">
        <v>555321</v>
      </c>
      <c r="F21" s="131">
        <f>_xlfn.COMPOUNDVALUE(51)</f>
        <v>2197</v>
      </c>
      <c r="G21" s="132">
        <v>944607</v>
      </c>
      <c r="H21" s="131">
        <f>_xlfn.COMPOUNDVALUE(52)</f>
        <v>56</v>
      </c>
      <c r="I21" s="133">
        <v>48715</v>
      </c>
      <c r="J21" s="131">
        <v>206</v>
      </c>
      <c r="K21" s="133">
        <v>40968</v>
      </c>
      <c r="L21" s="131">
        <v>2373</v>
      </c>
      <c r="M21" s="133">
        <v>936860</v>
      </c>
      <c r="N21" s="77" t="s">
        <v>51</v>
      </c>
    </row>
    <row r="22" spans="1:14" s="93" customFormat="1" ht="15.75" customHeight="1">
      <c r="A22" s="78" t="s">
        <v>167</v>
      </c>
      <c r="B22" s="131">
        <f>_xlfn.COMPOUNDVALUE(53)</f>
        <v>1582</v>
      </c>
      <c r="C22" s="132">
        <v>1327453</v>
      </c>
      <c r="D22" s="131">
        <f>_xlfn.COMPOUNDVALUE(54)</f>
        <v>2799</v>
      </c>
      <c r="E22" s="132">
        <v>1327354</v>
      </c>
      <c r="F22" s="131">
        <f>_xlfn.COMPOUNDVALUE(55)</f>
        <v>4381</v>
      </c>
      <c r="G22" s="132">
        <v>2654807</v>
      </c>
      <c r="H22" s="131">
        <f>_xlfn.COMPOUNDVALUE(56)</f>
        <v>129</v>
      </c>
      <c r="I22" s="133">
        <v>272180</v>
      </c>
      <c r="J22" s="131">
        <v>375</v>
      </c>
      <c r="K22" s="133">
        <v>53507</v>
      </c>
      <c r="L22" s="131">
        <v>4658</v>
      </c>
      <c r="M22" s="133">
        <v>2436134</v>
      </c>
      <c r="N22" s="77" t="s">
        <v>52</v>
      </c>
    </row>
    <row r="23" spans="1:14" s="93" customFormat="1" ht="15.75" customHeight="1">
      <c r="A23" s="161" t="s">
        <v>53</v>
      </c>
      <c r="B23" s="162">
        <v>14822</v>
      </c>
      <c r="C23" s="163">
        <v>10079915</v>
      </c>
      <c r="D23" s="162">
        <v>26623</v>
      </c>
      <c r="E23" s="163">
        <v>11659933</v>
      </c>
      <c r="F23" s="162">
        <v>41445</v>
      </c>
      <c r="G23" s="163">
        <v>21739848</v>
      </c>
      <c r="H23" s="162">
        <v>1360</v>
      </c>
      <c r="I23" s="164">
        <v>1569118</v>
      </c>
      <c r="J23" s="162">
        <v>3905</v>
      </c>
      <c r="K23" s="164">
        <v>585853</v>
      </c>
      <c r="L23" s="162">
        <v>44504</v>
      </c>
      <c r="M23" s="164">
        <v>20756584</v>
      </c>
      <c r="N23" s="165" t="s">
        <v>54</v>
      </c>
    </row>
    <row r="24" spans="1:14" s="93" customFormat="1" ht="15.75" customHeight="1">
      <c r="A24" s="166"/>
      <c r="B24" s="167"/>
      <c r="C24" s="168"/>
      <c r="D24" s="167"/>
      <c r="E24" s="168"/>
      <c r="F24" s="169"/>
      <c r="G24" s="168"/>
      <c r="H24" s="169"/>
      <c r="I24" s="168"/>
      <c r="J24" s="169"/>
      <c r="K24" s="168"/>
      <c r="L24" s="169"/>
      <c r="M24" s="168"/>
      <c r="N24" s="170"/>
    </row>
    <row r="25" spans="1:14" s="93" customFormat="1" ht="15.75" customHeight="1">
      <c r="A25" s="76" t="s">
        <v>55</v>
      </c>
      <c r="B25" s="126">
        <f>_xlfn.COMPOUNDVALUE(57)</f>
        <v>1117</v>
      </c>
      <c r="C25" s="127">
        <v>4275903</v>
      </c>
      <c r="D25" s="126">
        <f>_xlfn.COMPOUNDVALUE(58)</f>
        <v>1658</v>
      </c>
      <c r="E25" s="127">
        <v>1151206</v>
      </c>
      <c r="F25" s="126">
        <f>_xlfn.COMPOUNDVALUE(59)</f>
        <v>2775</v>
      </c>
      <c r="G25" s="127">
        <v>5427109</v>
      </c>
      <c r="H25" s="126">
        <f>_xlfn.COMPOUNDVALUE(60)</f>
        <v>75</v>
      </c>
      <c r="I25" s="128">
        <v>178956</v>
      </c>
      <c r="J25" s="126">
        <v>160</v>
      </c>
      <c r="K25" s="128">
        <v>-1863</v>
      </c>
      <c r="L25" s="126">
        <v>2866</v>
      </c>
      <c r="M25" s="128">
        <v>5246291</v>
      </c>
      <c r="N25" s="86" t="s">
        <v>55</v>
      </c>
    </row>
    <row r="26" spans="1:14" s="93" customFormat="1" ht="15.75" customHeight="1">
      <c r="A26" s="76" t="s">
        <v>56</v>
      </c>
      <c r="B26" s="126">
        <f>_xlfn.COMPOUNDVALUE(61)</f>
        <v>534</v>
      </c>
      <c r="C26" s="127">
        <v>788904</v>
      </c>
      <c r="D26" s="126">
        <f>_xlfn.COMPOUNDVALUE(62)</f>
        <v>1053</v>
      </c>
      <c r="E26" s="127">
        <v>729994</v>
      </c>
      <c r="F26" s="126">
        <f>_xlfn.COMPOUNDVALUE(63)</f>
        <v>1587</v>
      </c>
      <c r="G26" s="127">
        <v>1518898</v>
      </c>
      <c r="H26" s="126">
        <f>_xlfn.COMPOUNDVALUE(64)</f>
        <v>33</v>
      </c>
      <c r="I26" s="128">
        <v>26685</v>
      </c>
      <c r="J26" s="126">
        <v>86</v>
      </c>
      <c r="K26" s="128">
        <v>-2292</v>
      </c>
      <c r="L26" s="126">
        <v>1632</v>
      </c>
      <c r="M26" s="128">
        <v>1489921</v>
      </c>
      <c r="N26" s="86" t="s">
        <v>56</v>
      </c>
    </row>
    <row r="27" spans="1:14" s="93" customFormat="1" ht="15.75" customHeight="1">
      <c r="A27" s="76" t="s">
        <v>57</v>
      </c>
      <c r="B27" s="126">
        <f>_xlfn.COMPOUNDVALUE(65)</f>
        <v>527</v>
      </c>
      <c r="C27" s="127">
        <v>702486</v>
      </c>
      <c r="D27" s="126">
        <f>_xlfn.COMPOUNDVALUE(66)</f>
        <v>859</v>
      </c>
      <c r="E27" s="127">
        <v>524566</v>
      </c>
      <c r="F27" s="126">
        <f>_xlfn.COMPOUNDVALUE(67)</f>
        <v>1386</v>
      </c>
      <c r="G27" s="127">
        <v>1227052</v>
      </c>
      <c r="H27" s="126">
        <f>_xlfn.COMPOUNDVALUE(68)</f>
        <v>49</v>
      </c>
      <c r="I27" s="128">
        <v>76620</v>
      </c>
      <c r="J27" s="126">
        <v>84</v>
      </c>
      <c r="K27" s="128">
        <v>20995</v>
      </c>
      <c r="L27" s="126">
        <v>1454</v>
      </c>
      <c r="M27" s="128">
        <v>1171428</v>
      </c>
      <c r="N27" s="86" t="s">
        <v>57</v>
      </c>
    </row>
    <row r="28" spans="1:14" s="93" customFormat="1" ht="15.75" customHeight="1">
      <c r="A28" s="76" t="s">
        <v>58</v>
      </c>
      <c r="B28" s="126">
        <f>_xlfn.COMPOUNDVALUE(69)</f>
        <v>1174</v>
      </c>
      <c r="C28" s="127">
        <v>1477207</v>
      </c>
      <c r="D28" s="126">
        <f>_xlfn.COMPOUNDVALUE(70)</f>
        <v>1450</v>
      </c>
      <c r="E28" s="127">
        <v>929841</v>
      </c>
      <c r="F28" s="126">
        <f>_xlfn.COMPOUNDVALUE(71)</f>
        <v>2624</v>
      </c>
      <c r="G28" s="127">
        <v>2407049</v>
      </c>
      <c r="H28" s="126">
        <f>_xlfn.COMPOUNDVALUE(72)</f>
        <v>92</v>
      </c>
      <c r="I28" s="128">
        <v>79095</v>
      </c>
      <c r="J28" s="126">
        <v>165</v>
      </c>
      <c r="K28" s="128">
        <v>19697</v>
      </c>
      <c r="L28" s="126">
        <v>2760</v>
      </c>
      <c r="M28" s="128">
        <v>2347650</v>
      </c>
      <c r="N28" s="86" t="s">
        <v>58</v>
      </c>
    </row>
    <row r="29" spans="1:14" s="93" customFormat="1" ht="15.75" customHeight="1">
      <c r="A29" s="76" t="s">
        <v>168</v>
      </c>
      <c r="B29" s="126">
        <f>_xlfn.COMPOUNDVALUE(73)</f>
        <v>1721</v>
      </c>
      <c r="C29" s="127">
        <v>2456427</v>
      </c>
      <c r="D29" s="126">
        <f>_xlfn.COMPOUNDVALUE(74)</f>
        <v>2173</v>
      </c>
      <c r="E29" s="127">
        <v>1402405</v>
      </c>
      <c r="F29" s="126">
        <f>_xlfn.COMPOUNDVALUE(75)</f>
        <v>3894</v>
      </c>
      <c r="G29" s="127">
        <v>3858832</v>
      </c>
      <c r="H29" s="126">
        <f>_xlfn.COMPOUNDVALUE(76)</f>
        <v>175</v>
      </c>
      <c r="I29" s="128">
        <v>297317</v>
      </c>
      <c r="J29" s="126">
        <v>273</v>
      </c>
      <c r="K29" s="128">
        <v>90886</v>
      </c>
      <c r="L29" s="126">
        <v>4179</v>
      </c>
      <c r="M29" s="128">
        <v>3652401</v>
      </c>
      <c r="N29" s="86" t="s">
        <v>59</v>
      </c>
    </row>
    <row r="30" spans="1:14" s="93" customFormat="1" ht="15.75" customHeight="1">
      <c r="A30" s="76"/>
      <c r="B30" s="126"/>
      <c r="C30" s="127"/>
      <c r="D30" s="126"/>
      <c r="E30" s="127"/>
      <c r="F30" s="126"/>
      <c r="G30" s="127"/>
      <c r="H30" s="126"/>
      <c r="I30" s="128"/>
      <c r="J30" s="126"/>
      <c r="K30" s="128"/>
      <c r="L30" s="126"/>
      <c r="M30" s="128"/>
      <c r="N30" s="86" t="s">
        <v>38</v>
      </c>
    </row>
    <row r="31" spans="1:14" s="93" customFormat="1" ht="15.75" customHeight="1">
      <c r="A31" s="76" t="s">
        <v>60</v>
      </c>
      <c r="B31" s="126">
        <f>_xlfn.COMPOUNDVALUE(77)</f>
        <v>1714</v>
      </c>
      <c r="C31" s="127">
        <v>3790194</v>
      </c>
      <c r="D31" s="126">
        <f>_xlfn.COMPOUNDVALUE(78)</f>
        <v>1944</v>
      </c>
      <c r="E31" s="127">
        <v>1261257</v>
      </c>
      <c r="F31" s="126">
        <f>_xlfn.COMPOUNDVALUE(79)</f>
        <v>3658</v>
      </c>
      <c r="G31" s="127">
        <v>5051451</v>
      </c>
      <c r="H31" s="126">
        <f>_xlfn.COMPOUNDVALUE(80)</f>
        <v>198</v>
      </c>
      <c r="I31" s="128">
        <v>365599</v>
      </c>
      <c r="J31" s="126">
        <v>381</v>
      </c>
      <c r="K31" s="128">
        <v>193647</v>
      </c>
      <c r="L31" s="126">
        <v>4013</v>
      </c>
      <c r="M31" s="128">
        <v>4879499</v>
      </c>
      <c r="N31" s="86" t="s">
        <v>60</v>
      </c>
    </row>
    <row r="32" spans="1:14" s="93" customFormat="1" ht="15.75" customHeight="1">
      <c r="A32" s="76" t="s">
        <v>61</v>
      </c>
      <c r="B32" s="126">
        <f>_xlfn.COMPOUNDVALUE(81)</f>
        <v>972</v>
      </c>
      <c r="C32" s="127">
        <v>996911</v>
      </c>
      <c r="D32" s="126">
        <f>_xlfn.COMPOUNDVALUE(82)</f>
        <v>1408</v>
      </c>
      <c r="E32" s="127">
        <v>840481</v>
      </c>
      <c r="F32" s="126">
        <f>_xlfn.COMPOUNDVALUE(83)</f>
        <v>2380</v>
      </c>
      <c r="G32" s="127">
        <v>1837392</v>
      </c>
      <c r="H32" s="126">
        <f>_xlfn.COMPOUNDVALUE(84)</f>
        <v>108</v>
      </c>
      <c r="I32" s="128">
        <v>176633</v>
      </c>
      <c r="J32" s="126">
        <v>156</v>
      </c>
      <c r="K32" s="128">
        <v>32514</v>
      </c>
      <c r="L32" s="126">
        <v>2571</v>
      </c>
      <c r="M32" s="128">
        <v>1693274</v>
      </c>
      <c r="N32" s="86" t="s">
        <v>61</v>
      </c>
    </row>
    <row r="33" spans="1:14" s="93" customFormat="1" ht="15.75" customHeight="1">
      <c r="A33" s="76" t="s">
        <v>62</v>
      </c>
      <c r="B33" s="126">
        <f>_xlfn.COMPOUNDVALUE(85)</f>
        <v>979</v>
      </c>
      <c r="C33" s="127">
        <v>1352358</v>
      </c>
      <c r="D33" s="126">
        <f>_xlfn.COMPOUNDVALUE(86)</f>
        <v>1623</v>
      </c>
      <c r="E33" s="127">
        <v>997193</v>
      </c>
      <c r="F33" s="126">
        <f>_xlfn.COMPOUNDVALUE(87)</f>
        <v>2602</v>
      </c>
      <c r="G33" s="127">
        <v>2349551</v>
      </c>
      <c r="H33" s="126">
        <f>_xlfn.COMPOUNDVALUE(88)</f>
        <v>72</v>
      </c>
      <c r="I33" s="128">
        <v>95893</v>
      </c>
      <c r="J33" s="126">
        <v>207</v>
      </c>
      <c r="K33" s="128">
        <v>29300</v>
      </c>
      <c r="L33" s="126">
        <v>2732</v>
      </c>
      <c r="M33" s="128">
        <v>2282957</v>
      </c>
      <c r="N33" s="86" t="s">
        <v>62</v>
      </c>
    </row>
    <row r="34" spans="1:14" s="93" customFormat="1" ht="15.75" customHeight="1">
      <c r="A34" s="76" t="s">
        <v>63</v>
      </c>
      <c r="B34" s="126">
        <f>_xlfn.COMPOUNDVALUE(89)</f>
        <v>1100</v>
      </c>
      <c r="C34" s="127">
        <v>1410744</v>
      </c>
      <c r="D34" s="126">
        <f>_xlfn.COMPOUNDVALUE(90)</f>
        <v>1441</v>
      </c>
      <c r="E34" s="127">
        <v>882025</v>
      </c>
      <c r="F34" s="126">
        <f>_xlfn.COMPOUNDVALUE(91)</f>
        <v>2541</v>
      </c>
      <c r="G34" s="127">
        <v>2292769</v>
      </c>
      <c r="H34" s="126">
        <f>_xlfn.COMPOUNDVALUE(92)</f>
        <v>101</v>
      </c>
      <c r="I34" s="128">
        <v>110207</v>
      </c>
      <c r="J34" s="126">
        <v>251</v>
      </c>
      <c r="K34" s="128">
        <v>129151</v>
      </c>
      <c r="L34" s="126">
        <v>2751</v>
      </c>
      <c r="M34" s="128">
        <v>2311712</v>
      </c>
      <c r="N34" s="86" t="s">
        <v>63</v>
      </c>
    </row>
    <row r="35" spans="1:14" s="93" customFormat="1" ht="15.75" customHeight="1">
      <c r="A35" s="76" t="s">
        <v>64</v>
      </c>
      <c r="B35" s="126">
        <f>_xlfn.COMPOUNDVALUE(93)</f>
        <v>430</v>
      </c>
      <c r="C35" s="127">
        <v>656245</v>
      </c>
      <c r="D35" s="126">
        <f>_xlfn.COMPOUNDVALUE(94)</f>
        <v>846</v>
      </c>
      <c r="E35" s="127">
        <v>502984</v>
      </c>
      <c r="F35" s="126">
        <f>_xlfn.COMPOUNDVALUE(95)</f>
        <v>1276</v>
      </c>
      <c r="G35" s="127">
        <v>1159229</v>
      </c>
      <c r="H35" s="126">
        <f>_xlfn.COMPOUNDVALUE(96)</f>
        <v>44</v>
      </c>
      <c r="I35" s="128">
        <v>33818</v>
      </c>
      <c r="J35" s="126">
        <v>98</v>
      </c>
      <c r="K35" s="128">
        <v>-6772</v>
      </c>
      <c r="L35" s="126">
        <v>1351</v>
      </c>
      <c r="M35" s="128">
        <v>1118639</v>
      </c>
      <c r="N35" s="86" t="s">
        <v>64</v>
      </c>
    </row>
    <row r="36" spans="1:14" s="93" customFormat="1" ht="15.75" customHeight="1">
      <c r="A36" s="76"/>
      <c r="B36" s="126"/>
      <c r="C36" s="127"/>
      <c r="D36" s="126"/>
      <c r="E36" s="127"/>
      <c r="F36" s="126"/>
      <c r="G36" s="127"/>
      <c r="H36" s="126"/>
      <c r="I36" s="128"/>
      <c r="J36" s="126"/>
      <c r="K36" s="128"/>
      <c r="L36" s="126"/>
      <c r="M36" s="128"/>
      <c r="N36" s="86" t="s">
        <v>38</v>
      </c>
    </row>
    <row r="37" spans="1:14" s="93" customFormat="1" ht="15.75" customHeight="1">
      <c r="A37" s="76" t="s">
        <v>65</v>
      </c>
      <c r="B37" s="126">
        <f>_xlfn.COMPOUNDVALUE(97)</f>
        <v>454</v>
      </c>
      <c r="C37" s="127">
        <v>436781</v>
      </c>
      <c r="D37" s="126">
        <f>_xlfn.COMPOUNDVALUE(98)</f>
        <v>863</v>
      </c>
      <c r="E37" s="127">
        <v>496718</v>
      </c>
      <c r="F37" s="126">
        <f>_xlfn.COMPOUNDVALUE(99)</f>
        <v>1317</v>
      </c>
      <c r="G37" s="127">
        <v>933499</v>
      </c>
      <c r="H37" s="126">
        <f>_xlfn.COMPOUNDVALUE(100)</f>
        <v>57</v>
      </c>
      <c r="I37" s="128">
        <v>52952</v>
      </c>
      <c r="J37" s="126">
        <v>90</v>
      </c>
      <c r="K37" s="128">
        <v>14881</v>
      </c>
      <c r="L37" s="126">
        <v>1417</v>
      </c>
      <c r="M37" s="128">
        <v>895427</v>
      </c>
      <c r="N37" s="86" t="s">
        <v>65</v>
      </c>
    </row>
    <row r="38" spans="1:14" s="93" customFormat="1" ht="15.75" customHeight="1">
      <c r="A38" s="76" t="s">
        <v>66</v>
      </c>
      <c r="B38" s="126">
        <f>_xlfn.COMPOUNDVALUE(101)</f>
        <v>523</v>
      </c>
      <c r="C38" s="127">
        <v>625574</v>
      </c>
      <c r="D38" s="126">
        <f>_xlfn.COMPOUNDVALUE(102)</f>
        <v>847</v>
      </c>
      <c r="E38" s="127">
        <v>441180</v>
      </c>
      <c r="F38" s="126">
        <f>_xlfn.COMPOUNDVALUE(103)</f>
        <v>1370</v>
      </c>
      <c r="G38" s="127">
        <v>1066754</v>
      </c>
      <c r="H38" s="126">
        <f>_xlfn.COMPOUNDVALUE(104)</f>
        <v>41</v>
      </c>
      <c r="I38" s="128">
        <v>452398</v>
      </c>
      <c r="J38" s="126">
        <v>135</v>
      </c>
      <c r="K38" s="128">
        <v>15813</v>
      </c>
      <c r="L38" s="126">
        <v>1470</v>
      </c>
      <c r="M38" s="128">
        <v>630168</v>
      </c>
      <c r="N38" s="86" t="s">
        <v>66</v>
      </c>
    </row>
    <row r="39" spans="1:14" s="93" customFormat="1" ht="15.75" customHeight="1">
      <c r="A39" s="76" t="s">
        <v>67</v>
      </c>
      <c r="B39" s="126">
        <f>_xlfn.COMPOUNDVALUE(105)</f>
        <v>607</v>
      </c>
      <c r="C39" s="127">
        <v>447014</v>
      </c>
      <c r="D39" s="126">
        <f>_xlfn.COMPOUNDVALUE(106)</f>
        <v>1011</v>
      </c>
      <c r="E39" s="127">
        <v>460238</v>
      </c>
      <c r="F39" s="126">
        <f>_xlfn.COMPOUNDVALUE(107)</f>
        <v>1618</v>
      </c>
      <c r="G39" s="127">
        <v>907252</v>
      </c>
      <c r="H39" s="126">
        <f>_xlfn.COMPOUNDVALUE(108)</f>
        <v>115</v>
      </c>
      <c r="I39" s="128">
        <v>52730</v>
      </c>
      <c r="J39" s="126">
        <v>90</v>
      </c>
      <c r="K39" s="128">
        <v>23014</v>
      </c>
      <c r="L39" s="126">
        <v>1775</v>
      </c>
      <c r="M39" s="128">
        <v>877536</v>
      </c>
      <c r="N39" s="86" t="s">
        <v>67</v>
      </c>
    </row>
    <row r="40" spans="1:14" s="93" customFormat="1" ht="15.75" customHeight="1">
      <c r="A40" s="76" t="s">
        <v>68</v>
      </c>
      <c r="B40" s="126">
        <f>_xlfn.COMPOUNDVALUE(109)</f>
        <v>596</v>
      </c>
      <c r="C40" s="127">
        <v>419753</v>
      </c>
      <c r="D40" s="126">
        <f>_xlfn.COMPOUNDVALUE(110)</f>
        <v>880</v>
      </c>
      <c r="E40" s="127">
        <v>450024</v>
      </c>
      <c r="F40" s="126">
        <f>_xlfn.COMPOUNDVALUE(111)</f>
        <v>1476</v>
      </c>
      <c r="G40" s="127">
        <v>869777</v>
      </c>
      <c r="H40" s="126">
        <f>_xlfn.COMPOUNDVALUE(112)</f>
        <v>79</v>
      </c>
      <c r="I40" s="128">
        <v>269443</v>
      </c>
      <c r="J40" s="126">
        <v>102</v>
      </c>
      <c r="K40" s="128">
        <v>31894</v>
      </c>
      <c r="L40" s="126">
        <v>1622</v>
      </c>
      <c r="M40" s="128">
        <v>632228</v>
      </c>
      <c r="N40" s="86" t="s">
        <v>68</v>
      </c>
    </row>
    <row r="41" spans="1:14" s="93" customFormat="1" ht="15.75" customHeight="1">
      <c r="A41" s="76" t="s">
        <v>69</v>
      </c>
      <c r="B41" s="126">
        <f>_xlfn.COMPOUNDVALUE(113)</f>
        <v>380</v>
      </c>
      <c r="C41" s="127">
        <v>183581</v>
      </c>
      <c r="D41" s="126">
        <f>_xlfn.COMPOUNDVALUE(114)</f>
        <v>551</v>
      </c>
      <c r="E41" s="127">
        <v>238949</v>
      </c>
      <c r="F41" s="126">
        <f>_xlfn.COMPOUNDVALUE(115)</f>
        <v>931</v>
      </c>
      <c r="G41" s="127">
        <v>422530</v>
      </c>
      <c r="H41" s="126">
        <f>_xlfn.COMPOUNDVALUE(116)</f>
        <v>31</v>
      </c>
      <c r="I41" s="128">
        <v>45283</v>
      </c>
      <c r="J41" s="126">
        <v>84</v>
      </c>
      <c r="K41" s="128">
        <v>13960</v>
      </c>
      <c r="L41" s="126">
        <v>1003</v>
      </c>
      <c r="M41" s="128">
        <v>391207</v>
      </c>
      <c r="N41" s="198" t="s">
        <v>69</v>
      </c>
    </row>
    <row r="42" spans="1:14" s="93" customFormat="1" ht="15.75" customHeight="1">
      <c r="A42" s="103"/>
      <c r="B42" s="126"/>
      <c r="C42" s="127"/>
      <c r="D42" s="126"/>
      <c r="E42" s="127"/>
      <c r="F42" s="126"/>
      <c r="G42" s="127"/>
      <c r="H42" s="126"/>
      <c r="I42" s="128"/>
      <c r="J42" s="126"/>
      <c r="K42" s="128"/>
      <c r="L42" s="126"/>
      <c r="M42" s="128"/>
      <c r="N42" s="199" t="s">
        <v>38</v>
      </c>
    </row>
    <row r="43" spans="1:14" s="93" customFormat="1" ht="15.75" customHeight="1">
      <c r="A43" s="98" t="s">
        <v>70</v>
      </c>
      <c r="B43" s="126">
        <f>_xlfn.COMPOUNDVALUE(117)</f>
        <v>837</v>
      </c>
      <c r="C43" s="127">
        <v>599463</v>
      </c>
      <c r="D43" s="126">
        <f>_xlfn.COMPOUNDVALUE(118)</f>
        <v>1121</v>
      </c>
      <c r="E43" s="127">
        <v>605727</v>
      </c>
      <c r="F43" s="126">
        <f>_xlfn.COMPOUNDVALUE(119)</f>
        <v>1958</v>
      </c>
      <c r="G43" s="127">
        <v>1205189</v>
      </c>
      <c r="H43" s="126">
        <f>_xlfn.COMPOUNDVALUE(120)</f>
        <v>109</v>
      </c>
      <c r="I43" s="128">
        <v>127162</v>
      </c>
      <c r="J43" s="126">
        <v>177</v>
      </c>
      <c r="K43" s="128">
        <v>27387</v>
      </c>
      <c r="L43" s="126">
        <v>2161</v>
      </c>
      <c r="M43" s="128">
        <v>1105414</v>
      </c>
      <c r="N43" s="100" t="s">
        <v>70</v>
      </c>
    </row>
    <row r="44" spans="1:14" s="93" customFormat="1" ht="15.75" customHeight="1">
      <c r="A44" s="76" t="s">
        <v>71</v>
      </c>
      <c r="B44" s="126">
        <f>_xlfn.COMPOUNDVALUE(121)</f>
        <v>607</v>
      </c>
      <c r="C44" s="127">
        <v>431631</v>
      </c>
      <c r="D44" s="126">
        <f>_xlfn.COMPOUNDVALUE(122)</f>
        <v>891</v>
      </c>
      <c r="E44" s="127">
        <v>398944</v>
      </c>
      <c r="F44" s="126">
        <f>_xlfn.COMPOUNDVALUE(123)</f>
        <v>1498</v>
      </c>
      <c r="G44" s="127">
        <v>830575</v>
      </c>
      <c r="H44" s="126">
        <f>_xlfn.COMPOUNDVALUE(124)</f>
        <v>59</v>
      </c>
      <c r="I44" s="128">
        <v>26345</v>
      </c>
      <c r="J44" s="126">
        <v>130</v>
      </c>
      <c r="K44" s="128">
        <v>25740</v>
      </c>
      <c r="L44" s="126">
        <v>1625</v>
      </c>
      <c r="M44" s="128">
        <v>829970</v>
      </c>
      <c r="N44" s="86" t="s">
        <v>71</v>
      </c>
    </row>
    <row r="45" spans="1:14" s="93" customFormat="1" ht="15.75" customHeight="1">
      <c r="A45" s="76" t="s">
        <v>72</v>
      </c>
      <c r="B45" s="126">
        <f>_xlfn.COMPOUNDVALUE(125)</f>
        <v>426</v>
      </c>
      <c r="C45" s="127">
        <v>232883</v>
      </c>
      <c r="D45" s="126">
        <f>_xlfn.COMPOUNDVALUE(126)</f>
        <v>751</v>
      </c>
      <c r="E45" s="127">
        <v>349786</v>
      </c>
      <c r="F45" s="126">
        <f>_xlfn.COMPOUNDVALUE(127)</f>
        <v>1177</v>
      </c>
      <c r="G45" s="127">
        <v>582669</v>
      </c>
      <c r="H45" s="126">
        <f>_xlfn.COMPOUNDVALUE(128)</f>
        <v>34</v>
      </c>
      <c r="I45" s="128">
        <v>23371</v>
      </c>
      <c r="J45" s="126">
        <v>106</v>
      </c>
      <c r="K45" s="128">
        <v>15721</v>
      </c>
      <c r="L45" s="126">
        <v>1263</v>
      </c>
      <c r="M45" s="128">
        <v>575019</v>
      </c>
      <c r="N45" s="86" t="s">
        <v>72</v>
      </c>
    </row>
    <row r="46" spans="1:14" s="93" customFormat="1" ht="15.75" customHeight="1">
      <c r="A46" s="76" t="s">
        <v>73</v>
      </c>
      <c r="B46" s="126">
        <f>_xlfn.COMPOUNDVALUE(129)</f>
        <v>1466</v>
      </c>
      <c r="C46" s="127">
        <v>1687907</v>
      </c>
      <c r="D46" s="126">
        <f>_xlfn.COMPOUNDVALUE(130)</f>
        <v>2104</v>
      </c>
      <c r="E46" s="127">
        <v>1221556</v>
      </c>
      <c r="F46" s="126">
        <f>_xlfn.COMPOUNDVALUE(131)</f>
        <v>3570</v>
      </c>
      <c r="G46" s="127">
        <v>2909463</v>
      </c>
      <c r="H46" s="126">
        <f>_xlfn.COMPOUNDVALUE(132)</f>
        <v>111</v>
      </c>
      <c r="I46" s="128">
        <v>90732</v>
      </c>
      <c r="J46" s="126">
        <v>245</v>
      </c>
      <c r="K46" s="128">
        <v>60647</v>
      </c>
      <c r="L46" s="126">
        <v>3823</v>
      </c>
      <c r="M46" s="128">
        <v>2879379</v>
      </c>
      <c r="N46" s="86" t="s">
        <v>73</v>
      </c>
    </row>
    <row r="47" spans="1:14" s="93" customFormat="1" ht="15.75" customHeight="1">
      <c r="A47" s="76" t="s">
        <v>74</v>
      </c>
      <c r="B47" s="126">
        <f>_xlfn.COMPOUNDVALUE(133)</f>
        <v>638</v>
      </c>
      <c r="C47" s="127">
        <v>486263</v>
      </c>
      <c r="D47" s="126">
        <f>_xlfn.COMPOUNDVALUE(134)</f>
        <v>1160</v>
      </c>
      <c r="E47" s="127">
        <v>537721</v>
      </c>
      <c r="F47" s="126">
        <f>_xlfn.COMPOUNDVALUE(135)</f>
        <v>1798</v>
      </c>
      <c r="G47" s="127">
        <v>1023984</v>
      </c>
      <c r="H47" s="126">
        <f>_xlfn.COMPOUNDVALUE(136)</f>
        <v>74</v>
      </c>
      <c r="I47" s="128">
        <v>71318</v>
      </c>
      <c r="J47" s="126">
        <v>127</v>
      </c>
      <c r="K47" s="128">
        <v>17617</v>
      </c>
      <c r="L47" s="126">
        <v>1931</v>
      </c>
      <c r="M47" s="128">
        <v>970283</v>
      </c>
      <c r="N47" s="86" t="s">
        <v>74</v>
      </c>
    </row>
    <row r="48" spans="1:14" s="93" customFormat="1" ht="15.75" customHeight="1">
      <c r="A48" s="76"/>
      <c r="B48" s="126"/>
      <c r="C48" s="127"/>
      <c r="D48" s="126"/>
      <c r="E48" s="127"/>
      <c r="F48" s="126"/>
      <c r="G48" s="127"/>
      <c r="H48" s="126"/>
      <c r="I48" s="128"/>
      <c r="J48" s="126"/>
      <c r="K48" s="128"/>
      <c r="L48" s="126"/>
      <c r="M48" s="128"/>
      <c r="N48" s="86" t="s">
        <v>38</v>
      </c>
    </row>
    <row r="49" spans="1:14" s="93" customFormat="1" ht="15.75" customHeight="1">
      <c r="A49" s="76" t="s">
        <v>75</v>
      </c>
      <c r="B49" s="126">
        <f>_xlfn.COMPOUNDVALUE(137)</f>
        <v>624</v>
      </c>
      <c r="C49" s="127">
        <v>644857</v>
      </c>
      <c r="D49" s="126">
        <f>_xlfn.COMPOUNDVALUE(138)</f>
        <v>951</v>
      </c>
      <c r="E49" s="127">
        <v>571527</v>
      </c>
      <c r="F49" s="126">
        <f>_xlfn.COMPOUNDVALUE(139)</f>
        <v>1575</v>
      </c>
      <c r="G49" s="127">
        <v>1216384</v>
      </c>
      <c r="H49" s="126">
        <f>_xlfn.COMPOUNDVALUE(140)</f>
        <v>84</v>
      </c>
      <c r="I49" s="128">
        <v>180530</v>
      </c>
      <c r="J49" s="126">
        <v>138</v>
      </c>
      <c r="K49" s="128">
        <v>24362</v>
      </c>
      <c r="L49" s="126">
        <v>1716</v>
      </c>
      <c r="M49" s="128">
        <v>1060216</v>
      </c>
      <c r="N49" s="86" t="s">
        <v>75</v>
      </c>
    </row>
    <row r="50" spans="1:14" s="93" customFormat="1" ht="15.75" customHeight="1">
      <c r="A50" s="76" t="s">
        <v>76</v>
      </c>
      <c r="B50" s="126">
        <f>_xlfn.COMPOUNDVALUE(141)</f>
        <v>792</v>
      </c>
      <c r="C50" s="127">
        <v>524253</v>
      </c>
      <c r="D50" s="126">
        <f>_xlfn.COMPOUNDVALUE(142)</f>
        <v>1209</v>
      </c>
      <c r="E50" s="127">
        <v>543322</v>
      </c>
      <c r="F50" s="126">
        <f>_xlfn.COMPOUNDVALUE(143)</f>
        <v>2001</v>
      </c>
      <c r="G50" s="127">
        <v>1067575</v>
      </c>
      <c r="H50" s="126">
        <f>_xlfn.COMPOUNDVALUE(144)</f>
        <v>52</v>
      </c>
      <c r="I50" s="128">
        <v>75862</v>
      </c>
      <c r="J50" s="126">
        <v>201</v>
      </c>
      <c r="K50" s="128">
        <v>28365</v>
      </c>
      <c r="L50" s="126">
        <v>2160</v>
      </c>
      <c r="M50" s="128">
        <v>1020078</v>
      </c>
      <c r="N50" s="86" t="s">
        <v>76</v>
      </c>
    </row>
    <row r="51" spans="1:14" s="93" customFormat="1" ht="15.75" customHeight="1">
      <c r="A51" s="76" t="s">
        <v>77</v>
      </c>
      <c r="B51" s="126">
        <f>_xlfn.COMPOUNDVALUE(145)</f>
        <v>1336</v>
      </c>
      <c r="C51" s="127">
        <v>1355580</v>
      </c>
      <c r="D51" s="126">
        <f>_xlfn.COMPOUNDVALUE(146)</f>
        <v>2077</v>
      </c>
      <c r="E51" s="127">
        <v>1136303</v>
      </c>
      <c r="F51" s="126">
        <f>_xlfn.COMPOUNDVALUE(147)</f>
        <v>3413</v>
      </c>
      <c r="G51" s="127">
        <v>2491883</v>
      </c>
      <c r="H51" s="126">
        <f>_xlfn.COMPOUNDVALUE(148)</f>
        <v>162</v>
      </c>
      <c r="I51" s="128">
        <v>328184</v>
      </c>
      <c r="J51" s="126">
        <v>302</v>
      </c>
      <c r="K51" s="128">
        <v>46577</v>
      </c>
      <c r="L51" s="126">
        <v>3739</v>
      </c>
      <c r="M51" s="128">
        <v>2210276</v>
      </c>
      <c r="N51" s="86" t="s">
        <v>77</v>
      </c>
    </row>
    <row r="52" spans="1:14" s="93" customFormat="1" ht="15.75" customHeight="1">
      <c r="A52" s="76" t="s">
        <v>78</v>
      </c>
      <c r="B52" s="126">
        <f>_xlfn.COMPOUNDVALUE(149)</f>
        <v>1180</v>
      </c>
      <c r="C52" s="127">
        <v>1209429</v>
      </c>
      <c r="D52" s="126">
        <f>_xlfn.COMPOUNDVALUE(150)</f>
        <v>1895</v>
      </c>
      <c r="E52" s="127">
        <v>1046391</v>
      </c>
      <c r="F52" s="126">
        <f>_xlfn.COMPOUNDVALUE(151)</f>
        <v>3075</v>
      </c>
      <c r="G52" s="127">
        <v>2255820</v>
      </c>
      <c r="H52" s="126">
        <f>_xlfn.COMPOUNDVALUE(152)</f>
        <v>113</v>
      </c>
      <c r="I52" s="128">
        <v>254560</v>
      </c>
      <c r="J52" s="126">
        <v>285</v>
      </c>
      <c r="K52" s="128">
        <v>51549</v>
      </c>
      <c r="L52" s="126">
        <v>3339</v>
      </c>
      <c r="M52" s="128">
        <v>2052809</v>
      </c>
      <c r="N52" s="86" t="s">
        <v>78</v>
      </c>
    </row>
    <row r="53" spans="1:14" s="93" customFormat="1" ht="15.75" customHeight="1">
      <c r="A53" s="76" t="s">
        <v>79</v>
      </c>
      <c r="B53" s="126">
        <f>_xlfn.COMPOUNDVALUE(153)</f>
        <v>1151</v>
      </c>
      <c r="C53" s="127">
        <v>1439983</v>
      </c>
      <c r="D53" s="126">
        <f>_xlfn.COMPOUNDVALUE(154)</f>
        <v>1780</v>
      </c>
      <c r="E53" s="127">
        <v>1024593</v>
      </c>
      <c r="F53" s="126">
        <f>_xlfn.COMPOUNDVALUE(155)</f>
        <v>2931</v>
      </c>
      <c r="G53" s="127">
        <v>2464576</v>
      </c>
      <c r="H53" s="126">
        <f>_xlfn.COMPOUNDVALUE(156)</f>
        <v>113</v>
      </c>
      <c r="I53" s="128">
        <v>126307</v>
      </c>
      <c r="J53" s="126">
        <v>212</v>
      </c>
      <c r="K53" s="128">
        <v>35707</v>
      </c>
      <c r="L53" s="126">
        <v>3136</v>
      </c>
      <c r="M53" s="128">
        <v>2373976</v>
      </c>
      <c r="N53" s="86" t="s">
        <v>79</v>
      </c>
    </row>
    <row r="54" spans="1:14" s="93" customFormat="1" ht="15.75" customHeight="1">
      <c r="A54" s="76"/>
      <c r="B54" s="126"/>
      <c r="C54" s="127"/>
      <c r="D54" s="126"/>
      <c r="E54" s="127"/>
      <c r="F54" s="126"/>
      <c r="G54" s="127"/>
      <c r="H54" s="126"/>
      <c r="I54" s="128"/>
      <c r="J54" s="126"/>
      <c r="K54" s="128"/>
      <c r="L54" s="126"/>
      <c r="M54" s="128"/>
      <c r="N54" s="86" t="s">
        <v>38</v>
      </c>
    </row>
    <row r="55" spans="1:14" s="93" customFormat="1" ht="15.75" customHeight="1">
      <c r="A55" s="76" t="s">
        <v>80</v>
      </c>
      <c r="B55" s="126">
        <f>_xlfn.COMPOUNDVALUE(157)</f>
        <v>2206</v>
      </c>
      <c r="C55" s="127">
        <v>3335071</v>
      </c>
      <c r="D55" s="126">
        <f>_xlfn.COMPOUNDVALUE(158)</f>
        <v>3075</v>
      </c>
      <c r="E55" s="127">
        <v>1996351</v>
      </c>
      <c r="F55" s="126">
        <f>_xlfn.COMPOUNDVALUE(159)</f>
        <v>5281</v>
      </c>
      <c r="G55" s="127">
        <v>5331421</v>
      </c>
      <c r="H55" s="126">
        <f>_xlfn.COMPOUNDVALUE(160)</f>
        <v>184</v>
      </c>
      <c r="I55" s="128">
        <v>302177</v>
      </c>
      <c r="J55" s="126">
        <v>319</v>
      </c>
      <c r="K55" s="128">
        <v>50761</v>
      </c>
      <c r="L55" s="126">
        <v>5595</v>
      </c>
      <c r="M55" s="128">
        <v>5080006</v>
      </c>
      <c r="N55" s="86" t="s">
        <v>80</v>
      </c>
    </row>
    <row r="56" spans="1:14" s="93" customFormat="1" ht="15.75" customHeight="1">
      <c r="A56" s="76" t="s">
        <v>81</v>
      </c>
      <c r="B56" s="126">
        <f>_xlfn.COMPOUNDVALUE(161)</f>
        <v>1079</v>
      </c>
      <c r="C56" s="127">
        <v>937121</v>
      </c>
      <c r="D56" s="126">
        <f>_xlfn.COMPOUNDVALUE(162)</f>
        <v>1659</v>
      </c>
      <c r="E56" s="127">
        <v>884084</v>
      </c>
      <c r="F56" s="126">
        <f>_xlfn.COMPOUNDVALUE(163)</f>
        <v>2738</v>
      </c>
      <c r="G56" s="127">
        <v>1821204</v>
      </c>
      <c r="H56" s="126">
        <f>_xlfn.COMPOUNDVALUE(164)</f>
        <v>103</v>
      </c>
      <c r="I56" s="128">
        <v>108939</v>
      </c>
      <c r="J56" s="126">
        <v>268</v>
      </c>
      <c r="K56" s="128">
        <v>28612</v>
      </c>
      <c r="L56" s="126">
        <v>2983</v>
      </c>
      <c r="M56" s="128">
        <v>1740877</v>
      </c>
      <c r="N56" s="86" t="s">
        <v>81</v>
      </c>
    </row>
    <row r="57" spans="1:14" s="93" customFormat="1" ht="15.75" customHeight="1">
      <c r="A57" s="76" t="s">
        <v>82</v>
      </c>
      <c r="B57" s="126">
        <f>_xlfn.COMPOUNDVALUE(165)</f>
        <v>1060</v>
      </c>
      <c r="C57" s="127">
        <v>976507</v>
      </c>
      <c r="D57" s="126">
        <f>_xlfn.COMPOUNDVALUE(166)</f>
        <v>1675</v>
      </c>
      <c r="E57" s="127">
        <v>853826</v>
      </c>
      <c r="F57" s="126">
        <f>_xlfn.COMPOUNDVALUE(167)</f>
        <v>2735</v>
      </c>
      <c r="G57" s="127">
        <v>1830332</v>
      </c>
      <c r="H57" s="126">
        <f>_xlfn.COMPOUNDVALUE(168)</f>
        <v>102</v>
      </c>
      <c r="I57" s="128">
        <v>111051</v>
      </c>
      <c r="J57" s="126">
        <v>307</v>
      </c>
      <c r="K57" s="128">
        <v>44380</v>
      </c>
      <c r="L57" s="126">
        <v>2957</v>
      </c>
      <c r="M57" s="128">
        <v>1763662</v>
      </c>
      <c r="N57" s="86" t="s">
        <v>82</v>
      </c>
    </row>
    <row r="58" spans="1:14" s="93" customFormat="1" ht="15.75" customHeight="1">
      <c r="A58" s="76" t="s">
        <v>83</v>
      </c>
      <c r="B58" s="126">
        <f>_xlfn.COMPOUNDVALUE(169)</f>
        <v>751</v>
      </c>
      <c r="C58" s="127">
        <v>879416</v>
      </c>
      <c r="D58" s="126">
        <f>_xlfn.COMPOUNDVALUE(170)</f>
        <v>1362</v>
      </c>
      <c r="E58" s="127">
        <v>730310</v>
      </c>
      <c r="F58" s="126">
        <f>_xlfn.COMPOUNDVALUE(171)</f>
        <v>2113</v>
      </c>
      <c r="G58" s="127">
        <v>1609727</v>
      </c>
      <c r="H58" s="126">
        <f>_xlfn.COMPOUNDVALUE(172)</f>
        <v>81</v>
      </c>
      <c r="I58" s="128">
        <v>92577</v>
      </c>
      <c r="J58" s="126">
        <v>183</v>
      </c>
      <c r="K58" s="128">
        <v>40334</v>
      </c>
      <c r="L58" s="126">
        <v>2276</v>
      </c>
      <c r="M58" s="128">
        <v>1557484</v>
      </c>
      <c r="N58" s="86" t="s">
        <v>83</v>
      </c>
    </row>
    <row r="59" spans="1:14" s="93" customFormat="1" ht="15.75" customHeight="1">
      <c r="A59" s="76" t="s">
        <v>84</v>
      </c>
      <c r="B59" s="126">
        <f>_xlfn.COMPOUNDVALUE(173)</f>
        <v>1218</v>
      </c>
      <c r="C59" s="127">
        <v>1308631</v>
      </c>
      <c r="D59" s="126">
        <f>_xlfn.COMPOUNDVALUE(174)</f>
        <v>1875</v>
      </c>
      <c r="E59" s="127">
        <v>1088772</v>
      </c>
      <c r="F59" s="126">
        <f>_xlfn.COMPOUNDVALUE(175)</f>
        <v>3093</v>
      </c>
      <c r="G59" s="127">
        <v>2397403</v>
      </c>
      <c r="H59" s="126">
        <f>_xlfn.COMPOUNDVALUE(176)</f>
        <v>115</v>
      </c>
      <c r="I59" s="128">
        <v>72852</v>
      </c>
      <c r="J59" s="126">
        <v>273</v>
      </c>
      <c r="K59" s="128">
        <v>56634</v>
      </c>
      <c r="L59" s="126">
        <v>3311</v>
      </c>
      <c r="M59" s="128">
        <v>2381185</v>
      </c>
      <c r="N59" s="86" t="s">
        <v>84</v>
      </c>
    </row>
    <row r="60" spans="1:14" s="93" customFormat="1" ht="15.75" customHeight="1">
      <c r="A60" s="76"/>
      <c r="B60" s="126"/>
      <c r="C60" s="127"/>
      <c r="D60" s="126"/>
      <c r="E60" s="127"/>
      <c r="F60" s="126"/>
      <c r="G60" s="127"/>
      <c r="H60" s="126"/>
      <c r="I60" s="128"/>
      <c r="J60" s="126"/>
      <c r="K60" s="128"/>
      <c r="L60" s="126"/>
      <c r="M60" s="128"/>
      <c r="N60" s="86" t="s">
        <v>38</v>
      </c>
    </row>
    <row r="61" spans="1:14" s="93" customFormat="1" ht="15.75" customHeight="1">
      <c r="A61" s="76" t="s">
        <v>85</v>
      </c>
      <c r="B61" s="126">
        <f>_xlfn.COMPOUNDVALUE(177)</f>
        <v>899</v>
      </c>
      <c r="C61" s="127">
        <v>560909</v>
      </c>
      <c r="D61" s="126">
        <f>_xlfn.COMPOUNDVALUE(178)</f>
        <v>1368</v>
      </c>
      <c r="E61" s="127">
        <v>665383</v>
      </c>
      <c r="F61" s="126">
        <f>_xlfn.COMPOUNDVALUE(179)</f>
        <v>2267</v>
      </c>
      <c r="G61" s="127">
        <v>1226291</v>
      </c>
      <c r="H61" s="126">
        <f>_xlfn.COMPOUNDVALUE(180)</f>
        <v>73</v>
      </c>
      <c r="I61" s="128">
        <v>92976</v>
      </c>
      <c r="J61" s="126">
        <v>192</v>
      </c>
      <c r="K61" s="128">
        <v>32266</v>
      </c>
      <c r="L61" s="126">
        <v>2423</v>
      </c>
      <c r="M61" s="128">
        <v>1165581</v>
      </c>
      <c r="N61" s="86" t="s">
        <v>85</v>
      </c>
    </row>
    <row r="62" spans="1:14" s="93" customFormat="1" ht="15.75" customHeight="1">
      <c r="A62" s="76" t="s">
        <v>86</v>
      </c>
      <c r="B62" s="126">
        <f>_xlfn.COMPOUNDVALUE(181)</f>
        <v>718</v>
      </c>
      <c r="C62" s="127">
        <v>486032</v>
      </c>
      <c r="D62" s="126">
        <f>_xlfn.COMPOUNDVALUE(182)</f>
        <v>1025</v>
      </c>
      <c r="E62" s="127">
        <v>442523</v>
      </c>
      <c r="F62" s="126">
        <f>_xlfn.COMPOUNDVALUE(183)</f>
        <v>1743</v>
      </c>
      <c r="G62" s="127">
        <v>928555</v>
      </c>
      <c r="H62" s="126">
        <f>_xlfn.COMPOUNDVALUE(184)</f>
        <v>60</v>
      </c>
      <c r="I62" s="128">
        <v>48358</v>
      </c>
      <c r="J62" s="126">
        <v>147</v>
      </c>
      <c r="K62" s="128">
        <v>29510</v>
      </c>
      <c r="L62" s="126">
        <v>1889</v>
      </c>
      <c r="M62" s="128">
        <v>909707</v>
      </c>
      <c r="N62" s="86" t="s">
        <v>86</v>
      </c>
    </row>
    <row r="63" spans="1:14" s="93" customFormat="1" ht="15.75" customHeight="1">
      <c r="A63" s="76" t="s">
        <v>87</v>
      </c>
      <c r="B63" s="126">
        <f>_xlfn.COMPOUNDVALUE(185)</f>
        <v>1599</v>
      </c>
      <c r="C63" s="127">
        <v>1129240</v>
      </c>
      <c r="D63" s="126">
        <f>_xlfn.COMPOUNDVALUE(186)</f>
        <v>2355</v>
      </c>
      <c r="E63" s="127">
        <v>1218452</v>
      </c>
      <c r="F63" s="126">
        <f>_xlfn.COMPOUNDVALUE(187)</f>
        <v>3954</v>
      </c>
      <c r="G63" s="127">
        <v>2347693</v>
      </c>
      <c r="H63" s="126">
        <f>_xlfn.COMPOUNDVALUE(188)</f>
        <v>102</v>
      </c>
      <c r="I63" s="128">
        <v>250471</v>
      </c>
      <c r="J63" s="126">
        <v>495</v>
      </c>
      <c r="K63" s="128">
        <v>93442</v>
      </c>
      <c r="L63" s="126">
        <v>4280</v>
      </c>
      <c r="M63" s="128">
        <v>2190664</v>
      </c>
      <c r="N63" s="86" t="s">
        <v>87</v>
      </c>
    </row>
    <row r="64" spans="1:14" s="93" customFormat="1" ht="15.75" customHeight="1">
      <c r="A64" s="76" t="s">
        <v>88</v>
      </c>
      <c r="B64" s="126">
        <f>_xlfn.COMPOUNDVALUE(189)</f>
        <v>1177</v>
      </c>
      <c r="C64" s="127">
        <v>964557</v>
      </c>
      <c r="D64" s="126">
        <f>_xlfn.COMPOUNDVALUE(190)</f>
        <v>2132</v>
      </c>
      <c r="E64" s="127">
        <v>1149082</v>
      </c>
      <c r="F64" s="126">
        <f>_xlfn.COMPOUNDVALUE(191)</f>
        <v>3309</v>
      </c>
      <c r="G64" s="127">
        <v>2113639</v>
      </c>
      <c r="H64" s="126">
        <f>_xlfn.COMPOUNDVALUE(192)</f>
        <v>101</v>
      </c>
      <c r="I64" s="128">
        <v>74041</v>
      </c>
      <c r="J64" s="126">
        <v>334</v>
      </c>
      <c r="K64" s="128">
        <v>48869</v>
      </c>
      <c r="L64" s="126">
        <v>3538</v>
      </c>
      <c r="M64" s="128">
        <v>2088466</v>
      </c>
      <c r="N64" s="86" t="s">
        <v>88</v>
      </c>
    </row>
    <row r="65" spans="1:14" s="93" customFormat="1" ht="15.75" customHeight="1">
      <c r="A65" s="78" t="s">
        <v>89</v>
      </c>
      <c r="B65" s="131">
        <f>_xlfn.COMPOUNDVALUE(193)</f>
        <v>832</v>
      </c>
      <c r="C65" s="132">
        <v>643584</v>
      </c>
      <c r="D65" s="131">
        <f>_xlfn.COMPOUNDVALUE(194)</f>
        <v>1438</v>
      </c>
      <c r="E65" s="132">
        <v>711355</v>
      </c>
      <c r="F65" s="131">
        <f>_xlfn.COMPOUNDVALUE(195)</f>
        <v>2270</v>
      </c>
      <c r="G65" s="132">
        <v>1354939</v>
      </c>
      <c r="H65" s="131">
        <f>_xlfn.COMPOUNDVALUE(196)</f>
        <v>56</v>
      </c>
      <c r="I65" s="133">
        <v>60296</v>
      </c>
      <c r="J65" s="131">
        <v>249</v>
      </c>
      <c r="K65" s="133">
        <v>61535</v>
      </c>
      <c r="L65" s="131">
        <v>2476</v>
      </c>
      <c r="M65" s="133">
        <v>1356178</v>
      </c>
      <c r="N65" s="77" t="s">
        <v>89</v>
      </c>
    </row>
    <row r="66" spans="1:14" s="93" customFormat="1" ht="15.75" customHeight="1">
      <c r="A66" s="78"/>
      <c r="B66" s="131"/>
      <c r="C66" s="132"/>
      <c r="D66" s="131"/>
      <c r="E66" s="132"/>
      <c r="F66" s="131"/>
      <c r="G66" s="132"/>
      <c r="H66" s="131"/>
      <c r="I66" s="133"/>
      <c r="J66" s="131"/>
      <c r="K66" s="133"/>
      <c r="L66" s="131"/>
      <c r="M66" s="133"/>
      <c r="N66" s="77" t="s">
        <v>38</v>
      </c>
    </row>
    <row r="67" spans="1:14" s="93" customFormat="1" ht="15.75" customHeight="1">
      <c r="A67" s="78" t="s">
        <v>90</v>
      </c>
      <c r="B67" s="131">
        <f>_xlfn.COMPOUNDVALUE(197)</f>
        <v>1242</v>
      </c>
      <c r="C67" s="132">
        <v>761349</v>
      </c>
      <c r="D67" s="131">
        <f>_xlfn.COMPOUNDVALUE(198)</f>
        <v>1860</v>
      </c>
      <c r="E67" s="132">
        <v>917395</v>
      </c>
      <c r="F67" s="131">
        <f>_xlfn.COMPOUNDVALUE(199)</f>
        <v>3102</v>
      </c>
      <c r="G67" s="132">
        <v>1678744</v>
      </c>
      <c r="H67" s="131">
        <f>_xlfn.COMPOUNDVALUE(200)</f>
        <v>74</v>
      </c>
      <c r="I67" s="133">
        <v>152061</v>
      </c>
      <c r="J67" s="131">
        <v>264</v>
      </c>
      <c r="K67" s="133">
        <v>53566</v>
      </c>
      <c r="L67" s="131">
        <v>3316</v>
      </c>
      <c r="M67" s="133">
        <v>1580249</v>
      </c>
      <c r="N67" s="77" t="s">
        <v>90</v>
      </c>
    </row>
    <row r="68" spans="1:14" s="93" customFormat="1" ht="15.75" customHeight="1">
      <c r="A68" s="78" t="s">
        <v>91</v>
      </c>
      <c r="B68" s="131">
        <f>_xlfn.COMPOUNDVALUE(201)</f>
        <v>969</v>
      </c>
      <c r="C68" s="132">
        <v>559191</v>
      </c>
      <c r="D68" s="131">
        <f>_xlfn.COMPOUNDVALUE(202)</f>
        <v>1593</v>
      </c>
      <c r="E68" s="132">
        <v>738844</v>
      </c>
      <c r="F68" s="131">
        <f>_xlfn.COMPOUNDVALUE(203)</f>
        <v>2562</v>
      </c>
      <c r="G68" s="132">
        <v>1298035</v>
      </c>
      <c r="H68" s="131">
        <f>_xlfn.COMPOUNDVALUE(204)</f>
        <v>50</v>
      </c>
      <c r="I68" s="133">
        <v>60957</v>
      </c>
      <c r="J68" s="131">
        <v>156</v>
      </c>
      <c r="K68" s="133">
        <v>23463</v>
      </c>
      <c r="L68" s="131">
        <v>2691</v>
      </c>
      <c r="M68" s="133">
        <v>1260541</v>
      </c>
      <c r="N68" s="77" t="s">
        <v>91</v>
      </c>
    </row>
    <row r="69" spans="1:14" s="93" customFormat="1" ht="15.75" customHeight="1">
      <c r="A69" s="78" t="s">
        <v>92</v>
      </c>
      <c r="B69" s="131">
        <f>_xlfn.COMPOUNDVALUE(205)</f>
        <v>1258</v>
      </c>
      <c r="C69" s="132">
        <v>828095</v>
      </c>
      <c r="D69" s="131">
        <f>_xlfn.COMPOUNDVALUE(206)</f>
        <v>2219</v>
      </c>
      <c r="E69" s="132">
        <v>1010427</v>
      </c>
      <c r="F69" s="131">
        <f>_xlfn.COMPOUNDVALUE(207)</f>
        <v>3477</v>
      </c>
      <c r="G69" s="132">
        <v>1838522</v>
      </c>
      <c r="H69" s="131">
        <f>_xlfn.COMPOUNDVALUE(208)</f>
        <v>81</v>
      </c>
      <c r="I69" s="133">
        <v>158049</v>
      </c>
      <c r="J69" s="131">
        <v>306</v>
      </c>
      <c r="K69" s="133">
        <v>45156</v>
      </c>
      <c r="L69" s="131">
        <v>3738</v>
      </c>
      <c r="M69" s="133">
        <v>1725629</v>
      </c>
      <c r="N69" s="77" t="s">
        <v>92</v>
      </c>
    </row>
    <row r="70" spans="1:14" s="93" customFormat="1" ht="15.75" customHeight="1">
      <c r="A70" s="78" t="s">
        <v>93</v>
      </c>
      <c r="B70" s="131">
        <f>_xlfn.COMPOUNDVALUE(209)</f>
        <v>1429</v>
      </c>
      <c r="C70" s="132">
        <v>1087067</v>
      </c>
      <c r="D70" s="131">
        <f>_xlfn.COMPOUNDVALUE(210)</f>
        <v>2138</v>
      </c>
      <c r="E70" s="132">
        <v>1010289</v>
      </c>
      <c r="F70" s="131">
        <f>_xlfn.COMPOUNDVALUE(211)</f>
        <v>3567</v>
      </c>
      <c r="G70" s="132">
        <v>2097356</v>
      </c>
      <c r="H70" s="131">
        <f>_xlfn.COMPOUNDVALUE(212)</f>
        <v>77</v>
      </c>
      <c r="I70" s="133">
        <v>81027</v>
      </c>
      <c r="J70" s="131">
        <v>307</v>
      </c>
      <c r="K70" s="133">
        <v>68044</v>
      </c>
      <c r="L70" s="131">
        <v>3829</v>
      </c>
      <c r="M70" s="133">
        <v>2084373</v>
      </c>
      <c r="N70" s="77" t="s">
        <v>93</v>
      </c>
    </row>
    <row r="71" spans="1:14" s="93" customFormat="1" ht="15.75" customHeight="1">
      <c r="A71" s="78" t="s">
        <v>94</v>
      </c>
      <c r="B71" s="131">
        <f>_xlfn.COMPOUNDVALUE(213)</f>
        <v>660</v>
      </c>
      <c r="C71" s="132">
        <v>674455</v>
      </c>
      <c r="D71" s="131">
        <f>_xlfn.COMPOUNDVALUE(214)</f>
        <v>931</v>
      </c>
      <c r="E71" s="132">
        <v>515212</v>
      </c>
      <c r="F71" s="131">
        <f>_xlfn.COMPOUNDVALUE(215)</f>
        <v>1591</v>
      </c>
      <c r="G71" s="132">
        <v>1189667</v>
      </c>
      <c r="H71" s="131">
        <f>_xlfn.COMPOUNDVALUE(216)</f>
        <v>39</v>
      </c>
      <c r="I71" s="133">
        <v>85299</v>
      </c>
      <c r="J71" s="131">
        <v>135</v>
      </c>
      <c r="K71" s="133">
        <v>26868</v>
      </c>
      <c r="L71" s="131">
        <v>1696</v>
      </c>
      <c r="M71" s="133">
        <v>1131236</v>
      </c>
      <c r="N71" s="77" t="s">
        <v>94</v>
      </c>
    </row>
    <row r="72" spans="1:14" s="93" customFormat="1" ht="15.75" customHeight="1">
      <c r="A72" s="79" t="s">
        <v>143</v>
      </c>
      <c r="B72" s="134">
        <v>38982</v>
      </c>
      <c r="C72" s="135">
        <v>43763556</v>
      </c>
      <c r="D72" s="134">
        <v>59251</v>
      </c>
      <c r="E72" s="135">
        <v>32677236</v>
      </c>
      <c r="F72" s="134">
        <v>98233</v>
      </c>
      <c r="G72" s="135">
        <v>76440790</v>
      </c>
      <c r="H72" s="134">
        <v>3479</v>
      </c>
      <c r="I72" s="136">
        <v>5369131</v>
      </c>
      <c r="J72" s="134">
        <v>8220</v>
      </c>
      <c r="K72" s="136">
        <v>1641937</v>
      </c>
      <c r="L72" s="134">
        <v>105487</v>
      </c>
      <c r="M72" s="136">
        <v>72713596</v>
      </c>
      <c r="N72" s="84" t="s">
        <v>96</v>
      </c>
    </row>
    <row r="73" spans="1:14" s="93" customFormat="1" ht="15.75" customHeight="1">
      <c r="A73" s="156"/>
      <c r="B73" s="158"/>
      <c r="C73" s="159"/>
      <c r="D73" s="158"/>
      <c r="E73" s="159"/>
      <c r="F73" s="158"/>
      <c r="G73" s="159"/>
      <c r="H73" s="158"/>
      <c r="I73" s="160"/>
      <c r="J73" s="158"/>
      <c r="K73" s="160"/>
      <c r="L73" s="158"/>
      <c r="M73" s="160"/>
      <c r="N73" s="157" t="s">
        <v>38</v>
      </c>
    </row>
    <row r="74" spans="1:14" s="93" customFormat="1" ht="15.75" customHeight="1">
      <c r="A74" s="76" t="s">
        <v>97</v>
      </c>
      <c r="B74" s="126">
        <f>_xlfn.COMPOUNDVALUE(217)</f>
        <v>1313</v>
      </c>
      <c r="C74" s="127">
        <v>906778</v>
      </c>
      <c r="D74" s="126">
        <f>_xlfn.COMPOUNDVALUE(218)</f>
        <v>2283</v>
      </c>
      <c r="E74" s="127">
        <v>1071924</v>
      </c>
      <c r="F74" s="126">
        <f>_xlfn.COMPOUNDVALUE(219)</f>
        <v>3596</v>
      </c>
      <c r="G74" s="127">
        <v>1978702</v>
      </c>
      <c r="H74" s="126">
        <f>_xlfn.COMPOUNDVALUE(220)</f>
        <v>104</v>
      </c>
      <c r="I74" s="128">
        <v>91459</v>
      </c>
      <c r="J74" s="126">
        <v>370</v>
      </c>
      <c r="K74" s="128">
        <v>65846</v>
      </c>
      <c r="L74" s="126">
        <v>3889</v>
      </c>
      <c r="M74" s="128">
        <v>1953090</v>
      </c>
      <c r="N74" s="85" t="s">
        <v>97</v>
      </c>
    </row>
    <row r="75" spans="1:14" s="93" customFormat="1" ht="15.75" customHeight="1">
      <c r="A75" s="78" t="s">
        <v>98</v>
      </c>
      <c r="B75" s="131">
        <f>_xlfn.COMPOUNDVALUE(221)</f>
        <v>1691</v>
      </c>
      <c r="C75" s="132">
        <v>1426196</v>
      </c>
      <c r="D75" s="131">
        <f>_xlfn.COMPOUNDVALUE(222)</f>
        <v>3050</v>
      </c>
      <c r="E75" s="132">
        <v>1491605</v>
      </c>
      <c r="F75" s="131">
        <f>_xlfn.COMPOUNDVALUE(223)</f>
        <v>4741</v>
      </c>
      <c r="G75" s="132">
        <v>2917801</v>
      </c>
      <c r="H75" s="131">
        <f>_xlfn.COMPOUNDVALUE(224)</f>
        <v>113</v>
      </c>
      <c r="I75" s="133">
        <v>77149</v>
      </c>
      <c r="J75" s="131">
        <v>439</v>
      </c>
      <c r="K75" s="133">
        <v>42118</v>
      </c>
      <c r="L75" s="131">
        <v>5044</v>
      </c>
      <c r="M75" s="133">
        <v>2882770</v>
      </c>
      <c r="N75" s="77" t="s">
        <v>98</v>
      </c>
    </row>
    <row r="76" spans="1:14" s="93" customFormat="1" ht="15.75" customHeight="1">
      <c r="A76" s="78" t="s">
        <v>99</v>
      </c>
      <c r="B76" s="131">
        <f>_xlfn.COMPOUNDVALUE(225)</f>
        <v>1300</v>
      </c>
      <c r="C76" s="132">
        <v>1582402</v>
      </c>
      <c r="D76" s="131">
        <f>_xlfn.COMPOUNDVALUE(226)</f>
        <v>2488</v>
      </c>
      <c r="E76" s="132">
        <v>1367730</v>
      </c>
      <c r="F76" s="131">
        <f>_xlfn.COMPOUNDVALUE(227)</f>
        <v>3788</v>
      </c>
      <c r="G76" s="132">
        <v>2950132</v>
      </c>
      <c r="H76" s="131">
        <f>_xlfn.COMPOUNDVALUE(228)</f>
        <v>102</v>
      </c>
      <c r="I76" s="133">
        <v>131836</v>
      </c>
      <c r="J76" s="131">
        <v>343</v>
      </c>
      <c r="K76" s="133">
        <v>48242</v>
      </c>
      <c r="L76" s="131">
        <v>4051</v>
      </c>
      <c r="M76" s="133">
        <v>2866538</v>
      </c>
      <c r="N76" s="77" t="s">
        <v>99</v>
      </c>
    </row>
    <row r="77" spans="1:14" s="93" customFormat="1" ht="15.75" customHeight="1">
      <c r="A77" s="78" t="s">
        <v>100</v>
      </c>
      <c r="B77" s="131">
        <f>_xlfn.COMPOUNDVALUE(229)</f>
        <v>1174</v>
      </c>
      <c r="C77" s="132">
        <v>737220</v>
      </c>
      <c r="D77" s="131">
        <f>_xlfn.COMPOUNDVALUE(230)</f>
        <v>2046</v>
      </c>
      <c r="E77" s="132">
        <v>871713</v>
      </c>
      <c r="F77" s="131">
        <f>_xlfn.COMPOUNDVALUE(231)</f>
        <v>3220</v>
      </c>
      <c r="G77" s="132">
        <v>1608934</v>
      </c>
      <c r="H77" s="131">
        <f>_xlfn.COMPOUNDVALUE(232)</f>
        <v>65</v>
      </c>
      <c r="I77" s="133">
        <v>65282</v>
      </c>
      <c r="J77" s="131">
        <v>312</v>
      </c>
      <c r="K77" s="133">
        <v>54741</v>
      </c>
      <c r="L77" s="131">
        <v>3409</v>
      </c>
      <c r="M77" s="133">
        <v>1598393</v>
      </c>
      <c r="N77" s="77" t="s">
        <v>100</v>
      </c>
    </row>
    <row r="78" spans="1:14" s="93" customFormat="1" ht="15.75" customHeight="1">
      <c r="A78" s="78" t="s">
        <v>101</v>
      </c>
      <c r="B78" s="131">
        <f>_xlfn.COMPOUNDVALUE(233)</f>
        <v>1471</v>
      </c>
      <c r="C78" s="132">
        <v>984091</v>
      </c>
      <c r="D78" s="131">
        <f>_xlfn.COMPOUNDVALUE(234)</f>
        <v>2462</v>
      </c>
      <c r="E78" s="132">
        <v>1223692</v>
      </c>
      <c r="F78" s="131">
        <f>_xlfn.COMPOUNDVALUE(235)</f>
        <v>3933</v>
      </c>
      <c r="G78" s="132">
        <v>2207784</v>
      </c>
      <c r="H78" s="131">
        <f>_xlfn.COMPOUNDVALUE(236)</f>
        <v>101</v>
      </c>
      <c r="I78" s="133">
        <v>119754</v>
      </c>
      <c r="J78" s="131">
        <v>364</v>
      </c>
      <c r="K78" s="133">
        <v>64092</v>
      </c>
      <c r="L78" s="131">
        <v>4233</v>
      </c>
      <c r="M78" s="133">
        <v>2152122</v>
      </c>
      <c r="N78" s="77" t="s">
        <v>101</v>
      </c>
    </row>
    <row r="79" spans="1:14" s="93" customFormat="1" ht="15.75" customHeight="1">
      <c r="A79" s="103"/>
      <c r="B79" s="139"/>
      <c r="C79" s="140"/>
      <c r="D79" s="139"/>
      <c r="E79" s="140"/>
      <c r="F79" s="139"/>
      <c r="G79" s="140"/>
      <c r="H79" s="139"/>
      <c r="I79" s="141"/>
      <c r="J79" s="139"/>
      <c r="K79" s="141"/>
      <c r="L79" s="139"/>
      <c r="M79" s="140"/>
      <c r="N79" s="105" t="s">
        <v>38</v>
      </c>
    </row>
    <row r="80" spans="1:14" s="93" customFormat="1" ht="15.75" customHeight="1">
      <c r="A80" s="98" t="s">
        <v>102</v>
      </c>
      <c r="B80" s="126">
        <f>_xlfn.COMPOUNDVALUE(237)</f>
        <v>968</v>
      </c>
      <c r="C80" s="127">
        <v>1032203</v>
      </c>
      <c r="D80" s="126">
        <f>_xlfn.COMPOUNDVALUE(238)</f>
        <v>1724</v>
      </c>
      <c r="E80" s="127">
        <v>902784</v>
      </c>
      <c r="F80" s="126">
        <f>_xlfn.COMPOUNDVALUE(239)</f>
        <v>2692</v>
      </c>
      <c r="G80" s="127">
        <v>1934986</v>
      </c>
      <c r="H80" s="126">
        <f>_xlfn.COMPOUNDVALUE(240)</f>
        <v>69</v>
      </c>
      <c r="I80" s="128">
        <v>70341</v>
      </c>
      <c r="J80" s="126">
        <v>284</v>
      </c>
      <c r="K80" s="128">
        <v>21602</v>
      </c>
      <c r="L80" s="126">
        <v>2876</v>
      </c>
      <c r="M80" s="128">
        <v>1886248</v>
      </c>
      <c r="N80" s="100" t="s">
        <v>102</v>
      </c>
    </row>
    <row r="81" spans="1:14" s="93" customFormat="1" ht="15.75" customHeight="1">
      <c r="A81" s="78" t="s">
        <v>103</v>
      </c>
      <c r="B81" s="131">
        <f>_xlfn.COMPOUNDVALUE(241)</f>
        <v>743</v>
      </c>
      <c r="C81" s="132">
        <v>543750</v>
      </c>
      <c r="D81" s="131">
        <f>_xlfn.COMPOUNDVALUE(242)</f>
        <v>1450</v>
      </c>
      <c r="E81" s="132">
        <v>703226</v>
      </c>
      <c r="F81" s="131">
        <f>_xlfn.COMPOUNDVALUE(243)</f>
        <v>2193</v>
      </c>
      <c r="G81" s="132">
        <v>1246977</v>
      </c>
      <c r="H81" s="131">
        <f>_xlfn.COMPOUNDVALUE(244)</f>
        <v>81</v>
      </c>
      <c r="I81" s="133">
        <v>112691</v>
      </c>
      <c r="J81" s="131">
        <v>237</v>
      </c>
      <c r="K81" s="133">
        <v>27589</v>
      </c>
      <c r="L81" s="131">
        <v>2415</v>
      </c>
      <c r="M81" s="133">
        <v>1161875</v>
      </c>
      <c r="N81" s="77" t="s">
        <v>103</v>
      </c>
    </row>
    <row r="82" spans="1:14" s="93" customFormat="1" ht="15.75" customHeight="1">
      <c r="A82" s="78" t="s">
        <v>104</v>
      </c>
      <c r="B82" s="131">
        <f>_xlfn.COMPOUNDVALUE(245)</f>
        <v>1722</v>
      </c>
      <c r="C82" s="132">
        <v>1095850</v>
      </c>
      <c r="D82" s="131">
        <f>_xlfn.COMPOUNDVALUE(246)</f>
        <v>2995</v>
      </c>
      <c r="E82" s="132">
        <v>1405891</v>
      </c>
      <c r="F82" s="131">
        <f>_xlfn.COMPOUNDVALUE(247)</f>
        <v>4717</v>
      </c>
      <c r="G82" s="132">
        <v>2501741</v>
      </c>
      <c r="H82" s="131">
        <f>_xlfn.COMPOUNDVALUE(248)</f>
        <v>91</v>
      </c>
      <c r="I82" s="133">
        <v>163462</v>
      </c>
      <c r="J82" s="131">
        <v>388</v>
      </c>
      <c r="K82" s="133">
        <v>71454</v>
      </c>
      <c r="L82" s="131">
        <v>4994</v>
      </c>
      <c r="M82" s="133">
        <v>2409732</v>
      </c>
      <c r="N82" s="77" t="s">
        <v>104</v>
      </c>
    </row>
    <row r="83" spans="1:14" s="93" customFormat="1" ht="15.75" customHeight="1">
      <c r="A83" s="161" t="s">
        <v>105</v>
      </c>
      <c r="B83" s="162">
        <v>10382</v>
      </c>
      <c r="C83" s="163">
        <v>8308490</v>
      </c>
      <c r="D83" s="162">
        <v>18498</v>
      </c>
      <c r="E83" s="163">
        <v>9038565</v>
      </c>
      <c r="F83" s="162">
        <v>28880</v>
      </c>
      <c r="G83" s="163">
        <v>17347057</v>
      </c>
      <c r="H83" s="162">
        <v>726</v>
      </c>
      <c r="I83" s="164">
        <v>831974</v>
      </c>
      <c r="J83" s="162">
        <v>2737</v>
      </c>
      <c r="K83" s="164">
        <v>395684</v>
      </c>
      <c r="L83" s="162">
        <v>30911</v>
      </c>
      <c r="M83" s="164">
        <v>16910768</v>
      </c>
      <c r="N83" s="165" t="s">
        <v>106</v>
      </c>
    </row>
    <row r="84" spans="1:14" s="93" customFormat="1" ht="15.75" customHeight="1">
      <c r="A84" s="176"/>
      <c r="B84" s="177"/>
      <c r="C84" s="178"/>
      <c r="D84" s="177"/>
      <c r="E84" s="178"/>
      <c r="F84" s="177"/>
      <c r="G84" s="178"/>
      <c r="H84" s="177"/>
      <c r="I84" s="179"/>
      <c r="J84" s="177"/>
      <c r="K84" s="179"/>
      <c r="L84" s="177"/>
      <c r="M84" s="179"/>
      <c r="N84" s="180" t="s">
        <v>38</v>
      </c>
    </row>
    <row r="85" spans="1:14" s="93" customFormat="1" ht="15.75" customHeight="1">
      <c r="A85" s="171" t="s">
        <v>144</v>
      </c>
      <c r="B85" s="172">
        <v>49364</v>
      </c>
      <c r="C85" s="173">
        <v>52072045</v>
      </c>
      <c r="D85" s="172">
        <v>77749</v>
      </c>
      <c r="E85" s="173">
        <v>41715800</v>
      </c>
      <c r="F85" s="172">
        <v>127113</v>
      </c>
      <c r="G85" s="173">
        <v>93787844</v>
      </c>
      <c r="H85" s="172">
        <v>4205</v>
      </c>
      <c r="I85" s="174">
        <v>6201102</v>
      </c>
      <c r="J85" s="172">
        <v>10957</v>
      </c>
      <c r="K85" s="174">
        <v>2037625</v>
      </c>
      <c r="L85" s="172">
        <v>136398</v>
      </c>
      <c r="M85" s="174">
        <v>89624367</v>
      </c>
      <c r="N85" s="175" t="s">
        <v>108</v>
      </c>
    </row>
    <row r="86" spans="1:14" s="93" customFormat="1" ht="15.75" customHeight="1">
      <c r="A86" s="166"/>
      <c r="B86" s="167"/>
      <c r="C86" s="168"/>
      <c r="D86" s="167"/>
      <c r="E86" s="168"/>
      <c r="F86" s="169"/>
      <c r="G86" s="168"/>
      <c r="H86" s="169"/>
      <c r="I86" s="168"/>
      <c r="J86" s="169"/>
      <c r="K86" s="168"/>
      <c r="L86" s="169"/>
      <c r="M86" s="168"/>
      <c r="N86" s="170"/>
    </row>
    <row r="87" spans="1:14" s="93" customFormat="1" ht="15.75" customHeight="1">
      <c r="A87" s="76" t="s">
        <v>109</v>
      </c>
      <c r="B87" s="126">
        <f>_xlfn.COMPOUNDVALUE(249)</f>
        <v>639</v>
      </c>
      <c r="C87" s="127">
        <v>350722</v>
      </c>
      <c r="D87" s="126">
        <f>_xlfn.COMPOUNDVALUE(250)</f>
        <v>1021</v>
      </c>
      <c r="E87" s="127">
        <v>455933</v>
      </c>
      <c r="F87" s="126">
        <f>_xlfn.COMPOUNDVALUE(251)</f>
        <v>1660</v>
      </c>
      <c r="G87" s="127">
        <v>806655</v>
      </c>
      <c r="H87" s="126">
        <f>_xlfn.COMPOUNDVALUE(252)</f>
        <v>49</v>
      </c>
      <c r="I87" s="128">
        <v>88834</v>
      </c>
      <c r="J87" s="126">
        <v>155</v>
      </c>
      <c r="K87" s="128">
        <v>23993</v>
      </c>
      <c r="L87" s="126">
        <v>1800</v>
      </c>
      <c r="M87" s="128">
        <v>741815</v>
      </c>
      <c r="N87" s="86" t="s">
        <v>109</v>
      </c>
    </row>
    <row r="88" spans="1:14" s="93" customFormat="1" ht="15.75" customHeight="1">
      <c r="A88" s="76" t="s">
        <v>110</v>
      </c>
      <c r="B88" s="126">
        <f>_xlfn.COMPOUNDVALUE(253)</f>
        <v>998</v>
      </c>
      <c r="C88" s="127">
        <v>970113</v>
      </c>
      <c r="D88" s="126">
        <f>_xlfn.COMPOUNDVALUE(254)</f>
        <v>1430</v>
      </c>
      <c r="E88" s="127">
        <v>830994</v>
      </c>
      <c r="F88" s="126">
        <f>_xlfn.COMPOUNDVALUE(255)</f>
        <v>2428</v>
      </c>
      <c r="G88" s="127">
        <v>1801107</v>
      </c>
      <c r="H88" s="126">
        <f>_xlfn.COMPOUNDVALUE(256)</f>
        <v>184</v>
      </c>
      <c r="I88" s="128">
        <v>157483</v>
      </c>
      <c r="J88" s="126">
        <v>219</v>
      </c>
      <c r="K88" s="128">
        <v>52897</v>
      </c>
      <c r="L88" s="126">
        <v>2700</v>
      </c>
      <c r="M88" s="128">
        <v>1696521</v>
      </c>
      <c r="N88" s="86" t="s">
        <v>110</v>
      </c>
    </row>
    <row r="89" spans="1:14" s="93" customFormat="1" ht="15.75" customHeight="1">
      <c r="A89" s="76" t="s">
        <v>111</v>
      </c>
      <c r="B89" s="126">
        <f>_xlfn.COMPOUNDVALUE(257)</f>
        <v>1099</v>
      </c>
      <c r="C89" s="127">
        <v>685777</v>
      </c>
      <c r="D89" s="126">
        <f>_xlfn.COMPOUNDVALUE(258)</f>
        <v>1931</v>
      </c>
      <c r="E89" s="127">
        <v>920904</v>
      </c>
      <c r="F89" s="126">
        <f>_xlfn.COMPOUNDVALUE(259)</f>
        <v>3030</v>
      </c>
      <c r="G89" s="127">
        <v>1606681</v>
      </c>
      <c r="H89" s="126">
        <f>_xlfn.COMPOUNDVALUE(260)</f>
        <v>92</v>
      </c>
      <c r="I89" s="128">
        <v>144670</v>
      </c>
      <c r="J89" s="126">
        <v>406</v>
      </c>
      <c r="K89" s="128">
        <v>64863</v>
      </c>
      <c r="L89" s="126">
        <v>3338</v>
      </c>
      <c r="M89" s="128">
        <v>1526874</v>
      </c>
      <c r="N89" s="86" t="s">
        <v>111</v>
      </c>
    </row>
    <row r="90" spans="1:14" s="93" customFormat="1" ht="15.75" customHeight="1">
      <c r="A90" s="76" t="s">
        <v>112</v>
      </c>
      <c r="B90" s="126">
        <f>_xlfn.COMPOUNDVALUE(261)</f>
        <v>1476</v>
      </c>
      <c r="C90" s="127">
        <v>1123996</v>
      </c>
      <c r="D90" s="126">
        <f>_xlfn.COMPOUNDVALUE(262)</f>
        <v>2326</v>
      </c>
      <c r="E90" s="127">
        <v>1126997</v>
      </c>
      <c r="F90" s="126">
        <f>_xlfn.COMPOUNDVALUE(263)</f>
        <v>3802</v>
      </c>
      <c r="G90" s="127">
        <v>2250994</v>
      </c>
      <c r="H90" s="126">
        <f>_xlfn.COMPOUNDVALUE(264)</f>
        <v>140</v>
      </c>
      <c r="I90" s="128">
        <v>138194</v>
      </c>
      <c r="J90" s="126">
        <v>347</v>
      </c>
      <c r="K90" s="128">
        <v>74066</v>
      </c>
      <c r="L90" s="126">
        <v>4169</v>
      </c>
      <c r="M90" s="128">
        <v>2186866</v>
      </c>
      <c r="N90" s="86" t="s">
        <v>112</v>
      </c>
    </row>
    <row r="91" spans="1:14" s="93" customFormat="1" ht="15.75" customHeight="1">
      <c r="A91" s="76" t="s">
        <v>113</v>
      </c>
      <c r="B91" s="126">
        <f>_xlfn.COMPOUNDVALUE(265)</f>
        <v>1232</v>
      </c>
      <c r="C91" s="127">
        <v>1094755</v>
      </c>
      <c r="D91" s="126">
        <f>_xlfn.COMPOUNDVALUE(266)</f>
        <v>2304</v>
      </c>
      <c r="E91" s="127">
        <v>1239320</v>
      </c>
      <c r="F91" s="126">
        <f>_xlfn.COMPOUNDVALUE(267)</f>
        <v>3536</v>
      </c>
      <c r="G91" s="127">
        <v>2334075</v>
      </c>
      <c r="H91" s="126">
        <f>_xlfn.COMPOUNDVALUE(268)</f>
        <v>128</v>
      </c>
      <c r="I91" s="128">
        <v>176925</v>
      </c>
      <c r="J91" s="126">
        <v>261</v>
      </c>
      <c r="K91" s="128">
        <v>36445</v>
      </c>
      <c r="L91" s="126">
        <v>3780</v>
      </c>
      <c r="M91" s="128">
        <v>2193595</v>
      </c>
      <c r="N91" s="86" t="s">
        <v>113</v>
      </c>
    </row>
    <row r="92" spans="1:14" s="93" customFormat="1" ht="15.75" customHeight="1">
      <c r="A92" s="76"/>
      <c r="B92" s="126"/>
      <c r="C92" s="127"/>
      <c r="D92" s="126"/>
      <c r="E92" s="127"/>
      <c r="F92" s="126"/>
      <c r="G92" s="127"/>
      <c r="H92" s="126"/>
      <c r="I92" s="128"/>
      <c r="J92" s="126"/>
      <c r="K92" s="128"/>
      <c r="L92" s="126"/>
      <c r="M92" s="128"/>
      <c r="N92" s="86" t="s">
        <v>38</v>
      </c>
    </row>
    <row r="93" spans="1:14" s="93" customFormat="1" ht="15.75" customHeight="1">
      <c r="A93" s="76" t="s">
        <v>114</v>
      </c>
      <c r="B93" s="126">
        <f>_xlfn.COMPOUNDVALUE(269)</f>
        <v>965</v>
      </c>
      <c r="C93" s="127">
        <v>779676</v>
      </c>
      <c r="D93" s="126">
        <f>_xlfn.COMPOUNDVALUE(270)</f>
        <v>1820</v>
      </c>
      <c r="E93" s="127">
        <v>891496</v>
      </c>
      <c r="F93" s="126">
        <f>_xlfn.COMPOUNDVALUE(271)</f>
        <v>2785</v>
      </c>
      <c r="G93" s="127">
        <v>1671172</v>
      </c>
      <c r="H93" s="126">
        <f>_xlfn.COMPOUNDVALUE(272)</f>
        <v>101</v>
      </c>
      <c r="I93" s="128">
        <v>122681</v>
      </c>
      <c r="J93" s="126">
        <v>277</v>
      </c>
      <c r="K93" s="128">
        <v>42410</v>
      </c>
      <c r="L93" s="126">
        <v>3059</v>
      </c>
      <c r="M93" s="128">
        <v>1590900</v>
      </c>
      <c r="N93" s="86" t="s">
        <v>114</v>
      </c>
    </row>
    <row r="94" spans="1:14" s="93" customFormat="1" ht="15.75" customHeight="1">
      <c r="A94" s="76" t="s">
        <v>169</v>
      </c>
      <c r="B94" s="126">
        <f>_xlfn.COMPOUNDVALUE(273)</f>
        <v>1698</v>
      </c>
      <c r="C94" s="127">
        <v>1765878</v>
      </c>
      <c r="D94" s="126">
        <f>_xlfn.COMPOUNDVALUE(274)</f>
        <v>3111</v>
      </c>
      <c r="E94" s="127">
        <v>1791492</v>
      </c>
      <c r="F94" s="126">
        <f>_xlfn.COMPOUNDVALUE(275)</f>
        <v>4809</v>
      </c>
      <c r="G94" s="127">
        <v>3557371</v>
      </c>
      <c r="H94" s="126">
        <f>_xlfn.COMPOUNDVALUE(276)</f>
        <v>144</v>
      </c>
      <c r="I94" s="128">
        <v>198749</v>
      </c>
      <c r="J94" s="126">
        <v>464</v>
      </c>
      <c r="K94" s="128">
        <v>61855</v>
      </c>
      <c r="L94" s="126">
        <v>5206</v>
      </c>
      <c r="M94" s="128">
        <v>3420476</v>
      </c>
      <c r="N94" s="86" t="s">
        <v>115</v>
      </c>
    </row>
    <row r="95" spans="1:14" s="93" customFormat="1" ht="15.75" customHeight="1">
      <c r="A95" s="76" t="s">
        <v>116</v>
      </c>
      <c r="B95" s="126">
        <f>_xlfn.COMPOUNDVALUE(277)</f>
        <v>970</v>
      </c>
      <c r="C95" s="127">
        <v>554322</v>
      </c>
      <c r="D95" s="126">
        <f>_xlfn.COMPOUNDVALUE(278)</f>
        <v>1412</v>
      </c>
      <c r="E95" s="127">
        <v>681382</v>
      </c>
      <c r="F95" s="126">
        <f>_xlfn.COMPOUNDVALUE(279)</f>
        <v>2382</v>
      </c>
      <c r="G95" s="127">
        <v>1235703</v>
      </c>
      <c r="H95" s="126">
        <f>_xlfn.COMPOUNDVALUE(280)</f>
        <v>79</v>
      </c>
      <c r="I95" s="128">
        <v>91549</v>
      </c>
      <c r="J95" s="126">
        <v>202</v>
      </c>
      <c r="K95" s="128">
        <v>44847</v>
      </c>
      <c r="L95" s="126">
        <v>2582</v>
      </c>
      <c r="M95" s="128">
        <v>1189001</v>
      </c>
      <c r="N95" s="86" t="s">
        <v>116</v>
      </c>
    </row>
    <row r="96" spans="1:14" s="93" customFormat="1" ht="15.75" customHeight="1">
      <c r="A96" s="76" t="s">
        <v>117</v>
      </c>
      <c r="B96" s="126">
        <f>_xlfn.COMPOUNDVALUE(281)</f>
        <v>1474</v>
      </c>
      <c r="C96" s="127">
        <v>1097115</v>
      </c>
      <c r="D96" s="126">
        <f>_xlfn.COMPOUNDVALUE(282)</f>
        <v>2741</v>
      </c>
      <c r="E96" s="127">
        <v>1418489</v>
      </c>
      <c r="F96" s="126">
        <f>_xlfn.COMPOUNDVALUE(283)</f>
        <v>4215</v>
      </c>
      <c r="G96" s="127">
        <v>2515604</v>
      </c>
      <c r="H96" s="126">
        <f>_xlfn.COMPOUNDVALUE(284)</f>
        <v>137</v>
      </c>
      <c r="I96" s="128">
        <v>140173</v>
      </c>
      <c r="J96" s="126">
        <v>421</v>
      </c>
      <c r="K96" s="128">
        <v>59813</v>
      </c>
      <c r="L96" s="126">
        <v>4526</v>
      </c>
      <c r="M96" s="128">
        <v>2435244</v>
      </c>
      <c r="N96" s="86" t="s">
        <v>117</v>
      </c>
    </row>
    <row r="97" spans="1:14" s="93" customFormat="1" ht="15.75" customHeight="1">
      <c r="A97" s="76" t="s">
        <v>118</v>
      </c>
      <c r="B97" s="126">
        <f>_xlfn.COMPOUNDVALUE(285)</f>
        <v>891</v>
      </c>
      <c r="C97" s="127">
        <v>746987</v>
      </c>
      <c r="D97" s="126">
        <f>_xlfn.COMPOUNDVALUE(286)</f>
        <v>1445</v>
      </c>
      <c r="E97" s="127">
        <v>702296</v>
      </c>
      <c r="F97" s="126">
        <f>_xlfn.COMPOUNDVALUE(287)</f>
        <v>2336</v>
      </c>
      <c r="G97" s="127">
        <v>1449283</v>
      </c>
      <c r="H97" s="126">
        <f>_xlfn.COMPOUNDVALUE(288)</f>
        <v>91</v>
      </c>
      <c r="I97" s="128">
        <v>87816</v>
      </c>
      <c r="J97" s="126">
        <v>247</v>
      </c>
      <c r="K97" s="128">
        <v>74299</v>
      </c>
      <c r="L97" s="126">
        <v>2553</v>
      </c>
      <c r="M97" s="128">
        <v>1435765</v>
      </c>
      <c r="N97" s="86" t="s">
        <v>118</v>
      </c>
    </row>
    <row r="98" spans="1:14" s="93" customFormat="1" ht="15.75" customHeight="1">
      <c r="A98" s="76"/>
      <c r="B98" s="126"/>
      <c r="C98" s="127"/>
      <c r="D98" s="126"/>
      <c r="E98" s="127"/>
      <c r="F98" s="126"/>
      <c r="G98" s="127"/>
      <c r="H98" s="126"/>
      <c r="I98" s="128"/>
      <c r="J98" s="126"/>
      <c r="K98" s="128"/>
      <c r="L98" s="126"/>
      <c r="M98" s="128"/>
      <c r="N98" s="86" t="s">
        <v>38</v>
      </c>
    </row>
    <row r="99" spans="1:14" s="93" customFormat="1" ht="15.75" customHeight="1">
      <c r="A99" s="76" t="s">
        <v>119</v>
      </c>
      <c r="B99" s="126">
        <f>_xlfn.COMPOUNDVALUE(289)</f>
        <v>951</v>
      </c>
      <c r="C99" s="127">
        <v>490524</v>
      </c>
      <c r="D99" s="126">
        <f>_xlfn.COMPOUNDVALUE(290)</f>
        <v>2268</v>
      </c>
      <c r="E99" s="127">
        <v>928003</v>
      </c>
      <c r="F99" s="126">
        <f>_xlfn.COMPOUNDVALUE(291)</f>
        <v>3219</v>
      </c>
      <c r="G99" s="127">
        <v>1418527</v>
      </c>
      <c r="H99" s="126">
        <f>_xlfn.COMPOUNDVALUE(292)</f>
        <v>70</v>
      </c>
      <c r="I99" s="128">
        <v>37933</v>
      </c>
      <c r="J99" s="126">
        <v>246</v>
      </c>
      <c r="K99" s="128">
        <v>45265</v>
      </c>
      <c r="L99" s="126">
        <v>3431</v>
      </c>
      <c r="M99" s="128">
        <v>1425859</v>
      </c>
      <c r="N99" s="86" t="s">
        <v>119</v>
      </c>
    </row>
    <row r="100" spans="1:14" s="93" customFormat="1" ht="15.75" customHeight="1">
      <c r="A100" s="76" t="s">
        <v>120</v>
      </c>
      <c r="B100" s="126">
        <f>_xlfn.COMPOUNDVALUE(293)</f>
        <v>1111</v>
      </c>
      <c r="C100" s="127">
        <v>637282</v>
      </c>
      <c r="D100" s="126">
        <f>_xlfn.COMPOUNDVALUE(294)</f>
        <v>2228</v>
      </c>
      <c r="E100" s="127">
        <v>961511</v>
      </c>
      <c r="F100" s="126">
        <f>_xlfn.COMPOUNDVALUE(295)</f>
        <v>3339</v>
      </c>
      <c r="G100" s="127">
        <v>1598793</v>
      </c>
      <c r="H100" s="126">
        <f>_xlfn.COMPOUNDVALUE(296)</f>
        <v>71</v>
      </c>
      <c r="I100" s="128">
        <v>51616</v>
      </c>
      <c r="J100" s="126">
        <v>305</v>
      </c>
      <c r="K100" s="128">
        <v>54762</v>
      </c>
      <c r="L100" s="126">
        <v>3571</v>
      </c>
      <c r="M100" s="128">
        <v>1601940</v>
      </c>
      <c r="N100" s="86" t="s">
        <v>120</v>
      </c>
    </row>
    <row r="101" spans="1:14" s="93" customFormat="1" ht="15.75" customHeight="1">
      <c r="A101" s="78" t="s">
        <v>121</v>
      </c>
      <c r="B101" s="131">
        <f>_xlfn.COMPOUNDVALUE(297)</f>
        <v>739</v>
      </c>
      <c r="C101" s="132">
        <v>578178</v>
      </c>
      <c r="D101" s="131">
        <f>_xlfn.COMPOUNDVALUE(298)</f>
        <v>1438</v>
      </c>
      <c r="E101" s="132">
        <v>709645</v>
      </c>
      <c r="F101" s="131">
        <f>_xlfn.COMPOUNDVALUE(299)</f>
        <v>2177</v>
      </c>
      <c r="G101" s="132">
        <v>1287823</v>
      </c>
      <c r="H101" s="131">
        <f>_xlfn.COMPOUNDVALUE(300)</f>
        <v>88</v>
      </c>
      <c r="I101" s="133">
        <v>56777</v>
      </c>
      <c r="J101" s="131">
        <v>217</v>
      </c>
      <c r="K101" s="133">
        <v>34170</v>
      </c>
      <c r="L101" s="131">
        <v>2370</v>
      </c>
      <c r="M101" s="133">
        <v>1265215</v>
      </c>
      <c r="N101" s="77" t="s">
        <v>121</v>
      </c>
    </row>
    <row r="102" spans="1:14" s="93" customFormat="1" ht="15.75" customHeight="1">
      <c r="A102" s="78" t="s">
        <v>122</v>
      </c>
      <c r="B102" s="131">
        <f>_xlfn.COMPOUNDVALUE(301)</f>
        <v>1631</v>
      </c>
      <c r="C102" s="132">
        <v>1187345</v>
      </c>
      <c r="D102" s="131">
        <f>_xlfn.COMPOUNDVALUE(302)</f>
        <v>2968</v>
      </c>
      <c r="E102" s="132">
        <v>1421107</v>
      </c>
      <c r="F102" s="131">
        <f>_xlfn.COMPOUNDVALUE(303)</f>
        <v>4599</v>
      </c>
      <c r="G102" s="132">
        <v>2608452</v>
      </c>
      <c r="H102" s="131">
        <f>_xlfn.COMPOUNDVALUE(304)</f>
        <v>136</v>
      </c>
      <c r="I102" s="133">
        <v>311916</v>
      </c>
      <c r="J102" s="131">
        <v>417</v>
      </c>
      <c r="K102" s="133">
        <v>43925</v>
      </c>
      <c r="L102" s="131">
        <v>4906</v>
      </c>
      <c r="M102" s="133">
        <v>2340461</v>
      </c>
      <c r="N102" s="77" t="s">
        <v>122</v>
      </c>
    </row>
    <row r="103" spans="1:14" s="93" customFormat="1" ht="15.75" customHeight="1">
      <c r="A103" s="78" t="s">
        <v>123</v>
      </c>
      <c r="B103" s="131">
        <f>_xlfn.COMPOUNDVALUE(305)</f>
        <v>974</v>
      </c>
      <c r="C103" s="132">
        <v>482415</v>
      </c>
      <c r="D103" s="131">
        <f>_xlfn.COMPOUNDVALUE(306)</f>
        <v>1622</v>
      </c>
      <c r="E103" s="132">
        <v>649835</v>
      </c>
      <c r="F103" s="131">
        <f>_xlfn.COMPOUNDVALUE(307)</f>
        <v>2596</v>
      </c>
      <c r="G103" s="132">
        <v>1132250</v>
      </c>
      <c r="H103" s="131">
        <f>_xlfn.COMPOUNDVALUE(308)</f>
        <v>72</v>
      </c>
      <c r="I103" s="133">
        <v>37513</v>
      </c>
      <c r="J103" s="131">
        <v>179</v>
      </c>
      <c r="K103" s="133">
        <v>19258</v>
      </c>
      <c r="L103" s="131">
        <v>2737</v>
      </c>
      <c r="M103" s="133">
        <v>1113995</v>
      </c>
      <c r="N103" s="77" t="s">
        <v>123</v>
      </c>
    </row>
    <row r="104" spans="1:14" s="93" customFormat="1" ht="15.75" customHeight="1">
      <c r="A104" s="78"/>
      <c r="B104" s="131"/>
      <c r="C104" s="132"/>
      <c r="D104" s="131"/>
      <c r="E104" s="132"/>
      <c r="F104" s="131"/>
      <c r="G104" s="132"/>
      <c r="H104" s="131"/>
      <c r="I104" s="133"/>
      <c r="J104" s="131"/>
      <c r="K104" s="133"/>
      <c r="L104" s="131"/>
      <c r="M104" s="133"/>
      <c r="N104" s="77" t="s">
        <v>38</v>
      </c>
    </row>
    <row r="105" spans="1:14" s="93" customFormat="1" ht="15.75" customHeight="1">
      <c r="A105" s="78" t="s">
        <v>124</v>
      </c>
      <c r="B105" s="131">
        <f>_xlfn.COMPOUNDVALUE(309)</f>
        <v>1439</v>
      </c>
      <c r="C105" s="132">
        <v>1081908</v>
      </c>
      <c r="D105" s="131">
        <f>_xlfn.COMPOUNDVALUE(310)</f>
        <v>2702</v>
      </c>
      <c r="E105" s="132">
        <v>1256662</v>
      </c>
      <c r="F105" s="131">
        <f>_xlfn.COMPOUNDVALUE(311)</f>
        <v>4141</v>
      </c>
      <c r="G105" s="132">
        <v>2338570</v>
      </c>
      <c r="H105" s="131">
        <f>_xlfn.COMPOUNDVALUE(312)</f>
        <v>107</v>
      </c>
      <c r="I105" s="133">
        <v>118214</v>
      </c>
      <c r="J105" s="131">
        <v>324</v>
      </c>
      <c r="K105" s="133">
        <v>69376</v>
      </c>
      <c r="L105" s="131">
        <v>4440</v>
      </c>
      <c r="M105" s="133">
        <v>2289731</v>
      </c>
      <c r="N105" s="77" t="s">
        <v>124</v>
      </c>
    </row>
    <row r="106" spans="1:14" s="93" customFormat="1" ht="15.75" customHeight="1">
      <c r="A106" s="78" t="s">
        <v>125</v>
      </c>
      <c r="B106" s="131">
        <f>_xlfn.COMPOUNDVALUE(313)</f>
        <v>682</v>
      </c>
      <c r="C106" s="132">
        <v>430505</v>
      </c>
      <c r="D106" s="131">
        <f>_xlfn.COMPOUNDVALUE(314)</f>
        <v>1234</v>
      </c>
      <c r="E106" s="132">
        <v>576383</v>
      </c>
      <c r="F106" s="131">
        <f>_xlfn.COMPOUNDVALUE(315)</f>
        <v>1916</v>
      </c>
      <c r="G106" s="132">
        <v>1006887</v>
      </c>
      <c r="H106" s="131">
        <f>_xlfn.COMPOUNDVALUE(316)</f>
        <v>41</v>
      </c>
      <c r="I106" s="133">
        <v>45620</v>
      </c>
      <c r="J106" s="131">
        <v>192</v>
      </c>
      <c r="K106" s="133">
        <v>75814</v>
      </c>
      <c r="L106" s="131">
        <v>2043</v>
      </c>
      <c r="M106" s="133">
        <v>1037082</v>
      </c>
      <c r="N106" s="77" t="s">
        <v>125</v>
      </c>
    </row>
    <row r="107" spans="1:14" s="93" customFormat="1" ht="15.75" customHeight="1">
      <c r="A107" s="78" t="s">
        <v>126</v>
      </c>
      <c r="B107" s="131">
        <f>_xlfn.COMPOUNDVALUE(317)</f>
        <v>1145</v>
      </c>
      <c r="C107" s="132">
        <v>691143</v>
      </c>
      <c r="D107" s="131">
        <f>_xlfn.COMPOUNDVALUE(318)</f>
        <v>2186</v>
      </c>
      <c r="E107" s="132">
        <v>1013831</v>
      </c>
      <c r="F107" s="131">
        <f>_xlfn.COMPOUNDVALUE(319)</f>
        <v>3331</v>
      </c>
      <c r="G107" s="132">
        <v>1704973</v>
      </c>
      <c r="H107" s="131">
        <f>_xlfn.COMPOUNDVALUE(320)</f>
        <v>107</v>
      </c>
      <c r="I107" s="133">
        <v>240121</v>
      </c>
      <c r="J107" s="131">
        <v>368</v>
      </c>
      <c r="K107" s="133">
        <v>77024</v>
      </c>
      <c r="L107" s="131">
        <v>3620</v>
      </c>
      <c r="M107" s="133">
        <v>1541877</v>
      </c>
      <c r="N107" s="77" t="s">
        <v>126</v>
      </c>
    </row>
    <row r="108" spans="1:14" s="93" customFormat="1" ht="15.75" customHeight="1">
      <c r="A108" s="161" t="s">
        <v>145</v>
      </c>
      <c r="B108" s="162">
        <v>20114</v>
      </c>
      <c r="C108" s="163">
        <v>14748640</v>
      </c>
      <c r="D108" s="162">
        <v>36187</v>
      </c>
      <c r="E108" s="163">
        <v>17576278</v>
      </c>
      <c r="F108" s="162">
        <v>56301</v>
      </c>
      <c r="G108" s="163">
        <v>32324919</v>
      </c>
      <c r="H108" s="162">
        <v>1837</v>
      </c>
      <c r="I108" s="164">
        <v>2246783</v>
      </c>
      <c r="J108" s="162">
        <v>5247</v>
      </c>
      <c r="K108" s="164">
        <v>955081</v>
      </c>
      <c r="L108" s="162">
        <v>60831</v>
      </c>
      <c r="M108" s="164">
        <v>31033217</v>
      </c>
      <c r="N108" s="165" t="s">
        <v>128</v>
      </c>
    </row>
    <row r="109" spans="1:14" s="93" customFormat="1" ht="15.75" customHeight="1">
      <c r="A109" s="166"/>
      <c r="B109" s="167"/>
      <c r="C109" s="168"/>
      <c r="D109" s="167"/>
      <c r="E109" s="168"/>
      <c r="F109" s="169"/>
      <c r="G109" s="168"/>
      <c r="H109" s="169"/>
      <c r="I109" s="168"/>
      <c r="J109" s="169"/>
      <c r="K109" s="168"/>
      <c r="L109" s="169"/>
      <c r="M109" s="168"/>
      <c r="N109" s="170"/>
    </row>
    <row r="110" spans="1:14" s="93" customFormat="1" ht="15.75" customHeight="1">
      <c r="A110" s="76" t="s">
        <v>129</v>
      </c>
      <c r="B110" s="126">
        <f>_xlfn.COMPOUNDVALUE(321)</f>
        <v>1961</v>
      </c>
      <c r="C110" s="127">
        <v>1276159</v>
      </c>
      <c r="D110" s="126">
        <f>_xlfn.COMPOUNDVALUE(322)</f>
        <v>2938</v>
      </c>
      <c r="E110" s="127">
        <v>1178884</v>
      </c>
      <c r="F110" s="126">
        <f>_xlfn.COMPOUNDVALUE(323)</f>
        <v>4899</v>
      </c>
      <c r="G110" s="127">
        <v>2455043</v>
      </c>
      <c r="H110" s="126">
        <f>_xlfn.COMPOUNDVALUE(324)</f>
        <v>129</v>
      </c>
      <c r="I110" s="128">
        <v>82711</v>
      </c>
      <c r="J110" s="126">
        <v>383</v>
      </c>
      <c r="K110" s="128">
        <v>70824</v>
      </c>
      <c r="L110" s="126">
        <v>5188</v>
      </c>
      <c r="M110" s="128">
        <v>2443156</v>
      </c>
      <c r="N110" s="86" t="s">
        <v>129</v>
      </c>
    </row>
    <row r="111" spans="1:14" s="93" customFormat="1" ht="15.75" customHeight="1">
      <c r="A111" s="78" t="s">
        <v>130</v>
      </c>
      <c r="B111" s="131">
        <f>_xlfn.COMPOUNDVALUE(325)</f>
        <v>612</v>
      </c>
      <c r="C111" s="132">
        <v>363133</v>
      </c>
      <c r="D111" s="131">
        <f>_xlfn.COMPOUNDVALUE(326)</f>
        <v>1269</v>
      </c>
      <c r="E111" s="132">
        <v>423689</v>
      </c>
      <c r="F111" s="131">
        <f>_xlfn.COMPOUNDVALUE(327)</f>
        <v>1881</v>
      </c>
      <c r="G111" s="132">
        <v>786822</v>
      </c>
      <c r="H111" s="131">
        <f>_xlfn.COMPOUNDVALUE(328)</f>
        <v>27</v>
      </c>
      <c r="I111" s="133">
        <v>13879</v>
      </c>
      <c r="J111" s="131">
        <v>75</v>
      </c>
      <c r="K111" s="133">
        <v>8547</v>
      </c>
      <c r="L111" s="131">
        <v>1941</v>
      </c>
      <c r="M111" s="133">
        <v>781490</v>
      </c>
      <c r="N111" s="77" t="s">
        <v>130</v>
      </c>
    </row>
    <row r="112" spans="1:14" s="93" customFormat="1" ht="15.75" customHeight="1">
      <c r="A112" s="78" t="s">
        <v>131</v>
      </c>
      <c r="B112" s="131">
        <f>_xlfn.COMPOUNDVALUE(329)</f>
        <v>1017</v>
      </c>
      <c r="C112" s="132">
        <v>627029</v>
      </c>
      <c r="D112" s="131">
        <f>_xlfn.COMPOUNDVALUE(330)</f>
        <v>1390</v>
      </c>
      <c r="E112" s="132">
        <v>559851</v>
      </c>
      <c r="F112" s="131">
        <f>_xlfn.COMPOUNDVALUE(331)</f>
        <v>2407</v>
      </c>
      <c r="G112" s="132">
        <v>1186880</v>
      </c>
      <c r="H112" s="131">
        <f>_xlfn.COMPOUNDVALUE(332)</f>
        <v>51</v>
      </c>
      <c r="I112" s="133">
        <v>27617</v>
      </c>
      <c r="J112" s="131">
        <v>179</v>
      </c>
      <c r="K112" s="133">
        <v>19757</v>
      </c>
      <c r="L112" s="131">
        <v>2526</v>
      </c>
      <c r="M112" s="133">
        <v>1179019</v>
      </c>
      <c r="N112" s="77" t="s">
        <v>131</v>
      </c>
    </row>
    <row r="113" spans="1:14" s="93" customFormat="1" ht="15.75" customHeight="1">
      <c r="A113" s="78" t="s">
        <v>132</v>
      </c>
      <c r="B113" s="131">
        <f>_xlfn.COMPOUNDVALUE(333)</f>
        <v>190</v>
      </c>
      <c r="C113" s="132">
        <v>119036</v>
      </c>
      <c r="D113" s="131">
        <f>_xlfn.COMPOUNDVALUE(334)</f>
        <v>441</v>
      </c>
      <c r="E113" s="132">
        <v>153149</v>
      </c>
      <c r="F113" s="131">
        <f>_xlfn.COMPOUNDVALUE(335)</f>
        <v>631</v>
      </c>
      <c r="G113" s="132">
        <v>272185</v>
      </c>
      <c r="H113" s="131">
        <f>_xlfn.COMPOUNDVALUE(336)</f>
        <v>10</v>
      </c>
      <c r="I113" s="133">
        <v>3950</v>
      </c>
      <c r="J113" s="131">
        <v>53</v>
      </c>
      <c r="K113" s="133">
        <v>9544</v>
      </c>
      <c r="L113" s="131">
        <v>650</v>
      </c>
      <c r="M113" s="133">
        <v>277778</v>
      </c>
      <c r="N113" s="77" t="s">
        <v>132</v>
      </c>
    </row>
    <row r="114" spans="1:14" s="93" customFormat="1" ht="15.75" customHeight="1">
      <c r="A114" s="79" t="s">
        <v>133</v>
      </c>
      <c r="B114" s="134">
        <v>3780</v>
      </c>
      <c r="C114" s="135">
        <v>2385358</v>
      </c>
      <c r="D114" s="134">
        <v>6038</v>
      </c>
      <c r="E114" s="135">
        <v>2315572</v>
      </c>
      <c r="F114" s="134">
        <v>9818</v>
      </c>
      <c r="G114" s="135">
        <v>4700929</v>
      </c>
      <c r="H114" s="134">
        <v>217</v>
      </c>
      <c r="I114" s="136">
        <v>128157</v>
      </c>
      <c r="J114" s="134">
        <v>690</v>
      </c>
      <c r="K114" s="136">
        <v>108671</v>
      </c>
      <c r="L114" s="134">
        <v>10305</v>
      </c>
      <c r="M114" s="136">
        <v>4681443</v>
      </c>
      <c r="N114" s="84" t="s">
        <v>134</v>
      </c>
    </row>
    <row r="115" spans="1:15" s="93" customFormat="1" ht="15.75" customHeight="1" thickBot="1">
      <c r="A115" s="80"/>
      <c r="B115" s="142"/>
      <c r="C115" s="143"/>
      <c r="D115" s="142"/>
      <c r="E115" s="143"/>
      <c r="F115" s="144"/>
      <c r="G115" s="143"/>
      <c r="H115" s="144"/>
      <c r="I115" s="143"/>
      <c r="J115" s="144"/>
      <c r="K115" s="143"/>
      <c r="L115" s="144"/>
      <c r="M115" s="143"/>
      <c r="N115" s="90"/>
      <c r="O115" s="94"/>
    </row>
    <row r="116" spans="1:14" s="93" customFormat="1" ht="15.75" customHeight="1" thickBot="1" thickTop="1">
      <c r="A116" s="82" t="s">
        <v>146</v>
      </c>
      <c r="B116" s="148">
        <v>88080</v>
      </c>
      <c r="C116" s="149">
        <v>79285957</v>
      </c>
      <c r="D116" s="148">
        <v>146597</v>
      </c>
      <c r="E116" s="149">
        <v>73267583</v>
      </c>
      <c r="F116" s="148">
        <v>234677</v>
      </c>
      <c r="G116" s="149">
        <v>152553540</v>
      </c>
      <c r="H116" s="148">
        <v>7619</v>
      </c>
      <c r="I116" s="150">
        <v>10145160</v>
      </c>
      <c r="J116" s="148">
        <v>20799</v>
      </c>
      <c r="K116" s="150">
        <v>3687230</v>
      </c>
      <c r="L116" s="148">
        <v>252038</v>
      </c>
      <c r="M116" s="150">
        <v>146095610</v>
      </c>
      <c r="N116" s="91" t="s">
        <v>37</v>
      </c>
    </row>
    <row r="117" spans="1:14" ht="13.5">
      <c r="A117" s="247" t="s">
        <v>179</v>
      </c>
      <c r="B117" s="247"/>
      <c r="C117" s="247"/>
      <c r="D117" s="247"/>
      <c r="E117" s="247"/>
      <c r="F117" s="247"/>
      <c r="G117" s="247"/>
      <c r="H117" s="247"/>
      <c r="I117" s="247"/>
      <c r="J117" s="66"/>
      <c r="K117" s="66"/>
      <c r="L117" s="65"/>
      <c r="M117" s="65"/>
      <c r="N117" s="65"/>
    </row>
    <row r="119" spans="2:10" ht="13.5">
      <c r="B119" s="155"/>
      <c r="C119" s="155"/>
      <c r="D119" s="155"/>
      <c r="E119" s="155"/>
      <c r="F119" s="155"/>
      <c r="G119" s="155"/>
      <c r="H119" s="155"/>
      <c r="J119" s="155"/>
    </row>
    <row r="120" spans="2:10" ht="13.5">
      <c r="B120" s="155"/>
      <c r="C120" s="155"/>
      <c r="D120" s="155"/>
      <c r="E120" s="155"/>
      <c r="F120" s="155"/>
      <c r="G120" s="155"/>
      <c r="H120" s="155"/>
      <c r="J120" s="155"/>
    </row>
    <row r="121" spans="2:10" ht="13.5">
      <c r="B121" s="155"/>
      <c r="C121" s="155"/>
      <c r="D121" s="155"/>
      <c r="E121" s="155"/>
      <c r="F121" s="155"/>
      <c r="G121" s="155"/>
      <c r="H121" s="155"/>
      <c r="J121" s="155"/>
    </row>
    <row r="122" spans="2:10" ht="13.5">
      <c r="B122" s="155"/>
      <c r="C122" s="155"/>
      <c r="D122" s="155"/>
      <c r="E122" s="155"/>
      <c r="F122" s="155"/>
      <c r="G122" s="155"/>
      <c r="H122" s="155"/>
      <c r="J122" s="155"/>
    </row>
    <row r="123" spans="2:10" ht="13.5">
      <c r="B123" s="155"/>
      <c r="C123" s="155"/>
      <c r="D123" s="155"/>
      <c r="E123" s="155"/>
      <c r="F123" s="155"/>
      <c r="G123" s="155"/>
      <c r="H123" s="155"/>
      <c r="J123" s="155"/>
    </row>
    <row r="124" spans="2:10" ht="13.5">
      <c r="B124" s="155"/>
      <c r="C124" s="155"/>
      <c r="D124" s="155"/>
      <c r="E124" s="155"/>
      <c r="F124" s="155"/>
      <c r="G124" s="155"/>
      <c r="H124" s="155"/>
      <c r="J124" s="155"/>
    </row>
    <row r="125" spans="2:10" ht="13.5">
      <c r="B125" s="155"/>
      <c r="C125" s="155"/>
      <c r="D125" s="155"/>
      <c r="E125" s="155"/>
      <c r="F125" s="155"/>
      <c r="G125" s="155"/>
      <c r="H125" s="155"/>
      <c r="J125" s="155"/>
    </row>
    <row r="126" spans="2:10" ht="13.5">
      <c r="B126" s="155"/>
      <c r="C126" s="155"/>
      <c r="D126" s="155"/>
      <c r="E126" s="155"/>
      <c r="F126" s="155"/>
      <c r="G126" s="155"/>
      <c r="H126" s="155"/>
      <c r="J126" s="155"/>
    </row>
    <row r="127" spans="2:10" ht="13.5">
      <c r="B127" s="155"/>
      <c r="C127" s="155"/>
      <c r="D127" s="155"/>
      <c r="E127" s="155"/>
      <c r="F127" s="155"/>
      <c r="G127" s="155"/>
      <c r="H127" s="155"/>
      <c r="J127" s="155"/>
    </row>
    <row r="128" spans="2:10" ht="13.5">
      <c r="B128" s="155"/>
      <c r="C128" s="155"/>
      <c r="D128" s="155"/>
      <c r="E128" s="155"/>
      <c r="F128" s="155"/>
      <c r="G128" s="155"/>
      <c r="H128" s="155"/>
      <c r="J128" s="155"/>
    </row>
    <row r="129" spans="2:10" ht="13.5">
      <c r="B129" s="155"/>
      <c r="C129" s="155"/>
      <c r="D129" s="155"/>
      <c r="E129" s="155"/>
      <c r="F129" s="155"/>
      <c r="G129" s="155"/>
      <c r="H129" s="155"/>
      <c r="J129" s="155"/>
    </row>
    <row r="130" spans="2:10" ht="13.5">
      <c r="B130" s="155"/>
      <c r="C130" s="155"/>
      <c r="D130" s="155"/>
      <c r="E130" s="155"/>
      <c r="F130" s="155"/>
      <c r="G130" s="155"/>
      <c r="H130" s="155"/>
      <c r="J130" s="155"/>
    </row>
    <row r="131" spans="2:10" ht="13.5">
      <c r="B131" s="155"/>
      <c r="C131" s="155"/>
      <c r="D131" s="155"/>
      <c r="E131" s="155"/>
      <c r="F131" s="155"/>
      <c r="G131" s="155"/>
      <c r="H131" s="155"/>
      <c r="J131" s="155"/>
    </row>
  </sheetData>
  <sheetProtection/>
  <mergeCells count="11">
    <mergeCell ref="A2:G2"/>
    <mergeCell ref="A3:A5"/>
    <mergeCell ref="B3:G3"/>
    <mergeCell ref="H3:I4"/>
    <mergeCell ref="J3:K4"/>
    <mergeCell ref="L3:M4"/>
    <mergeCell ref="N3:N5"/>
    <mergeCell ref="B4:C4"/>
    <mergeCell ref="D4:E4"/>
    <mergeCell ref="F4:G4"/>
    <mergeCell ref="A117:I117"/>
  </mergeCells>
  <printOptions horizontalCentered="1"/>
  <pageMargins left="0.7874015748031497" right="0.7874015748031497" top="0.8661417322834646" bottom="0.8267716535433072" header="0.5118110236220472" footer="0.3937007874015748"/>
  <pageSetup fitToHeight="3" horizontalDpi="600" verticalDpi="600" orientation="landscape" paperSize="9" scale="71" r:id="rId1"/>
  <headerFooter alignWithMargins="0">
    <oddFooter>&amp;R東京国税局
消費税
(H28)</oddFooter>
  </headerFooter>
  <rowBreaks count="2" manualBreakCount="2">
    <brk id="42" max="13" man="1"/>
    <brk id="79" max="13" man="1"/>
  </rowBreaks>
</worksheet>
</file>

<file path=xl/worksheets/sheet5.xml><?xml version="1.0" encoding="utf-8"?>
<worksheet xmlns="http://schemas.openxmlformats.org/spreadsheetml/2006/main" xmlns:r="http://schemas.openxmlformats.org/officeDocument/2006/relationships">
  <dimension ref="A1:N117"/>
  <sheetViews>
    <sheetView showGridLines="0" zoomScaleSheetLayoutView="85" workbookViewId="0" topLeftCell="A97">
      <selection activeCell="D86" sqref="D86"/>
    </sheetView>
  </sheetViews>
  <sheetFormatPr defaultColWidth="9.00390625" defaultRowHeight="13.5"/>
  <cols>
    <col min="1" max="1" width="11.125" style="125" customWidth="1"/>
    <col min="2" max="2" width="10.625" style="125" customWidth="1"/>
    <col min="3" max="3" width="12.625" style="125" customWidth="1"/>
    <col min="4" max="4" width="10.625" style="125" customWidth="1"/>
    <col min="5" max="5" width="12.625" style="125" customWidth="1"/>
    <col min="6" max="6" width="10.625" style="125" customWidth="1"/>
    <col min="7" max="7" width="12.625" style="125" customWidth="1"/>
    <col min="8" max="8" width="10.625" style="125" customWidth="1"/>
    <col min="9" max="9" width="12.625" style="125" customWidth="1"/>
    <col min="10" max="10" width="10.625" style="125" customWidth="1"/>
    <col min="11" max="11" width="12.625" style="125" customWidth="1"/>
    <col min="12" max="12" width="10.625" style="125" customWidth="1"/>
    <col min="13" max="13" width="12.625" style="125" customWidth="1"/>
    <col min="14" max="14" width="11.375" style="125" customWidth="1"/>
    <col min="15" max="16384" width="9.00390625" style="125" customWidth="1"/>
  </cols>
  <sheetData>
    <row r="1" spans="1:13" ht="13.5">
      <c r="A1" s="64" t="s">
        <v>189</v>
      </c>
      <c r="B1" s="64"/>
      <c r="C1" s="64"/>
      <c r="D1" s="64"/>
      <c r="E1" s="64"/>
      <c r="F1" s="64"/>
      <c r="G1" s="64"/>
      <c r="H1" s="64"/>
      <c r="I1" s="64"/>
      <c r="J1" s="64"/>
      <c r="K1" s="64"/>
      <c r="L1" s="65"/>
      <c r="M1" s="65"/>
    </row>
    <row r="2" spans="1:13" ht="14.25" thickBot="1">
      <c r="A2" s="254" t="s">
        <v>135</v>
      </c>
      <c r="B2" s="254"/>
      <c r="C2" s="254"/>
      <c r="D2" s="254"/>
      <c r="E2" s="254"/>
      <c r="F2" s="254"/>
      <c r="G2" s="254"/>
      <c r="H2" s="254"/>
      <c r="I2" s="254"/>
      <c r="J2" s="66"/>
      <c r="K2" s="66"/>
      <c r="L2" s="65"/>
      <c r="M2" s="65"/>
    </row>
    <row r="3" spans="1:14" ht="19.5" customHeight="1">
      <c r="A3" s="249" t="s">
        <v>27</v>
      </c>
      <c r="B3" s="252" t="s">
        <v>28</v>
      </c>
      <c r="C3" s="252"/>
      <c r="D3" s="252"/>
      <c r="E3" s="252"/>
      <c r="F3" s="252"/>
      <c r="G3" s="252"/>
      <c r="H3" s="238" t="s">
        <v>13</v>
      </c>
      <c r="I3" s="239"/>
      <c r="J3" s="253" t="s">
        <v>29</v>
      </c>
      <c r="K3" s="239"/>
      <c r="L3" s="238" t="s">
        <v>30</v>
      </c>
      <c r="M3" s="239"/>
      <c r="N3" s="242" t="s">
        <v>31</v>
      </c>
    </row>
    <row r="4" spans="1:14" ht="17.25" customHeight="1">
      <c r="A4" s="250"/>
      <c r="B4" s="240" t="s">
        <v>16</v>
      </c>
      <c r="C4" s="246"/>
      <c r="D4" s="240" t="s">
        <v>32</v>
      </c>
      <c r="E4" s="246"/>
      <c r="F4" s="240" t="s">
        <v>33</v>
      </c>
      <c r="G4" s="246"/>
      <c r="H4" s="240"/>
      <c r="I4" s="241"/>
      <c r="J4" s="240"/>
      <c r="K4" s="241"/>
      <c r="L4" s="240"/>
      <c r="M4" s="241"/>
      <c r="N4" s="243"/>
    </row>
    <row r="5" spans="1:14" ht="28.5" customHeight="1">
      <c r="A5" s="251"/>
      <c r="B5" s="67" t="s">
        <v>36</v>
      </c>
      <c r="C5" s="68" t="s">
        <v>138</v>
      </c>
      <c r="D5" s="67" t="s">
        <v>36</v>
      </c>
      <c r="E5" s="68" t="s">
        <v>138</v>
      </c>
      <c r="F5" s="67" t="s">
        <v>36</v>
      </c>
      <c r="G5" s="68" t="s">
        <v>139</v>
      </c>
      <c r="H5" s="67" t="s">
        <v>36</v>
      </c>
      <c r="I5" s="87" t="s">
        <v>140</v>
      </c>
      <c r="J5" s="67" t="s">
        <v>36</v>
      </c>
      <c r="K5" s="87" t="s">
        <v>141</v>
      </c>
      <c r="L5" s="67" t="s">
        <v>36</v>
      </c>
      <c r="M5" s="88" t="s">
        <v>142</v>
      </c>
      <c r="N5" s="244"/>
    </row>
    <row r="6" spans="1:14" s="95" customFormat="1" ht="10.5">
      <c r="A6" s="101"/>
      <c r="B6" s="71" t="s">
        <v>4</v>
      </c>
      <c r="C6" s="72" t="s">
        <v>5</v>
      </c>
      <c r="D6" s="71" t="s">
        <v>4</v>
      </c>
      <c r="E6" s="72" t="s">
        <v>5</v>
      </c>
      <c r="F6" s="71" t="s">
        <v>4</v>
      </c>
      <c r="G6" s="72" t="s">
        <v>5</v>
      </c>
      <c r="H6" s="71" t="s">
        <v>4</v>
      </c>
      <c r="I6" s="89" t="s">
        <v>5</v>
      </c>
      <c r="J6" s="71" t="s">
        <v>4</v>
      </c>
      <c r="K6" s="89" t="s">
        <v>5</v>
      </c>
      <c r="L6" s="71" t="s">
        <v>187</v>
      </c>
      <c r="M6" s="89" t="s">
        <v>5</v>
      </c>
      <c r="N6" s="96"/>
    </row>
    <row r="7" spans="1:14" ht="15.75" customHeight="1">
      <c r="A7" s="99" t="s">
        <v>39</v>
      </c>
      <c r="B7" s="126">
        <f>_xlfn.COMPOUNDVALUE(337)</f>
        <v>4685</v>
      </c>
      <c r="C7" s="127">
        <v>36250290</v>
      </c>
      <c r="D7" s="126">
        <f>_xlfn.COMPOUNDVALUE(338)</f>
        <v>1911</v>
      </c>
      <c r="E7" s="127">
        <v>1203570</v>
      </c>
      <c r="F7" s="126">
        <f>_xlfn.COMPOUNDVALUE(339)</f>
        <v>6596</v>
      </c>
      <c r="G7" s="127">
        <v>37453860</v>
      </c>
      <c r="H7" s="126">
        <f>_xlfn.COMPOUNDVALUE(340)</f>
        <v>525</v>
      </c>
      <c r="I7" s="128">
        <v>1920032</v>
      </c>
      <c r="J7" s="126">
        <v>503</v>
      </c>
      <c r="K7" s="128">
        <v>138290</v>
      </c>
      <c r="L7" s="126">
        <v>7207</v>
      </c>
      <c r="M7" s="128">
        <v>35672117</v>
      </c>
      <c r="N7" s="86" t="s">
        <v>39</v>
      </c>
    </row>
    <row r="8" spans="1:14" ht="15.75" customHeight="1">
      <c r="A8" s="76" t="s">
        <v>40</v>
      </c>
      <c r="B8" s="126">
        <f>_xlfn.COMPOUNDVALUE(341)</f>
        <v>3899</v>
      </c>
      <c r="C8" s="127">
        <v>22436142</v>
      </c>
      <c r="D8" s="126">
        <f>_xlfn.COMPOUNDVALUE(342)</f>
        <v>1770</v>
      </c>
      <c r="E8" s="127">
        <v>1113165</v>
      </c>
      <c r="F8" s="126">
        <f>_xlfn.COMPOUNDVALUE(343)</f>
        <v>5669</v>
      </c>
      <c r="G8" s="127">
        <v>23549307</v>
      </c>
      <c r="H8" s="126">
        <f>_xlfn.COMPOUNDVALUE(344)</f>
        <v>346</v>
      </c>
      <c r="I8" s="128">
        <v>1048221</v>
      </c>
      <c r="J8" s="126">
        <v>334</v>
      </c>
      <c r="K8" s="128">
        <v>-3439</v>
      </c>
      <c r="L8" s="126">
        <v>6071</v>
      </c>
      <c r="M8" s="128">
        <v>22497648</v>
      </c>
      <c r="N8" s="86" t="s">
        <v>40</v>
      </c>
    </row>
    <row r="9" spans="1:14" ht="15.75" customHeight="1">
      <c r="A9" s="76" t="s">
        <v>41</v>
      </c>
      <c r="B9" s="126">
        <f>_xlfn.COMPOUNDVALUE(345)</f>
        <v>4355</v>
      </c>
      <c r="C9" s="127">
        <v>76352066</v>
      </c>
      <c r="D9" s="126">
        <f>_xlfn.COMPOUNDVALUE(346)</f>
        <v>1888</v>
      </c>
      <c r="E9" s="127">
        <v>1077676</v>
      </c>
      <c r="F9" s="126">
        <f>_xlfn.COMPOUNDVALUE(347)</f>
        <v>6243</v>
      </c>
      <c r="G9" s="127">
        <v>77429741</v>
      </c>
      <c r="H9" s="126">
        <f>_xlfn.COMPOUNDVALUE(348)</f>
        <v>502</v>
      </c>
      <c r="I9" s="128">
        <v>5271664</v>
      </c>
      <c r="J9" s="126">
        <v>386</v>
      </c>
      <c r="K9" s="128">
        <v>126559</v>
      </c>
      <c r="L9" s="126">
        <v>6813</v>
      </c>
      <c r="M9" s="128">
        <v>72284636</v>
      </c>
      <c r="N9" s="86" t="s">
        <v>41</v>
      </c>
    </row>
    <row r="10" spans="1:14" ht="15.75" customHeight="1">
      <c r="A10" s="76" t="s">
        <v>42</v>
      </c>
      <c r="B10" s="126">
        <f>_xlfn.COMPOUNDVALUE(349)</f>
        <v>1774</v>
      </c>
      <c r="C10" s="127">
        <v>9288594</v>
      </c>
      <c r="D10" s="126">
        <f>_xlfn.COMPOUNDVALUE(350)</f>
        <v>747</v>
      </c>
      <c r="E10" s="127">
        <v>422398</v>
      </c>
      <c r="F10" s="126">
        <f>_xlfn.COMPOUNDVALUE(351)</f>
        <v>2521</v>
      </c>
      <c r="G10" s="127">
        <v>9710992</v>
      </c>
      <c r="H10" s="126">
        <f>_xlfn.COMPOUNDVALUE(352)</f>
        <v>118</v>
      </c>
      <c r="I10" s="128">
        <v>773092</v>
      </c>
      <c r="J10" s="126">
        <v>189</v>
      </c>
      <c r="K10" s="128">
        <v>42084</v>
      </c>
      <c r="L10" s="126">
        <v>2664</v>
      </c>
      <c r="M10" s="128">
        <v>8979984</v>
      </c>
      <c r="N10" s="86" t="s">
        <v>42</v>
      </c>
    </row>
    <row r="11" spans="1:14" ht="15.75" customHeight="1">
      <c r="A11" s="76" t="s">
        <v>43</v>
      </c>
      <c r="B11" s="126">
        <f>_xlfn.COMPOUNDVALUE(353)</f>
        <v>4483</v>
      </c>
      <c r="C11" s="127">
        <v>45716019</v>
      </c>
      <c r="D11" s="126">
        <f>_xlfn.COMPOUNDVALUE(354)</f>
        <v>2097</v>
      </c>
      <c r="E11" s="127">
        <v>1221294</v>
      </c>
      <c r="F11" s="126">
        <f>_xlfn.COMPOUNDVALUE(355)</f>
        <v>6580</v>
      </c>
      <c r="G11" s="127">
        <v>46937312</v>
      </c>
      <c r="H11" s="126">
        <f>_xlfn.COMPOUNDVALUE(356)</f>
        <v>488</v>
      </c>
      <c r="I11" s="128">
        <v>2003570</v>
      </c>
      <c r="J11" s="126">
        <v>445</v>
      </c>
      <c r="K11" s="128">
        <v>4447</v>
      </c>
      <c r="L11" s="126">
        <v>7136</v>
      </c>
      <c r="M11" s="128">
        <v>44938190</v>
      </c>
      <c r="N11" s="86" t="s">
        <v>43</v>
      </c>
    </row>
    <row r="12" spans="1:14" ht="15.75" customHeight="1">
      <c r="A12" s="76"/>
      <c r="B12" s="126"/>
      <c r="C12" s="127"/>
      <c r="D12" s="126"/>
      <c r="E12" s="127"/>
      <c r="F12" s="126"/>
      <c r="G12" s="127"/>
      <c r="H12" s="126"/>
      <c r="I12" s="128"/>
      <c r="J12" s="126"/>
      <c r="K12" s="128"/>
      <c r="L12" s="126"/>
      <c r="M12" s="128"/>
      <c r="N12" s="86" t="s">
        <v>38</v>
      </c>
    </row>
    <row r="13" spans="1:14" ht="15.75" customHeight="1">
      <c r="A13" s="76" t="s">
        <v>44</v>
      </c>
      <c r="B13" s="126">
        <f>_xlfn.COMPOUNDVALUE(357)</f>
        <v>4173</v>
      </c>
      <c r="C13" s="127">
        <v>24301708</v>
      </c>
      <c r="D13" s="126">
        <f>_xlfn.COMPOUNDVALUE(358)</f>
        <v>1997</v>
      </c>
      <c r="E13" s="127">
        <v>1218770</v>
      </c>
      <c r="F13" s="126">
        <f>_xlfn.COMPOUNDVALUE(359)</f>
        <v>6170</v>
      </c>
      <c r="G13" s="127">
        <v>25520479</v>
      </c>
      <c r="H13" s="126">
        <f>_xlfn.COMPOUNDVALUE(360)</f>
        <v>406</v>
      </c>
      <c r="I13" s="128">
        <v>2478865</v>
      </c>
      <c r="J13" s="126">
        <v>336</v>
      </c>
      <c r="K13" s="128">
        <v>64255</v>
      </c>
      <c r="L13" s="126">
        <v>6628</v>
      </c>
      <c r="M13" s="128">
        <v>23105869</v>
      </c>
      <c r="N13" s="86" t="s">
        <v>44</v>
      </c>
    </row>
    <row r="14" spans="1:14" ht="15.75" customHeight="1">
      <c r="A14" s="76" t="s">
        <v>45</v>
      </c>
      <c r="B14" s="126">
        <f>_xlfn.COMPOUNDVALUE(361)</f>
        <v>1235</v>
      </c>
      <c r="C14" s="127">
        <v>4896786</v>
      </c>
      <c r="D14" s="126">
        <f>_xlfn.COMPOUNDVALUE(362)</f>
        <v>525</v>
      </c>
      <c r="E14" s="127">
        <v>267206</v>
      </c>
      <c r="F14" s="126">
        <f>_xlfn.COMPOUNDVALUE(363)</f>
        <v>1760</v>
      </c>
      <c r="G14" s="127">
        <v>5163991</v>
      </c>
      <c r="H14" s="126">
        <f>_xlfn.COMPOUNDVALUE(364)</f>
        <v>79</v>
      </c>
      <c r="I14" s="128">
        <v>282687</v>
      </c>
      <c r="J14" s="126">
        <v>80</v>
      </c>
      <c r="K14" s="128">
        <v>9246</v>
      </c>
      <c r="L14" s="126">
        <v>1847</v>
      </c>
      <c r="M14" s="128">
        <v>4890550</v>
      </c>
      <c r="N14" s="86" t="s">
        <v>45</v>
      </c>
    </row>
    <row r="15" spans="1:14" ht="15.75" customHeight="1">
      <c r="A15" s="76" t="s">
        <v>46</v>
      </c>
      <c r="B15" s="126">
        <f>_xlfn.COMPOUNDVALUE(365)</f>
        <v>2748</v>
      </c>
      <c r="C15" s="127">
        <v>15543039</v>
      </c>
      <c r="D15" s="126">
        <f>_xlfn.COMPOUNDVALUE(366)</f>
        <v>1321</v>
      </c>
      <c r="E15" s="127">
        <v>831270</v>
      </c>
      <c r="F15" s="126">
        <f>_xlfn.COMPOUNDVALUE(367)</f>
        <v>4069</v>
      </c>
      <c r="G15" s="127">
        <v>16374309</v>
      </c>
      <c r="H15" s="126">
        <f>_xlfn.COMPOUNDVALUE(368)</f>
        <v>175</v>
      </c>
      <c r="I15" s="128">
        <v>2163042</v>
      </c>
      <c r="J15" s="126">
        <v>236</v>
      </c>
      <c r="K15" s="128">
        <v>20420</v>
      </c>
      <c r="L15" s="126">
        <v>4279</v>
      </c>
      <c r="M15" s="128">
        <v>14231688</v>
      </c>
      <c r="N15" s="86" t="s">
        <v>46</v>
      </c>
    </row>
    <row r="16" spans="1:14" ht="15.75" customHeight="1">
      <c r="A16" s="78" t="s">
        <v>47</v>
      </c>
      <c r="B16" s="131">
        <f>_xlfn.COMPOUNDVALUE(369)</f>
        <v>4981</v>
      </c>
      <c r="C16" s="132">
        <v>22172535</v>
      </c>
      <c r="D16" s="131">
        <f>_xlfn.COMPOUNDVALUE(370)</f>
        <v>2566</v>
      </c>
      <c r="E16" s="132">
        <v>1491185</v>
      </c>
      <c r="F16" s="131">
        <f>_xlfn.COMPOUNDVALUE(371)</f>
        <v>7547</v>
      </c>
      <c r="G16" s="132">
        <v>23663719</v>
      </c>
      <c r="H16" s="131">
        <f>_xlfn.COMPOUNDVALUE(372)</f>
        <v>559</v>
      </c>
      <c r="I16" s="133">
        <v>2696613</v>
      </c>
      <c r="J16" s="131">
        <v>564</v>
      </c>
      <c r="K16" s="133">
        <v>14777</v>
      </c>
      <c r="L16" s="131">
        <v>8224</v>
      </c>
      <c r="M16" s="133">
        <v>20981883</v>
      </c>
      <c r="N16" s="77" t="s">
        <v>47</v>
      </c>
    </row>
    <row r="17" spans="1:14" ht="15.75" customHeight="1">
      <c r="A17" s="78" t="s">
        <v>48</v>
      </c>
      <c r="B17" s="131">
        <f>_xlfn.COMPOUNDVALUE(373)</f>
        <v>1118</v>
      </c>
      <c r="C17" s="132">
        <v>5547022</v>
      </c>
      <c r="D17" s="131">
        <f>_xlfn.COMPOUNDVALUE(374)</f>
        <v>408</v>
      </c>
      <c r="E17" s="132">
        <v>220648</v>
      </c>
      <c r="F17" s="131">
        <f>_xlfn.COMPOUNDVALUE(375)</f>
        <v>1526</v>
      </c>
      <c r="G17" s="132">
        <v>5767670</v>
      </c>
      <c r="H17" s="131">
        <f>_xlfn.COMPOUNDVALUE(376)</f>
        <v>71</v>
      </c>
      <c r="I17" s="133">
        <v>529042</v>
      </c>
      <c r="J17" s="131">
        <v>99</v>
      </c>
      <c r="K17" s="133">
        <v>11975</v>
      </c>
      <c r="L17" s="131">
        <v>1612</v>
      </c>
      <c r="M17" s="133">
        <v>5250603</v>
      </c>
      <c r="N17" s="77" t="s">
        <v>48</v>
      </c>
    </row>
    <row r="18" spans="1:14" ht="15.75" customHeight="1">
      <c r="A18" s="78"/>
      <c r="B18" s="131"/>
      <c r="C18" s="132"/>
      <c r="D18" s="131"/>
      <c r="E18" s="132"/>
      <c r="F18" s="131"/>
      <c r="G18" s="132"/>
      <c r="H18" s="131"/>
      <c r="I18" s="133"/>
      <c r="J18" s="131"/>
      <c r="K18" s="133"/>
      <c r="L18" s="131"/>
      <c r="M18" s="133"/>
      <c r="N18" s="77" t="s">
        <v>38</v>
      </c>
    </row>
    <row r="19" spans="1:14" ht="15.75" customHeight="1">
      <c r="A19" s="78" t="s">
        <v>49</v>
      </c>
      <c r="B19" s="131">
        <f>_xlfn.COMPOUNDVALUE(377)</f>
        <v>1873</v>
      </c>
      <c r="C19" s="132">
        <v>7862708</v>
      </c>
      <c r="D19" s="131">
        <f>_xlfn.COMPOUNDVALUE(378)</f>
        <v>872</v>
      </c>
      <c r="E19" s="132">
        <v>483018</v>
      </c>
      <c r="F19" s="131">
        <f>_xlfn.COMPOUNDVALUE(379)</f>
        <v>2745</v>
      </c>
      <c r="G19" s="132">
        <v>8345725</v>
      </c>
      <c r="H19" s="131">
        <f>_xlfn.COMPOUNDVALUE(380)</f>
        <v>129</v>
      </c>
      <c r="I19" s="133">
        <v>668037</v>
      </c>
      <c r="J19" s="131">
        <v>180</v>
      </c>
      <c r="K19" s="133">
        <v>77229</v>
      </c>
      <c r="L19" s="131">
        <v>2908</v>
      </c>
      <c r="M19" s="133">
        <v>7754917</v>
      </c>
      <c r="N19" s="77" t="s">
        <v>49</v>
      </c>
    </row>
    <row r="20" spans="1:14" ht="15.75" customHeight="1">
      <c r="A20" s="78" t="s">
        <v>50</v>
      </c>
      <c r="B20" s="131">
        <f>_xlfn.COMPOUNDVALUE(381)</f>
        <v>5278</v>
      </c>
      <c r="C20" s="132">
        <v>27168364</v>
      </c>
      <c r="D20" s="131">
        <f>_xlfn.COMPOUNDVALUE(382)</f>
        <v>2288</v>
      </c>
      <c r="E20" s="132">
        <v>1430057</v>
      </c>
      <c r="F20" s="131">
        <f>_xlfn.COMPOUNDVALUE(383)</f>
        <v>7566</v>
      </c>
      <c r="G20" s="132">
        <v>28598421</v>
      </c>
      <c r="H20" s="131">
        <f>_xlfn.COMPOUNDVALUE(384)</f>
        <v>1072</v>
      </c>
      <c r="I20" s="133">
        <v>10289934</v>
      </c>
      <c r="J20" s="131">
        <v>508</v>
      </c>
      <c r="K20" s="133">
        <v>26970</v>
      </c>
      <c r="L20" s="131">
        <v>8723</v>
      </c>
      <c r="M20" s="133">
        <v>18335457</v>
      </c>
      <c r="N20" s="77" t="s">
        <v>50</v>
      </c>
    </row>
    <row r="21" spans="1:14" ht="15.75" customHeight="1">
      <c r="A21" s="78" t="s">
        <v>51</v>
      </c>
      <c r="B21" s="131">
        <f>_xlfn.COMPOUNDVALUE(385)</f>
        <v>1831</v>
      </c>
      <c r="C21" s="132">
        <v>7685437</v>
      </c>
      <c r="D21" s="131">
        <f>_xlfn.COMPOUNDVALUE(386)</f>
        <v>790</v>
      </c>
      <c r="E21" s="132">
        <v>438548</v>
      </c>
      <c r="F21" s="131">
        <f>_xlfn.COMPOUNDVALUE(387)</f>
        <v>2621</v>
      </c>
      <c r="G21" s="132">
        <v>8123985</v>
      </c>
      <c r="H21" s="131">
        <f>_xlfn.COMPOUNDVALUE(388)</f>
        <v>175</v>
      </c>
      <c r="I21" s="133">
        <v>561709</v>
      </c>
      <c r="J21" s="131">
        <v>250</v>
      </c>
      <c r="K21" s="133">
        <v>4755</v>
      </c>
      <c r="L21" s="131">
        <v>2855</v>
      </c>
      <c r="M21" s="133">
        <v>7567030</v>
      </c>
      <c r="N21" s="77" t="s">
        <v>51</v>
      </c>
    </row>
    <row r="22" spans="1:14" ht="15.75" customHeight="1">
      <c r="A22" s="78" t="s">
        <v>167</v>
      </c>
      <c r="B22" s="131">
        <f>_xlfn.COMPOUNDVALUE(389)</f>
        <v>5127</v>
      </c>
      <c r="C22" s="132">
        <v>26452165</v>
      </c>
      <c r="D22" s="131">
        <f>_xlfn.COMPOUNDVALUE(390)</f>
        <v>2353</v>
      </c>
      <c r="E22" s="132">
        <v>1400424</v>
      </c>
      <c r="F22" s="131">
        <f>_xlfn.COMPOUNDVALUE(391)</f>
        <v>7480</v>
      </c>
      <c r="G22" s="132">
        <v>27852589</v>
      </c>
      <c r="H22" s="131">
        <f>_xlfn.COMPOUNDVALUE(392)</f>
        <v>619</v>
      </c>
      <c r="I22" s="133">
        <v>2523313</v>
      </c>
      <c r="J22" s="131">
        <v>479</v>
      </c>
      <c r="K22" s="133">
        <v>36711</v>
      </c>
      <c r="L22" s="131">
        <v>8186</v>
      </c>
      <c r="M22" s="133">
        <v>25365987</v>
      </c>
      <c r="N22" s="77" t="s">
        <v>52</v>
      </c>
    </row>
    <row r="23" spans="1:14" ht="15.75" customHeight="1">
      <c r="A23" s="161" t="s">
        <v>170</v>
      </c>
      <c r="B23" s="162">
        <v>47560</v>
      </c>
      <c r="C23" s="163">
        <v>331672873</v>
      </c>
      <c r="D23" s="162">
        <v>21533</v>
      </c>
      <c r="E23" s="163">
        <v>12819228</v>
      </c>
      <c r="F23" s="162">
        <v>69093</v>
      </c>
      <c r="G23" s="163">
        <v>344492101</v>
      </c>
      <c r="H23" s="162">
        <v>5264</v>
      </c>
      <c r="I23" s="164">
        <v>33209821</v>
      </c>
      <c r="J23" s="162">
        <v>4589</v>
      </c>
      <c r="K23" s="164">
        <v>574280</v>
      </c>
      <c r="L23" s="162">
        <v>75153</v>
      </c>
      <c r="M23" s="164">
        <v>311856559</v>
      </c>
      <c r="N23" s="165" t="s">
        <v>54</v>
      </c>
    </row>
    <row r="24" spans="1:14" ht="15.75" customHeight="1">
      <c r="A24" s="166"/>
      <c r="B24" s="167"/>
      <c r="C24" s="168"/>
      <c r="D24" s="167"/>
      <c r="E24" s="168"/>
      <c r="F24" s="169"/>
      <c r="G24" s="168"/>
      <c r="H24" s="169"/>
      <c r="I24" s="168"/>
      <c r="J24" s="169"/>
      <c r="K24" s="168"/>
      <c r="L24" s="169"/>
      <c r="M24" s="168"/>
      <c r="N24" s="170"/>
    </row>
    <row r="25" spans="1:14" ht="15.75" customHeight="1">
      <c r="A25" s="76" t="s">
        <v>55</v>
      </c>
      <c r="B25" s="126">
        <f>_xlfn.COMPOUNDVALUE(393)</f>
        <v>10286</v>
      </c>
      <c r="C25" s="127">
        <v>1109202669</v>
      </c>
      <c r="D25" s="126">
        <f>_xlfn.COMPOUNDVALUE(394)</f>
        <v>1629</v>
      </c>
      <c r="E25" s="127">
        <v>1867437</v>
      </c>
      <c r="F25" s="126">
        <f>_xlfn.COMPOUNDVALUE(395)</f>
        <v>11915</v>
      </c>
      <c r="G25" s="127">
        <v>1111070106</v>
      </c>
      <c r="H25" s="126">
        <f>_xlfn.COMPOUNDVALUE(396)</f>
        <v>3638</v>
      </c>
      <c r="I25" s="128">
        <v>543338982</v>
      </c>
      <c r="J25" s="126">
        <v>1145</v>
      </c>
      <c r="K25" s="128">
        <v>3902947</v>
      </c>
      <c r="L25" s="126">
        <v>15661</v>
      </c>
      <c r="M25" s="128">
        <v>571634071</v>
      </c>
      <c r="N25" s="86" t="s">
        <v>55</v>
      </c>
    </row>
    <row r="26" spans="1:14" ht="15.75" customHeight="1">
      <c r="A26" s="76" t="s">
        <v>56</v>
      </c>
      <c r="B26" s="126">
        <f>_xlfn.COMPOUNDVALUE(397)</f>
        <v>11339</v>
      </c>
      <c r="C26" s="127">
        <v>296662438</v>
      </c>
      <c r="D26" s="126">
        <f>_xlfn.COMPOUNDVALUE(398)</f>
        <v>2448</v>
      </c>
      <c r="E26" s="127">
        <v>1874263</v>
      </c>
      <c r="F26" s="126">
        <f>_xlfn.COMPOUNDVALUE(399)</f>
        <v>13787</v>
      </c>
      <c r="G26" s="127">
        <v>298536701</v>
      </c>
      <c r="H26" s="126">
        <f>_xlfn.COMPOUNDVALUE(400)</f>
        <v>2271</v>
      </c>
      <c r="I26" s="128">
        <v>59996756</v>
      </c>
      <c r="J26" s="126">
        <v>1080</v>
      </c>
      <c r="K26" s="128">
        <v>154188</v>
      </c>
      <c r="L26" s="126">
        <v>16206</v>
      </c>
      <c r="M26" s="128">
        <v>238694132</v>
      </c>
      <c r="N26" s="86" t="s">
        <v>56</v>
      </c>
    </row>
    <row r="27" spans="1:14" ht="15.75" customHeight="1">
      <c r="A27" s="76" t="s">
        <v>57</v>
      </c>
      <c r="B27" s="126">
        <f>_xlfn.COMPOUNDVALUE(401)</f>
        <v>9105</v>
      </c>
      <c r="C27" s="127">
        <v>342619253</v>
      </c>
      <c r="D27" s="126">
        <f>_xlfn.COMPOUNDVALUE(402)</f>
        <v>1755</v>
      </c>
      <c r="E27" s="127">
        <v>1466572</v>
      </c>
      <c r="F27" s="126">
        <f>_xlfn.COMPOUNDVALUE(403)</f>
        <v>10860</v>
      </c>
      <c r="G27" s="127">
        <v>344085825</v>
      </c>
      <c r="H27" s="126">
        <f>_xlfn.COMPOUNDVALUE(404)</f>
        <v>2312</v>
      </c>
      <c r="I27" s="128">
        <v>96596650</v>
      </c>
      <c r="J27" s="126">
        <v>969</v>
      </c>
      <c r="K27" s="128">
        <v>-192069</v>
      </c>
      <c r="L27" s="126">
        <v>13293</v>
      </c>
      <c r="M27" s="128">
        <v>247297106</v>
      </c>
      <c r="N27" s="86" t="s">
        <v>57</v>
      </c>
    </row>
    <row r="28" spans="1:14" ht="15.75" customHeight="1">
      <c r="A28" s="76" t="s">
        <v>58</v>
      </c>
      <c r="B28" s="126">
        <f>_xlfn.COMPOUNDVALUE(405)</f>
        <v>11691</v>
      </c>
      <c r="C28" s="127">
        <v>381672855</v>
      </c>
      <c r="D28" s="126">
        <f>_xlfn.COMPOUNDVALUE(406)</f>
        <v>2454</v>
      </c>
      <c r="E28" s="127">
        <v>1731142</v>
      </c>
      <c r="F28" s="126">
        <f>_xlfn.COMPOUNDVALUE(407)</f>
        <v>14145</v>
      </c>
      <c r="G28" s="127">
        <v>383403997</v>
      </c>
      <c r="H28" s="126">
        <f>_xlfn.COMPOUNDVALUE(408)</f>
        <v>2525</v>
      </c>
      <c r="I28" s="128">
        <v>172399574</v>
      </c>
      <c r="J28" s="126">
        <v>1146</v>
      </c>
      <c r="K28" s="128">
        <v>550946</v>
      </c>
      <c r="L28" s="126">
        <v>16868</v>
      </c>
      <c r="M28" s="128">
        <v>211555369</v>
      </c>
      <c r="N28" s="86" t="s">
        <v>58</v>
      </c>
    </row>
    <row r="29" spans="1:14" ht="15.75" customHeight="1">
      <c r="A29" s="76" t="s">
        <v>168</v>
      </c>
      <c r="B29" s="126">
        <f>_xlfn.COMPOUNDVALUE(409)</f>
        <v>14938</v>
      </c>
      <c r="C29" s="127">
        <v>911890589</v>
      </c>
      <c r="D29" s="126">
        <f>_xlfn.COMPOUNDVALUE(410)</f>
        <v>2813</v>
      </c>
      <c r="E29" s="127">
        <v>2792821</v>
      </c>
      <c r="F29" s="126">
        <f>_xlfn.COMPOUNDVALUE(411)</f>
        <v>17751</v>
      </c>
      <c r="G29" s="127">
        <v>914683409</v>
      </c>
      <c r="H29" s="126">
        <f>_xlfn.COMPOUNDVALUE(412)</f>
        <v>4459</v>
      </c>
      <c r="I29" s="128">
        <v>367925095</v>
      </c>
      <c r="J29" s="126">
        <v>1788</v>
      </c>
      <c r="K29" s="128">
        <v>2917792</v>
      </c>
      <c r="L29" s="126">
        <v>22408</v>
      </c>
      <c r="M29" s="128">
        <v>549676107</v>
      </c>
      <c r="N29" s="86" t="s">
        <v>59</v>
      </c>
    </row>
    <row r="30" spans="1:14" ht="15.75" customHeight="1">
      <c r="A30" s="76"/>
      <c r="B30" s="126"/>
      <c r="C30" s="127"/>
      <c r="D30" s="126"/>
      <c r="E30" s="127"/>
      <c r="F30" s="126"/>
      <c r="G30" s="127"/>
      <c r="H30" s="126"/>
      <c r="I30" s="128"/>
      <c r="J30" s="126"/>
      <c r="K30" s="128"/>
      <c r="L30" s="126"/>
      <c r="M30" s="128"/>
      <c r="N30" s="86" t="s">
        <v>38</v>
      </c>
    </row>
    <row r="31" spans="1:14" ht="15.75" customHeight="1">
      <c r="A31" s="76" t="s">
        <v>60</v>
      </c>
      <c r="B31" s="126">
        <f>_xlfn.COMPOUNDVALUE(413)</f>
        <v>13965</v>
      </c>
      <c r="C31" s="127">
        <v>324670886</v>
      </c>
      <c r="D31" s="126">
        <f>_xlfn.COMPOUNDVALUE(414)</f>
        <v>2957</v>
      </c>
      <c r="E31" s="127">
        <v>2509477</v>
      </c>
      <c r="F31" s="126">
        <f>_xlfn.COMPOUNDVALUE(415)</f>
        <v>16922</v>
      </c>
      <c r="G31" s="127">
        <v>327180363</v>
      </c>
      <c r="H31" s="126">
        <f>_xlfn.COMPOUNDVALUE(416)</f>
        <v>3217</v>
      </c>
      <c r="I31" s="128">
        <v>222607783</v>
      </c>
      <c r="J31" s="126">
        <v>1273</v>
      </c>
      <c r="K31" s="128">
        <v>1094960</v>
      </c>
      <c r="L31" s="126">
        <v>20370</v>
      </c>
      <c r="M31" s="128">
        <v>105667540</v>
      </c>
      <c r="N31" s="86" t="s">
        <v>60</v>
      </c>
    </row>
    <row r="32" spans="1:14" ht="15.75" customHeight="1">
      <c r="A32" s="76" t="s">
        <v>61</v>
      </c>
      <c r="B32" s="126">
        <f>_xlfn.COMPOUNDVALUE(417)</f>
        <v>6828</v>
      </c>
      <c r="C32" s="127">
        <v>241018187</v>
      </c>
      <c r="D32" s="126">
        <f>_xlfn.COMPOUNDVALUE(418)</f>
        <v>1827</v>
      </c>
      <c r="E32" s="127">
        <v>1161050</v>
      </c>
      <c r="F32" s="126">
        <f>_xlfn.COMPOUNDVALUE(419)</f>
        <v>8655</v>
      </c>
      <c r="G32" s="127">
        <v>242179237</v>
      </c>
      <c r="H32" s="126">
        <f>_xlfn.COMPOUNDVALUE(420)</f>
        <v>1373</v>
      </c>
      <c r="I32" s="128">
        <v>57208844</v>
      </c>
      <c r="J32" s="126">
        <v>788</v>
      </c>
      <c r="K32" s="128">
        <v>292274</v>
      </c>
      <c r="L32" s="126">
        <v>10119</v>
      </c>
      <c r="M32" s="128">
        <v>185262667</v>
      </c>
      <c r="N32" s="86" t="s">
        <v>61</v>
      </c>
    </row>
    <row r="33" spans="1:14" ht="15.75" customHeight="1">
      <c r="A33" s="76" t="s">
        <v>62</v>
      </c>
      <c r="B33" s="126">
        <f>_xlfn.COMPOUNDVALUE(421)</f>
        <v>7857</v>
      </c>
      <c r="C33" s="127">
        <v>125067210</v>
      </c>
      <c r="D33" s="126">
        <f>_xlfn.COMPOUNDVALUE(422)</f>
        <v>2294</v>
      </c>
      <c r="E33" s="127">
        <v>2126188</v>
      </c>
      <c r="F33" s="126">
        <f>_xlfn.COMPOUNDVALUE(423)</f>
        <v>10151</v>
      </c>
      <c r="G33" s="127">
        <v>127193397</v>
      </c>
      <c r="H33" s="126">
        <f>_xlfn.COMPOUNDVALUE(424)</f>
        <v>1054</v>
      </c>
      <c r="I33" s="128">
        <v>18186138</v>
      </c>
      <c r="J33" s="126">
        <v>767</v>
      </c>
      <c r="K33" s="128">
        <v>333986</v>
      </c>
      <c r="L33" s="126">
        <v>11352</v>
      </c>
      <c r="M33" s="128">
        <v>109341245</v>
      </c>
      <c r="N33" s="86" t="s">
        <v>62</v>
      </c>
    </row>
    <row r="34" spans="1:14" ht="15.75" customHeight="1">
      <c r="A34" s="76" t="s">
        <v>63</v>
      </c>
      <c r="B34" s="126">
        <f>_xlfn.COMPOUNDVALUE(425)</f>
        <v>8928</v>
      </c>
      <c r="C34" s="127">
        <v>355583042</v>
      </c>
      <c r="D34" s="126">
        <f>_xlfn.COMPOUNDVALUE(426)</f>
        <v>2336</v>
      </c>
      <c r="E34" s="127">
        <v>1731881</v>
      </c>
      <c r="F34" s="126">
        <f>_xlfn.COMPOUNDVALUE(427)</f>
        <v>11264</v>
      </c>
      <c r="G34" s="127">
        <v>357314923</v>
      </c>
      <c r="H34" s="126">
        <f>_xlfn.COMPOUNDVALUE(428)</f>
        <v>1768</v>
      </c>
      <c r="I34" s="128">
        <v>40021432</v>
      </c>
      <c r="J34" s="126">
        <v>972</v>
      </c>
      <c r="K34" s="128">
        <v>-731834</v>
      </c>
      <c r="L34" s="126">
        <v>13181</v>
      </c>
      <c r="M34" s="128">
        <v>316561657</v>
      </c>
      <c r="N34" s="86" t="s">
        <v>63</v>
      </c>
    </row>
    <row r="35" spans="1:14" ht="15.75" customHeight="1">
      <c r="A35" s="76" t="s">
        <v>64</v>
      </c>
      <c r="B35" s="126">
        <f>_xlfn.COMPOUNDVALUE(429)</f>
        <v>2470</v>
      </c>
      <c r="C35" s="127">
        <v>50899550</v>
      </c>
      <c r="D35" s="126">
        <f>_xlfn.COMPOUNDVALUE(430)</f>
        <v>1008</v>
      </c>
      <c r="E35" s="127">
        <v>618889</v>
      </c>
      <c r="F35" s="126">
        <f>_xlfn.COMPOUNDVALUE(431)</f>
        <v>3478</v>
      </c>
      <c r="G35" s="127">
        <v>51518440</v>
      </c>
      <c r="H35" s="126">
        <f>_xlfn.COMPOUNDVALUE(432)</f>
        <v>391</v>
      </c>
      <c r="I35" s="128">
        <v>3872637</v>
      </c>
      <c r="J35" s="126">
        <v>330</v>
      </c>
      <c r="K35" s="128">
        <v>-14746</v>
      </c>
      <c r="L35" s="126">
        <v>3915</v>
      </c>
      <c r="M35" s="128">
        <v>47631057</v>
      </c>
      <c r="N35" s="86" t="s">
        <v>64</v>
      </c>
    </row>
    <row r="36" spans="1:14" ht="15.75" customHeight="1">
      <c r="A36" s="76"/>
      <c r="B36" s="126"/>
      <c r="C36" s="127"/>
      <c r="D36" s="126"/>
      <c r="E36" s="127"/>
      <c r="F36" s="126"/>
      <c r="G36" s="127"/>
      <c r="H36" s="126"/>
      <c r="I36" s="128"/>
      <c r="J36" s="126"/>
      <c r="K36" s="128"/>
      <c r="L36" s="126"/>
      <c r="M36" s="128"/>
      <c r="N36" s="86" t="s">
        <v>38</v>
      </c>
    </row>
    <row r="37" spans="1:14" ht="15.75" customHeight="1">
      <c r="A37" s="76" t="s">
        <v>65</v>
      </c>
      <c r="B37" s="126">
        <f>_xlfn.COMPOUNDVALUE(433)</f>
        <v>3204</v>
      </c>
      <c r="C37" s="127">
        <v>44393714</v>
      </c>
      <c r="D37" s="126">
        <f>_xlfn.COMPOUNDVALUE(434)</f>
        <v>1106</v>
      </c>
      <c r="E37" s="127">
        <v>784056</v>
      </c>
      <c r="F37" s="126">
        <f>_xlfn.COMPOUNDVALUE(435)</f>
        <v>4310</v>
      </c>
      <c r="G37" s="127">
        <v>45177770</v>
      </c>
      <c r="H37" s="126">
        <f>_xlfn.COMPOUNDVALUE(436)</f>
        <v>448</v>
      </c>
      <c r="I37" s="128">
        <v>3989942</v>
      </c>
      <c r="J37" s="126">
        <v>294</v>
      </c>
      <c r="K37" s="128">
        <v>62409</v>
      </c>
      <c r="L37" s="126">
        <v>4823</v>
      </c>
      <c r="M37" s="128">
        <v>41250237</v>
      </c>
      <c r="N37" s="86" t="s">
        <v>65</v>
      </c>
    </row>
    <row r="38" spans="1:14" ht="15.75" customHeight="1">
      <c r="A38" s="76" t="s">
        <v>66</v>
      </c>
      <c r="B38" s="126">
        <f>_xlfn.COMPOUNDVALUE(437)</f>
        <v>5176</v>
      </c>
      <c r="C38" s="127">
        <v>80983682</v>
      </c>
      <c r="D38" s="126">
        <f>_xlfn.COMPOUNDVALUE(438)</f>
        <v>1532</v>
      </c>
      <c r="E38" s="127">
        <v>994400</v>
      </c>
      <c r="F38" s="126">
        <f>_xlfn.COMPOUNDVALUE(439)</f>
        <v>6708</v>
      </c>
      <c r="G38" s="127">
        <v>81978083</v>
      </c>
      <c r="H38" s="126">
        <f>_xlfn.COMPOUNDVALUE(440)</f>
        <v>967</v>
      </c>
      <c r="I38" s="128">
        <v>16755554</v>
      </c>
      <c r="J38" s="126">
        <v>624</v>
      </c>
      <c r="K38" s="128">
        <v>183505</v>
      </c>
      <c r="L38" s="126">
        <v>7755</v>
      </c>
      <c r="M38" s="128">
        <v>65406034</v>
      </c>
      <c r="N38" s="86" t="s">
        <v>66</v>
      </c>
    </row>
    <row r="39" spans="1:14" ht="15.75" customHeight="1">
      <c r="A39" s="76" t="s">
        <v>67</v>
      </c>
      <c r="B39" s="126">
        <f>_xlfn.COMPOUNDVALUE(441)</f>
        <v>5037</v>
      </c>
      <c r="C39" s="127">
        <v>74450596</v>
      </c>
      <c r="D39" s="126">
        <f>_xlfn.COMPOUNDVALUE(442)</f>
        <v>1798</v>
      </c>
      <c r="E39" s="127">
        <v>989047</v>
      </c>
      <c r="F39" s="126">
        <f>_xlfn.COMPOUNDVALUE(443)</f>
        <v>6835</v>
      </c>
      <c r="G39" s="127">
        <v>75439643</v>
      </c>
      <c r="H39" s="126">
        <f>_xlfn.COMPOUNDVALUE(444)</f>
        <v>822</v>
      </c>
      <c r="I39" s="128">
        <v>5011229</v>
      </c>
      <c r="J39" s="126">
        <v>479</v>
      </c>
      <c r="K39" s="128">
        <v>115832</v>
      </c>
      <c r="L39" s="126">
        <v>7705</v>
      </c>
      <c r="M39" s="128">
        <v>70544246</v>
      </c>
      <c r="N39" s="86" t="s">
        <v>67</v>
      </c>
    </row>
    <row r="40" spans="1:14" ht="15.75" customHeight="1">
      <c r="A40" s="76" t="s">
        <v>68</v>
      </c>
      <c r="B40" s="126">
        <f>_xlfn.COMPOUNDVALUE(445)</f>
        <v>4173</v>
      </c>
      <c r="C40" s="127">
        <v>94014129</v>
      </c>
      <c r="D40" s="126">
        <f>_xlfn.COMPOUNDVALUE(446)</f>
        <v>1408</v>
      </c>
      <c r="E40" s="127">
        <v>808594</v>
      </c>
      <c r="F40" s="126">
        <f>_xlfn.COMPOUNDVALUE(447)</f>
        <v>5581</v>
      </c>
      <c r="G40" s="127">
        <v>94822723</v>
      </c>
      <c r="H40" s="126">
        <f>_xlfn.COMPOUNDVALUE(448)</f>
        <v>507</v>
      </c>
      <c r="I40" s="128">
        <v>5096495</v>
      </c>
      <c r="J40" s="126">
        <v>357</v>
      </c>
      <c r="K40" s="128">
        <v>228049</v>
      </c>
      <c r="L40" s="126">
        <v>6163</v>
      </c>
      <c r="M40" s="128">
        <v>89954276</v>
      </c>
      <c r="N40" s="86" t="s">
        <v>68</v>
      </c>
    </row>
    <row r="41" spans="1:14" ht="15.75" customHeight="1">
      <c r="A41" s="76" t="s">
        <v>69</v>
      </c>
      <c r="B41" s="126">
        <f>_xlfn.COMPOUNDVALUE(449)</f>
        <v>1484</v>
      </c>
      <c r="C41" s="127">
        <v>10083603</v>
      </c>
      <c r="D41" s="126">
        <f>_xlfn.COMPOUNDVALUE(450)</f>
        <v>790</v>
      </c>
      <c r="E41" s="127">
        <v>384414</v>
      </c>
      <c r="F41" s="126">
        <f>_xlfn.COMPOUNDVALUE(451)</f>
        <v>2274</v>
      </c>
      <c r="G41" s="127">
        <v>10468018</v>
      </c>
      <c r="H41" s="126">
        <f>_xlfn.COMPOUNDVALUE(452)</f>
        <v>102</v>
      </c>
      <c r="I41" s="128">
        <v>482080</v>
      </c>
      <c r="J41" s="126">
        <v>195</v>
      </c>
      <c r="K41" s="128">
        <v>65168</v>
      </c>
      <c r="L41" s="126">
        <v>2411</v>
      </c>
      <c r="M41" s="128">
        <v>10051105</v>
      </c>
      <c r="N41" s="86" t="s">
        <v>69</v>
      </c>
    </row>
    <row r="42" spans="1:14" ht="15.75" customHeight="1">
      <c r="A42" s="103"/>
      <c r="B42" s="126"/>
      <c r="C42" s="127"/>
      <c r="D42" s="126"/>
      <c r="E42" s="127"/>
      <c r="F42" s="126"/>
      <c r="G42" s="127"/>
      <c r="H42" s="126"/>
      <c r="I42" s="128"/>
      <c r="J42" s="126"/>
      <c r="K42" s="128"/>
      <c r="L42" s="126"/>
      <c r="M42" s="128"/>
      <c r="N42" s="105" t="s">
        <v>38</v>
      </c>
    </row>
    <row r="43" spans="1:14" ht="15.75" customHeight="1">
      <c r="A43" s="99" t="s">
        <v>70</v>
      </c>
      <c r="B43" s="126">
        <f>_xlfn.COMPOUNDVALUE(453)</f>
        <v>4687</v>
      </c>
      <c r="C43" s="127">
        <v>163022357</v>
      </c>
      <c r="D43" s="126">
        <f>_xlfn.COMPOUNDVALUE(454)</f>
        <v>1496</v>
      </c>
      <c r="E43" s="127">
        <v>879257</v>
      </c>
      <c r="F43" s="126">
        <f>_xlfn.COMPOUNDVALUE(455)</f>
        <v>6183</v>
      </c>
      <c r="G43" s="127">
        <v>163901613</v>
      </c>
      <c r="H43" s="126">
        <f>_xlfn.COMPOUNDVALUE(456)</f>
        <v>707</v>
      </c>
      <c r="I43" s="128">
        <v>44756679</v>
      </c>
      <c r="J43" s="126">
        <v>565</v>
      </c>
      <c r="K43" s="128">
        <v>-139581</v>
      </c>
      <c r="L43" s="126">
        <v>6971</v>
      </c>
      <c r="M43" s="128">
        <v>119005353</v>
      </c>
      <c r="N43" s="86" t="s">
        <v>70</v>
      </c>
    </row>
    <row r="44" spans="1:14" ht="15.75" customHeight="1">
      <c r="A44" s="76" t="s">
        <v>71</v>
      </c>
      <c r="B44" s="126">
        <f>_xlfn.COMPOUNDVALUE(457)</f>
        <v>2526</v>
      </c>
      <c r="C44" s="127">
        <v>56716253</v>
      </c>
      <c r="D44" s="126">
        <f>_xlfn.COMPOUNDVALUE(458)</f>
        <v>1101</v>
      </c>
      <c r="E44" s="127">
        <v>656780</v>
      </c>
      <c r="F44" s="126">
        <f>_xlfn.COMPOUNDVALUE(459)</f>
        <v>3627</v>
      </c>
      <c r="G44" s="127">
        <v>57373032</v>
      </c>
      <c r="H44" s="126">
        <f>_xlfn.COMPOUNDVALUE(460)</f>
        <v>335</v>
      </c>
      <c r="I44" s="128">
        <v>4368462</v>
      </c>
      <c r="J44" s="126">
        <v>226</v>
      </c>
      <c r="K44" s="128">
        <v>55029</v>
      </c>
      <c r="L44" s="126">
        <v>4003</v>
      </c>
      <c r="M44" s="128">
        <v>53059600</v>
      </c>
      <c r="N44" s="86" t="s">
        <v>71</v>
      </c>
    </row>
    <row r="45" spans="1:14" ht="15.75" customHeight="1">
      <c r="A45" s="76" t="s">
        <v>72</v>
      </c>
      <c r="B45" s="126">
        <f>_xlfn.COMPOUNDVALUE(461)</f>
        <v>1724</v>
      </c>
      <c r="C45" s="127">
        <v>12973967</v>
      </c>
      <c r="D45" s="126">
        <f>_xlfn.COMPOUNDVALUE(462)</f>
        <v>952</v>
      </c>
      <c r="E45" s="127">
        <v>551778</v>
      </c>
      <c r="F45" s="126">
        <f>_xlfn.COMPOUNDVALUE(463)</f>
        <v>2676</v>
      </c>
      <c r="G45" s="127">
        <v>13525746</v>
      </c>
      <c r="H45" s="126">
        <f>_xlfn.COMPOUNDVALUE(464)</f>
        <v>200</v>
      </c>
      <c r="I45" s="128">
        <v>1742232</v>
      </c>
      <c r="J45" s="126">
        <v>170</v>
      </c>
      <c r="K45" s="128">
        <v>101413</v>
      </c>
      <c r="L45" s="126">
        <v>2896</v>
      </c>
      <c r="M45" s="128">
        <v>11884926</v>
      </c>
      <c r="N45" s="86" t="s">
        <v>72</v>
      </c>
    </row>
    <row r="46" spans="1:14" ht="15.75" customHeight="1">
      <c r="A46" s="76" t="s">
        <v>73</v>
      </c>
      <c r="B46" s="126">
        <f>_xlfn.COMPOUNDVALUE(465)</f>
        <v>5689</v>
      </c>
      <c r="C46" s="127">
        <v>62046624</v>
      </c>
      <c r="D46" s="126">
        <f>_xlfn.COMPOUNDVALUE(466)</f>
        <v>2152</v>
      </c>
      <c r="E46" s="127">
        <v>1348788</v>
      </c>
      <c r="F46" s="126">
        <f>_xlfn.COMPOUNDVALUE(467)</f>
        <v>7841</v>
      </c>
      <c r="G46" s="127">
        <v>63395412</v>
      </c>
      <c r="H46" s="126">
        <f>_xlfn.COMPOUNDVALUE(468)</f>
        <v>681</v>
      </c>
      <c r="I46" s="128">
        <v>12173880</v>
      </c>
      <c r="J46" s="126">
        <v>524</v>
      </c>
      <c r="K46" s="128">
        <v>-24474</v>
      </c>
      <c r="L46" s="126">
        <v>8636</v>
      </c>
      <c r="M46" s="128">
        <v>51197058</v>
      </c>
      <c r="N46" s="86" t="s">
        <v>73</v>
      </c>
    </row>
    <row r="47" spans="1:14" ht="15.75" customHeight="1">
      <c r="A47" s="76" t="s">
        <v>74</v>
      </c>
      <c r="B47" s="126">
        <f>_xlfn.COMPOUNDVALUE(469)</f>
        <v>3687</v>
      </c>
      <c r="C47" s="127">
        <v>45794962</v>
      </c>
      <c r="D47" s="126">
        <f>_xlfn.COMPOUNDVALUE(470)</f>
        <v>1569</v>
      </c>
      <c r="E47" s="127">
        <v>859581</v>
      </c>
      <c r="F47" s="126">
        <f>_xlfn.COMPOUNDVALUE(471)</f>
        <v>5256</v>
      </c>
      <c r="G47" s="127">
        <v>46654544</v>
      </c>
      <c r="H47" s="126">
        <f>_xlfn.COMPOUNDVALUE(472)</f>
        <v>323</v>
      </c>
      <c r="I47" s="128">
        <v>12073984</v>
      </c>
      <c r="J47" s="126">
        <v>386</v>
      </c>
      <c r="K47" s="128">
        <v>114273</v>
      </c>
      <c r="L47" s="126">
        <v>5646</v>
      </c>
      <c r="M47" s="128">
        <v>34694833</v>
      </c>
      <c r="N47" s="86" t="s">
        <v>74</v>
      </c>
    </row>
    <row r="48" spans="1:14" ht="15.75" customHeight="1">
      <c r="A48" s="76"/>
      <c r="B48" s="126"/>
      <c r="C48" s="127"/>
      <c r="D48" s="126"/>
      <c r="E48" s="127"/>
      <c r="F48" s="126"/>
      <c r="G48" s="127"/>
      <c r="H48" s="126"/>
      <c r="I48" s="128"/>
      <c r="J48" s="126"/>
      <c r="K48" s="128"/>
      <c r="L48" s="126"/>
      <c r="M48" s="128"/>
      <c r="N48" s="86" t="s">
        <v>38</v>
      </c>
    </row>
    <row r="49" spans="1:14" ht="15.75" customHeight="1">
      <c r="A49" s="76" t="s">
        <v>75</v>
      </c>
      <c r="B49" s="126">
        <f>_xlfn.COMPOUNDVALUE(473)</f>
        <v>1891</v>
      </c>
      <c r="C49" s="127">
        <v>11209221</v>
      </c>
      <c r="D49" s="126">
        <f>_xlfn.COMPOUNDVALUE(474)</f>
        <v>992</v>
      </c>
      <c r="E49" s="127">
        <v>554838</v>
      </c>
      <c r="F49" s="126">
        <f>_xlfn.COMPOUNDVALUE(475)</f>
        <v>2883</v>
      </c>
      <c r="G49" s="127">
        <v>11764059</v>
      </c>
      <c r="H49" s="126">
        <f>_xlfn.COMPOUNDVALUE(476)</f>
        <v>236</v>
      </c>
      <c r="I49" s="128">
        <v>7597462</v>
      </c>
      <c r="J49" s="126">
        <v>196</v>
      </c>
      <c r="K49" s="128">
        <v>22416</v>
      </c>
      <c r="L49" s="126">
        <v>3140</v>
      </c>
      <c r="M49" s="128">
        <v>4189013</v>
      </c>
      <c r="N49" s="86" t="s">
        <v>75</v>
      </c>
    </row>
    <row r="50" spans="1:14" ht="15.75" customHeight="1">
      <c r="A50" s="76" t="s">
        <v>76</v>
      </c>
      <c r="B50" s="126">
        <f>_xlfn.COMPOUNDVALUE(477)</f>
        <v>3902</v>
      </c>
      <c r="C50" s="127">
        <v>59604848</v>
      </c>
      <c r="D50" s="126">
        <f>_xlfn.COMPOUNDVALUE(478)</f>
        <v>2022</v>
      </c>
      <c r="E50" s="127">
        <v>1141796</v>
      </c>
      <c r="F50" s="126">
        <f>_xlfn.COMPOUNDVALUE(479)</f>
        <v>5924</v>
      </c>
      <c r="G50" s="127">
        <v>60746644</v>
      </c>
      <c r="H50" s="126">
        <f>_xlfn.COMPOUNDVALUE(480)</f>
        <v>369</v>
      </c>
      <c r="I50" s="128">
        <v>46057175</v>
      </c>
      <c r="J50" s="126">
        <v>431</v>
      </c>
      <c r="K50" s="128">
        <v>289226</v>
      </c>
      <c r="L50" s="126">
        <v>6333</v>
      </c>
      <c r="M50" s="128">
        <v>14978696</v>
      </c>
      <c r="N50" s="86" t="s">
        <v>76</v>
      </c>
    </row>
    <row r="51" spans="1:14" ht="15.75" customHeight="1">
      <c r="A51" s="76" t="s">
        <v>77</v>
      </c>
      <c r="B51" s="126">
        <f>_xlfn.COMPOUNDVALUE(481)</f>
        <v>3713</v>
      </c>
      <c r="C51" s="127">
        <v>21684890</v>
      </c>
      <c r="D51" s="126">
        <f>_xlfn.COMPOUNDVALUE(482)</f>
        <v>1766</v>
      </c>
      <c r="E51" s="127">
        <v>1069592</v>
      </c>
      <c r="F51" s="126">
        <f>_xlfn.COMPOUNDVALUE(483)</f>
        <v>5479</v>
      </c>
      <c r="G51" s="127">
        <v>22754483</v>
      </c>
      <c r="H51" s="126">
        <f>_xlfn.COMPOUNDVALUE(484)</f>
        <v>455</v>
      </c>
      <c r="I51" s="128">
        <v>1581622</v>
      </c>
      <c r="J51" s="126">
        <v>299</v>
      </c>
      <c r="K51" s="128">
        <v>86467</v>
      </c>
      <c r="L51" s="126">
        <v>5999</v>
      </c>
      <c r="M51" s="128">
        <v>21259328</v>
      </c>
      <c r="N51" s="86" t="s">
        <v>77</v>
      </c>
    </row>
    <row r="52" spans="1:14" ht="15.75" customHeight="1">
      <c r="A52" s="76" t="s">
        <v>78</v>
      </c>
      <c r="B52" s="126">
        <f>_xlfn.COMPOUNDVALUE(485)</f>
        <v>3295</v>
      </c>
      <c r="C52" s="127">
        <v>20024784</v>
      </c>
      <c r="D52" s="126">
        <f>_xlfn.COMPOUNDVALUE(486)</f>
        <v>1717</v>
      </c>
      <c r="E52" s="127">
        <v>1063078</v>
      </c>
      <c r="F52" s="126">
        <f>_xlfn.COMPOUNDVALUE(487)</f>
        <v>5012</v>
      </c>
      <c r="G52" s="127">
        <v>21087862</v>
      </c>
      <c r="H52" s="126">
        <f>_xlfn.COMPOUNDVALUE(488)</f>
        <v>311</v>
      </c>
      <c r="I52" s="128">
        <v>475596</v>
      </c>
      <c r="J52" s="126">
        <v>309</v>
      </c>
      <c r="K52" s="128">
        <v>37432</v>
      </c>
      <c r="L52" s="126">
        <v>5385</v>
      </c>
      <c r="M52" s="128">
        <v>20649698</v>
      </c>
      <c r="N52" s="86" t="s">
        <v>78</v>
      </c>
    </row>
    <row r="53" spans="1:14" ht="15.75" customHeight="1">
      <c r="A53" s="76" t="s">
        <v>79</v>
      </c>
      <c r="B53" s="126">
        <f>_xlfn.COMPOUNDVALUE(489)</f>
        <v>3334</v>
      </c>
      <c r="C53" s="127">
        <v>37144432</v>
      </c>
      <c r="D53" s="126">
        <f>_xlfn.COMPOUNDVALUE(490)</f>
        <v>1604</v>
      </c>
      <c r="E53" s="127">
        <v>993032</v>
      </c>
      <c r="F53" s="126">
        <f>_xlfn.COMPOUNDVALUE(491)</f>
        <v>4938</v>
      </c>
      <c r="G53" s="127">
        <v>38137465</v>
      </c>
      <c r="H53" s="126">
        <f>_xlfn.COMPOUNDVALUE(492)</f>
        <v>462</v>
      </c>
      <c r="I53" s="128">
        <v>2767720</v>
      </c>
      <c r="J53" s="126">
        <v>288</v>
      </c>
      <c r="K53" s="128">
        <v>-56073</v>
      </c>
      <c r="L53" s="126">
        <v>5466</v>
      </c>
      <c r="M53" s="128">
        <v>35313671</v>
      </c>
      <c r="N53" s="86" t="s">
        <v>79</v>
      </c>
    </row>
    <row r="54" spans="1:14" ht="15.75" customHeight="1">
      <c r="A54" s="76"/>
      <c r="B54" s="126"/>
      <c r="C54" s="127"/>
      <c r="D54" s="126"/>
      <c r="E54" s="127"/>
      <c r="F54" s="126"/>
      <c r="G54" s="127"/>
      <c r="H54" s="126"/>
      <c r="I54" s="128"/>
      <c r="J54" s="126"/>
      <c r="K54" s="128"/>
      <c r="L54" s="126"/>
      <c r="M54" s="128"/>
      <c r="N54" s="86" t="s">
        <v>38</v>
      </c>
    </row>
    <row r="55" spans="1:14" ht="15.75" customHeight="1">
      <c r="A55" s="76" t="s">
        <v>80</v>
      </c>
      <c r="B55" s="126">
        <f>_xlfn.COMPOUNDVALUE(493)</f>
        <v>19917</v>
      </c>
      <c r="C55" s="127">
        <v>470504667</v>
      </c>
      <c r="D55" s="126">
        <f>_xlfn.COMPOUNDVALUE(494)</f>
        <v>5081</v>
      </c>
      <c r="E55" s="127">
        <v>4068877</v>
      </c>
      <c r="F55" s="126">
        <f>_xlfn.COMPOUNDVALUE(495)</f>
        <v>24998</v>
      </c>
      <c r="G55" s="127">
        <v>474573544</v>
      </c>
      <c r="H55" s="126">
        <f>_xlfn.COMPOUNDVALUE(496)</f>
        <v>2666</v>
      </c>
      <c r="I55" s="128">
        <v>95139461</v>
      </c>
      <c r="J55" s="126">
        <v>1770</v>
      </c>
      <c r="K55" s="128">
        <v>597958</v>
      </c>
      <c r="L55" s="126">
        <v>28020</v>
      </c>
      <c r="M55" s="128">
        <v>380032041</v>
      </c>
      <c r="N55" s="86" t="s">
        <v>80</v>
      </c>
    </row>
    <row r="56" spans="1:14" ht="15.75" customHeight="1">
      <c r="A56" s="76" t="s">
        <v>81</v>
      </c>
      <c r="B56" s="126">
        <f>_xlfn.COMPOUNDVALUE(497)</f>
        <v>4142</v>
      </c>
      <c r="C56" s="127">
        <v>71939209</v>
      </c>
      <c r="D56" s="126">
        <f>_xlfn.COMPOUNDVALUE(498)</f>
        <v>1770</v>
      </c>
      <c r="E56" s="127">
        <v>1109496</v>
      </c>
      <c r="F56" s="126">
        <f>_xlfn.COMPOUNDVALUE(499)</f>
        <v>5912</v>
      </c>
      <c r="G56" s="127">
        <v>73048704</v>
      </c>
      <c r="H56" s="126">
        <f>_xlfn.COMPOUNDVALUE(500)</f>
        <v>565</v>
      </c>
      <c r="I56" s="128">
        <v>3103437</v>
      </c>
      <c r="J56" s="126">
        <v>397</v>
      </c>
      <c r="K56" s="128">
        <v>87299</v>
      </c>
      <c r="L56" s="126">
        <v>6554</v>
      </c>
      <c r="M56" s="128">
        <v>70032566</v>
      </c>
      <c r="N56" s="86" t="s">
        <v>81</v>
      </c>
    </row>
    <row r="57" spans="1:14" ht="15.75" customHeight="1">
      <c r="A57" s="76" t="s">
        <v>82</v>
      </c>
      <c r="B57" s="126">
        <f>_xlfn.COMPOUNDVALUE(501)</f>
        <v>3185</v>
      </c>
      <c r="C57" s="127">
        <v>21639624</v>
      </c>
      <c r="D57" s="126">
        <f>_xlfn.COMPOUNDVALUE(502)</f>
        <v>1521</v>
      </c>
      <c r="E57" s="127">
        <v>943636</v>
      </c>
      <c r="F57" s="126">
        <f>_xlfn.COMPOUNDVALUE(503)</f>
        <v>4706</v>
      </c>
      <c r="G57" s="127">
        <v>22583259</v>
      </c>
      <c r="H57" s="126">
        <f>_xlfn.COMPOUNDVALUE(504)</f>
        <v>355</v>
      </c>
      <c r="I57" s="128">
        <v>1577846</v>
      </c>
      <c r="J57" s="126">
        <v>280</v>
      </c>
      <c r="K57" s="128">
        <v>50439</v>
      </c>
      <c r="L57" s="126">
        <v>5113</v>
      </c>
      <c r="M57" s="128">
        <v>21055851</v>
      </c>
      <c r="N57" s="86" t="s">
        <v>82</v>
      </c>
    </row>
    <row r="58" spans="1:14" ht="15.75" customHeight="1">
      <c r="A58" s="76" t="s">
        <v>83</v>
      </c>
      <c r="B58" s="126">
        <f>_xlfn.COMPOUNDVALUE(505)</f>
        <v>2353</v>
      </c>
      <c r="C58" s="127">
        <v>15265707</v>
      </c>
      <c r="D58" s="126">
        <f>_xlfn.COMPOUNDVALUE(506)</f>
        <v>1204</v>
      </c>
      <c r="E58" s="127">
        <v>744817</v>
      </c>
      <c r="F58" s="126">
        <f>_xlfn.COMPOUNDVALUE(507)</f>
        <v>3557</v>
      </c>
      <c r="G58" s="127">
        <v>16010524</v>
      </c>
      <c r="H58" s="126">
        <f>_xlfn.COMPOUNDVALUE(508)</f>
        <v>294</v>
      </c>
      <c r="I58" s="128">
        <v>805940</v>
      </c>
      <c r="J58" s="126">
        <v>204</v>
      </c>
      <c r="K58" s="128">
        <v>43706</v>
      </c>
      <c r="L58" s="126">
        <v>3893</v>
      </c>
      <c r="M58" s="128">
        <v>15248290</v>
      </c>
      <c r="N58" s="86" t="s">
        <v>83</v>
      </c>
    </row>
    <row r="59" spans="1:14" ht="15.75" customHeight="1">
      <c r="A59" s="76" t="s">
        <v>84</v>
      </c>
      <c r="B59" s="126">
        <f>_xlfn.COMPOUNDVALUE(509)</f>
        <v>8104</v>
      </c>
      <c r="C59" s="127">
        <v>126398737</v>
      </c>
      <c r="D59" s="126">
        <f>_xlfn.COMPOUNDVALUE(510)</f>
        <v>2688</v>
      </c>
      <c r="E59" s="127">
        <v>1835756</v>
      </c>
      <c r="F59" s="126">
        <f>_xlfn.COMPOUNDVALUE(511)</f>
        <v>10792</v>
      </c>
      <c r="G59" s="127">
        <v>128234493</v>
      </c>
      <c r="H59" s="126">
        <f>_xlfn.COMPOUNDVALUE(512)</f>
        <v>1437</v>
      </c>
      <c r="I59" s="128">
        <v>10342355</v>
      </c>
      <c r="J59" s="126">
        <v>991</v>
      </c>
      <c r="K59" s="128">
        <v>990688</v>
      </c>
      <c r="L59" s="126">
        <v>12387</v>
      </c>
      <c r="M59" s="128">
        <v>118882826</v>
      </c>
      <c r="N59" s="86" t="s">
        <v>84</v>
      </c>
    </row>
    <row r="60" spans="1:14" ht="15.75" customHeight="1">
      <c r="A60" s="76"/>
      <c r="B60" s="126"/>
      <c r="C60" s="127"/>
      <c r="D60" s="126"/>
      <c r="E60" s="127"/>
      <c r="F60" s="126"/>
      <c r="G60" s="127"/>
      <c r="H60" s="126"/>
      <c r="I60" s="128"/>
      <c r="J60" s="126"/>
      <c r="K60" s="128"/>
      <c r="L60" s="126"/>
      <c r="M60" s="128"/>
      <c r="N60" s="86" t="s">
        <v>38</v>
      </c>
    </row>
    <row r="61" spans="1:14" ht="15.75" customHeight="1">
      <c r="A61" s="76" t="s">
        <v>85</v>
      </c>
      <c r="B61" s="126">
        <f>_xlfn.COMPOUNDVALUE(513)</f>
        <v>3737</v>
      </c>
      <c r="C61" s="127">
        <v>50994012</v>
      </c>
      <c r="D61" s="126">
        <f>_xlfn.COMPOUNDVALUE(514)</f>
        <v>1781</v>
      </c>
      <c r="E61" s="127">
        <v>990946</v>
      </c>
      <c r="F61" s="126">
        <f>_xlfn.COMPOUNDVALUE(515)</f>
        <v>5518</v>
      </c>
      <c r="G61" s="127">
        <v>51984958</v>
      </c>
      <c r="H61" s="126">
        <f>_xlfn.COMPOUNDVALUE(516)</f>
        <v>475</v>
      </c>
      <c r="I61" s="128">
        <v>2475264</v>
      </c>
      <c r="J61" s="126">
        <v>407</v>
      </c>
      <c r="K61" s="128">
        <v>31218</v>
      </c>
      <c r="L61" s="126">
        <v>6056</v>
      </c>
      <c r="M61" s="128">
        <v>49540912</v>
      </c>
      <c r="N61" s="86" t="s">
        <v>85</v>
      </c>
    </row>
    <row r="62" spans="1:14" ht="15.75" customHeight="1">
      <c r="A62" s="76" t="s">
        <v>86</v>
      </c>
      <c r="B62" s="126">
        <f>_xlfn.COMPOUNDVALUE(517)</f>
        <v>3286</v>
      </c>
      <c r="C62" s="127">
        <v>27574594</v>
      </c>
      <c r="D62" s="126">
        <f>_xlfn.COMPOUNDVALUE(518)</f>
        <v>1437</v>
      </c>
      <c r="E62" s="127">
        <v>773300</v>
      </c>
      <c r="F62" s="126">
        <f>_xlfn.COMPOUNDVALUE(519)</f>
        <v>4723</v>
      </c>
      <c r="G62" s="127">
        <v>28347893</v>
      </c>
      <c r="H62" s="126">
        <f>_xlfn.COMPOUNDVALUE(520)</f>
        <v>387</v>
      </c>
      <c r="I62" s="128">
        <v>1341970</v>
      </c>
      <c r="J62" s="126">
        <v>299</v>
      </c>
      <c r="K62" s="128">
        <v>83336</v>
      </c>
      <c r="L62" s="126">
        <v>5174</v>
      </c>
      <c r="M62" s="128">
        <v>27089259</v>
      </c>
      <c r="N62" s="86" t="s">
        <v>86</v>
      </c>
    </row>
    <row r="63" spans="1:14" ht="15.75" customHeight="1">
      <c r="A63" s="76" t="s">
        <v>87</v>
      </c>
      <c r="B63" s="126">
        <f>_xlfn.COMPOUNDVALUE(521)</f>
        <v>5937</v>
      </c>
      <c r="C63" s="127">
        <v>45480819</v>
      </c>
      <c r="D63" s="126">
        <f>_xlfn.COMPOUNDVALUE(522)</f>
        <v>2595</v>
      </c>
      <c r="E63" s="127">
        <v>1452471</v>
      </c>
      <c r="F63" s="126">
        <f>_xlfn.COMPOUNDVALUE(523)</f>
        <v>8532</v>
      </c>
      <c r="G63" s="127">
        <v>46933290</v>
      </c>
      <c r="H63" s="126">
        <f>_xlfn.COMPOUNDVALUE(524)</f>
        <v>615</v>
      </c>
      <c r="I63" s="128">
        <v>3764455</v>
      </c>
      <c r="J63" s="126">
        <v>599</v>
      </c>
      <c r="K63" s="128">
        <v>47182</v>
      </c>
      <c r="L63" s="126">
        <v>9257</v>
      </c>
      <c r="M63" s="128">
        <v>43216018</v>
      </c>
      <c r="N63" s="86" t="s">
        <v>87</v>
      </c>
    </row>
    <row r="64" spans="1:14" ht="15.75" customHeight="1">
      <c r="A64" s="76" t="s">
        <v>88</v>
      </c>
      <c r="B64" s="126">
        <f>_xlfn.COMPOUNDVALUE(525)</f>
        <v>4155</v>
      </c>
      <c r="C64" s="127">
        <v>19279286</v>
      </c>
      <c r="D64" s="126">
        <f>_xlfn.COMPOUNDVALUE(526)</f>
        <v>1883</v>
      </c>
      <c r="E64" s="127">
        <v>1064345</v>
      </c>
      <c r="F64" s="126">
        <f>_xlfn.COMPOUNDVALUE(527)</f>
        <v>6038</v>
      </c>
      <c r="G64" s="127">
        <v>20343631</v>
      </c>
      <c r="H64" s="126">
        <f>_xlfn.COMPOUNDVALUE(528)</f>
        <v>451</v>
      </c>
      <c r="I64" s="128">
        <v>3506947</v>
      </c>
      <c r="J64" s="126">
        <v>386</v>
      </c>
      <c r="K64" s="128">
        <v>47097</v>
      </c>
      <c r="L64" s="126">
        <v>6549</v>
      </c>
      <c r="M64" s="128">
        <v>16883781</v>
      </c>
      <c r="N64" s="86" t="s">
        <v>88</v>
      </c>
    </row>
    <row r="65" spans="1:14" ht="15.75" customHeight="1">
      <c r="A65" s="78" t="s">
        <v>89</v>
      </c>
      <c r="B65" s="131">
        <f>_xlfn.COMPOUNDVALUE(529)</f>
        <v>2296</v>
      </c>
      <c r="C65" s="132">
        <v>8772047</v>
      </c>
      <c r="D65" s="131">
        <f>_xlfn.COMPOUNDVALUE(530)</f>
        <v>1316</v>
      </c>
      <c r="E65" s="132">
        <v>751942</v>
      </c>
      <c r="F65" s="131">
        <f>_xlfn.COMPOUNDVALUE(531)</f>
        <v>3612</v>
      </c>
      <c r="G65" s="132">
        <v>9523989</v>
      </c>
      <c r="H65" s="131">
        <f>_xlfn.COMPOUNDVALUE(532)</f>
        <v>219</v>
      </c>
      <c r="I65" s="133">
        <v>406128</v>
      </c>
      <c r="J65" s="131">
        <v>194</v>
      </c>
      <c r="K65" s="133">
        <v>-12214</v>
      </c>
      <c r="L65" s="131">
        <v>3872</v>
      </c>
      <c r="M65" s="133">
        <v>9105646</v>
      </c>
      <c r="N65" s="77" t="s">
        <v>89</v>
      </c>
    </row>
    <row r="66" spans="1:14" ht="15.75" customHeight="1">
      <c r="A66" s="78"/>
      <c r="B66" s="131"/>
      <c r="C66" s="132"/>
      <c r="D66" s="131"/>
      <c r="E66" s="132"/>
      <c r="F66" s="131"/>
      <c r="G66" s="132"/>
      <c r="H66" s="131"/>
      <c r="I66" s="133"/>
      <c r="J66" s="131"/>
      <c r="K66" s="133"/>
      <c r="L66" s="131"/>
      <c r="M66" s="133"/>
      <c r="N66" s="77" t="s">
        <v>38</v>
      </c>
    </row>
    <row r="67" spans="1:14" ht="15.75" customHeight="1">
      <c r="A67" s="78" t="s">
        <v>90</v>
      </c>
      <c r="B67" s="131">
        <f>_xlfn.COMPOUNDVALUE(533)</f>
        <v>4414</v>
      </c>
      <c r="C67" s="132">
        <v>24300566</v>
      </c>
      <c r="D67" s="131">
        <f>_xlfn.COMPOUNDVALUE(534)</f>
        <v>1869</v>
      </c>
      <c r="E67" s="132">
        <v>1089839</v>
      </c>
      <c r="F67" s="131">
        <f>_xlfn.COMPOUNDVALUE(535)</f>
        <v>6283</v>
      </c>
      <c r="G67" s="132">
        <v>25390405</v>
      </c>
      <c r="H67" s="131">
        <f>_xlfn.COMPOUNDVALUE(536)</f>
        <v>405</v>
      </c>
      <c r="I67" s="133">
        <v>2584036</v>
      </c>
      <c r="J67" s="131">
        <v>442</v>
      </c>
      <c r="K67" s="133">
        <v>85794</v>
      </c>
      <c r="L67" s="131">
        <v>6765</v>
      </c>
      <c r="M67" s="133">
        <v>22892163</v>
      </c>
      <c r="N67" s="77" t="s">
        <v>90</v>
      </c>
    </row>
    <row r="68" spans="1:14" ht="15.75" customHeight="1">
      <c r="A68" s="78" t="s">
        <v>91</v>
      </c>
      <c r="B68" s="131">
        <f>_xlfn.COMPOUNDVALUE(537)</f>
        <v>3602</v>
      </c>
      <c r="C68" s="132">
        <v>18543323</v>
      </c>
      <c r="D68" s="131">
        <f>_xlfn.COMPOUNDVALUE(538)</f>
        <v>1552</v>
      </c>
      <c r="E68" s="132">
        <v>891481</v>
      </c>
      <c r="F68" s="131">
        <f>_xlfn.COMPOUNDVALUE(539)</f>
        <v>5154</v>
      </c>
      <c r="G68" s="132">
        <v>19434804</v>
      </c>
      <c r="H68" s="131">
        <f>_xlfn.COMPOUNDVALUE(540)</f>
        <v>296</v>
      </c>
      <c r="I68" s="133">
        <v>1070327</v>
      </c>
      <c r="J68" s="131">
        <v>378</v>
      </c>
      <c r="K68" s="133">
        <v>8069</v>
      </c>
      <c r="L68" s="131">
        <v>5502</v>
      </c>
      <c r="M68" s="133">
        <v>18372547</v>
      </c>
      <c r="N68" s="77" t="s">
        <v>91</v>
      </c>
    </row>
    <row r="69" spans="1:14" ht="15.75" customHeight="1">
      <c r="A69" s="78" t="s">
        <v>92</v>
      </c>
      <c r="B69" s="131">
        <f>_xlfn.COMPOUNDVALUE(541)</f>
        <v>4746</v>
      </c>
      <c r="C69" s="132">
        <v>22866578</v>
      </c>
      <c r="D69" s="131">
        <f>_xlfn.COMPOUNDVALUE(542)</f>
        <v>2397</v>
      </c>
      <c r="E69" s="132">
        <v>1333040</v>
      </c>
      <c r="F69" s="131">
        <f>_xlfn.COMPOUNDVALUE(543)</f>
        <v>7143</v>
      </c>
      <c r="G69" s="132">
        <v>24199618</v>
      </c>
      <c r="H69" s="131">
        <f>_xlfn.COMPOUNDVALUE(544)</f>
        <v>515</v>
      </c>
      <c r="I69" s="133">
        <v>1988944</v>
      </c>
      <c r="J69" s="131">
        <v>556</v>
      </c>
      <c r="K69" s="133">
        <v>21778</v>
      </c>
      <c r="L69" s="131">
        <v>7722</v>
      </c>
      <c r="M69" s="133">
        <v>22232453</v>
      </c>
      <c r="N69" s="77" t="s">
        <v>92</v>
      </c>
    </row>
    <row r="70" spans="1:14" ht="15.75" customHeight="1">
      <c r="A70" s="78" t="s">
        <v>93</v>
      </c>
      <c r="B70" s="131">
        <f>_xlfn.COMPOUNDVALUE(545)</f>
        <v>5333</v>
      </c>
      <c r="C70" s="132">
        <v>24866332</v>
      </c>
      <c r="D70" s="131">
        <f>_xlfn.COMPOUNDVALUE(546)</f>
        <v>2465</v>
      </c>
      <c r="E70" s="132">
        <v>1393636</v>
      </c>
      <c r="F70" s="131">
        <f>_xlfn.COMPOUNDVALUE(547)</f>
        <v>7798</v>
      </c>
      <c r="G70" s="132">
        <v>26259968</v>
      </c>
      <c r="H70" s="131">
        <f>_xlfn.COMPOUNDVALUE(548)</f>
        <v>518</v>
      </c>
      <c r="I70" s="133">
        <v>1861819</v>
      </c>
      <c r="J70" s="131">
        <v>501</v>
      </c>
      <c r="K70" s="133">
        <v>50031</v>
      </c>
      <c r="L70" s="131">
        <v>8409</v>
      </c>
      <c r="M70" s="133">
        <v>24448180</v>
      </c>
      <c r="N70" s="77" t="s">
        <v>93</v>
      </c>
    </row>
    <row r="71" spans="1:14" ht="15.75" customHeight="1">
      <c r="A71" s="78" t="s">
        <v>94</v>
      </c>
      <c r="B71" s="131">
        <f>_xlfn.COMPOUNDVALUE(549)</f>
        <v>2528</v>
      </c>
      <c r="C71" s="132">
        <v>17815051</v>
      </c>
      <c r="D71" s="131">
        <f>_xlfn.COMPOUNDVALUE(550)</f>
        <v>1042</v>
      </c>
      <c r="E71" s="132">
        <v>615715</v>
      </c>
      <c r="F71" s="131">
        <f>_xlfn.COMPOUNDVALUE(551)</f>
        <v>3570</v>
      </c>
      <c r="G71" s="132">
        <v>18430766</v>
      </c>
      <c r="H71" s="131">
        <f>_xlfn.COMPOUNDVALUE(552)</f>
        <v>274</v>
      </c>
      <c r="I71" s="133">
        <v>1524460</v>
      </c>
      <c r="J71" s="131">
        <v>230</v>
      </c>
      <c r="K71" s="133">
        <v>63982</v>
      </c>
      <c r="L71" s="131">
        <v>3877</v>
      </c>
      <c r="M71" s="133">
        <v>16970288</v>
      </c>
      <c r="N71" s="77" t="s">
        <v>94</v>
      </c>
    </row>
    <row r="72" spans="1:14" ht="15.75" customHeight="1">
      <c r="A72" s="181" t="s">
        <v>171</v>
      </c>
      <c r="B72" s="182">
        <v>228664</v>
      </c>
      <c r="C72" s="183">
        <v>5899675293</v>
      </c>
      <c r="D72" s="162">
        <v>74127</v>
      </c>
      <c r="E72" s="163">
        <v>50018048</v>
      </c>
      <c r="F72" s="162">
        <v>302791</v>
      </c>
      <c r="G72" s="163">
        <v>5949693341</v>
      </c>
      <c r="H72" s="162">
        <v>39405</v>
      </c>
      <c r="I72" s="164">
        <v>1878577392</v>
      </c>
      <c r="J72" s="162">
        <v>23235</v>
      </c>
      <c r="K72" s="164">
        <v>11645898</v>
      </c>
      <c r="L72" s="162">
        <v>345855</v>
      </c>
      <c r="M72" s="164">
        <v>4082761846</v>
      </c>
      <c r="N72" s="165" t="s">
        <v>96</v>
      </c>
    </row>
    <row r="73" spans="1:14" ht="15.75" customHeight="1">
      <c r="A73" s="176"/>
      <c r="B73" s="177"/>
      <c r="C73" s="178"/>
      <c r="D73" s="177"/>
      <c r="E73" s="178"/>
      <c r="F73" s="177"/>
      <c r="G73" s="178"/>
      <c r="H73" s="177"/>
      <c r="I73" s="179"/>
      <c r="J73" s="177"/>
      <c r="K73" s="179"/>
      <c r="L73" s="177"/>
      <c r="M73" s="179"/>
      <c r="N73" s="180" t="s">
        <v>38</v>
      </c>
    </row>
    <row r="74" spans="1:14" ht="15.75" customHeight="1">
      <c r="A74" s="76" t="s">
        <v>97</v>
      </c>
      <c r="B74" s="126">
        <f>_xlfn.COMPOUNDVALUE(553)</f>
        <v>4641</v>
      </c>
      <c r="C74" s="127">
        <v>28096448</v>
      </c>
      <c r="D74" s="126">
        <f>_xlfn.COMPOUNDVALUE(554)</f>
        <v>2233</v>
      </c>
      <c r="E74" s="127">
        <v>1344104</v>
      </c>
      <c r="F74" s="126">
        <f>_xlfn.COMPOUNDVALUE(555)</f>
        <v>6874</v>
      </c>
      <c r="G74" s="127">
        <v>29440552</v>
      </c>
      <c r="H74" s="126">
        <f>_xlfn.COMPOUNDVALUE(556)</f>
        <v>422</v>
      </c>
      <c r="I74" s="128">
        <v>13122843</v>
      </c>
      <c r="J74" s="126">
        <v>387</v>
      </c>
      <c r="K74" s="128">
        <v>145912</v>
      </c>
      <c r="L74" s="126">
        <v>7349</v>
      </c>
      <c r="M74" s="128">
        <v>16463620</v>
      </c>
      <c r="N74" s="86" t="s">
        <v>97</v>
      </c>
    </row>
    <row r="75" spans="1:14" ht="15.75" customHeight="1">
      <c r="A75" s="78" t="s">
        <v>98</v>
      </c>
      <c r="B75" s="131">
        <f>_xlfn.COMPOUNDVALUE(557)</f>
        <v>5694</v>
      </c>
      <c r="C75" s="132">
        <v>40066812</v>
      </c>
      <c r="D75" s="131">
        <f>_xlfn.COMPOUNDVALUE(558)</f>
        <v>2682</v>
      </c>
      <c r="E75" s="132">
        <v>1676374</v>
      </c>
      <c r="F75" s="131">
        <f>_xlfn.COMPOUNDVALUE(559)</f>
        <v>8376</v>
      </c>
      <c r="G75" s="132">
        <v>41743186</v>
      </c>
      <c r="H75" s="131">
        <f>_xlfn.COMPOUNDVALUE(560)</f>
        <v>532</v>
      </c>
      <c r="I75" s="133">
        <v>4314868</v>
      </c>
      <c r="J75" s="131">
        <v>491</v>
      </c>
      <c r="K75" s="133">
        <v>137719</v>
      </c>
      <c r="L75" s="131">
        <v>8998</v>
      </c>
      <c r="M75" s="133">
        <v>37566037</v>
      </c>
      <c r="N75" s="77" t="s">
        <v>98</v>
      </c>
    </row>
    <row r="76" spans="1:14" ht="15.75" customHeight="1">
      <c r="A76" s="78" t="s">
        <v>99</v>
      </c>
      <c r="B76" s="131">
        <f>_xlfn.COMPOUNDVALUE(561)</f>
        <v>3863</v>
      </c>
      <c r="C76" s="132">
        <v>35877981</v>
      </c>
      <c r="D76" s="131">
        <f>_xlfn.COMPOUNDVALUE(562)</f>
        <v>1963</v>
      </c>
      <c r="E76" s="132">
        <v>1209760</v>
      </c>
      <c r="F76" s="131">
        <f>_xlfn.COMPOUNDVALUE(563)</f>
        <v>5826</v>
      </c>
      <c r="G76" s="132">
        <v>37087741</v>
      </c>
      <c r="H76" s="131">
        <f>_xlfn.COMPOUNDVALUE(564)</f>
        <v>456</v>
      </c>
      <c r="I76" s="133">
        <v>6111038</v>
      </c>
      <c r="J76" s="131">
        <v>282</v>
      </c>
      <c r="K76" s="133">
        <v>123597</v>
      </c>
      <c r="L76" s="131">
        <v>6319</v>
      </c>
      <c r="M76" s="133">
        <v>31100300</v>
      </c>
      <c r="N76" s="77" t="s">
        <v>99</v>
      </c>
    </row>
    <row r="77" spans="1:14" ht="15.75" customHeight="1">
      <c r="A77" s="78" t="s">
        <v>100</v>
      </c>
      <c r="B77" s="131">
        <f>_xlfn.COMPOUNDVALUE(565)</f>
        <v>3333</v>
      </c>
      <c r="C77" s="132">
        <v>19386307</v>
      </c>
      <c r="D77" s="131">
        <f>_xlfn.COMPOUNDVALUE(566)</f>
        <v>1607</v>
      </c>
      <c r="E77" s="132">
        <v>943933</v>
      </c>
      <c r="F77" s="131">
        <f>_xlfn.COMPOUNDVALUE(567)</f>
        <v>4940</v>
      </c>
      <c r="G77" s="132">
        <v>20330240</v>
      </c>
      <c r="H77" s="131">
        <f>_xlfn.COMPOUNDVALUE(568)</f>
        <v>221</v>
      </c>
      <c r="I77" s="133">
        <v>2376795</v>
      </c>
      <c r="J77" s="131">
        <v>296</v>
      </c>
      <c r="K77" s="133">
        <v>54221</v>
      </c>
      <c r="L77" s="131">
        <v>5213</v>
      </c>
      <c r="M77" s="133">
        <v>18007666</v>
      </c>
      <c r="N77" s="77" t="s">
        <v>100</v>
      </c>
    </row>
    <row r="78" spans="1:14" ht="15.75" customHeight="1">
      <c r="A78" s="78" t="s">
        <v>101</v>
      </c>
      <c r="B78" s="131">
        <f>_xlfn.COMPOUNDVALUE(569)</f>
        <v>4453</v>
      </c>
      <c r="C78" s="132">
        <v>39380600</v>
      </c>
      <c r="D78" s="131">
        <f>_xlfn.COMPOUNDVALUE(570)</f>
        <v>2268</v>
      </c>
      <c r="E78" s="132">
        <v>1304358</v>
      </c>
      <c r="F78" s="131">
        <f>_xlfn.COMPOUNDVALUE(571)</f>
        <v>6721</v>
      </c>
      <c r="G78" s="132">
        <v>40684958</v>
      </c>
      <c r="H78" s="131">
        <f>_xlfn.COMPOUNDVALUE(572)</f>
        <v>343</v>
      </c>
      <c r="I78" s="133">
        <v>2856100</v>
      </c>
      <c r="J78" s="131">
        <v>390</v>
      </c>
      <c r="K78" s="133">
        <v>67624</v>
      </c>
      <c r="L78" s="131">
        <v>7131</v>
      </c>
      <c r="M78" s="133">
        <v>37896481</v>
      </c>
      <c r="N78" s="77" t="s">
        <v>101</v>
      </c>
    </row>
    <row r="79" spans="1:14" ht="15.75" customHeight="1">
      <c r="A79" s="104"/>
      <c r="B79" s="139"/>
      <c r="C79" s="140"/>
      <c r="D79" s="139"/>
      <c r="E79" s="140"/>
      <c r="F79" s="139"/>
      <c r="G79" s="140"/>
      <c r="H79" s="139"/>
      <c r="I79" s="141"/>
      <c r="J79" s="139"/>
      <c r="K79" s="141"/>
      <c r="L79" s="139"/>
      <c r="M79" s="141"/>
      <c r="N79" s="105" t="s">
        <v>38</v>
      </c>
    </row>
    <row r="80" spans="1:14" ht="15.75" customHeight="1">
      <c r="A80" s="99" t="s">
        <v>102</v>
      </c>
      <c r="B80" s="126">
        <f>_xlfn.COMPOUNDVALUE(573)</f>
        <v>3170</v>
      </c>
      <c r="C80" s="127">
        <v>15150777</v>
      </c>
      <c r="D80" s="126">
        <f>_xlfn.COMPOUNDVALUE(574)</f>
        <v>1657</v>
      </c>
      <c r="E80" s="127">
        <v>994121</v>
      </c>
      <c r="F80" s="126">
        <f>_xlfn.COMPOUNDVALUE(575)</f>
        <v>4827</v>
      </c>
      <c r="G80" s="127">
        <v>16144898</v>
      </c>
      <c r="H80" s="126">
        <f>_xlfn.COMPOUNDVALUE(576)</f>
        <v>311</v>
      </c>
      <c r="I80" s="128">
        <v>1597560</v>
      </c>
      <c r="J80" s="126">
        <v>280</v>
      </c>
      <c r="K80" s="128">
        <v>562</v>
      </c>
      <c r="L80" s="126">
        <v>5187</v>
      </c>
      <c r="M80" s="128">
        <v>14547900</v>
      </c>
      <c r="N80" s="86" t="s">
        <v>102</v>
      </c>
    </row>
    <row r="81" spans="1:14" ht="15.75" customHeight="1">
      <c r="A81" s="78" t="s">
        <v>103</v>
      </c>
      <c r="B81" s="131">
        <f>_xlfn.COMPOUNDVALUE(577)</f>
        <v>2465</v>
      </c>
      <c r="C81" s="132">
        <v>17954704</v>
      </c>
      <c r="D81" s="131">
        <f>_xlfn.COMPOUNDVALUE(578)</f>
        <v>1146</v>
      </c>
      <c r="E81" s="132">
        <v>656384</v>
      </c>
      <c r="F81" s="131">
        <f>_xlfn.COMPOUNDVALUE(579)</f>
        <v>3611</v>
      </c>
      <c r="G81" s="132">
        <v>18611089</v>
      </c>
      <c r="H81" s="131">
        <f>_xlfn.COMPOUNDVALUE(580)</f>
        <v>216</v>
      </c>
      <c r="I81" s="133">
        <v>6433080</v>
      </c>
      <c r="J81" s="131">
        <v>171</v>
      </c>
      <c r="K81" s="133">
        <v>92778</v>
      </c>
      <c r="L81" s="131">
        <v>3858</v>
      </c>
      <c r="M81" s="133">
        <v>12270786</v>
      </c>
      <c r="N81" s="77" t="s">
        <v>103</v>
      </c>
    </row>
    <row r="82" spans="1:14" ht="15.75" customHeight="1">
      <c r="A82" s="78" t="s">
        <v>104</v>
      </c>
      <c r="B82" s="131">
        <f>_xlfn.COMPOUNDVALUE(581)</f>
        <v>4621</v>
      </c>
      <c r="C82" s="132">
        <v>25394387</v>
      </c>
      <c r="D82" s="131">
        <f>_xlfn.COMPOUNDVALUE(582)</f>
        <v>2397</v>
      </c>
      <c r="E82" s="132">
        <v>1331030</v>
      </c>
      <c r="F82" s="131">
        <f>_xlfn.COMPOUNDVALUE(583)</f>
        <v>7018</v>
      </c>
      <c r="G82" s="132">
        <v>26725417</v>
      </c>
      <c r="H82" s="131">
        <f>_xlfn.COMPOUNDVALUE(584)</f>
        <v>349</v>
      </c>
      <c r="I82" s="133">
        <v>3726299</v>
      </c>
      <c r="J82" s="131">
        <v>395</v>
      </c>
      <c r="K82" s="133">
        <v>13949</v>
      </c>
      <c r="L82" s="131">
        <v>7426</v>
      </c>
      <c r="M82" s="133">
        <v>23013066</v>
      </c>
      <c r="N82" s="77" t="s">
        <v>104</v>
      </c>
    </row>
    <row r="83" spans="1:14" ht="15.75" customHeight="1">
      <c r="A83" s="161" t="s">
        <v>172</v>
      </c>
      <c r="B83" s="162">
        <v>32240</v>
      </c>
      <c r="C83" s="163">
        <v>221308016</v>
      </c>
      <c r="D83" s="162">
        <v>15953</v>
      </c>
      <c r="E83" s="163">
        <v>9460064</v>
      </c>
      <c r="F83" s="162">
        <v>48193</v>
      </c>
      <c r="G83" s="163">
        <v>230768081</v>
      </c>
      <c r="H83" s="162">
        <v>2850</v>
      </c>
      <c r="I83" s="164">
        <v>40538583</v>
      </c>
      <c r="J83" s="162">
        <v>2692</v>
      </c>
      <c r="K83" s="164">
        <v>636362</v>
      </c>
      <c r="L83" s="162">
        <v>51481</v>
      </c>
      <c r="M83" s="164">
        <v>190865856</v>
      </c>
      <c r="N83" s="165" t="s">
        <v>106</v>
      </c>
    </row>
    <row r="84" spans="1:14" ht="15.75" customHeight="1">
      <c r="A84" s="176"/>
      <c r="B84" s="177"/>
      <c r="C84" s="178"/>
      <c r="D84" s="177"/>
      <c r="E84" s="178"/>
      <c r="F84" s="177"/>
      <c r="G84" s="178"/>
      <c r="H84" s="177"/>
      <c r="I84" s="179"/>
      <c r="J84" s="177"/>
      <c r="K84" s="179"/>
      <c r="L84" s="177"/>
      <c r="M84" s="179"/>
      <c r="N84" s="180" t="s">
        <v>38</v>
      </c>
    </row>
    <row r="85" spans="1:14" ht="15.75" customHeight="1">
      <c r="A85" s="171" t="s">
        <v>173</v>
      </c>
      <c r="B85" s="172">
        <v>260904</v>
      </c>
      <c r="C85" s="173">
        <v>6120983308</v>
      </c>
      <c r="D85" s="172">
        <v>90080</v>
      </c>
      <c r="E85" s="173">
        <v>59478110</v>
      </c>
      <c r="F85" s="172">
        <v>350984</v>
      </c>
      <c r="G85" s="173">
        <v>6180461418</v>
      </c>
      <c r="H85" s="172">
        <v>42255</v>
      </c>
      <c r="I85" s="174">
        <v>1919115973</v>
      </c>
      <c r="J85" s="172">
        <v>25927</v>
      </c>
      <c r="K85" s="174">
        <v>12282257</v>
      </c>
      <c r="L85" s="172">
        <v>397336</v>
      </c>
      <c r="M85" s="174">
        <v>4273627701</v>
      </c>
      <c r="N85" s="175" t="s">
        <v>108</v>
      </c>
    </row>
    <row r="86" spans="1:14" ht="15.75" customHeight="1">
      <c r="A86" s="166"/>
      <c r="B86" s="167"/>
      <c r="C86" s="168"/>
      <c r="D86" s="167"/>
      <c r="E86" s="168"/>
      <c r="F86" s="169"/>
      <c r="G86" s="168"/>
      <c r="H86" s="169"/>
      <c r="I86" s="168"/>
      <c r="J86" s="169"/>
      <c r="K86" s="168"/>
      <c r="L86" s="169"/>
      <c r="M86" s="168"/>
      <c r="N86" s="170"/>
    </row>
    <row r="87" spans="1:14" ht="15.75" customHeight="1">
      <c r="A87" s="76" t="s">
        <v>109</v>
      </c>
      <c r="B87" s="126">
        <f>_xlfn.COMPOUNDVALUE(585)</f>
        <v>2884</v>
      </c>
      <c r="C87" s="127">
        <v>28090094</v>
      </c>
      <c r="D87" s="126">
        <f>_xlfn.COMPOUNDVALUE(586)</f>
        <v>1367</v>
      </c>
      <c r="E87" s="127">
        <v>836104</v>
      </c>
      <c r="F87" s="126">
        <f>_xlfn.COMPOUNDVALUE(587)</f>
        <v>4251</v>
      </c>
      <c r="G87" s="127">
        <v>28926198</v>
      </c>
      <c r="H87" s="126">
        <f>_xlfn.COMPOUNDVALUE(588)</f>
        <v>280</v>
      </c>
      <c r="I87" s="128">
        <v>2011829</v>
      </c>
      <c r="J87" s="126">
        <v>279</v>
      </c>
      <c r="K87" s="128">
        <v>72848</v>
      </c>
      <c r="L87" s="126">
        <v>4568</v>
      </c>
      <c r="M87" s="128">
        <v>26987217</v>
      </c>
      <c r="N87" s="86" t="s">
        <v>109</v>
      </c>
    </row>
    <row r="88" spans="1:14" ht="15.75" customHeight="1">
      <c r="A88" s="76" t="s">
        <v>110</v>
      </c>
      <c r="B88" s="126">
        <f>_xlfn.COMPOUNDVALUE(589)</f>
        <v>6983</v>
      </c>
      <c r="C88" s="127">
        <v>201691410</v>
      </c>
      <c r="D88" s="126">
        <f>_xlfn.COMPOUNDVALUE(590)</f>
        <v>2429</v>
      </c>
      <c r="E88" s="127">
        <v>1622056</v>
      </c>
      <c r="F88" s="126">
        <f>_xlfn.COMPOUNDVALUE(591)</f>
        <v>9412</v>
      </c>
      <c r="G88" s="127">
        <v>203313466</v>
      </c>
      <c r="H88" s="126">
        <f>_xlfn.COMPOUNDVALUE(592)</f>
        <v>1504</v>
      </c>
      <c r="I88" s="128">
        <v>18109913</v>
      </c>
      <c r="J88" s="126">
        <v>671</v>
      </c>
      <c r="K88" s="128">
        <v>-34852</v>
      </c>
      <c r="L88" s="126">
        <v>11025</v>
      </c>
      <c r="M88" s="128">
        <v>185168701</v>
      </c>
      <c r="N88" s="86" t="s">
        <v>110</v>
      </c>
    </row>
    <row r="89" spans="1:14" ht="15.75" customHeight="1">
      <c r="A89" s="76" t="s">
        <v>111</v>
      </c>
      <c r="B89" s="126">
        <f>_xlfn.COMPOUNDVALUE(593)</f>
        <v>3943</v>
      </c>
      <c r="C89" s="127">
        <v>24804235</v>
      </c>
      <c r="D89" s="126">
        <f>_xlfn.COMPOUNDVALUE(594)</f>
        <v>1970</v>
      </c>
      <c r="E89" s="127">
        <v>1133263</v>
      </c>
      <c r="F89" s="126">
        <f>_xlfn.COMPOUNDVALUE(595)</f>
        <v>5913</v>
      </c>
      <c r="G89" s="127">
        <v>25937498</v>
      </c>
      <c r="H89" s="126">
        <f>_xlfn.COMPOUNDVALUE(596)</f>
        <v>287</v>
      </c>
      <c r="I89" s="128">
        <v>3665542</v>
      </c>
      <c r="J89" s="126">
        <v>349</v>
      </c>
      <c r="K89" s="128">
        <v>28190</v>
      </c>
      <c r="L89" s="126">
        <v>6253</v>
      </c>
      <c r="M89" s="128">
        <v>22300146</v>
      </c>
      <c r="N89" s="86" t="s">
        <v>111</v>
      </c>
    </row>
    <row r="90" spans="1:14" ht="15.75" customHeight="1">
      <c r="A90" s="76" t="s">
        <v>112</v>
      </c>
      <c r="B90" s="126">
        <f>_xlfn.COMPOUNDVALUE(597)</f>
        <v>5498</v>
      </c>
      <c r="C90" s="127">
        <v>33129935</v>
      </c>
      <c r="D90" s="126">
        <f>_xlfn.COMPOUNDVALUE(598)</f>
        <v>2887</v>
      </c>
      <c r="E90" s="127">
        <v>1673909</v>
      </c>
      <c r="F90" s="126">
        <f>_xlfn.COMPOUNDVALUE(599)</f>
        <v>8385</v>
      </c>
      <c r="G90" s="127">
        <v>34803843</v>
      </c>
      <c r="H90" s="126">
        <f>_xlfn.COMPOUNDVALUE(600)</f>
        <v>604</v>
      </c>
      <c r="I90" s="128">
        <v>2645276</v>
      </c>
      <c r="J90" s="126">
        <v>582</v>
      </c>
      <c r="K90" s="128">
        <v>132851</v>
      </c>
      <c r="L90" s="126">
        <v>9089</v>
      </c>
      <c r="M90" s="128">
        <v>32291418</v>
      </c>
      <c r="N90" s="86" t="s">
        <v>112</v>
      </c>
    </row>
    <row r="91" spans="1:14" ht="15.75" customHeight="1">
      <c r="A91" s="76" t="s">
        <v>113</v>
      </c>
      <c r="B91" s="126">
        <f>_xlfn.COMPOUNDVALUE(601)</f>
        <v>6286</v>
      </c>
      <c r="C91" s="127">
        <v>78100017</v>
      </c>
      <c r="D91" s="126">
        <f>_xlfn.COMPOUNDVALUE(602)</f>
        <v>2786</v>
      </c>
      <c r="E91" s="127">
        <v>1728347</v>
      </c>
      <c r="F91" s="126">
        <f>_xlfn.COMPOUNDVALUE(603)</f>
        <v>9072</v>
      </c>
      <c r="G91" s="127">
        <v>79828365</v>
      </c>
      <c r="H91" s="126">
        <f>_xlfn.COMPOUNDVALUE(604)</f>
        <v>932</v>
      </c>
      <c r="I91" s="128">
        <v>150834703</v>
      </c>
      <c r="J91" s="126">
        <v>606</v>
      </c>
      <c r="K91" s="128">
        <v>303195</v>
      </c>
      <c r="L91" s="126">
        <v>10129</v>
      </c>
      <c r="M91" s="128">
        <v>-70703144</v>
      </c>
      <c r="N91" s="86" t="s">
        <v>113</v>
      </c>
    </row>
    <row r="92" spans="1:14" ht="15.75" customHeight="1">
      <c r="A92" s="76"/>
      <c r="B92" s="126"/>
      <c r="C92" s="127"/>
      <c r="D92" s="126"/>
      <c r="E92" s="127"/>
      <c r="F92" s="126"/>
      <c r="G92" s="127"/>
      <c r="H92" s="126"/>
      <c r="I92" s="128"/>
      <c r="J92" s="126"/>
      <c r="K92" s="128"/>
      <c r="L92" s="126"/>
      <c r="M92" s="128"/>
      <c r="N92" s="86" t="s">
        <v>38</v>
      </c>
    </row>
    <row r="93" spans="1:14" ht="15.75" customHeight="1">
      <c r="A93" s="76" t="s">
        <v>114</v>
      </c>
      <c r="B93" s="126">
        <f>_xlfn.COMPOUNDVALUE(605)</f>
        <v>3219</v>
      </c>
      <c r="C93" s="127">
        <v>19661917</v>
      </c>
      <c r="D93" s="126">
        <f>_xlfn.COMPOUNDVALUE(606)</f>
        <v>1689</v>
      </c>
      <c r="E93" s="127">
        <v>989284</v>
      </c>
      <c r="F93" s="126">
        <f>_xlfn.COMPOUNDVALUE(607)</f>
        <v>4908</v>
      </c>
      <c r="G93" s="127">
        <v>20651200</v>
      </c>
      <c r="H93" s="126">
        <f>_xlfn.COMPOUNDVALUE(608)</f>
        <v>272</v>
      </c>
      <c r="I93" s="128">
        <v>5083864</v>
      </c>
      <c r="J93" s="126">
        <v>392</v>
      </c>
      <c r="K93" s="128">
        <v>75392</v>
      </c>
      <c r="L93" s="126">
        <v>5239</v>
      </c>
      <c r="M93" s="128">
        <v>15642728</v>
      </c>
      <c r="N93" s="86" t="s">
        <v>114</v>
      </c>
    </row>
    <row r="94" spans="1:14" ht="15.75" customHeight="1">
      <c r="A94" s="76" t="s">
        <v>169</v>
      </c>
      <c r="B94" s="126">
        <f>_xlfn.COMPOUNDVALUE(609)</f>
        <v>5530</v>
      </c>
      <c r="C94" s="127">
        <v>31140415</v>
      </c>
      <c r="D94" s="126">
        <f>_xlfn.COMPOUNDVALUE(610)</f>
        <v>2773</v>
      </c>
      <c r="E94" s="127">
        <v>1666132</v>
      </c>
      <c r="F94" s="126">
        <f>_xlfn.COMPOUNDVALUE(611)</f>
        <v>8303</v>
      </c>
      <c r="G94" s="127">
        <v>32806547</v>
      </c>
      <c r="H94" s="126">
        <f>_xlfn.COMPOUNDVALUE(612)</f>
        <v>674</v>
      </c>
      <c r="I94" s="128">
        <v>3436906</v>
      </c>
      <c r="J94" s="126">
        <v>437</v>
      </c>
      <c r="K94" s="128">
        <v>31791</v>
      </c>
      <c r="L94" s="126">
        <v>9051</v>
      </c>
      <c r="M94" s="128">
        <v>29401432</v>
      </c>
      <c r="N94" s="86" t="s">
        <v>115</v>
      </c>
    </row>
    <row r="95" spans="1:14" ht="15.75" customHeight="1">
      <c r="A95" s="76" t="s">
        <v>116</v>
      </c>
      <c r="B95" s="126">
        <f>_xlfn.COMPOUNDVALUE(613)</f>
        <v>4448</v>
      </c>
      <c r="C95" s="127">
        <v>92888241</v>
      </c>
      <c r="D95" s="126">
        <f>_xlfn.COMPOUNDVALUE(614)</f>
        <v>1939</v>
      </c>
      <c r="E95" s="127">
        <v>1207078</v>
      </c>
      <c r="F95" s="126">
        <f>_xlfn.COMPOUNDVALUE(615)</f>
        <v>6387</v>
      </c>
      <c r="G95" s="127">
        <v>94095319</v>
      </c>
      <c r="H95" s="126">
        <f>_xlfn.COMPOUNDVALUE(616)</f>
        <v>450</v>
      </c>
      <c r="I95" s="128">
        <v>30389932</v>
      </c>
      <c r="J95" s="126">
        <v>396</v>
      </c>
      <c r="K95" s="128">
        <v>68147</v>
      </c>
      <c r="L95" s="126">
        <v>6901</v>
      </c>
      <c r="M95" s="128">
        <v>63773534</v>
      </c>
      <c r="N95" s="86" t="s">
        <v>116</v>
      </c>
    </row>
    <row r="96" spans="1:14" ht="15.75" customHeight="1">
      <c r="A96" s="76" t="s">
        <v>117</v>
      </c>
      <c r="B96" s="126">
        <f>_xlfn.COMPOUNDVALUE(617)</f>
        <v>5170</v>
      </c>
      <c r="C96" s="127">
        <v>71520084</v>
      </c>
      <c r="D96" s="126">
        <f>_xlfn.COMPOUNDVALUE(618)</f>
        <v>2667</v>
      </c>
      <c r="E96" s="127">
        <v>1624568</v>
      </c>
      <c r="F96" s="126">
        <f>_xlfn.COMPOUNDVALUE(619)</f>
        <v>7837</v>
      </c>
      <c r="G96" s="127">
        <v>73144652</v>
      </c>
      <c r="H96" s="126">
        <f>_xlfn.COMPOUNDVALUE(620)</f>
        <v>437</v>
      </c>
      <c r="I96" s="128">
        <v>5913097</v>
      </c>
      <c r="J96" s="126">
        <v>382</v>
      </c>
      <c r="K96" s="128">
        <v>297101</v>
      </c>
      <c r="L96" s="126">
        <v>8339</v>
      </c>
      <c r="M96" s="128">
        <v>67528656</v>
      </c>
      <c r="N96" s="86" t="s">
        <v>117</v>
      </c>
    </row>
    <row r="97" spans="1:14" ht="15.75" customHeight="1">
      <c r="A97" s="76" t="s">
        <v>118</v>
      </c>
      <c r="B97" s="126">
        <f>_xlfn.COMPOUNDVALUE(621)</f>
        <v>2193</v>
      </c>
      <c r="C97" s="127">
        <v>7915081</v>
      </c>
      <c r="D97" s="126">
        <f>_xlfn.COMPOUNDVALUE(622)</f>
        <v>1241</v>
      </c>
      <c r="E97" s="127">
        <v>733012</v>
      </c>
      <c r="F97" s="126">
        <f>_xlfn.COMPOUNDVALUE(623)</f>
        <v>3434</v>
      </c>
      <c r="G97" s="127">
        <v>8648093</v>
      </c>
      <c r="H97" s="126">
        <f>_xlfn.COMPOUNDVALUE(624)</f>
        <v>238</v>
      </c>
      <c r="I97" s="128">
        <v>1657509</v>
      </c>
      <c r="J97" s="126">
        <v>166</v>
      </c>
      <c r="K97" s="128">
        <v>42856</v>
      </c>
      <c r="L97" s="126">
        <v>3692</v>
      </c>
      <c r="M97" s="128">
        <v>7033440</v>
      </c>
      <c r="N97" s="86" t="s">
        <v>118</v>
      </c>
    </row>
    <row r="98" spans="1:14" ht="15.75" customHeight="1">
      <c r="A98" s="76"/>
      <c r="B98" s="126"/>
      <c r="C98" s="127"/>
      <c r="D98" s="126"/>
      <c r="E98" s="127"/>
      <c r="F98" s="126"/>
      <c r="G98" s="127"/>
      <c r="H98" s="126"/>
      <c r="I98" s="128"/>
      <c r="J98" s="126"/>
      <c r="K98" s="128"/>
      <c r="L98" s="126"/>
      <c r="M98" s="128"/>
      <c r="N98" s="86" t="s">
        <v>38</v>
      </c>
    </row>
    <row r="99" spans="1:14" ht="15.75" customHeight="1">
      <c r="A99" s="76" t="s">
        <v>119</v>
      </c>
      <c r="B99" s="126">
        <f>_xlfn.COMPOUNDVALUE(625)</f>
        <v>3163</v>
      </c>
      <c r="C99" s="127">
        <v>16200084</v>
      </c>
      <c r="D99" s="126">
        <f>_xlfn.COMPOUNDVALUE(626)</f>
        <v>1786</v>
      </c>
      <c r="E99" s="127">
        <v>1050153</v>
      </c>
      <c r="F99" s="126">
        <f>_xlfn.COMPOUNDVALUE(627)</f>
        <v>4949</v>
      </c>
      <c r="G99" s="127">
        <v>17250236</v>
      </c>
      <c r="H99" s="126">
        <f>_xlfn.COMPOUNDVALUE(628)</f>
        <v>195</v>
      </c>
      <c r="I99" s="128">
        <v>725389</v>
      </c>
      <c r="J99" s="126">
        <v>304</v>
      </c>
      <c r="K99" s="128">
        <v>37314</v>
      </c>
      <c r="L99" s="126">
        <v>5198</v>
      </c>
      <c r="M99" s="128">
        <v>16562161</v>
      </c>
      <c r="N99" s="86" t="s">
        <v>119</v>
      </c>
    </row>
    <row r="100" spans="1:14" ht="15.75" customHeight="1">
      <c r="A100" s="76" t="s">
        <v>120</v>
      </c>
      <c r="B100" s="126">
        <f>_xlfn.COMPOUNDVALUE(629)</f>
        <v>4241</v>
      </c>
      <c r="C100" s="127">
        <v>32563824</v>
      </c>
      <c r="D100" s="126">
        <f>_xlfn.COMPOUNDVALUE(630)</f>
        <v>2381</v>
      </c>
      <c r="E100" s="127">
        <v>1338720</v>
      </c>
      <c r="F100" s="126">
        <f>_xlfn.COMPOUNDVALUE(631)</f>
        <v>6622</v>
      </c>
      <c r="G100" s="127">
        <v>33902544</v>
      </c>
      <c r="H100" s="126">
        <f>_xlfn.COMPOUNDVALUE(632)</f>
        <v>307</v>
      </c>
      <c r="I100" s="128">
        <v>2757288</v>
      </c>
      <c r="J100" s="126">
        <v>440</v>
      </c>
      <c r="K100" s="128">
        <v>50578</v>
      </c>
      <c r="L100" s="126">
        <v>6978</v>
      </c>
      <c r="M100" s="128">
        <v>31195834</v>
      </c>
      <c r="N100" s="86" t="s">
        <v>120</v>
      </c>
    </row>
    <row r="101" spans="1:14" ht="15.75" customHeight="1">
      <c r="A101" s="78" t="s">
        <v>121</v>
      </c>
      <c r="B101" s="131">
        <f>_xlfn.COMPOUNDVALUE(633)</f>
        <v>2094</v>
      </c>
      <c r="C101" s="132">
        <v>9369881</v>
      </c>
      <c r="D101" s="131">
        <f>_xlfn.COMPOUNDVALUE(634)</f>
        <v>1394</v>
      </c>
      <c r="E101" s="132">
        <v>803550</v>
      </c>
      <c r="F101" s="131">
        <f>_xlfn.COMPOUNDVALUE(635)</f>
        <v>3488</v>
      </c>
      <c r="G101" s="132">
        <v>10173431</v>
      </c>
      <c r="H101" s="131">
        <f>_xlfn.COMPOUNDVALUE(636)</f>
        <v>205</v>
      </c>
      <c r="I101" s="133">
        <v>362556</v>
      </c>
      <c r="J101" s="131">
        <v>222</v>
      </c>
      <c r="K101" s="133">
        <v>1166</v>
      </c>
      <c r="L101" s="131">
        <v>3737</v>
      </c>
      <c r="M101" s="133">
        <v>9812041</v>
      </c>
      <c r="N101" s="77" t="s">
        <v>121</v>
      </c>
    </row>
    <row r="102" spans="1:14" ht="15.75" customHeight="1">
      <c r="A102" s="78" t="s">
        <v>122</v>
      </c>
      <c r="B102" s="131">
        <f>_xlfn.COMPOUNDVALUE(637)</f>
        <v>5104</v>
      </c>
      <c r="C102" s="132">
        <v>29256021</v>
      </c>
      <c r="D102" s="131">
        <f>_xlfn.COMPOUNDVALUE(638)</f>
        <v>2822</v>
      </c>
      <c r="E102" s="132">
        <v>1604650</v>
      </c>
      <c r="F102" s="131">
        <f>_xlfn.COMPOUNDVALUE(639)</f>
        <v>7926</v>
      </c>
      <c r="G102" s="132">
        <v>30860671</v>
      </c>
      <c r="H102" s="131">
        <f>_xlfn.COMPOUNDVALUE(640)</f>
        <v>485</v>
      </c>
      <c r="I102" s="133">
        <v>4818443</v>
      </c>
      <c r="J102" s="131">
        <v>511</v>
      </c>
      <c r="K102" s="133">
        <v>189270</v>
      </c>
      <c r="L102" s="131">
        <v>8479</v>
      </c>
      <c r="M102" s="133">
        <v>26231498</v>
      </c>
      <c r="N102" s="77" t="s">
        <v>122</v>
      </c>
    </row>
    <row r="103" spans="1:14" ht="15.75" customHeight="1">
      <c r="A103" s="78" t="s">
        <v>123</v>
      </c>
      <c r="B103" s="131">
        <f>_xlfn.COMPOUNDVALUE(641)</f>
        <v>3379</v>
      </c>
      <c r="C103" s="132">
        <v>19764334</v>
      </c>
      <c r="D103" s="131">
        <f>_xlfn.COMPOUNDVALUE(642)</f>
        <v>1699</v>
      </c>
      <c r="E103" s="132">
        <v>974744</v>
      </c>
      <c r="F103" s="131">
        <f>_xlfn.COMPOUNDVALUE(643)</f>
        <v>5078</v>
      </c>
      <c r="G103" s="132">
        <v>20739078</v>
      </c>
      <c r="H103" s="131">
        <f>_xlfn.COMPOUNDVALUE(644)</f>
        <v>163</v>
      </c>
      <c r="I103" s="133">
        <v>652923</v>
      </c>
      <c r="J103" s="131">
        <v>325</v>
      </c>
      <c r="K103" s="133">
        <v>44316</v>
      </c>
      <c r="L103" s="131">
        <v>5276</v>
      </c>
      <c r="M103" s="133">
        <v>20130472</v>
      </c>
      <c r="N103" s="77" t="s">
        <v>123</v>
      </c>
    </row>
    <row r="104" spans="1:14" ht="15.75" customHeight="1">
      <c r="A104" s="78"/>
      <c r="B104" s="131"/>
      <c r="C104" s="132"/>
      <c r="D104" s="131"/>
      <c r="E104" s="132"/>
      <c r="F104" s="131"/>
      <c r="G104" s="132"/>
      <c r="H104" s="131"/>
      <c r="I104" s="133"/>
      <c r="J104" s="131"/>
      <c r="K104" s="133"/>
      <c r="L104" s="131"/>
      <c r="M104" s="133"/>
      <c r="N104" s="77" t="s">
        <v>38</v>
      </c>
    </row>
    <row r="105" spans="1:14" ht="15.75" customHeight="1">
      <c r="A105" s="78" t="s">
        <v>124</v>
      </c>
      <c r="B105" s="131">
        <f>_xlfn.COMPOUNDVALUE(645)</f>
        <v>5672</v>
      </c>
      <c r="C105" s="132">
        <v>31658065</v>
      </c>
      <c r="D105" s="131">
        <f>_xlfn.COMPOUNDVALUE(646)</f>
        <v>2878</v>
      </c>
      <c r="E105" s="132">
        <v>1710196</v>
      </c>
      <c r="F105" s="131">
        <f>_xlfn.COMPOUNDVALUE(647)</f>
        <v>8550</v>
      </c>
      <c r="G105" s="132">
        <v>33368261</v>
      </c>
      <c r="H105" s="131">
        <f>_xlfn.COMPOUNDVALUE(648)</f>
        <v>490</v>
      </c>
      <c r="I105" s="133">
        <v>10915534</v>
      </c>
      <c r="J105" s="131">
        <v>602</v>
      </c>
      <c r="K105" s="133">
        <v>56455</v>
      </c>
      <c r="L105" s="131">
        <v>9120</v>
      </c>
      <c r="M105" s="133">
        <v>22509182</v>
      </c>
      <c r="N105" s="77" t="s">
        <v>124</v>
      </c>
    </row>
    <row r="106" spans="1:14" ht="15.75" customHeight="1">
      <c r="A106" s="78" t="s">
        <v>125</v>
      </c>
      <c r="B106" s="131">
        <f>_xlfn.COMPOUNDVALUE(649)</f>
        <v>2701</v>
      </c>
      <c r="C106" s="132">
        <v>22943509</v>
      </c>
      <c r="D106" s="131">
        <f>_xlfn.COMPOUNDVALUE(650)</f>
        <v>1285</v>
      </c>
      <c r="E106" s="132">
        <v>802197</v>
      </c>
      <c r="F106" s="131">
        <f>_xlfn.COMPOUNDVALUE(651)</f>
        <v>3986</v>
      </c>
      <c r="G106" s="132">
        <v>23745707</v>
      </c>
      <c r="H106" s="131">
        <f>_xlfn.COMPOUNDVALUE(652)</f>
        <v>218</v>
      </c>
      <c r="I106" s="133">
        <v>17875630</v>
      </c>
      <c r="J106" s="131">
        <v>298</v>
      </c>
      <c r="K106" s="133">
        <v>143728</v>
      </c>
      <c r="L106" s="131">
        <v>4245</v>
      </c>
      <c r="M106" s="133">
        <v>6013804</v>
      </c>
      <c r="N106" s="77" t="s">
        <v>125</v>
      </c>
    </row>
    <row r="107" spans="1:14" ht="15.75" customHeight="1">
      <c r="A107" s="78" t="s">
        <v>126</v>
      </c>
      <c r="B107" s="131">
        <f>_xlfn.COMPOUNDVALUE(653)</f>
        <v>4323</v>
      </c>
      <c r="C107" s="132">
        <v>25130315</v>
      </c>
      <c r="D107" s="131">
        <f>_xlfn.COMPOUNDVALUE(654)</f>
        <v>2136</v>
      </c>
      <c r="E107" s="132">
        <v>1367793</v>
      </c>
      <c r="F107" s="131">
        <f>_xlfn.COMPOUNDVALUE(655)</f>
        <v>6459</v>
      </c>
      <c r="G107" s="132">
        <v>26498109</v>
      </c>
      <c r="H107" s="131">
        <f>_xlfn.COMPOUNDVALUE(656)</f>
        <v>365</v>
      </c>
      <c r="I107" s="133">
        <v>4481019</v>
      </c>
      <c r="J107" s="131">
        <v>320</v>
      </c>
      <c r="K107" s="133">
        <v>27104</v>
      </c>
      <c r="L107" s="131">
        <v>6883</v>
      </c>
      <c r="M107" s="133">
        <v>22044193</v>
      </c>
      <c r="N107" s="77" t="s">
        <v>126</v>
      </c>
    </row>
    <row r="108" spans="1:14" ht="15.75" customHeight="1">
      <c r="A108" s="161" t="s">
        <v>174</v>
      </c>
      <c r="B108" s="162">
        <v>76831</v>
      </c>
      <c r="C108" s="163">
        <v>775827460</v>
      </c>
      <c r="D108" s="162">
        <v>38129</v>
      </c>
      <c r="E108" s="163">
        <v>22865756</v>
      </c>
      <c r="F108" s="162">
        <v>114960</v>
      </c>
      <c r="G108" s="163">
        <v>798693216</v>
      </c>
      <c r="H108" s="162">
        <v>8106</v>
      </c>
      <c r="I108" s="164">
        <v>266337353</v>
      </c>
      <c r="J108" s="162">
        <v>7282</v>
      </c>
      <c r="K108" s="164">
        <v>1567450</v>
      </c>
      <c r="L108" s="162">
        <v>124202</v>
      </c>
      <c r="M108" s="164">
        <v>533923313</v>
      </c>
      <c r="N108" s="165" t="s">
        <v>128</v>
      </c>
    </row>
    <row r="109" spans="1:14" ht="15.75" customHeight="1">
      <c r="A109" s="166"/>
      <c r="B109" s="167"/>
      <c r="C109" s="168"/>
      <c r="D109" s="167"/>
      <c r="E109" s="168"/>
      <c r="F109" s="169"/>
      <c r="G109" s="168"/>
      <c r="H109" s="169"/>
      <c r="I109" s="168"/>
      <c r="J109" s="169"/>
      <c r="K109" s="168"/>
      <c r="L109" s="169"/>
      <c r="M109" s="168"/>
      <c r="N109" s="170"/>
    </row>
    <row r="110" spans="1:14" ht="15.75" customHeight="1">
      <c r="A110" s="76" t="s">
        <v>129</v>
      </c>
      <c r="B110" s="126">
        <f>_xlfn.COMPOUNDVALUE(657)</f>
        <v>4716</v>
      </c>
      <c r="C110" s="127">
        <v>30691344</v>
      </c>
      <c r="D110" s="126">
        <f>_xlfn.COMPOUNDVALUE(658)</f>
        <v>1852</v>
      </c>
      <c r="E110" s="127">
        <v>1120680</v>
      </c>
      <c r="F110" s="126">
        <f>_xlfn.COMPOUNDVALUE(659)</f>
        <v>6568</v>
      </c>
      <c r="G110" s="127">
        <v>31812023</v>
      </c>
      <c r="H110" s="126">
        <f>_xlfn.COMPOUNDVALUE(660)</f>
        <v>290</v>
      </c>
      <c r="I110" s="128">
        <v>2738313</v>
      </c>
      <c r="J110" s="126">
        <v>404</v>
      </c>
      <c r="K110" s="128">
        <v>105896</v>
      </c>
      <c r="L110" s="126">
        <v>6931</v>
      </c>
      <c r="M110" s="128">
        <v>29179607</v>
      </c>
      <c r="N110" s="86" t="s">
        <v>129</v>
      </c>
    </row>
    <row r="111" spans="1:14" ht="15.75" customHeight="1">
      <c r="A111" s="78" t="s">
        <v>130</v>
      </c>
      <c r="B111" s="131">
        <f>_xlfn.COMPOUNDVALUE(661)</f>
        <v>1159</v>
      </c>
      <c r="C111" s="132">
        <v>5610913</v>
      </c>
      <c r="D111" s="131">
        <f>_xlfn.COMPOUNDVALUE(662)</f>
        <v>446</v>
      </c>
      <c r="E111" s="132">
        <v>238920</v>
      </c>
      <c r="F111" s="131">
        <f>_xlfn.COMPOUNDVALUE(663)</f>
        <v>1605</v>
      </c>
      <c r="G111" s="132">
        <v>5849832</v>
      </c>
      <c r="H111" s="131">
        <f>_xlfn.COMPOUNDVALUE(664)</f>
        <v>67</v>
      </c>
      <c r="I111" s="133">
        <v>207565</v>
      </c>
      <c r="J111" s="131">
        <v>91</v>
      </c>
      <c r="K111" s="133">
        <v>34426</v>
      </c>
      <c r="L111" s="131">
        <v>1692</v>
      </c>
      <c r="M111" s="133">
        <v>5676693</v>
      </c>
      <c r="N111" s="77" t="s">
        <v>130</v>
      </c>
    </row>
    <row r="112" spans="1:14" ht="15.75" customHeight="1">
      <c r="A112" s="78" t="s">
        <v>131</v>
      </c>
      <c r="B112" s="131">
        <f>_xlfn.COMPOUNDVALUE(665)</f>
        <v>1989</v>
      </c>
      <c r="C112" s="132">
        <v>10635795</v>
      </c>
      <c r="D112" s="131">
        <f>_xlfn.COMPOUNDVALUE(666)</f>
        <v>922</v>
      </c>
      <c r="E112" s="132">
        <v>548477</v>
      </c>
      <c r="F112" s="131">
        <f>_xlfn.COMPOUNDVALUE(667)</f>
        <v>2911</v>
      </c>
      <c r="G112" s="132">
        <v>11184272</v>
      </c>
      <c r="H112" s="131">
        <f>_xlfn.COMPOUNDVALUE(668)</f>
        <v>130</v>
      </c>
      <c r="I112" s="133">
        <v>14075491</v>
      </c>
      <c r="J112" s="131">
        <v>241</v>
      </c>
      <c r="K112" s="133">
        <v>51169</v>
      </c>
      <c r="L112" s="131">
        <v>3074</v>
      </c>
      <c r="M112" s="133">
        <v>-2840051</v>
      </c>
      <c r="N112" s="77" t="s">
        <v>131</v>
      </c>
    </row>
    <row r="113" spans="1:14" ht="15.75" customHeight="1">
      <c r="A113" s="78" t="s">
        <v>132</v>
      </c>
      <c r="B113" s="131">
        <f>_xlfn.COMPOUNDVALUE(669)</f>
        <v>478</v>
      </c>
      <c r="C113" s="132">
        <v>2452378</v>
      </c>
      <c r="D113" s="131">
        <f>_xlfn.COMPOUNDVALUE(670)</f>
        <v>217</v>
      </c>
      <c r="E113" s="132">
        <v>110044</v>
      </c>
      <c r="F113" s="131">
        <f>_xlfn.COMPOUNDVALUE(671)</f>
        <v>695</v>
      </c>
      <c r="G113" s="132">
        <v>2562423</v>
      </c>
      <c r="H113" s="131">
        <f>_xlfn.COMPOUNDVALUE(672)</f>
        <v>20</v>
      </c>
      <c r="I113" s="133">
        <v>46668</v>
      </c>
      <c r="J113" s="131">
        <v>65</v>
      </c>
      <c r="K113" s="133">
        <v>4591</v>
      </c>
      <c r="L113" s="131">
        <v>722</v>
      </c>
      <c r="M113" s="133">
        <v>2520346</v>
      </c>
      <c r="N113" s="77" t="s">
        <v>132</v>
      </c>
    </row>
    <row r="114" spans="1:14" ht="15.75" customHeight="1">
      <c r="A114" s="79" t="s">
        <v>175</v>
      </c>
      <c r="B114" s="134">
        <v>8342</v>
      </c>
      <c r="C114" s="135">
        <v>49390430</v>
      </c>
      <c r="D114" s="134">
        <v>3437</v>
      </c>
      <c r="E114" s="135">
        <v>2018120</v>
      </c>
      <c r="F114" s="134">
        <v>11779</v>
      </c>
      <c r="G114" s="135">
        <v>51408550</v>
      </c>
      <c r="H114" s="134">
        <v>507</v>
      </c>
      <c r="I114" s="136">
        <v>17068036</v>
      </c>
      <c r="J114" s="134">
        <v>801</v>
      </c>
      <c r="K114" s="136">
        <v>196082</v>
      </c>
      <c r="L114" s="134">
        <v>12419</v>
      </c>
      <c r="M114" s="136">
        <v>34536596</v>
      </c>
      <c r="N114" s="84" t="s">
        <v>134</v>
      </c>
    </row>
    <row r="115" spans="1:14" ht="15.75" customHeight="1" thickBot="1">
      <c r="A115" s="200"/>
      <c r="B115" s="201"/>
      <c r="C115" s="202"/>
      <c r="D115" s="201"/>
      <c r="E115" s="202"/>
      <c r="F115" s="203"/>
      <c r="G115" s="202"/>
      <c r="H115" s="203"/>
      <c r="I115" s="202"/>
      <c r="J115" s="203"/>
      <c r="K115" s="202"/>
      <c r="L115" s="203"/>
      <c r="M115" s="202"/>
      <c r="N115" s="204"/>
    </row>
    <row r="116" spans="1:14" ht="15.75" customHeight="1" thickBot="1" thickTop="1">
      <c r="A116" s="82" t="s">
        <v>176</v>
      </c>
      <c r="B116" s="148">
        <v>393637</v>
      </c>
      <c r="C116" s="149">
        <v>7277874071</v>
      </c>
      <c r="D116" s="148">
        <v>153179</v>
      </c>
      <c r="E116" s="149">
        <v>97181214</v>
      </c>
      <c r="F116" s="148">
        <v>546816</v>
      </c>
      <c r="G116" s="149">
        <v>7375055285</v>
      </c>
      <c r="H116" s="148">
        <v>56132</v>
      </c>
      <c r="I116" s="150">
        <v>2235731183</v>
      </c>
      <c r="J116" s="148">
        <v>38599</v>
      </c>
      <c r="K116" s="150">
        <v>14620068</v>
      </c>
      <c r="L116" s="148">
        <v>609110</v>
      </c>
      <c r="M116" s="150">
        <v>5153944169</v>
      </c>
      <c r="N116" s="91" t="s">
        <v>37</v>
      </c>
    </row>
    <row r="117" spans="1:14" ht="13.5">
      <c r="A117" s="247" t="s">
        <v>179</v>
      </c>
      <c r="B117" s="247"/>
      <c r="C117" s="247"/>
      <c r="D117" s="247"/>
      <c r="E117" s="247"/>
      <c r="F117" s="247"/>
      <c r="G117" s="247"/>
      <c r="H117" s="247"/>
      <c r="I117" s="247"/>
      <c r="J117" s="66"/>
      <c r="K117" s="66"/>
      <c r="L117" s="65"/>
      <c r="M117" s="65"/>
      <c r="N117" s="65"/>
    </row>
  </sheetData>
  <sheetProtection/>
  <mergeCells count="11">
    <mergeCell ref="A2:I2"/>
    <mergeCell ref="A3:A5"/>
    <mergeCell ref="B3:G3"/>
    <mergeCell ref="H3:I4"/>
    <mergeCell ref="J3:K4"/>
    <mergeCell ref="L3:M4"/>
    <mergeCell ref="N3:N5"/>
    <mergeCell ref="B4:C4"/>
    <mergeCell ref="D4:E4"/>
    <mergeCell ref="F4:G4"/>
    <mergeCell ref="A117:I117"/>
  </mergeCells>
  <printOptions horizontalCentered="1"/>
  <pageMargins left="0.7874015748031497" right="0.7874015748031497" top="0.7874015748031497" bottom="0.8267716535433072" header="0.5118110236220472" footer="0.31496062992125984"/>
  <pageSetup fitToHeight="3" horizontalDpi="600" verticalDpi="600" orientation="landscape" paperSize="9" scale="71" r:id="rId1"/>
  <headerFooter alignWithMargins="0">
    <oddFooter>&amp;R東京国税局
消費税
(H28)</oddFooter>
  </headerFooter>
  <rowBreaks count="2" manualBreakCount="2">
    <brk id="42" max="13" man="1"/>
    <brk id="79" max="13" man="1"/>
  </rowBreaks>
</worksheet>
</file>

<file path=xl/worksheets/sheet6.xml><?xml version="1.0" encoding="utf-8"?>
<worksheet xmlns="http://schemas.openxmlformats.org/spreadsheetml/2006/main" xmlns:r="http://schemas.openxmlformats.org/officeDocument/2006/relationships">
  <sheetPr>
    <pageSetUpPr fitToPage="1"/>
  </sheetPr>
  <dimension ref="A1:R117"/>
  <sheetViews>
    <sheetView showGridLines="0" zoomScaleSheetLayoutView="100" workbookViewId="0" topLeftCell="A1">
      <selection activeCell="H14" sqref="H14"/>
    </sheetView>
  </sheetViews>
  <sheetFormatPr defaultColWidth="9.00390625" defaultRowHeight="13.5"/>
  <cols>
    <col min="1" max="1" width="10.375" style="125" customWidth="1"/>
    <col min="2" max="2" width="10.625" style="125" customWidth="1"/>
    <col min="3" max="3" width="12.625" style="125" customWidth="1"/>
    <col min="4" max="4" width="10.625" style="125" customWidth="1"/>
    <col min="5" max="5" width="12.625" style="125" customWidth="1"/>
    <col min="6" max="6" width="10.625" style="125" customWidth="1"/>
    <col min="7" max="7" width="12.625" style="125" customWidth="1"/>
    <col min="8" max="8" width="10.625" style="125" customWidth="1"/>
    <col min="9" max="9" width="12.625" style="125" customWidth="1"/>
    <col min="10" max="10" width="10.625" style="125" customWidth="1"/>
    <col min="11" max="11" width="12.625" style="125" customWidth="1"/>
    <col min="12" max="12" width="10.625" style="125" customWidth="1"/>
    <col min="13" max="13" width="12.625" style="125" customWidth="1"/>
    <col min="14" max="17" width="10.625" style="125" customWidth="1"/>
    <col min="18" max="18" width="10.375" style="125" customWidth="1"/>
    <col min="19" max="16384" width="9.00390625" style="125" customWidth="1"/>
  </cols>
  <sheetData>
    <row r="1" spans="1:16" ht="13.5">
      <c r="A1" s="64" t="s">
        <v>189</v>
      </c>
      <c r="B1" s="64"/>
      <c r="C1" s="64"/>
      <c r="D1" s="64"/>
      <c r="E1" s="64"/>
      <c r="F1" s="64"/>
      <c r="G1" s="64"/>
      <c r="H1" s="64"/>
      <c r="I1" s="64"/>
      <c r="J1" s="64"/>
      <c r="K1" s="64"/>
      <c r="L1" s="65"/>
      <c r="M1" s="65"/>
      <c r="N1" s="65"/>
      <c r="O1" s="65"/>
      <c r="P1" s="65"/>
    </row>
    <row r="2" spans="1:16" ht="14.25" thickBot="1">
      <c r="A2" s="254" t="s">
        <v>26</v>
      </c>
      <c r="B2" s="254"/>
      <c r="C2" s="254"/>
      <c r="D2" s="254"/>
      <c r="E2" s="254"/>
      <c r="F2" s="254"/>
      <c r="G2" s="254"/>
      <c r="H2" s="254"/>
      <c r="I2" s="254"/>
      <c r="J2" s="66"/>
      <c r="K2" s="66"/>
      <c r="L2" s="65"/>
      <c r="M2" s="65"/>
      <c r="N2" s="65"/>
      <c r="O2" s="65"/>
      <c r="P2" s="65"/>
    </row>
    <row r="3" spans="1:18" ht="19.5" customHeight="1">
      <c r="A3" s="249" t="s">
        <v>27</v>
      </c>
      <c r="B3" s="252" t="s">
        <v>28</v>
      </c>
      <c r="C3" s="252"/>
      <c r="D3" s="252"/>
      <c r="E3" s="252"/>
      <c r="F3" s="252"/>
      <c r="G3" s="252"/>
      <c r="H3" s="252" t="s">
        <v>13</v>
      </c>
      <c r="I3" s="252"/>
      <c r="J3" s="255" t="s">
        <v>29</v>
      </c>
      <c r="K3" s="252"/>
      <c r="L3" s="252" t="s">
        <v>30</v>
      </c>
      <c r="M3" s="252"/>
      <c r="N3" s="256" t="s">
        <v>147</v>
      </c>
      <c r="O3" s="257"/>
      <c r="P3" s="257"/>
      <c r="Q3" s="257"/>
      <c r="R3" s="242" t="s">
        <v>31</v>
      </c>
    </row>
    <row r="4" spans="1:18" ht="17.25" customHeight="1">
      <c r="A4" s="250"/>
      <c r="B4" s="245" t="s">
        <v>16</v>
      </c>
      <c r="C4" s="245"/>
      <c r="D4" s="245" t="s">
        <v>32</v>
      </c>
      <c r="E4" s="245"/>
      <c r="F4" s="245" t="s">
        <v>33</v>
      </c>
      <c r="G4" s="245"/>
      <c r="H4" s="245"/>
      <c r="I4" s="245"/>
      <c r="J4" s="245"/>
      <c r="K4" s="245"/>
      <c r="L4" s="245"/>
      <c r="M4" s="245"/>
      <c r="N4" s="258" t="s">
        <v>34</v>
      </c>
      <c r="O4" s="260" t="s">
        <v>148</v>
      </c>
      <c r="P4" s="262" t="s">
        <v>149</v>
      </c>
      <c r="Q4" s="241" t="s">
        <v>35</v>
      </c>
      <c r="R4" s="243"/>
    </row>
    <row r="5" spans="1:18" ht="28.5" customHeight="1">
      <c r="A5" s="251"/>
      <c r="B5" s="67" t="s">
        <v>36</v>
      </c>
      <c r="C5" s="68" t="s">
        <v>138</v>
      </c>
      <c r="D5" s="67" t="s">
        <v>36</v>
      </c>
      <c r="E5" s="68" t="s">
        <v>138</v>
      </c>
      <c r="F5" s="67" t="s">
        <v>36</v>
      </c>
      <c r="G5" s="68" t="s">
        <v>139</v>
      </c>
      <c r="H5" s="67" t="s">
        <v>36</v>
      </c>
      <c r="I5" s="68" t="s">
        <v>140</v>
      </c>
      <c r="J5" s="67" t="s">
        <v>36</v>
      </c>
      <c r="K5" s="68" t="s">
        <v>141</v>
      </c>
      <c r="L5" s="67" t="s">
        <v>36</v>
      </c>
      <c r="M5" s="69" t="s">
        <v>150</v>
      </c>
      <c r="N5" s="259"/>
      <c r="O5" s="261"/>
      <c r="P5" s="263"/>
      <c r="Q5" s="264"/>
      <c r="R5" s="244"/>
    </row>
    <row r="6" spans="1:18" s="95" customFormat="1" ht="10.5">
      <c r="A6" s="70"/>
      <c r="B6" s="71" t="s">
        <v>4</v>
      </c>
      <c r="C6" s="72" t="s">
        <v>5</v>
      </c>
      <c r="D6" s="71" t="s">
        <v>4</v>
      </c>
      <c r="E6" s="72" t="s">
        <v>5</v>
      </c>
      <c r="F6" s="71" t="s">
        <v>4</v>
      </c>
      <c r="G6" s="72" t="s">
        <v>5</v>
      </c>
      <c r="H6" s="71" t="s">
        <v>4</v>
      </c>
      <c r="I6" s="72" t="s">
        <v>5</v>
      </c>
      <c r="J6" s="71" t="s">
        <v>4</v>
      </c>
      <c r="K6" s="72" t="s">
        <v>5</v>
      </c>
      <c r="L6" s="71" t="s">
        <v>187</v>
      </c>
      <c r="M6" s="72" t="s">
        <v>5</v>
      </c>
      <c r="N6" s="71" t="s">
        <v>4</v>
      </c>
      <c r="O6" s="73" t="s">
        <v>4</v>
      </c>
      <c r="P6" s="73" t="s">
        <v>4</v>
      </c>
      <c r="Q6" s="74" t="s">
        <v>4</v>
      </c>
      <c r="R6" s="75"/>
    </row>
    <row r="7" spans="1:18" ht="15.75" customHeight="1">
      <c r="A7" s="98" t="s">
        <v>39</v>
      </c>
      <c r="B7" s="126">
        <f>_xlfn.COMPOUNDVALUE(673)</f>
        <v>5714</v>
      </c>
      <c r="C7" s="127">
        <v>36984804</v>
      </c>
      <c r="D7" s="126">
        <f>_xlfn.COMPOUNDVALUE(674)</f>
        <v>3431</v>
      </c>
      <c r="E7" s="127">
        <v>1969197</v>
      </c>
      <c r="F7" s="126">
        <f>_xlfn.COMPOUNDVALUE(675)</f>
        <v>9145</v>
      </c>
      <c r="G7" s="127">
        <v>38954001</v>
      </c>
      <c r="H7" s="126">
        <f>_xlfn.COMPOUNDVALUE(676)</f>
        <v>628</v>
      </c>
      <c r="I7" s="128">
        <v>2033151</v>
      </c>
      <c r="J7" s="126">
        <v>743</v>
      </c>
      <c r="K7" s="128">
        <v>181997</v>
      </c>
      <c r="L7" s="126">
        <v>9959</v>
      </c>
      <c r="M7" s="128">
        <v>37102846</v>
      </c>
      <c r="N7" s="126">
        <v>10227</v>
      </c>
      <c r="O7" s="129">
        <v>418</v>
      </c>
      <c r="P7" s="129">
        <v>47</v>
      </c>
      <c r="Q7" s="130">
        <v>10692</v>
      </c>
      <c r="R7" s="97" t="s">
        <v>39</v>
      </c>
    </row>
    <row r="8" spans="1:18" ht="15.75" customHeight="1">
      <c r="A8" s="76" t="s">
        <v>40</v>
      </c>
      <c r="B8" s="126">
        <f>_xlfn.COMPOUNDVALUE(677)</f>
        <v>4900</v>
      </c>
      <c r="C8" s="127">
        <v>22990227</v>
      </c>
      <c r="D8" s="126">
        <f>_xlfn.COMPOUNDVALUE(678)</f>
        <v>3283</v>
      </c>
      <c r="E8" s="127">
        <v>1833701</v>
      </c>
      <c r="F8" s="126">
        <f>_xlfn.COMPOUNDVALUE(679)</f>
        <v>8183</v>
      </c>
      <c r="G8" s="127">
        <v>24823928</v>
      </c>
      <c r="H8" s="126">
        <f>_xlfn.COMPOUNDVALUE(680)</f>
        <v>438</v>
      </c>
      <c r="I8" s="128">
        <v>1133761</v>
      </c>
      <c r="J8" s="126">
        <v>624</v>
      </c>
      <c r="K8" s="128">
        <v>68310</v>
      </c>
      <c r="L8" s="126">
        <v>8849</v>
      </c>
      <c r="M8" s="128">
        <v>23758478</v>
      </c>
      <c r="N8" s="126">
        <v>8818</v>
      </c>
      <c r="O8" s="129">
        <v>257</v>
      </c>
      <c r="P8" s="129">
        <v>22</v>
      </c>
      <c r="Q8" s="130">
        <v>9097</v>
      </c>
      <c r="R8" s="77" t="s">
        <v>40</v>
      </c>
    </row>
    <row r="9" spans="1:18" ht="15.75" customHeight="1">
      <c r="A9" s="76" t="s">
        <v>41</v>
      </c>
      <c r="B9" s="126">
        <f>_xlfn.COMPOUNDVALUE(681)</f>
        <v>5420</v>
      </c>
      <c r="C9" s="127">
        <v>77130210</v>
      </c>
      <c r="D9" s="126">
        <f>_xlfn.COMPOUNDVALUE(682)</f>
        <v>3734</v>
      </c>
      <c r="E9" s="127">
        <v>1955466</v>
      </c>
      <c r="F9" s="126">
        <f>_xlfn.COMPOUNDVALUE(683)</f>
        <v>9154</v>
      </c>
      <c r="G9" s="127">
        <v>79085676</v>
      </c>
      <c r="H9" s="126">
        <f>_xlfn.COMPOUNDVALUE(684)</f>
        <v>629</v>
      </c>
      <c r="I9" s="128">
        <v>5375092</v>
      </c>
      <c r="J9" s="126">
        <v>751</v>
      </c>
      <c r="K9" s="128">
        <v>180148</v>
      </c>
      <c r="L9" s="126">
        <v>9969</v>
      </c>
      <c r="M9" s="128">
        <v>73890732</v>
      </c>
      <c r="N9" s="126">
        <v>10139</v>
      </c>
      <c r="O9" s="129">
        <v>420</v>
      </c>
      <c r="P9" s="129">
        <v>52</v>
      </c>
      <c r="Q9" s="130">
        <v>10611</v>
      </c>
      <c r="R9" s="77" t="s">
        <v>41</v>
      </c>
    </row>
    <row r="10" spans="1:18" ht="15.75" customHeight="1">
      <c r="A10" s="76" t="s">
        <v>42</v>
      </c>
      <c r="B10" s="126">
        <f>_xlfn.COMPOUNDVALUE(685)</f>
        <v>2610</v>
      </c>
      <c r="C10" s="127">
        <v>10068670</v>
      </c>
      <c r="D10" s="126">
        <f>_xlfn.COMPOUNDVALUE(686)</f>
        <v>3178</v>
      </c>
      <c r="E10" s="127">
        <v>1369062</v>
      </c>
      <c r="F10" s="126">
        <f>_xlfn.COMPOUNDVALUE(687)</f>
        <v>5788</v>
      </c>
      <c r="G10" s="127">
        <v>11437732</v>
      </c>
      <c r="H10" s="126">
        <f>_xlfn.COMPOUNDVALUE(688)</f>
        <v>174</v>
      </c>
      <c r="I10" s="128">
        <v>809626</v>
      </c>
      <c r="J10" s="126">
        <v>406</v>
      </c>
      <c r="K10" s="128">
        <v>76582</v>
      </c>
      <c r="L10" s="126">
        <v>6057</v>
      </c>
      <c r="M10" s="128">
        <v>10704688</v>
      </c>
      <c r="N10" s="126">
        <v>6271</v>
      </c>
      <c r="O10" s="129">
        <v>149</v>
      </c>
      <c r="P10" s="129">
        <v>12</v>
      </c>
      <c r="Q10" s="130">
        <v>6432</v>
      </c>
      <c r="R10" s="77" t="s">
        <v>42</v>
      </c>
    </row>
    <row r="11" spans="1:18" ht="15.75" customHeight="1">
      <c r="A11" s="76" t="s">
        <v>43</v>
      </c>
      <c r="B11" s="126">
        <f>_xlfn.COMPOUNDVALUE(689)</f>
        <v>5885</v>
      </c>
      <c r="C11" s="127">
        <v>46672212</v>
      </c>
      <c r="D11" s="126">
        <f>_xlfn.COMPOUNDVALUE(690)</f>
        <v>4398</v>
      </c>
      <c r="E11" s="127">
        <v>2367323</v>
      </c>
      <c r="F11" s="126">
        <f>_xlfn.COMPOUNDVALUE(691)</f>
        <v>10283</v>
      </c>
      <c r="G11" s="127">
        <v>49039534</v>
      </c>
      <c r="H11" s="126">
        <f>_xlfn.COMPOUNDVALUE(692)</f>
        <v>646</v>
      </c>
      <c r="I11" s="128">
        <v>2146191</v>
      </c>
      <c r="J11" s="126">
        <v>742</v>
      </c>
      <c r="K11" s="128">
        <v>69494</v>
      </c>
      <c r="L11" s="126">
        <v>11144</v>
      </c>
      <c r="M11" s="128">
        <v>46962837</v>
      </c>
      <c r="N11" s="126">
        <v>11604</v>
      </c>
      <c r="O11" s="129">
        <v>446</v>
      </c>
      <c r="P11" s="129">
        <v>31</v>
      </c>
      <c r="Q11" s="130">
        <v>12081</v>
      </c>
      <c r="R11" s="77" t="s">
        <v>43</v>
      </c>
    </row>
    <row r="12" spans="1:18" ht="15.75" customHeight="1">
      <c r="A12" s="76"/>
      <c r="B12" s="126"/>
      <c r="C12" s="127"/>
      <c r="D12" s="126"/>
      <c r="E12" s="127"/>
      <c r="F12" s="126"/>
      <c r="G12" s="127"/>
      <c r="H12" s="126"/>
      <c r="I12" s="128"/>
      <c r="J12" s="126"/>
      <c r="K12" s="128"/>
      <c r="L12" s="126"/>
      <c r="M12" s="128"/>
      <c r="N12" s="126"/>
      <c r="O12" s="129"/>
      <c r="P12" s="129"/>
      <c r="Q12" s="130"/>
      <c r="R12" s="77" t="s">
        <v>38</v>
      </c>
    </row>
    <row r="13" spans="1:18" ht="15.75" customHeight="1">
      <c r="A13" s="76" t="s">
        <v>44</v>
      </c>
      <c r="B13" s="126">
        <f>_xlfn.COMPOUNDVALUE(693)</f>
        <v>5398</v>
      </c>
      <c r="C13" s="127">
        <v>25087733</v>
      </c>
      <c r="D13" s="126">
        <f>_xlfn.COMPOUNDVALUE(694)</f>
        <v>3988</v>
      </c>
      <c r="E13" s="127">
        <v>2128522</v>
      </c>
      <c r="F13" s="126">
        <f>_xlfn.COMPOUNDVALUE(695)</f>
        <v>9386</v>
      </c>
      <c r="G13" s="127">
        <v>27216255</v>
      </c>
      <c r="H13" s="126">
        <f>_xlfn.COMPOUNDVALUE(696)</f>
        <v>526</v>
      </c>
      <c r="I13" s="128">
        <v>2695308</v>
      </c>
      <c r="J13" s="126">
        <v>634</v>
      </c>
      <c r="K13" s="128">
        <v>102707</v>
      </c>
      <c r="L13" s="126">
        <v>10091</v>
      </c>
      <c r="M13" s="128">
        <v>24623654</v>
      </c>
      <c r="N13" s="126">
        <v>10204</v>
      </c>
      <c r="O13" s="129">
        <v>359</v>
      </c>
      <c r="P13" s="129">
        <v>39</v>
      </c>
      <c r="Q13" s="130">
        <v>10602</v>
      </c>
      <c r="R13" s="77" t="s">
        <v>44</v>
      </c>
    </row>
    <row r="14" spans="1:18" ht="15.75" customHeight="1">
      <c r="A14" s="76" t="s">
        <v>45</v>
      </c>
      <c r="B14" s="126">
        <f>_xlfn.COMPOUNDVALUE(697)</f>
        <v>1808</v>
      </c>
      <c r="C14" s="127">
        <v>5231115</v>
      </c>
      <c r="D14" s="126">
        <f>_xlfn.COMPOUNDVALUE(698)</f>
        <v>1478</v>
      </c>
      <c r="E14" s="127">
        <v>615421</v>
      </c>
      <c r="F14" s="126">
        <f>_xlfn.COMPOUNDVALUE(699)</f>
        <v>3286</v>
      </c>
      <c r="G14" s="127">
        <v>5846536</v>
      </c>
      <c r="H14" s="126">
        <f>_xlfn.COMPOUNDVALUE(700)</f>
        <v>113</v>
      </c>
      <c r="I14" s="128">
        <v>291328</v>
      </c>
      <c r="J14" s="126">
        <v>261</v>
      </c>
      <c r="K14" s="128">
        <v>29203</v>
      </c>
      <c r="L14" s="126">
        <v>3468</v>
      </c>
      <c r="M14" s="128">
        <v>5584412</v>
      </c>
      <c r="N14" s="126">
        <v>3409</v>
      </c>
      <c r="O14" s="129">
        <v>78</v>
      </c>
      <c r="P14" s="129">
        <v>3</v>
      </c>
      <c r="Q14" s="130">
        <v>3490</v>
      </c>
      <c r="R14" s="77" t="s">
        <v>45</v>
      </c>
    </row>
    <row r="15" spans="1:18" ht="15.75" customHeight="1">
      <c r="A15" s="76" t="s">
        <v>46</v>
      </c>
      <c r="B15" s="126">
        <f>_xlfn.COMPOUNDVALUE(701)</f>
        <v>3642</v>
      </c>
      <c r="C15" s="127">
        <v>16077147</v>
      </c>
      <c r="D15" s="126">
        <f>_xlfn.COMPOUNDVALUE(702)</f>
        <v>2847</v>
      </c>
      <c r="E15" s="127">
        <v>1424407</v>
      </c>
      <c r="F15" s="126">
        <f>_xlfn.COMPOUNDVALUE(703)</f>
        <v>6489</v>
      </c>
      <c r="G15" s="127">
        <v>17501553</v>
      </c>
      <c r="H15" s="126">
        <f>_xlfn.COMPOUNDVALUE(704)</f>
        <v>243</v>
      </c>
      <c r="I15" s="128">
        <v>2205683</v>
      </c>
      <c r="J15" s="126">
        <v>520</v>
      </c>
      <c r="K15" s="128">
        <v>58733</v>
      </c>
      <c r="L15" s="126">
        <v>6906</v>
      </c>
      <c r="M15" s="128">
        <v>15354603</v>
      </c>
      <c r="N15" s="126">
        <v>6888</v>
      </c>
      <c r="O15" s="129">
        <v>189</v>
      </c>
      <c r="P15" s="129">
        <v>20</v>
      </c>
      <c r="Q15" s="130">
        <v>7097</v>
      </c>
      <c r="R15" s="77" t="s">
        <v>46</v>
      </c>
    </row>
    <row r="16" spans="1:18" ht="15.75" customHeight="1">
      <c r="A16" s="78" t="s">
        <v>47</v>
      </c>
      <c r="B16" s="131">
        <f>_xlfn.COMPOUNDVALUE(705)</f>
        <v>6613</v>
      </c>
      <c r="C16" s="132">
        <v>23346295</v>
      </c>
      <c r="D16" s="131">
        <f>_xlfn.COMPOUNDVALUE(706)</f>
        <v>5390</v>
      </c>
      <c r="E16" s="132">
        <v>2816164</v>
      </c>
      <c r="F16" s="131">
        <f>_xlfn.COMPOUNDVALUE(707)</f>
        <v>12003</v>
      </c>
      <c r="G16" s="132">
        <v>26162459</v>
      </c>
      <c r="H16" s="131">
        <f>_xlfn.COMPOUNDVALUE(708)</f>
        <v>712</v>
      </c>
      <c r="I16" s="133">
        <v>2944982</v>
      </c>
      <c r="J16" s="131">
        <v>963</v>
      </c>
      <c r="K16" s="133">
        <v>54671</v>
      </c>
      <c r="L16" s="131">
        <v>13008</v>
      </c>
      <c r="M16" s="133">
        <v>23272148</v>
      </c>
      <c r="N16" s="126">
        <v>12811</v>
      </c>
      <c r="O16" s="129">
        <v>447</v>
      </c>
      <c r="P16" s="129">
        <v>37</v>
      </c>
      <c r="Q16" s="130">
        <v>13295</v>
      </c>
      <c r="R16" s="77" t="s">
        <v>47</v>
      </c>
    </row>
    <row r="17" spans="1:18" ht="15.75" customHeight="1">
      <c r="A17" s="78" t="s">
        <v>48</v>
      </c>
      <c r="B17" s="131">
        <f>_xlfn.COMPOUNDVALUE(709)</f>
        <v>1665</v>
      </c>
      <c r="C17" s="132">
        <v>5979826</v>
      </c>
      <c r="D17" s="131">
        <f>_xlfn.COMPOUNDVALUE(710)</f>
        <v>1500</v>
      </c>
      <c r="E17" s="132">
        <v>622828</v>
      </c>
      <c r="F17" s="131">
        <f>_xlfn.COMPOUNDVALUE(711)</f>
        <v>3165</v>
      </c>
      <c r="G17" s="132">
        <v>6602654</v>
      </c>
      <c r="H17" s="131">
        <f>_xlfn.COMPOUNDVALUE(712)</f>
        <v>106</v>
      </c>
      <c r="I17" s="133">
        <v>566339</v>
      </c>
      <c r="J17" s="131">
        <v>226</v>
      </c>
      <c r="K17" s="133">
        <v>34773</v>
      </c>
      <c r="L17" s="131">
        <v>3348</v>
      </c>
      <c r="M17" s="133">
        <v>6071089</v>
      </c>
      <c r="N17" s="126">
        <v>3925</v>
      </c>
      <c r="O17" s="129">
        <v>99</v>
      </c>
      <c r="P17" s="129">
        <v>4</v>
      </c>
      <c r="Q17" s="130">
        <v>4028</v>
      </c>
      <c r="R17" s="77" t="s">
        <v>48</v>
      </c>
    </row>
    <row r="18" spans="1:18" ht="15.75" customHeight="1">
      <c r="A18" s="78"/>
      <c r="B18" s="131"/>
      <c r="C18" s="132"/>
      <c r="D18" s="131"/>
      <c r="E18" s="132"/>
      <c r="F18" s="131"/>
      <c r="G18" s="132"/>
      <c r="H18" s="131"/>
      <c r="I18" s="133"/>
      <c r="J18" s="131"/>
      <c r="K18" s="133"/>
      <c r="L18" s="131"/>
      <c r="M18" s="133"/>
      <c r="N18" s="126"/>
      <c r="O18" s="129"/>
      <c r="P18" s="129"/>
      <c r="Q18" s="130"/>
      <c r="R18" s="77" t="s">
        <v>38</v>
      </c>
    </row>
    <row r="19" spans="1:18" ht="15.75" customHeight="1">
      <c r="A19" s="78" t="s">
        <v>49</v>
      </c>
      <c r="B19" s="131">
        <f>_xlfn.COMPOUNDVALUE(713)</f>
        <v>2581</v>
      </c>
      <c r="C19" s="132">
        <v>8215300</v>
      </c>
      <c r="D19" s="131">
        <f>_xlfn.COMPOUNDVALUE(714)</f>
        <v>2116</v>
      </c>
      <c r="E19" s="132">
        <v>972268</v>
      </c>
      <c r="F19" s="131">
        <f>_xlfn.COMPOUNDVALUE(715)</f>
        <v>4697</v>
      </c>
      <c r="G19" s="132">
        <v>9187568</v>
      </c>
      <c r="H19" s="131">
        <f>_xlfn.COMPOUNDVALUE(716)</f>
        <v>190</v>
      </c>
      <c r="I19" s="133">
        <v>734888</v>
      </c>
      <c r="J19" s="131">
        <v>436</v>
      </c>
      <c r="K19" s="133">
        <v>108848</v>
      </c>
      <c r="L19" s="131">
        <v>5022</v>
      </c>
      <c r="M19" s="133">
        <v>8561528</v>
      </c>
      <c r="N19" s="126">
        <v>4969</v>
      </c>
      <c r="O19" s="129">
        <v>161</v>
      </c>
      <c r="P19" s="129">
        <v>12</v>
      </c>
      <c r="Q19" s="130">
        <v>5142</v>
      </c>
      <c r="R19" s="77" t="s">
        <v>49</v>
      </c>
    </row>
    <row r="20" spans="1:18" ht="15.75" customHeight="1">
      <c r="A20" s="78" t="s">
        <v>50</v>
      </c>
      <c r="B20" s="131">
        <f>_xlfn.COMPOUNDVALUE(717)</f>
        <v>6960</v>
      </c>
      <c r="C20" s="132">
        <v>28114909</v>
      </c>
      <c r="D20" s="131">
        <f>_xlfn.COMPOUNDVALUE(718)</f>
        <v>5320</v>
      </c>
      <c r="E20" s="132">
        <v>2683158</v>
      </c>
      <c r="F20" s="131">
        <f>_xlfn.COMPOUNDVALUE(719)</f>
        <v>12280</v>
      </c>
      <c r="G20" s="132">
        <v>30798066</v>
      </c>
      <c r="H20" s="131">
        <f>_xlfn.COMPOUNDVALUE(720)</f>
        <v>1240</v>
      </c>
      <c r="I20" s="133">
        <v>10436674</v>
      </c>
      <c r="J20" s="131">
        <v>878</v>
      </c>
      <c r="K20" s="133">
        <v>58726</v>
      </c>
      <c r="L20" s="131">
        <v>13764</v>
      </c>
      <c r="M20" s="133">
        <v>20420118</v>
      </c>
      <c r="N20" s="126">
        <v>13650</v>
      </c>
      <c r="O20" s="129">
        <v>726</v>
      </c>
      <c r="P20" s="129">
        <v>42</v>
      </c>
      <c r="Q20" s="130">
        <v>14418</v>
      </c>
      <c r="R20" s="77" t="s">
        <v>50</v>
      </c>
    </row>
    <row r="21" spans="1:18" ht="15.75" customHeight="1">
      <c r="A21" s="78" t="s">
        <v>51</v>
      </c>
      <c r="B21" s="131">
        <f>_xlfn.COMPOUNDVALUE(721)</f>
        <v>2477</v>
      </c>
      <c r="C21" s="132">
        <v>8074723</v>
      </c>
      <c r="D21" s="131">
        <f>_xlfn.COMPOUNDVALUE(722)</f>
        <v>2341</v>
      </c>
      <c r="E21" s="132">
        <v>993869</v>
      </c>
      <c r="F21" s="131">
        <f>_xlfn.COMPOUNDVALUE(723)</f>
        <v>4818</v>
      </c>
      <c r="G21" s="132">
        <v>9068592</v>
      </c>
      <c r="H21" s="131">
        <f>_xlfn.COMPOUNDVALUE(724)</f>
        <v>231</v>
      </c>
      <c r="I21" s="133">
        <v>610425</v>
      </c>
      <c r="J21" s="131">
        <v>456</v>
      </c>
      <c r="K21" s="133">
        <v>45723</v>
      </c>
      <c r="L21" s="131">
        <v>5228</v>
      </c>
      <c r="M21" s="133">
        <v>8503890</v>
      </c>
      <c r="N21" s="126">
        <v>5171</v>
      </c>
      <c r="O21" s="129">
        <v>187</v>
      </c>
      <c r="P21" s="129">
        <v>13</v>
      </c>
      <c r="Q21" s="130">
        <v>5371</v>
      </c>
      <c r="R21" s="77" t="s">
        <v>51</v>
      </c>
    </row>
    <row r="22" spans="1:18" ht="15.75" customHeight="1">
      <c r="A22" s="78" t="s">
        <v>167</v>
      </c>
      <c r="B22" s="131">
        <f>_xlfn.COMPOUNDVALUE(725)</f>
        <v>6709</v>
      </c>
      <c r="C22" s="132">
        <v>27779617</v>
      </c>
      <c r="D22" s="131">
        <f>_xlfn.COMPOUNDVALUE(726)</f>
        <v>5152</v>
      </c>
      <c r="E22" s="132">
        <v>2727778</v>
      </c>
      <c r="F22" s="131">
        <f>_xlfn.COMPOUNDVALUE(727)</f>
        <v>11861</v>
      </c>
      <c r="G22" s="132">
        <v>30507395</v>
      </c>
      <c r="H22" s="131">
        <f>_xlfn.COMPOUNDVALUE(728)</f>
        <v>748</v>
      </c>
      <c r="I22" s="133">
        <v>2795493</v>
      </c>
      <c r="J22" s="131">
        <v>854</v>
      </c>
      <c r="K22" s="133">
        <v>90218</v>
      </c>
      <c r="L22" s="131">
        <v>12844</v>
      </c>
      <c r="M22" s="133">
        <v>27802120</v>
      </c>
      <c r="N22" s="126">
        <v>12756</v>
      </c>
      <c r="O22" s="129">
        <v>510</v>
      </c>
      <c r="P22" s="129">
        <v>29</v>
      </c>
      <c r="Q22" s="130">
        <v>13295</v>
      </c>
      <c r="R22" s="77" t="s">
        <v>52</v>
      </c>
    </row>
    <row r="23" spans="1:18" ht="15.75" customHeight="1">
      <c r="A23" s="161" t="s">
        <v>53</v>
      </c>
      <c r="B23" s="162">
        <v>62382</v>
      </c>
      <c r="C23" s="163">
        <v>341752788</v>
      </c>
      <c r="D23" s="162">
        <v>48156</v>
      </c>
      <c r="E23" s="163">
        <v>24479161</v>
      </c>
      <c r="F23" s="162">
        <v>110538</v>
      </c>
      <c r="G23" s="163">
        <v>366231949</v>
      </c>
      <c r="H23" s="162">
        <v>6624</v>
      </c>
      <c r="I23" s="164">
        <v>34778939</v>
      </c>
      <c r="J23" s="162">
        <v>8494</v>
      </c>
      <c r="K23" s="164">
        <v>1160133</v>
      </c>
      <c r="L23" s="162">
        <v>119657</v>
      </c>
      <c r="M23" s="164">
        <v>332613143</v>
      </c>
      <c r="N23" s="162">
        <v>120842</v>
      </c>
      <c r="O23" s="184">
        <v>4446</v>
      </c>
      <c r="P23" s="184">
        <v>363</v>
      </c>
      <c r="Q23" s="185">
        <v>125651</v>
      </c>
      <c r="R23" s="165" t="s">
        <v>54</v>
      </c>
    </row>
    <row r="24" spans="1:18" ht="15.75" customHeight="1">
      <c r="A24" s="166"/>
      <c r="B24" s="167"/>
      <c r="C24" s="168"/>
      <c r="D24" s="167"/>
      <c r="E24" s="168"/>
      <c r="F24" s="169"/>
      <c r="G24" s="168"/>
      <c r="H24" s="169"/>
      <c r="I24" s="168"/>
      <c r="J24" s="169"/>
      <c r="K24" s="168"/>
      <c r="L24" s="169"/>
      <c r="M24" s="168"/>
      <c r="N24" s="186"/>
      <c r="O24" s="187"/>
      <c r="P24" s="187"/>
      <c r="Q24" s="188"/>
      <c r="R24" s="170" t="s">
        <v>38</v>
      </c>
    </row>
    <row r="25" spans="1:18" ht="15.75" customHeight="1">
      <c r="A25" s="76" t="s">
        <v>55</v>
      </c>
      <c r="B25" s="126">
        <f>_xlfn.COMPOUNDVALUE(729)</f>
        <v>11403</v>
      </c>
      <c r="C25" s="127">
        <v>1113478572</v>
      </c>
      <c r="D25" s="126">
        <f>_xlfn.COMPOUNDVALUE(730)</f>
        <v>3287</v>
      </c>
      <c r="E25" s="127">
        <v>3018643</v>
      </c>
      <c r="F25" s="126">
        <f>_xlfn.COMPOUNDVALUE(731)</f>
        <v>14690</v>
      </c>
      <c r="G25" s="127">
        <v>1116497215</v>
      </c>
      <c r="H25" s="126">
        <f>_xlfn.COMPOUNDVALUE(732)</f>
        <v>3713</v>
      </c>
      <c r="I25" s="128">
        <v>543517937</v>
      </c>
      <c r="J25" s="126">
        <v>1305</v>
      </c>
      <c r="K25" s="128">
        <v>3901084</v>
      </c>
      <c r="L25" s="126">
        <v>18527</v>
      </c>
      <c r="M25" s="128">
        <v>576880362</v>
      </c>
      <c r="N25" s="126">
        <v>14639</v>
      </c>
      <c r="O25" s="129">
        <v>3442</v>
      </c>
      <c r="P25" s="129">
        <v>559</v>
      </c>
      <c r="Q25" s="130">
        <v>18640</v>
      </c>
      <c r="R25" s="86" t="s">
        <v>55</v>
      </c>
    </row>
    <row r="26" spans="1:18" ht="15.75" customHeight="1">
      <c r="A26" s="76" t="s">
        <v>56</v>
      </c>
      <c r="B26" s="126">
        <f>_xlfn.COMPOUNDVALUE(733)</f>
        <v>11873</v>
      </c>
      <c r="C26" s="127">
        <v>297451341</v>
      </c>
      <c r="D26" s="126">
        <f>_xlfn.COMPOUNDVALUE(734)</f>
        <v>3501</v>
      </c>
      <c r="E26" s="127">
        <v>2604257</v>
      </c>
      <c r="F26" s="126">
        <f>_xlfn.COMPOUNDVALUE(735)</f>
        <v>15374</v>
      </c>
      <c r="G26" s="127">
        <v>300055599</v>
      </c>
      <c r="H26" s="126">
        <f>_xlfn.COMPOUNDVALUE(736)</f>
        <v>2304</v>
      </c>
      <c r="I26" s="128">
        <v>60023441</v>
      </c>
      <c r="J26" s="126">
        <v>1166</v>
      </c>
      <c r="K26" s="128">
        <v>151896</v>
      </c>
      <c r="L26" s="126">
        <v>17838</v>
      </c>
      <c r="M26" s="128">
        <v>240184053</v>
      </c>
      <c r="N26" s="126">
        <v>16386</v>
      </c>
      <c r="O26" s="129">
        <v>1378</v>
      </c>
      <c r="P26" s="129">
        <v>326</v>
      </c>
      <c r="Q26" s="130">
        <v>18090</v>
      </c>
      <c r="R26" s="77" t="s">
        <v>56</v>
      </c>
    </row>
    <row r="27" spans="1:18" ht="15.75" customHeight="1">
      <c r="A27" s="76" t="s">
        <v>57</v>
      </c>
      <c r="B27" s="126">
        <f>_xlfn.COMPOUNDVALUE(737)</f>
        <v>9632</v>
      </c>
      <c r="C27" s="127">
        <v>343321739</v>
      </c>
      <c r="D27" s="126">
        <f>_xlfn.COMPOUNDVALUE(738)</f>
        <v>2614</v>
      </c>
      <c r="E27" s="127">
        <v>1991138</v>
      </c>
      <c r="F27" s="126">
        <f>_xlfn.COMPOUNDVALUE(739)</f>
        <v>12246</v>
      </c>
      <c r="G27" s="127">
        <v>345312877</v>
      </c>
      <c r="H27" s="126">
        <f>_xlfn.COMPOUNDVALUE(740)</f>
        <v>2361</v>
      </c>
      <c r="I27" s="128">
        <v>96673270</v>
      </c>
      <c r="J27" s="126">
        <v>1053</v>
      </c>
      <c r="K27" s="128">
        <v>-171074</v>
      </c>
      <c r="L27" s="126">
        <v>14747</v>
      </c>
      <c r="M27" s="128">
        <v>248468533</v>
      </c>
      <c r="N27" s="126">
        <v>12608</v>
      </c>
      <c r="O27" s="129">
        <v>1557</v>
      </c>
      <c r="P27" s="129">
        <v>297</v>
      </c>
      <c r="Q27" s="130">
        <v>14462</v>
      </c>
      <c r="R27" s="77" t="s">
        <v>57</v>
      </c>
    </row>
    <row r="28" spans="1:18" ht="15.75" customHeight="1">
      <c r="A28" s="76" t="s">
        <v>58</v>
      </c>
      <c r="B28" s="126">
        <f>_xlfn.COMPOUNDVALUE(741)</f>
        <v>12865</v>
      </c>
      <c r="C28" s="127">
        <v>383150062</v>
      </c>
      <c r="D28" s="126">
        <f>_xlfn.COMPOUNDVALUE(742)</f>
        <v>3904</v>
      </c>
      <c r="E28" s="127">
        <v>2660983</v>
      </c>
      <c r="F28" s="126">
        <f>_xlfn.COMPOUNDVALUE(743)</f>
        <v>16769</v>
      </c>
      <c r="G28" s="127">
        <v>385811046</v>
      </c>
      <c r="H28" s="126">
        <f>_xlfn.COMPOUNDVALUE(744)</f>
        <v>2617</v>
      </c>
      <c r="I28" s="128">
        <v>172478669</v>
      </c>
      <c r="J28" s="126">
        <v>1311</v>
      </c>
      <c r="K28" s="128">
        <v>570643</v>
      </c>
      <c r="L28" s="126">
        <v>19628</v>
      </c>
      <c r="M28" s="128">
        <v>213903020</v>
      </c>
      <c r="N28" s="126">
        <v>18828</v>
      </c>
      <c r="O28" s="129">
        <v>1344</v>
      </c>
      <c r="P28" s="129">
        <v>385</v>
      </c>
      <c r="Q28" s="130">
        <v>20557</v>
      </c>
      <c r="R28" s="77" t="s">
        <v>58</v>
      </c>
    </row>
    <row r="29" spans="1:18" ht="15.75" customHeight="1">
      <c r="A29" s="76" t="s">
        <v>168</v>
      </c>
      <c r="B29" s="126">
        <f>_xlfn.COMPOUNDVALUE(745)</f>
        <v>16659</v>
      </c>
      <c r="C29" s="127">
        <v>914347016</v>
      </c>
      <c r="D29" s="126">
        <f>_xlfn.COMPOUNDVALUE(746)</f>
        <v>4986</v>
      </c>
      <c r="E29" s="127">
        <v>4195225</v>
      </c>
      <c r="F29" s="126">
        <f>_xlfn.COMPOUNDVALUE(747)</f>
        <v>21645</v>
      </c>
      <c r="G29" s="127">
        <v>918542241</v>
      </c>
      <c r="H29" s="126">
        <f>_xlfn.COMPOUNDVALUE(748)</f>
        <v>4634</v>
      </c>
      <c r="I29" s="128">
        <v>368222412</v>
      </c>
      <c r="J29" s="126">
        <v>2061</v>
      </c>
      <c r="K29" s="128">
        <v>3008678</v>
      </c>
      <c r="L29" s="126">
        <v>26587</v>
      </c>
      <c r="M29" s="128">
        <v>553328508</v>
      </c>
      <c r="N29" s="126">
        <v>24065</v>
      </c>
      <c r="O29" s="129">
        <v>3230</v>
      </c>
      <c r="P29" s="129">
        <v>651</v>
      </c>
      <c r="Q29" s="130">
        <v>27946</v>
      </c>
      <c r="R29" s="77" t="s">
        <v>59</v>
      </c>
    </row>
    <row r="30" spans="1:18" ht="15.75" customHeight="1">
      <c r="A30" s="76"/>
      <c r="B30" s="126"/>
      <c r="C30" s="127"/>
      <c r="D30" s="126"/>
      <c r="E30" s="127"/>
      <c r="F30" s="126"/>
      <c r="G30" s="127"/>
      <c r="H30" s="126"/>
      <c r="I30" s="128"/>
      <c r="J30" s="126"/>
      <c r="K30" s="128"/>
      <c r="L30" s="126"/>
      <c r="M30" s="128"/>
      <c r="N30" s="126"/>
      <c r="O30" s="129"/>
      <c r="P30" s="129"/>
      <c r="Q30" s="130"/>
      <c r="R30" s="77" t="s">
        <v>38</v>
      </c>
    </row>
    <row r="31" spans="1:18" ht="15.75" customHeight="1">
      <c r="A31" s="76" t="s">
        <v>60</v>
      </c>
      <c r="B31" s="126">
        <f>_xlfn.COMPOUNDVALUE(749)</f>
        <v>15679</v>
      </c>
      <c r="C31" s="127">
        <v>328461080</v>
      </c>
      <c r="D31" s="126">
        <f>_xlfn.COMPOUNDVALUE(750)</f>
        <v>4901</v>
      </c>
      <c r="E31" s="127">
        <v>3770734</v>
      </c>
      <c r="F31" s="126">
        <f>_xlfn.COMPOUNDVALUE(751)</f>
        <v>20580</v>
      </c>
      <c r="G31" s="127">
        <v>332231814</v>
      </c>
      <c r="H31" s="126">
        <f>_xlfn.COMPOUNDVALUE(752)</f>
        <v>3415</v>
      </c>
      <c r="I31" s="128">
        <v>222973382</v>
      </c>
      <c r="J31" s="126">
        <v>1654</v>
      </c>
      <c r="K31" s="128">
        <v>1288607</v>
      </c>
      <c r="L31" s="126">
        <v>24383</v>
      </c>
      <c r="M31" s="128">
        <v>110547039</v>
      </c>
      <c r="N31" s="126">
        <v>24105</v>
      </c>
      <c r="O31" s="129">
        <v>2590</v>
      </c>
      <c r="P31" s="129">
        <v>697</v>
      </c>
      <c r="Q31" s="130">
        <v>27392</v>
      </c>
      <c r="R31" s="77" t="s">
        <v>60</v>
      </c>
    </row>
    <row r="32" spans="1:18" ht="15.75" customHeight="1">
      <c r="A32" s="76" t="s">
        <v>61</v>
      </c>
      <c r="B32" s="126">
        <f>_xlfn.COMPOUNDVALUE(753)</f>
        <v>7800</v>
      </c>
      <c r="C32" s="127">
        <v>242015098</v>
      </c>
      <c r="D32" s="126">
        <f>_xlfn.COMPOUNDVALUE(754)</f>
        <v>3235</v>
      </c>
      <c r="E32" s="127">
        <v>2001531</v>
      </c>
      <c r="F32" s="126">
        <f>_xlfn.COMPOUNDVALUE(755)</f>
        <v>11035</v>
      </c>
      <c r="G32" s="127">
        <v>244016629</v>
      </c>
      <c r="H32" s="126">
        <f>_xlfn.COMPOUNDVALUE(756)</f>
        <v>1481</v>
      </c>
      <c r="I32" s="128">
        <v>57385477</v>
      </c>
      <c r="J32" s="126">
        <v>944</v>
      </c>
      <c r="K32" s="128">
        <v>324789</v>
      </c>
      <c r="L32" s="126">
        <v>12690</v>
      </c>
      <c r="M32" s="128">
        <v>186955941</v>
      </c>
      <c r="N32" s="126">
        <v>12244</v>
      </c>
      <c r="O32" s="129">
        <v>891</v>
      </c>
      <c r="P32" s="129">
        <v>150</v>
      </c>
      <c r="Q32" s="130">
        <v>13285</v>
      </c>
      <c r="R32" s="77" t="s">
        <v>61</v>
      </c>
    </row>
    <row r="33" spans="1:18" ht="15.75" customHeight="1">
      <c r="A33" s="76" t="s">
        <v>62</v>
      </c>
      <c r="B33" s="126">
        <f>_xlfn.COMPOUNDVALUE(757)</f>
        <v>8836</v>
      </c>
      <c r="C33" s="127">
        <v>126419568</v>
      </c>
      <c r="D33" s="126">
        <f>_xlfn.COMPOUNDVALUE(758)</f>
        <v>3917</v>
      </c>
      <c r="E33" s="127">
        <v>3123380</v>
      </c>
      <c r="F33" s="126">
        <f>_xlfn.COMPOUNDVALUE(759)</f>
        <v>12753</v>
      </c>
      <c r="G33" s="127">
        <v>129542948</v>
      </c>
      <c r="H33" s="126">
        <f>_xlfn.COMPOUNDVALUE(760)</f>
        <v>1126</v>
      </c>
      <c r="I33" s="128">
        <v>18282031</v>
      </c>
      <c r="J33" s="126">
        <v>974</v>
      </c>
      <c r="K33" s="128">
        <v>363285</v>
      </c>
      <c r="L33" s="126">
        <v>14084</v>
      </c>
      <c r="M33" s="128">
        <v>111624202</v>
      </c>
      <c r="N33" s="126">
        <v>14199</v>
      </c>
      <c r="O33" s="129">
        <v>677</v>
      </c>
      <c r="P33" s="129">
        <v>186</v>
      </c>
      <c r="Q33" s="130">
        <v>15062</v>
      </c>
      <c r="R33" s="77" t="s">
        <v>62</v>
      </c>
    </row>
    <row r="34" spans="1:18" ht="15.75" customHeight="1">
      <c r="A34" s="76" t="s">
        <v>63</v>
      </c>
      <c r="B34" s="126">
        <f>_xlfn.COMPOUNDVALUE(761)</f>
        <v>10028</v>
      </c>
      <c r="C34" s="127">
        <v>356993786</v>
      </c>
      <c r="D34" s="126">
        <f>_xlfn.COMPOUNDVALUE(762)</f>
        <v>3777</v>
      </c>
      <c r="E34" s="127">
        <v>2613906</v>
      </c>
      <c r="F34" s="126">
        <f>_xlfn.COMPOUNDVALUE(763)</f>
        <v>13805</v>
      </c>
      <c r="G34" s="127">
        <v>359607692</v>
      </c>
      <c r="H34" s="126">
        <f>_xlfn.COMPOUNDVALUE(764)</f>
        <v>1869</v>
      </c>
      <c r="I34" s="128">
        <v>40131640</v>
      </c>
      <c r="J34" s="126">
        <v>1223</v>
      </c>
      <c r="K34" s="128">
        <v>-602684</v>
      </c>
      <c r="L34" s="126">
        <v>15932</v>
      </c>
      <c r="M34" s="128">
        <v>318873369</v>
      </c>
      <c r="N34" s="126">
        <v>15707</v>
      </c>
      <c r="O34" s="129">
        <v>1081</v>
      </c>
      <c r="P34" s="129">
        <v>318</v>
      </c>
      <c r="Q34" s="130">
        <v>17106</v>
      </c>
      <c r="R34" s="77" t="s">
        <v>63</v>
      </c>
    </row>
    <row r="35" spans="1:18" ht="15.75" customHeight="1">
      <c r="A35" s="76" t="s">
        <v>64</v>
      </c>
      <c r="B35" s="126">
        <f>_xlfn.COMPOUNDVALUE(765)</f>
        <v>2900</v>
      </c>
      <c r="C35" s="127">
        <v>51555795</v>
      </c>
      <c r="D35" s="126">
        <f>_xlfn.COMPOUNDVALUE(766)</f>
        <v>1854</v>
      </c>
      <c r="E35" s="127">
        <v>1121873</v>
      </c>
      <c r="F35" s="126">
        <f>_xlfn.COMPOUNDVALUE(767)</f>
        <v>4754</v>
      </c>
      <c r="G35" s="127">
        <v>52677669</v>
      </c>
      <c r="H35" s="126">
        <f>_xlfn.COMPOUNDVALUE(768)</f>
        <v>435</v>
      </c>
      <c r="I35" s="128">
        <v>3906455</v>
      </c>
      <c r="J35" s="126">
        <v>428</v>
      </c>
      <c r="K35" s="128">
        <v>-21518</v>
      </c>
      <c r="L35" s="126">
        <v>5266</v>
      </c>
      <c r="M35" s="128">
        <v>48749696</v>
      </c>
      <c r="N35" s="126">
        <v>5059</v>
      </c>
      <c r="O35" s="129">
        <v>317</v>
      </c>
      <c r="P35" s="129">
        <v>47</v>
      </c>
      <c r="Q35" s="130">
        <v>5423</v>
      </c>
      <c r="R35" s="77" t="s">
        <v>64</v>
      </c>
    </row>
    <row r="36" spans="1:18" ht="15.75" customHeight="1">
      <c r="A36" s="76"/>
      <c r="B36" s="126"/>
      <c r="C36" s="127"/>
      <c r="D36" s="126"/>
      <c r="E36" s="127"/>
      <c r="F36" s="126"/>
      <c r="G36" s="127"/>
      <c r="H36" s="126"/>
      <c r="I36" s="128"/>
      <c r="J36" s="126"/>
      <c r="K36" s="128"/>
      <c r="L36" s="126"/>
      <c r="M36" s="128"/>
      <c r="N36" s="126"/>
      <c r="O36" s="129"/>
      <c r="P36" s="129"/>
      <c r="Q36" s="130"/>
      <c r="R36" s="77" t="s">
        <v>38</v>
      </c>
    </row>
    <row r="37" spans="1:18" ht="15.75" customHeight="1">
      <c r="A37" s="76" t="s">
        <v>65</v>
      </c>
      <c r="B37" s="126">
        <f>_xlfn.COMPOUNDVALUE(769)</f>
        <v>3658</v>
      </c>
      <c r="C37" s="127">
        <v>44830495</v>
      </c>
      <c r="D37" s="126">
        <f>_xlfn.COMPOUNDVALUE(770)</f>
        <v>1969</v>
      </c>
      <c r="E37" s="127">
        <v>1280774</v>
      </c>
      <c r="F37" s="126">
        <f>_xlfn.COMPOUNDVALUE(771)</f>
        <v>5627</v>
      </c>
      <c r="G37" s="127">
        <v>46111268</v>
      </c>
      <c r="H37" s="126">
        <f>_xlfn.COMPOUNDVALUE(772)</f>
        <v>505</v>
      </c>
      <c r="I37" s="128">
        <v>4042894</v>
      </c>
      <c r="J37" s="126">
        <v>384</v>
      </c>
      <c r="K37" s="128">
        <v>77290</v>
      </c>
      <c r="L37" s="126">
        <v>6240</v>
      </c>
      <c r="M37" s="128">
        <v>42145664</v>
      </c>
      <c r="N37" s="126">
        <v>5979</v>
      </c>
      <c r="O37" s="129">
        <v>332</v>
      </c>
      <c r="P37" s="129">
        <v>70</v>
      </c>
      <c r="Q37" s="130">
        <v>6381</v>
      </c>
      <c r="R37" s="77" t="s">
        <v>65</v>
      </c>
    </row>
    <row r="38" spans="1:18" ht="15.75" customHeight="1">
      <c r="A38" s="76" t="s">
        <v>66</v>
      </c>
      <c r="B38" s="126">
        <f>_xlfn.COMPOUNDVALUE(773)</f>
        <v>5699</v>
      </c>
      <c r="C38" s="127">
        <v>81609256</v>
      </c>
      <c r="D38" s="126">
        <f>_xlfn.COMPOUNDVALUE(774)</f>
        <v>2379</v>
      </c>
      <c r="E38" s="127">
        <v>1435581</v>
      </c>
      <c r="F38" s="126">
        <f>_xlfn.COMPOUNDVALUE(775)</f>
        <v>8078</v>
      </c>
      <c r="G38" s="127">
        <v>83044836</v>
      </c>
      <c r="H38" s="126">
        <f>_xlfn.COMPOUNDVALUE(776)</f>
        <v>1008</v>
      </c>
      <c r="I38" s="128">
        <v>17207953</v>
      </c>
      <c r="J38" s="126">
        <v>759</v>
      </c>
      <c r="K38" s="128">
        <v>199318</v>
      </c>
      <c r="L38" s="126">
        <v>9225</v>
      </c>
      <c r="M38" s="128">
        <v>66036202</v>
      </c>
      <c r="N38" s="126">
        <v>8970</v>
      </c>
      <c r="O38" s="129">
        <v>428</v>
      </c>
      <c r="P38" s="129">
        <v>84</v>
      </c>
      <c r="Q38" s="130">
        <v>9482</v>
      </c>
      <c r="R38" s="77" t="s">
        <v>66</v>
      </c>
    </row>
    <row r="39" spans="1:18" ht="15.75" customHeight="1">
      <c r="A39" s="76" t="s">
        <v>67</v>
      </c>
      <c r="B39" s="126">
        <f>_xlfn.COMPOUNDVALUE(777)</f>
        <v>5644</v>
      </c>
      <c r="C39" s="127">
        <v>74897610</v>
      </c>
      <c r="D39" s="126">
        <f>_xlfn.COMPOUNDVALUE(778)</f>
        <v>2809</v>
      </c>
      <c r="E39" s="127">
        <v>1449285</v>
      </c>
      <c r="F39" s="126">
        <f>_xlfn.COMPOUNDVALUE(779)</f>
        <v>8453</v>
      </c>
      <c r="G39" s="127">
        <v>76346895</v>
      </c>
      <c r="H39" s="126">
        <f>_xlfn.COMPOUNDVALUE(780)</f>
        <v>937</v>
      </c>
      <c r="I39" s="128">
        <v>5063958</v>
      </c>
      <c r="J39" s="126">
        <v>569</v>
      </c>
      <c r="K39" s="128">
        <v>138846</v>
      </c>
      <c r="L39" s="126">
        <v>9480</v>
      </c>
      <c r="M39" s="128">
        <v>71421783</v>
      </c>
      <c r="N39" s="126">
        <v>9309</v>
      </c>
      <c r="O39" s="129">
        <v>441</v>
      </c>
      <c r="P39" s="129">
        <v>74</v>
      </c>
      <c r="Q39" s="130">
        <v>9824</v>
      </c>
      <c r="R39" s="77" t="s">
        <v>67</v>
      </c>
    </row>
    <row r="40" spans="1:18" ht="15.75" customHeight="1">
      <c r="A40" s="76" t="s">
        <v>68</v>
      </c>
      <c r="B40" s="126">
        <f>_xlfn.COMPOUNDVALUE(781)</f>
        <v>4769</v>
      </c>
      <c r="C40" s="127">
        <v>94433881</v>
      </c>
      <c r="D40" s="126">
        <f>_xlfn.COMPOUNDVALUE(782)</f>
        <v>2288</v>
      </c>
      <c r="E40" s="127">
        <v>1258618</v>
      </c>
      <c r="F40" s="126">
        <f>_xlfn.COMPOUNDVALUE(783)</f>
        <v>7057</v>
      </c>
      <c r="G40" s="127">
        <v>95692500</v>
      </c>
      <c r="H40" s="126">
        <f>_xlfn.COMPOUNDVALUE(784)</f>
        <v>586</v>
      </c>
      <c r="I40" s="128">
        <v>5365938</v>
      </c>
      <c r="J40" s="126">
        <v>459</v>
      </c>
      <c r="K40" s="128">
        <v>259944</v>
      </c>
      <c r="L40" s="126">
        <v>7785</v>
      </c>
      <c r="M40" s="128">
        <v>90586505</v>
      </c>
      <c r="N40" s="126">
        <v>7926</v>
      </c>
      <c r="O40" s="129">
        <v>321</v>
      </c>
      <c r="P40" s="129">
        <v>70</v>
      </c>
      <c r="Q40" s="130">
        <v>8317</v>
      </c>
      <c r="R40" s="77" t="s">
        <v>68</v>
      </c>
    </row>
    <row r="41" spans="1:18" ht="15.75" customHeight="1">
      <c r="A41" s="76" t="s">
        <v>69</v>
      </c>
      <c r="B41" s="126">
        <f>_xlfn.COMPOUNDVALUE(785)</f>
        <v>1864</v>
      </c>
      <c r="C41" s="127">
        <v>10267184</v>
      </c>
      <c r="D41" s="126">
        <f>_xlfn.COMPOUNDVALUE(786)</f>
        <v>1341</v>
      </c>
      <c r="E41" s="127">
        <v>623364</v>
      </c>
      <c r="F41" s="126">
        <f>_xlfn.COMPOUNDVALUE(787)</f>
        <v>3205</v>
      </c>
      <c r="G41" s="127">
        <v>10890548</v>
      </c>
      <c r="H41" s="126">
        <f>_xlfn.COMPOUNDVALUE(788)</f>
        <v>133</v>
      </c>
      <c r="I41" s="128">
        <v>527363</v>
      </c>
      <c r="J41" s="126">
        <v>279</v>
      </c>
      <c r="K41" s="128">
        <v>79128</v>
      </c>
      <c r="L41" s="126">
        <v>3414</v>
      </c>
      <c r="M41" s="128">
        <v>10442312</v>
      </c>
      <c r="N41" s="126">
        <v>3383</v>
      </c>
      <c r="O41" s="129">
        <v>88</v>
      </c>
      <c r="P41" s="129">
        <v>5</v>
      </c>
      <c r="Q41" s="130">
        <v>3476</v>
      </c>
      <c r="R41" s="77" t="s">
        <v>69</v>
      </c>
    </row>
    <row r="42" spans="1:18" ht="15.75" customHeight="1">
      <c r="A42" s="103"/>
      <c r="B42" s="126"/>
      <c r="C42" s="127"/>
      <c r="D42" s="126"/>
      <c r="E42" s="127"/>
      <c r="F42" s="126"/>
      <c r="G42" s="127"/>
      <c r="H42" s="126"/>
      <c r="I42" s="128"/>
      <c r="J42" s="126"/>
      <c r="K42" s="128"/>
      <c r="L42" s="126"/>
      <c r="M42" s="128"/>
      <c r="N42" s="126"/>
      <c r="O42" s="129"/>
      <c r="P42" s="129"/>
      <c r="Q42" s="130"/>
      <c r="R42" s="105" t="s">
        <v>38</v>
      </c>
    </row>
    <row r="43" spans="1:18" ht="15.75" customHeight="1">
      <c r="A43" s="98" t="s">
        <v>70</v>
      </c>
      <c r="B43" s="126">
        <f>_xlfn.COMPOUNDVALUE(789)</f>
        <v>5524</v>
      </c>
      <c r="C43" s="127">
        <v>163621820</v>
      </c>
      <c r="D43" s="126">
        <f>_xlfn.COMPOUNDVALUE(790)</f>
        <v>2617</v>
      </c>
      <c r="E43" s="127">
        <v>1484983</v>
      </c>
      <c r="F43" s="126">
        <f>_xlfn.COMPOUNDVALUE(791)</f>
        <v>8141</v>
      </c>
      <c r="G43" s="127">
        <v>165106803</v>
      </c>
      <c r="H43" s="126">
        <f>_xlfn.COMPOUNDVALUE(792)</f>
        <v>816</v>
      </c>
      <c r="I43" s="128">
        <v>44883842</v>
      </c>
      <c r="J43" s="126">
        <v>742</v>
      </c>
      <c r="K43" s="128">
        <v>-112194</v>
      </c>
      <c r="L43" s="126">
        <v>9132</v>
      </c>
      <c r="M43" s="128">
        <v>120110767</v>
      </c>
      <c r="N43" s="126">
        <v>8999</v>
      </c>
      <c r="O43" s="129">
        <v>512</v>
      </c>
      <c r="P43" s="129">
        <v>93</v>
      </c>
      <c r="Q43" s="130">
        <v>9604</v>
      </c>
      <c r="R43" s="97" t="s">
        <v>70</v>
      </c>
    </row>
    <row r="44" spans="1:18" ht="15.75" customHeight="1">
      <c r="A44" s="76" t="s">
        <v>71</v>
      </c>
      <c r="B44" s="126">
        <f>_xlfn.COMPOUNDVALUE(793)</f>
        <v>3133</v>
      </c>
      <c r="C44" s="127">
        <v>57147883</v>
      </c>
      <c r="D44" s="126">
        <f>_xlfn.COMPOUNDVALUE(794)</f>
        <v>1992</v>
      </c>
      <c r="E44" s="127">
        <v>1055724</v>
      </c>
      <c r="F44" s="126">
        <f>_xlfn.COMPOUNDVALUE(795)</f>
        <v>5125</v>
      </c>
      <c r="G44" s="127">
        <v>58203607</v>
      </c>
      <c r="H44" s="126">
        <f>_xlfn.COMPOUNDVALUE(796)</f>
        <v>394</v>
      </c>
      <c r="I44" s="128">
        <v>4394807</v>
      </c>
      <c r="J44" s="126">
        <v>356</v>
      </c>
      <c r="K44" s="128">
        <v>80769</v>
      </c>
      <c r="L44" s="126">
        <v>5628</v>
      </c>
      <c r="M44" s="128">
        <v>53889569</v>
      </c>
      <c r="N44" s="126">
        <v>5606</v>
      </c>
      <c r="O44" s="129">
        <v>236</v>
      </c>
      <c r="P44" s="129">
        <v>28</v>
      </c>
      <c r="Q44" s="130">
        <v>5870</v>
      </c>
      <c r="R44" s="77" t="s">
        <v>71</v>
      </c>
    </row>
    <row r="45" spans="1:18" ht="15.75" customHeight="1">
      <c r="A45" s="76" t="s">
        <v>72</v>
      </c>
      <c r="B45" s="126">
        <f>_xlfn.COMPOUNDVALUE(797)</f>
        <v>2150</v>
      </c>
      <c r="C45" s="127">
        <v>13206851</v>
      </c>
      <c r="D45" s="126">
        <f>_xlfn.COMPOUNDVALUE(798)</f>
        <v>1703</v>
      </c>
      <c r="E45" s="127">
        <v>901565</v>
      </c>
      <c r="F45" s="126">
        <f>_xlfn.COMPOUNDVALUE(799)</f>
        <v>3853</v>
      </c>
      <c r="G45" s="127">
        <v>14108415</v>
      </c>
      <c r="H45" s="126">
        <f>_xlfn.COMPOUNDVALUE(800)</f>
        <v>234</v>
      </c>
      <c r="I45" s="128">
        <v>1765603</v>
      </c>
      <c r="J45" s="126">
        <v>276</v>
      </c>
      <c r="K45" s="128">
        <v>117133</v>
      </c>
      <c r="L45" s="126">
        <v>4159</v>
      </c>
      <c r="M45" s="128">
        <v>12459946</v>
      </c>
      <c r="N45" s="126">
        <v>4414</v>
      </c>
      <c r="O45" s="129">
        <v>128</v>
      </c>
      <c r="P45" s="129">
        <v>20</v>
      </c>
      <c r="Q45" s="130">
        <v>4562</v>
      </c>
      <c r="R45" s="77" t="s">
        <v>72</v>
      </c>
    </row>
    <row r="46" spans="1:18" ht="15.75" customHeight="1">
      <c r="A46" s="76" t="s">
        <v>73</v>
      </c>
      <c r="B46" s="126">
        <f>_xlfn.COMPOUNDVALUE(801)</f>
        <v>7155</v>
      </c>
      <c r="C46" s="127">
        <v>63734531</v>
      </c>
      <c r="D46" s="126">
        <f>_xlfn.COMPOUNDVALUE(802)</f>
        <v>4256</v>
      </c>
      <c r="E46" s="127">
        <v>2570344</v>
      </c>
      <c r="F46" s="126">
        <f>_xlfn.COMPOUNDVALUE(803)</f>
        <v>11411</v>
      </c>
      <c r="G46" s="127">
        <v>66304876</v>
      </c>
      <c r="H46" s="126">
        <f>_xlfn.COMPOUNDVALUE(804)</f>
        <v>792</v>
      </c>
      <c r="I46" s="128">
        <v>12264611</v>
      </c>
      <c r="J46" s="126">
        <v>769</v>
      </c>
      <c r="K46" s="128">
        <v>36173</v>
      </c>
      <c r="L46" s="126">
        <v>12459</v>
      </c>
      <c r="M46" s="128">
        <v>54076438</v>
      </c>
      <c r="N46" s="126">
        <v>12743</v>
      </c>
      <c r="O46" s="129">
        <v>609</v>
      </c>
      <c r="P46" s="129">
        <v>140</v>
      </c>
      <c r="Q46" s="130">
        <v>13492</v>
      </c>
      <c r="R46" s="77" t="s">
        <v>73</v>
      </c>
    </row>
    <row r="47" spans="1:18" ht="15.75" customHeight="1">
      <c r="A47" s="76" t="s">
        <v>74</v>
      </c>
      <c r="B47" s="126">
        <f>_xlfn.COMPOUNDVALUE(805)</f>
        <v>4325</v>
      </c>
      <c r="C47" s="127">
        <v>46281225</v>
      </c>
      <c r="D47" s="126">
        <f>_xlfn.COMPOUNDVALUE(806)</f>
        <v>2729</v>
      </c>
      <c r="E47" s="127">
        <v>1397302</v>
      </c>
      <c r="F47" s="126">
        <f>_xlfn.COMPOUNDVALUE(807)</f>
        <v>7054</v>
      </c>
      <c r="G47" s="127">
        <v>47678527</v>
      </c>
      <c r="H47" s="126">
        <f>_xlfn.COMPOUNDVALUE(808)</f>
        <v>397</v>
      </c>
      <c r="I47" s="128">
        <v>12145301</v>
      </c>
      <c r="J47" s="126">
        <v>513</v>
      </c>
      <c r="K47" s="128">
        <v>131890</v>
      </c>
      <c r="L47" s="126">
        <v>7577</v>
      </c>
      <c r="M47" s="128">
        <v>35665116</v>
      </c>
      <c r="N47" s="126">
        <v>7699</v>
      </c>
      <c r="O47" s="129">
        <v>278</v>
      </c>
      <c r="P47" s="129">
        <v>27</v>
      </c>
      <c r="Q47" s="130">
        <v>8004</v>
      </c>
      <c r="R47" s="77" t="s">
        <v>74</v>
      </c>
    </row>
    <row r="48" spans="1:18" ht="15.75" customHeight="1">
      <c r="A48" s="76"/>
      <c r="B48" s="126"/>
      <c r="C48" s="127"/>
      <c r="D48" s="126"/>
      <c r="E48" s="127"/>
      <c r="F48" s="126"/>
      <c r="G48" s="127"/>
      <c r="H48" s="126"/>
      <c r="I48" s="128"/>
      <c r="J48" s="126"/>
      <c r="K48" s="128"/>
      <c r="L48" s="126"/>
      <c r="M48" s="128"/>
      <c r="N48" s="126"/>
      <c r="O48" s="129"/>
      <c r="P48" s="129"/>
      <c r="Q48" s="130"/>
      <c r="R48" s="77" t="s">
        <v>38</v>
      </c>
    </row>
    <row r="49" spans="1:18" ht="15.75" customHeight="1">
      <c r="A49" s="76" t="s">
        <v>75</v>
      </c>
      <c r="B49" s="126">
        <f>_xlfn.COMPOUNDVALUE(809)</f>
        <v>2515</v>
      </c>
      <c r="C49" s="127">
        <v>11854078</v>
      </c>
      <c r="D49" s="126">
        <f>_xlfn.COMPOUNDVALUE(810)</f>
        <v>1943</v>
      </c>
      <c r="E49" s="127">
        <v>1126366</v>
      </c>
      <c r="F49" s="126">
        <f>_xlfn.COMPOUNDVALUE(811)</f>
        <v>4458</v>
      </c>
      <c r="G49" s="127">
        <v>12980443</v>
      </c>
      <c r="H49" s="126">
        <f>_xlfn.COMPOUNDVALUE(812)</f>
        <v>320</v>
      </c>
      <c r="I49" s="128">
        <v>7777991</v>
      </c>
      <c r="J49" s="126">
        <v>334</v>
      </c>
      <c r="K49" s="128">
        <v>46778</v>
      </c>
      <c r="L49" s="126">
        <v>4856</v>
      </c>
      <c r="M49" s="128">
        <v>5249229</v>
      </c>
      <c r="N49" s="126">
        <v>4889</v>
      </c>
      <c r="O49" s="129">
        <v>232</v>
      </c>
      <c r="P49" s="129">
        <v>26</v>
      </c>
      <c r="Q49" s="130">
        <v>5147</v>
      </c>
      <c r="R49" s="77" t="s">
        <v>75</v>
      </c>
    </row>
    <row r="50" spans="1:18" ht="15.75" customHeight="1">
      <c r="A50" s="76" t="s">
        <v>76</v>
      </c>
      <c r="B50" s="126">
        <f>_xlfn.COMPOUNDVALUE(813)</f>
        <v>4694</v>
      </c>
      <c r="C50" s="127">
        <v>60129101</v>
      </c>
      <c r="D50" s="126">
        <f>_xlfn.COMPOUNDVALUE(814)</f>
        <v>3231</v>
      </c>
      <c r="E50" s="127">
        <v>1685118</v>
      </c>
      <c r="F50" s="126">
        <f>_xlfn.COMPOUNDVALUE(815)</f>
        <v>7925</v>
      </c>
      <c r="G50" s="127">
        <v>61814219</v>
      </c>
      <c r="H50" s="126">
        <f>_xlfn.COMPOUNDVALUE(816)</f>
        <v>421</v>
      </c>
      <c r="I50" s="128">
        <v>46133037</v>
      </c>
      <c r="J50" s="126">
        <v>632</v>
      </c>
      <c r="K50" s="128">
        <v>317591</v>
      </c>
      <c r="L50" s="126">
        <v>8493</v>
      </c>
      <c r="M50" s="128">
        <v>15998773</v>
      </c>
      <c r="N50" s="126">
        <v>8921</v>
      </c>
      <c r="O50" s="129">
        <v>227</v>
      </c>
      <c r="P50" s="129">
        <v>30</v>
      </c>
      <c r="Q50" s="130">
        <v>9178</v>
      </c>
      <c r="R50" s="77" t="s">
        <v>76</v>
      </c>
    </row>
    <row r="51" spans="1:18" ht="15.75" customHeight="1">
      <c r="A51" s="76" t="s">
        <v>77</v>
      </c>
      <c r="B51" s="126">
        <f>_xlfn.COMPOUNDVALUE(817)</f>
        <v>5049</v>
      </c>
      <c r="C51" s="127">
        <v>23040470</v>
      </c>
      <c r="D51" s="126">
        <f>_xlfn.COMPOUNDVALUE(818)</f>
        <v>3843</v>
      </c>
      <c r="E51" s="127">
        <v>2205895</v>
      </c>
      <c r="F51" s="126">
        <f>_xlfn.COMPOUNDVALUE(819)</f>
        <v>8892</v>
      </c>
      <c r="G51" s="127">
        <v>25246365</v>
      </c>
      <c r="H51" s="126">
        <f>_xlfn.COMPOUNDVALUE(820)</f>
        <v>617</v>
      </c>
      <c r="I51" s="128">
        <v>1909805</v>
      </c>
      <c r="J51" s="126">
        <v>601</v>
      </c>
      <c r="K51" s="128">
        <v>133045</v>
      </c>
      <c r="L51" s="126">
        <v>9738</v>
      </c>
      <c r="M51" s="128">
        <v>23469604</v>
      </c>
      <c r="N51" s="126">
        <v>10780</v>
      </c>
      <c r="O51" s="129">
        <v>439</v>
      </c>
      <c r="P51" s="129">
        <v>45</v>
      </c>
      <c r="Q51" s="130">
        <v>11264</v>
      </c>
      <c r="R51" s="77" t="s">
        <v>77</v>
      </c>
    </row>
    <row r="52" spans="1:18" ht="15.75" customHeight="1">
      <c r="A52" s="76" t="s">
        <v>78</v>
      </c>
      <c r="B52" s="126">
        <f>_xlfn.COMPOUNDVALUE(821)</f>
        <v>4475</v>
      </c>
      <c r="C52" s="127">
        <v>21234213</v>
      </c>
      <c r="D52" s="126">
        <f>_xlfn.COMPOUNDVALUE(822)</f>
        <v>3612</v>
      </c>
      <c r="E52" s="127">
        <v>2109469</v>
      </c>
      <c r="F52" s="126">
        <f>_xlfn.COMPOUNDVALUE(823)</f>
        <v>8087</v>
      </c>
      <c r="G52" s="127">
        <v>23343681</v>
      </c>
      <c r="H52" s="126">
        <f>_xlfn.COMPOUNDVALUE(824)</f>
        <v>424</v>
      </c>
      <c r="I52" s="128">
        <v>730155</v>
      </c>
      <c r="J52" s="126">
        <v>594</v>
      </c>
      <c r="K52" s="128">
        <v>88981</v>
      </c>
      <c r="L52" s="126">
        <v>8724</v>
      </c>
      <c r="M52" s="128">
        <v>22702507</v>
      </c>
      <c r="N52" s="126">
        <v>9559</v>
      </c>
      <c r="O52" s="129">
        <v>340</v>
      </c>
      <c r="P52" s="129">
        <v>27</v>
      </c>
      <c r="Q52" s="130">
        <v>9926</v>
      </c>
      <c r="R52" s="77" t="s">
        <v>78</v>
      </c>
    </row>
    <row r="53" spans="1:18" ht="15.75" customHeight="1">
      <c r="A53" s="76" t="s">
        <v>79</v>
      </c>
      <c r="B53" s="126">
        <f>_xlfn.COMPOUNDVALUE(825)</f>
        <v>4485</v>
      </c>
      <c r="C53" s="127">
        <v>38584416</v>
      </c>
      <c r="D53" s="126">
        <f>_xlfn.COMPOUNDVALUE(826)</f>
        <v>3384</v>
      </c>
      <c r="E53" s="127">
        <v>2017625</v>
      </c>
      <c r="F53" s="126">
        <f>_xlfn.COMPOUNDVALUE(827)</f>
        <v>7869</v>
      </c>
      <c r="G53" s="127">
        <v>40602041</v>
      </c>
      <c r="H53" s="126">
        <f>_xlfn.COMPOUNDVALUE(828)</f>
        <v>575</v>
      </c>
      <c r="I53" s="128">
        <v>2894027</v>
      </c>
      <c r="J53" s="126">
        <v>500</v>
      </c>
      <c r="K53" s="128">
        <v>-20367</v>
      </c>
      <c r="L53" s="126">
        <v>8602</v>
      </c>
      <c r="M53" s="128">
        <v>37687648</v>
      </c>
      <c r="N53" s="126">
        <v>8936</v>
      </c>
      <c r="O53" s="129">
        <v>427</v>
      </c>
      <c r="P53" s="129">
        <v>44</v>
      </c>
      <c r="Q53" s="130">
        <v>9407</v>
      </c>
      <c r="R53" s="77" t="s">
        <v>79</v>
      </c>
    </row>
    <row r="54" spans="1:18" ht="15.75" customHeight="1">
      <c r="A54" s="76"/>
      <c r="B54" s="126"/>
      <c r="C54" s="127"/>
      <c r="D54" s="126"/>
      <c r="E54" s="127"/>
      <c r="F54" s="126"/>
      <c r="G54" s="127"/>
      <c r="H54" s="126"/>
      <c r="I54" s="128"/>
      <c r="J54" s="126"/>
      <c r="K54" s="128"/>
      <c r="L54" s="126"/>
      <c r="M54" s="128"/>
      <c r="N54" s="126"/>
      <c r="O54" s="129"/>
      <c r="P54" s="129"/>
      <c r="Q54" s="130"/>
      <c r="R54" s="77" t="s">
        <v>38</v>
      </c>
    </row>
    <row r="55" spans="1:18" ht="15.75" customHeight="1">
      <c r="A55" s="76" t="s">
        <v>80</v>
      </c>
      <c r="B55" s="126">
        <f>_xlfn.COMPOUNDVALUE(829)</f>
        <v>22123</v>
      </c>
      <c r="C55" s="127">
        <v>473839738</v>
      </c>
      <c r="D55" s="126">
        <f>_xlfn.COMPOUNDVALUE(830)</f>
        <v>8156</v>
      </c>
      <c r="E55" s="127">
        <v>6065228</v>
      </c>
      <c r="F55" s="126">
        <f>_xlfn.COMPOUNDVALUE(831)</f>
        <v>30279</v>
      </c>
      <c r="G55" s="127">
        <v>479904966</v>
      </c>
      <c r="H55" s="126">
        <f>_xlfn.COMPOUNDVALUE(832)</f>
        <v>2850</v>
      </c>
      <c r="I55" s="128">
        <v>95441638</v>
      </c>
      <c r="J55" s="126">
        <v>2089</v>
      </c>
      <c r="K55" s="128">
        <v>648719</v>
      </c>
      <c r="L55" s="126">
        <v>33615</v>
      </c>
      <c r="M55" s="128">
        <v>385112047</v>
      </c>
      <c r="N55" s="126">
        <v>33758</v>
      </c>
      <c r="O55" s="129">
        <v>1654</v>
      </c>
      <c r="P55" s="129">
        <v>628</v>
      </c>
      <c r="Q55" s="130">
        <v>36040</v>
      </c>
      <c r="R55" s="77" t="s">
        <v>80</v>
      </c>
    </row>
    <row r="56" spans="1:18" ht="15.75" customHeight="1">
      <c r="A56" s="76" t="s">
        <v>81</v>
      </c>
      <c r="B56" s="126">
        <f>_xlfn.COMPOUNDVALUE(833)</f>
        <v>5221</v>
      </c>
      <c r="C56" s="127">
        <v>72876329</v>
      </c>
      <c r="D56" s="126">
        <f>_xlfn.COMPOUNDVALUE(834)</f>
        <v>3429</v>
      </c>
      <c r="E56" s="127">
        <v>1993579</v>
      </c>
      <c r="F56" s="126">
        <f>_xlfn.COMPOUNDVALUE(835)</f>
        <v>8650</v>
      </c>
      <c r="G56" s="127">
        <v>74869908</v>
      </c>
      <c r="H56" s="126">
        <f>_xlfn.COMPOUNDVALUE(836)</f>
        <v>668</v>
      </c>
      <c r="I56" s="128">
        <v>3212376</v>
      </c>
      <c r="J56" s="126">
        <v>665</v>
      </c>
      <c r="K56" s="128">
        <v>115911</v>
      </c>
      <c r="L56" s="126">
        <v>9537</v>
      </c>
      <c r="M56" s="128">
        <v>71773443</v>
      </c>
      <c r="N56" s="126">
        <v>10211</v>
      </c>
      <c r="O56" s="129">
        <v>438</v>
      </c>
      <c r="P56" s="129">
        <v>66</v>
      </c>
      <c r="Q56" s="130">
        <v>10715</v>
      </c>
      <c r="R56" s="77" t="s">
        <v>81</v>
      </c>
    </row>
    <row r="57" spans="1:18" ht="15.75" customHeight="1">
      <c r="A57" s="76" t="s">
        <v>82</v>
      </c>
      <c r="B57" s="126">
        <f>_xlfn.COMPOUNDVALUE(837)</f>
        <v>4245</v>
      </c>
      <c r="C57" s="127">
        <v>22616130</v>
      </c>
      <c r="D57" s="126">
        <f>_xlfn.COMPOUNDVALUE(838)</f>
        <v>3196</v>
      </c>
      <c r="E57" s="127">
        <v>1797461</v>
      </c>
      <c r="F57" s="126">
        <f>_xlfn.COMPOUNDVALUE(839)</f>
        <v>7441</v>
      </c>
      <c r="G57" s="127">
        <v>24413591</v>
      </c>
      <c r="H57" s="126">
        <f>_xlfn.COMPOUNDVALUE(840)</f>
        <v>457</v>
      </c>
      <c r="I57" s="128">
        <v>1688897</v>
      </c>
      <c r="J57" s="126">
        <v>587</v>
      </c>
      <c r="K57" s="128">
        <v>94819</v>
      </c>
      <c r="L57" s="126">
        <v>8070</v>
      </c>
      <c r="M57" s="128">
        <v>22819513</v>
      </c>
      <c r="N57" s="126">
        <v>8386</v>
      </c>
      <c r="O57" s="129">
        <v>348</v>
      </c>
      <c r="P57" s="129">
        <v>28</v>
      </c>
      <c r="Q57" s="130">
        <v>8762</v>
      </c>
      <c r="R57" s="77" t="s">
        <v>82</v>
      </c>
    </row>
    <row r="58" spans="1:18" ht="15.75" customHeight="1">
      <c r="A58" s="76" t="s">
        <v>83</v>
      </c>
      <c r="B58" s="126">
        <f>_xlfn.COMPOUNDVALUE(841)</f>
        <v>3104</v>
      </c>
      <c r="C58" s="127">
        <v>16145124</v>
      </c>
      <c r="D58" s="126">
        <f>_xlfn.COMPOUNDVALUE(842)</f>
        <v>2566</v>
      </c>
      <c r="E58" s="127">
        <v>1475127</v>
      </c>
      <c r="F58" s="126">
        <f>_xlfn.COMPOUNDVALUE(843)</f>
        <v>5670</v>
      </c>
      <c r="G58" s="127">
        <v>17620251</v>
      </c>
      <c r="H58" s="126">
        <f>_xlfn.COMPOUNDVALUE(844)</f>
        <v>375</v>
      </c>
      <c r="I58" s="128">
        <v>898516</v>
      </c>
      <c r="J58" s="126">
        <v>387</v>
      </c>
      <c r="K58" s="128">
        <v>84040</v>
      </c>
      <c r="L58" s="126">
        <v>6169</v>
      </c>
      <c r="M58" s="128">
        <v>16805774</v>
      </c>
      <c r="N58" s="126">
        <v>6367</v>
      </c>
      <c r="O58" s="129">
        <v>306</v>
      </c>
      <c r="P58" s="129">
        <v>31</v>
      </c>
      <c r="Q58" s="130">
        <v>6704</v>
      </c>
      <c r="R58" s="77" t="s">
        <v>83</v>
      </c>
    </row>
    <row r="59" spans="1:18" ht="15.75" customHeight="1">
      <c r="A59" s="76" t="s">
        <v>84</v>
      </c>
      <c r="B59" s="126">
        <f>_xlfn.COMPOUNDVALUE(845)</f>
        <v>9322</v>
      </c>
      <c r="C59" s="127">
        <v>127707368</v>
      </c>
      <c r="D59" s="126">
        <f>_xlfn.COMPOUNDVALUE(846)</f>
        <v>4563</v>
      </c>
      <c r="E59" s="127">
        <v>2924527</v>
      </c>
      <c r="F59" s="126">
        <f>_xlfn.COMPOUNDVALUE(847)</f>
        <v>13885</v>
      </c>
      <c r="G59" s="127">
        <v>130631896</v>
      </c>
      <c r="H59" s="126">
        <f>_xlfn.COMPOUNDVALUE(848)</f>
        <v>1552</v>
      </c>
      <c r="I59" s="128">
        <v>10415207</v>
      </c>
      <c r="J59" s="126">
        <v>1264</v>
      </c>
      <c r="K59" s="128">
        <v>1047322</v>
      </c>
      <c r="L59" s="126">
        <v>15698</v>
      </c>
      <c r="M59" s="128">
        <v>121264010</v>
      </c>
      <c r="N59" s="126">
        <v>15847</v>
      </c>
      <c r="O59" s="129">
        <v>794</v>
      </c>
      <c r="P59" s="129">
        <v>177</v>
      </c>
      <c r="Q59" s="130">
        <v>16818</v>
      </c>
      <c r="R59" s="77" t="s">
        <v>84</v>
      </c>
    </row>
    <row r="60" spans="1:18" ht="15.75" customHeight="1">
      <c r="A60" s="76"/>
      <c r="B60" s="126"/>
      <c r="C60" s="127"/>
      <c r="D60" s="126"/>
      <c r="E60" s="127"/>
      <c r="F60" s="126"/>
      <c r="G60" s="127"/>
      <c r="H60" s="126"/>
      <c r="I60" s="128"/>
      <c r="J60" s="126"/>
      <c r="K60" s="128"/>
      <c r="L60" s="126"/>
      <c r="M60" s="128"/>
      <c r="N60" s="126"/>
      <c r="O60" s="129"/>
      <c r="P60" s="129"/>
      <c r="Q60" s="130"/>
      <c r="R60" s="77" t="s">
        <v>38</v>
      </c>
    </row>
    <row r="61" spans="1:18" ht="15.75" customHeight="1">
      <c r="A61" s="76" t="s">
        <v>85</v>
      </c>
      <c r="B61" s="126">
        <f>_xlfn.COMPOUNDVALUE(849)</f>
        <v>4636</v>
      </c>
      <c r="C61" s="127">
        <v>51554920</v>
      </c>
      <c r="D61" s="126">
        <f>_xlfn.COMPOUNDVALUE(850)</f>
        <v>3149</v>
      </c>
      <c r="E61" s="127">
        <v>1656329</v>
      </c>
      <c r="F61" s="126">
        <f>_xlfn.COMPOUNDVALUE(851)</f>
        <v>7785</v>
      </c>
      <c r="G61" s="127">
        <v>53211249</v>
      </c>
      <c r="H61" s="126">
        <f>_xlfn.COMPOUNDVALUE(852)</f>
        <v>548</v>
      </c>
      <c r="I61" s="128">
        <v>2568240</v>
      </c>
      <c r="J61" s="126">
        <v>599</v>
      </c>
      <c r="K61" s="128">
        <v>63484</v>
      </c>
      <c r="L61" s="126">
        <v>8479</v>
      </c>
      <c r="M61" s="128">
        <v>50706494</v>
      </c>
      <c r="N61" s="126">
        <v>8580</v>
      </c>
      <c r="O61" s="129">
        <v>294</v>
      </c>
      <c r="P61" s="129">
        <v>41</v>
      </c>
      <c r="Q61" s="130">
        <v>8915</v>
      </c>
      <c r="R61" s="77" t="s">
        <v>85</v>
      </c>
    </row>
    <row r="62" spans="1:18" ht="15.75" customHeight="1">
      <c r="A62" s="76" t="s">
        <v>86</v>
      </c>
      <c r="B62" s="126">
        <f>_xlfn.COMPOUNDVALUE(853)</f>
        <v>4004</v>
      </c>
      <c r="C62" s="127">
        <v>28060625</v>
      </c>
      <c r="D62" s="126">
        <f>_xlfn.COMPOUNDVALUE(854)</f>
        <v>2462</v>
      </c>
      <c r="E62" s="127">
        <v>1215823</v>
      </c>
      <c r="F62" s="126">
        <f>_xlfn.COMPOUNDVALUE(855)</f>
        <v>6466</v>
      </c>
      <c r="G62" s="127">
        <v>29276448</v>
      </c>
      <c r="H62" s="126">
        <f>_xlfn.COMPOUNDVALUE(856)</f>
        <v>447</v>
      </c>
      <c r="I62" s="128">
        <v>1390328</v>
      </c>
      <c r="J62" s="126">
        <v>446</v>
      </c>
      <c r="K62" s="128">
        <v>112846</v>
      </c>
      <c r="L62" s="126">
        <v>7063</v>
      </c>
      <c r="M62" s="128">
        <v>27998966</v>
      </c>
      <c r="N62" s="126">
        <v>7055</v>
      </c>
      <c r="O62" s="129">
        <v>276</v>
      </c>
      <c r="P62" s="129">
        <v>21</v>
      </c>
      <c r="Q62" s="130">
        <v>7352</v>
      </c>
      <c r="R62" s="77" t="s">
        <v>86</v>
      </c>
    </row>
    <row r="63" spans="1:18" ht="15.75" customHeight="1">
      <c r="A63" s="76" t="s">
        <v>87</v>
      </c>
      <c r="B63" s="126">
        <f>_xlfn.COMPOUNDVALUE(857)</f>
        <v>7536</v>
      </c>
      <c r="C63" s="127">
        <v>46610060</v>
      </c>
      <c r="D63" s="126">
        <f>_xlfn.COMPOUNDVALUE(858)</f>
        <v>4950</v>
      </c>
      <c r="E63" s="127">
        <v>2670923</v>
      </c>
      <c r="F63" s="126">
        <f>_xlfn.COMPOUNDVALUE(859)</f>
        <v>12486</v>
      </c>
      <c r="G63" s="127">
        <v>49280983</v>
      </c>
      <c r="H63" s="126">
        <f>_xlfn.COMPOUNDVALUE(860)</f>
        <v>717</v>
      </c>
      <c r="I63" s="128">
        <v>4014925</v>
      </c>
      <c r="J63" s="126">
        <v>1094</v>
      </c>
      <c r="K63" s="128">
        <v>140624</v>
      </c>
      <c r="L63" s="126">
        <v>13537</v>
      </c>
      <c r="M63" s="128">
        <v>45406682</v>
      </c>
      <c r="N63" s="126">
        <v>13786</v>
      </c>
      <c r="O63" s="129">
        <v>453</v>
      </c>
      <c r="P63" s="129">
        <v>64</v>
      </c>
      <c r="Q63" s="130">
        <v>14303</v>
      </c>
      <c r="R63" s="77" t="s">
        <v>87</v>
      </c>
    </row>
    <row r="64" spans="1:18" ht="15.75" customHeight="1">
      <c r="A64" s="76" t="s">
        <v>88</v>
      </c>
      <c r="B64" s="126">
        <f>_xlfn.COMPOUNDVALUE(861)</f>
        <v>5332</v>
      </c>
      <c r="C64" s="127">
        <v>20243843</v>
      </c>
      <c r="D64" s="126">
        <f>_xlfn.COMPOUNDVALUE(862)</f>
        <v>4015</v>
      </c>
      <c r="E64" s="127">
        <v>2213427</v>
      </c>
      <c r="F64" s="126">
        <f>_xlfn.COMPOUNDVALUE(863)</f>
        <v>9347</v>
      </c>
      <c r="G64" s="127">
        <v>22457270</v>
      </c>
      <c r="H64" s="126">
        <f>_xlfn.COMPOUNDVALUE(864)</f>
        <v>552</v>
      </c>
      <c r="I64" s="128">
        <v>3580988</v>
      </c>
      <c r="J64" s="126">
        <v>720</v>
      </c>
      <c r="K64" s="128">
        <v>95965</v>
      </c>
      <c r="L64" s="126">
        <v>10087</v>
      </c>
      <c r="M64" s="128">
        <v>18972247</v>
      </c>
      <c r="N64" s="126">
        <v>10527</v>
      </c>
      <c r="O64" s="129">
        <v>396</v>
      </c>
      <c r="P64" s="129">
        <v>30</v>
      </c>
      <c r="Q64" s="130">
        <v>10953</v>
      </c>
      <c r="R64" s="77" t="s">
        <v>88</v>
      </c>
    </row>
    <row r="65" spans="1:18" ht="15.75" customHeight="1">
      <c r="A65" s="78" t="s">
        <v>89</v>
      </c>
      <c r="B65" s="131">
        <f>_xlfn.COMPOUNDVALUE(865)</f>
        <v>3128</v>
      </c>
      <c r="C65" s="132">
        <v>9415630</v>
      </c>
      <c r="D65" s="131">
        <f>_xlfn.COMPOUNDVALUE(866)</f>
        <v>2754</v>
      </c>
      <c r="E65" s="132">
        <v>1463297</v>
      </c>
      <c r="F65" s="131">
        <f>_xlfn.COMPOUNDVALUE(867)</f>
        <v>5882</v>
      </c>
      <c r="G65" s="132">
        <v>10878928</v>
      </c>
      <c r="H65" s="131">
        <f>_xlfn.COMPOUNDVALUE(868)</f>
        <v>275</v>
      </c>
      <c r="I65" s="133">
        <v>466425</v>
      </c>
      <c r="J65" s="131">
        <v>443</v>
      </c>
      <c r="K65" s="133">
        <v>49321</v>
      </c>
      <c r="L65" s="131">
        <v>6348</v>
      </c>
      <c r="M65" s="133">
        <v>10461824</v>
      </c>
      <c r="N65" s="126">
        <v>6598</v>
      </c>
      <c r="O65" s="129">
        <v>187</v>
      </c>
      <c r="P65" s="129">
        <v>15</v>
      </c>
      <c r="Q65" s="130">
        <v>6800</v>
      </c>
      <c r="R65" s="77" t="s">
        <v>89</v>
      </c>
    </row>
    <row r="66" spans="1:18" ht="15.75" customHeight="1">
      <c r="A66" s="78"/>
      <c r="B66" s="131"/>
      <c r="C66" s="132"/>
      <c r="D66" s="131"/>
      <c r="E66" s="132"/>
      <c r="F66" s="131"/>
      <c r="G66" s="132"/>
      <c r="H66" s="131"/>
      <c r="I66" s="133"/>
      <c r="J66" s="131"/>
      <c r="K66" s="133"/>
      <c r="L66" s="131"/>
      <c r="M66" s="133"/>
      <c r="N66" s="126"/>
      <c r="O66" s="129"/>
      <c r="P66" s="129"/>
      <c r="Q66" s="130"/>
      <c r="R66" s="77" t="s">
        <v>38</v>
      </c>
    </row>
    <row r="67" spans="1:18" ht="15.75" customHeight="1">
      <c r="A67" s="78" t="s">
        <v>90</v>
      </c>
      <c r="B67" s="131">
        <f>_xlfn.COMPOUNDVALUE(869)</f>
        <v>5656</v>
      </c>
      <c r="C67" s="132">
        <v>25061916</v>
      </c>
      <c r="D67" s="131">
        <f>_xlfn.COMPOUNDVALUE(870)</f>
        <v>3729</v>
      </c>
      <c r="E67" s="132">
        <v>2007233</v>
      </c>
      <c r="F67" s="131">
        <f>_xlfn.COMPOUNDVALUE(871)</f>
        <v>9385</v>
      </c>
      <c r="G67" s="132">
        <v>27069149</v>
      </c>
      <c r="H67" s="131">
        <f>_xlfn.COMPOUNDVALUE(872)</f>
        <v>479</v>
      </c>
      <c r="I67" s="133">
        <v>2736096</v>
      </c>
      <c r="J67" s="131">
        <v>706</v>
      </c>
      <c r="K67" s="133">
        <v>139359</v>
      </c>
      <c r="L67" s="131">
        <v>10081</v>
      </c>
      <c r="M67" s="133">
        <v>24472412</v>
      </c>
      <c r="N67" s="126">
        <v>10303</v>
      </c>
      <c r="O67" s="129">
        <v>286</v>
      </c>
      <c r="P67" s="129">
        <v>30</v>
      </c>
      <c r="Q67" s="130">
        <v>10619</v>
      </c>
      <c r="R67" s="77" t="s">
        <v>90</v>
      </c>
    </row>
    <row r="68" spans="1:18" ht="15.75" customHeight="1">
      <c r="A68" s="78" t="s">
        <v>91</v>
      </c>
      <c r="B68" s="131">
        <f>_xlfn.COMPOUNDVALUE(873)</f>
        <v>4571</v>
      </c>
      <c r="C68" s="132">
        <v>19102514</v>
      </c>
      <c r="D68" s="131">
        <f>_xlfn.COMPOUNDVALUE(874)</f>
        <v>3145</v>
      </c>
      <c r="E68" s="132">
        <v>1630325</v>
      </c>
      <c r="F68" s="131">
        <f>_xlfn.COMPOUNDVALUE(875)</f>
        <v>7716</v>
      </c>
      <c r="G68" s="132">
        <v>20732839</v>
      </c>
      <c r="H68" s="131">
        <f>_xlfn.COMPOUNDVALUE(876)</f>
        <v>346</v>
      </c>
      <c r="I68" s="133">
        <v>1131284</v>
      </c>
      <c r="J68" s="131">
        <v>534</v>
      </c>
      <c r="K68" s="133">
        <v>31533</v>
      </c>
      <c r="L68" s="131">
        <v>8193</v>
      </c>
      <c r="M68" s="133">
        <v>19633088</v>
      </c>
      <c r="N68" s="126">
        <v>8490</v>
      </c>
      <c r="O68" s="129">
        <v>199</v>
      </c>
      <c r="P68" s="129">
        <v>18</v>
      </c>
      <c r="Q68" s="130">
        <v>8707</v>
      </c>
      <c r="R68" s="77" t="s">
        <v>91</v>
      </c>
    </row>
    <row r="69" spans="1:18" ht="15.75" customHeight="1">
      <c r="A69" s="78" t="s">
        <v>92</v>
      </c>
      <c r="B69" s="131">
        <f>_xlfn.COMPOUNDVALUE(877)</f>
        <v>6004</v>
      </c>
      <c r="C69" s="132">
        <v>23694673</v>
      </c>
      <c r="D69" s="131">
        <f>_xlfn.COMPOUNDVALUE(878)</f>
        <v>4616</v>
      </c>
      <c r="E69" s="132">
        <v>2343467</v>
      </c>
      <c r="F69" s="131">
        <f>_xlfn.COMPOUNDVALUE(879)</f>
        <v>10620</v>
      </c>
      <c r="G69" s="132">
        <v>26038140</v>
      </c>
      <c r="H69" s="131">
        <f>_xlfn.COMPOUNDVALUE(880)</f>
        <v>596</v>
      </c>
      <c r="I69" s="133">
        <v>2146993</v>
      </c>
      <c r="J69" s="131">
        <v>862</v>
      </c>
      <c r="K69" s="133">
        <v>66934</v>
      </c>
      <c r="L69" s="131">
        <v>11460</v>
      </c>
      <c r="M69" s="133">
        <v>23958081</v>
      </c>
      <c r="N69" s="126">
        <v>11636</v>
      </c>
      <c r="O69" s="129">
        <v>350</v>
      </c>
      <c r="P69" s="129">
        <v>39</v>
      </c>
      <c r="Q69" s="130">
        <v>12025</v>
      </c>
      <c r="R69" s="77" t="s">
        <v>92</v>
      </c>
    </row>
    <row r="70" spans="1:18" ht="15.75" customHeight="1">
      <c r="A70" s="78" t="s">
        <v>93</v>
      </c>
      <c r="B70" s="131">
        <f>_xlfn.COMPOUNDVALUE(881)</f>
        <v>6762</v>
      </c>
      <c r="C70" s="132">
        <v>25953398</v>
      </c>
      <c r="D70" s="131">
        <f>_xlfn.COMPOUNDVALUE(882)</f>
        <v>4603</v>
      </c>
      <c r="E70" s="132">
        <v>2403925</v>
      </c>
      <c r="F70" s="131">
        <f>_xlfn.COMPOUNDVALUE(883)</f>
        <v>11365</v>
      </c>
      <c r="G70" s="132">
        <v>28357324</v>
      </c>
      <c r="H70" s="131">
        <f>_xlfn.COMPOUNDVALUE(884)</f>
        <v>595</v>
      </c>
      <c r="I70" s="133">
        <v>1942846</v>
      </c>
      <c r="J70" s="131">
        <v>808</v>
      </c>
      <c r="K70" s="133">
        <v>118075</v>
      </c>
      <c r="L70" s="131">
        <v>12238</v>
      </c>
      <c r="M70" s="133">
        <v>26532553</v>
      </c>
      <c r="N70" s="126">
        <v>12474</v>
      </c>
      <c r="O70" s="129">
        <v>313</v>
      </c>
      <c r="P70" s="129">
        <v>28</v>
      </c>
      <c r="Q70" s="130">
        <v>12815</v>
      </c>
      <c r="R70" s="77" t="s">
        <v>93</v>
      </c>
    </row>
    <row r="71" spans="1:18" ht="15.75" customHeight="1">
      <c r="A71" s="78" t="s">
        <v>94</v>
      </c>
      <c r="B71" s="131">
        <f>_xlfn.COMPOUNDVALUE(885)</f>
        <v>3188</v>
      </c>
      <c r="C71" s="132">
        <v>18489506</v>
      </c>
      <c r="D71" s="131">
        <f>_xlfn.COMPOUNDVALUE(886)</f>
        <v>1973</v>
      </c>
      <c r="E71" s="132">
        <v>1130927</v>
      </c>
      <c r="F71" s="131">
        <f>_xlfn.COMPOUNDVALUE(887)</f>
        <v>5161</v>
      </c>
      <c r="G71" s="132">
        <v>19620433</v>
      </c>
      <c r="H71" s="131">
        <f>_xlfn.COMPOUNDVALUE(888)</f>
        <v>313</v>
      </c>
      <c r="I71" s="133">
        <v>1609759</v>
      </c>
      <c r="J71" s="131">
        <v>365</v>
      </c>
      <c r="K71" s="133">
        <v>90850</v>
      </c>
      <c r="L71" s="131">
        <v>5573</v>
      </c>
      <c r="M71" s="133">
        <v>18101524</v>
      </c>
      <c r="N71" s="126">
        <v>5625</v>
      </c>
      <c r="O71" s="129">
        <v>217</v>
      </c>
      <c r="P71" s="129">
        <v>21</v>
      </c>
      <c r="Q71" s="130">
        <v>5863</v>
      </c>
      <c r="R71" s="77" t="s">
        <v>94</v>
      </c>
    </row>
    <row r="72" spans="1:18" ht="15.75" customHeight="1">
      <c r="A72" s="161" t="s">
        <v>95</v>
      </c>
      <c r="B72" s="162">
        <v>267646</v>
      </c>
      <c r="C72" s="163">
        <v>5943438845</v>
      </c>
      <c r="D72" s="162">
        <v>133378</v>
      </c>
      <c r="E72" s="163">
        <v>82695281</v>
      </c>
      <c r="F72" s="162">
        <v>401024</v>
      </c>
      <c r="G72" s="163">
        <v>6026134129</v>
      </c>
      <c r="H72" s="162">
        <v>42884</v>
      </c>
      <c r="I72" s="164">
        <v>1883946517</v>
      </c>
      <c r="J72" s="162">
        <v>31455</v>
      </c>
      <c r="K72" s="164">
        <v>13287833</v>
      </c>
      <c r="L72" s="162">
        <v>451342</v>
      </c>
      <c r="M72" s="164">
        <v>4155475444</v>
      </c>
      <c r="N72" s="162">
        <v>445596</v>
      </c>
      <c r="O72" s="184">
        <v>28056</v>
      </c>
      <c r="P72" s="184">
        <v>5636</v>
      </c>
      <c r="Q72" s="185">
        <v>479288</v>
      </c>
      <c r="R72" s="165" t="s">
        <v>96</v>
      </c>
    </row>
    <row r="73" spans="1:18" ht="15.75" customHeight="1">
      <c r="A73" s="176"/>
      <c r="B73" s="177"/>
      <c r="C73" s="178"/>
      <c r="D73" s="177"/>
      <c r="E73" s="178"/>
      <c r="F73" s="177"/>
      <c r="G73" s="178"/>
      <c r="H73" s="177"/>
      <c r="I73" s="179"/>
      <c r="J73" s="177"/>
      <c r="K73" s="179"/>
      <c r="L73" s="177"/>
      <c r="M73" s="179"/>
      <c r="N73" s="189"/>
      <c r="O73" s="190"/>
      <c r="P73" s="190"/>
      <c r="Q73" s="191"/>
      <c r="R73" s="180" t="s">
        <v>38</v>
      </c>
    </row>
    <row r="74" spans="1:18" ht="15.75" customHeight="1">
      <c r="A74" s="76" t="s">
        <v>97</v>
      </c>
      <c r="B74" s="126">
        <f>_xlfn.COMPOUNDVALUE(889)</f>
        <v>5954</v>
      </c>
      <c r="C74" s="127">
        <v>29003226</v>
      </c>
      <c r="D74" s="126">
        <f>_xlfn.COMPOUNDVALUE(890)</f>
        <v>4516</v>
      </c>
      <c r="E74" s="127">
        <v>2416028</v>
      </c>
      <c r="F74" s="126">
        <f>_xlfn.COMPOUNDVALUE(891)</f>
        <v>10470</v>
      </c>
      <c r="G74" s="127">
        <v>31419254</v>
      </c>
      <c r="H74" s="126">
        <f>_xlfn.COMPOUNDVALUE(892)</f>
        <v>526</v>
      </c>
      <c r="I74" s="128">
        <v>13214302</v>
      </c>
      <c r="J74" s="126">
        <v>757</v>
      </c>
      <c r="K74" s="128">
        <v>211758</v>
      </c>
      <c r="L74" s="126">
        <v>11238</v>
      </c>
      <c r="M74" s="128">
        <v>18416710</v>
      </c>
      <c r="N74" s="126">
        <v>11386</v>
      </c>
      <c r="O74" s="129">
        <v>349</v>
      </c>
      <c r="P74" s="129">
        <v>29</v>
      </c>
      <c r="Q74" s="130">
        <v>11764</v>
      </c>
      <c r="R74" s="86" t="s">
        <v>97</v>
      </c>
    </row>
    <row r="75" spans="1:18" ht="15.75" customHeight="1">
      <c r="A75" s="78" t="s">
        <v>98</v>
      </c>
      <c r="B75" s="131">
        <f>_xlfn.COMPOUNDVALUE(893)</f>
        <v>7385</v>
      </c>
      <c r="C75" s="132">
        <v>41493008</v>
      </c>
      <c r="D75" s="131">
        <f>_xlfn.COMPOUNDVALUE(894)</f>
        <v>5732</v>
      </c>
      <c r="E75" s="132">
        <v>3167979</v>
      </c>
      <c r="F75" s="131">
        <f>_xlfn.COMPOUNDVALUE(895)</f>
        <v>13117</v>
      </c>
      <c r="G75" s="132">
        <v>44660987</v>
      </c>
      <c r="H75" s="131">
        <f>_xlfn.COMPOUNDVALUE(896)</f>
        <v>645</v>
      </c>
      <c r="I75" s="133">
        <v>4392016</v>
      </c>
      <c r="J75" s="131">
        <v>930</v>
      </c>
      <c r="K75" s="133">
        <v>179837</v>
      </c>
      <c r="L75" s="131">
        <v>14042</v>
      </c>
      <c r="M75" s="133">
        <v>40448808</v>
      </c>
      <c r="N75" s="126">
        <v>14154</v>
      </c>
      <c r="O75" s="129">
        <v>426</v>
      </c>
      <c r="P75" s="129">
        <v>35</v>
      </c>
      <c r="Q75" s="130">
        <v>14615</v>
      </c>
      <c r="R75" s="77" t="s">
        <v>98</v>
      </c>
    </row>
    <row r="76" spans="1:18" ht="15.75" customHeight="1">
      <c r="A76" s="78" t="s">
        <v>99</v>
      </c>
      <c r="B76" s="131">
        <f>_xlfn.COMPOUNDVALUE(897)</f>
        <v>5163</v>
      </c>
      <c r="C76" s="132">
        <v>37460383</v>
      </c>
      <c r="D76" s="131">
        <f>_xlfn.COMPOUNDVALUE(898)</f>
        <v>4451</v>
      </c>
      <c r="E76" s="132">
        <v>2577490</v>
      </c>
      <c r="F76" s="131">
        <f>_xlfn.COMPOUNDVALUE(899)</f>
        <v>9614</v>
      </c>
      <c r="G76" s="132">
        <v>40037873</v>
      </c>
      <c r="H76" s="131">
        <f>_xlfn.COMPOUNDVALUE(900)</f>
        <v>558</v>
      </c>
      <c r="I76" s="133">
        <v>6242874</v>
      </c>
      <c r="J76" s="131">
        <v>625</v>
      </c>
      <c r="K76" s="133">
        <v>171839</v>
      </c>
      <c r="L76" s="131">
        <v>10370</v>
      </c>
      <c r="M76" s="133">
        <v>33966838</v>
      </c>
      <c r="N76" s="126">
        <v>10589</v>
      </c>
      <c r="O76" s="129">
        <v>394</v>
      </c>
      <c r="P76" s="129">
        <v>42</v>
      </c>
      <c r="Q76" s="130">
        <v>11025</v>
      </c>
      <c r="R76" s="77" t="s">
        <v>99</v>
      </c>
    </row>
    <row r="77" spans="1:18" ht="15.75" customHeight="1">
      <c r="A77" s="78" t="s">
        <v>100</v>
      </c>
      <c r="B77" s="131">
        <f>_xlfn.COMPOUNDVALUE(901)</f>
        <v>4507</v>
      </c>
      <c r="C77" s="132">
        <v>20123528</v>
      </c>
      <c r="D77" s="131">
        <f>_xlfn.COMPOUNDVALUE(902)</f>
        <v>3653</v>
      </c>
      <c r="E77" s="132">
        <v>1815646</v>
      </c>
      <c r="F77" s="131">
        <f>_xlfn.COMPOUNDVALUE(903)</f>
        <v>8160</v>
      </c>
      <c r="G77" s="132">
        <v>21939173</v>
      </c>
      <c r="H77" s="131">
        <f>_xlfn.COMPOUNDVALUE(904)</f>
        <v>286</v>
      </c>
      <c r="I77" s="133">
        <v>2442077</v>
      </c>
      <c r="J77" s="131">
        <v>608</v>
      </c>
      <c r="K77" s="133">
        <v>108962</v>
      </c>
      <c r="L77" s="131">
        <v>8622</v>
      </c>
      <c r="M77" s="133">
        <v>19606059</v>
      </c>
      <c r="N77" s="126">
        <v>8777</v>
      </c>
      <c r="O77" s="129">
        <v>186</v>
      </c>
      <c r="P77" s="129">
        <v>23</v>
      </c>
      <c r="Q77" s="130">
        <v>8986</v>
      </c>
      <c r="R77" s="77" t="s">
        <v>100</v>
      </c>
    </row>
    <row r="78" spans="1:18" ht="15.75" customHeight="1">
      <c r="A78" s="78" t="s">
        <v>101</v>
      </c>
      <c r="B78" s="131">
        <f>_xlfn.COMPOUNDVALUE(905)</f>
        <v>5924</v>
      </c>
      <c r="C78" s="132">
        <v>40364691</v>
      </c>
      <c r="D78" s="131">
        <f>_xlfn.COMPOUNDVALUE(906)</f>
        <v>4730</v>
      </c>
      <c r="E78" s="132">
        <v>2528050</v>
      </c>
      <c r="F78" s="131">
        <f>_xlfn.COMPOUNDVALUE(907)</f>
        <v>10654</v>
      </c>
      <c r="G78" s="132">
        <v>42892742</v>
      </c>
      <c r="H78" s="131">
        <f>_xlfn.COMPOUNDVALUE(908)</f>
        <v>444</v>
      </c>
      <c r="I78" s="133">
        <v>2975854</v>
      </c>
      <c r="J78" s="131">
        <v>754</v>
      </c>
      <c r="K78" s="133">
        <v>131716</v>
      </c>
      <c r="L78" s="131">
        <v>11364</v>
      </c>
      <c r="M78" s="133">
        <v>40048604</v>
      </c>
      <c r="N78" s="126">
        <v>11611</v>
      </c>
      <c r="O78" s="129">
        <v>354</v>
      </c>
      <c r="P78" s="129">
        <v>42</v>
      </c>
      <c r="Q78" s="130">
        <v>12007</v>
      </c>
      <c r="R78" s="77" t="s">
        <v>101</v>
      </c>
    </row>
    <row r="79" spans="1:18" ht="15.75" customHeight="1">
      <c r="A79" s="103"/>
      <c r="B79" s="139"/>
      <c r="C79" s="140"/>
      <c r="D79" s="139"/>
      <c r="E79" s="140"/>
      <c r="F79" s="139"/>
      <c r="G79" s="140"/>
      <c r="H79" s="139"/>
      <c r="I79" s="141"/>
      <c r="J79" s="139"/>
      <c r="K79" s="141"/>
      <c r="L79" s="139"/>
      <c r="M79" s="140"/>
      <c r="N79" s="126"/>
      <c r="O79" s="129"/>
      <c r="P79" s="129"/>
      <c r="Q79" s="130"/>
      <c r="R79" s="105" t="s">
        <v>38</v>
      </c>
    </row>
    <row r="80" spans="1:18" ht="15.75" customHeight="1">
      <c r="A80" s="98" t="s">
        <v>102</v>
      </c>
      <c r="B80" s="126">
        <f>_xlfn.COMPOUNDVALUE(909)</f>
        <v>4138</v>
      </c>
      <c r="C80" s="127">
        <v>16182980</v>
      </c>
      <c r="D80" s="126">
        <f>_xlfn.COMPOUNDVALUE(910)</f>
        <v>3381</v>
      </c>
      <c r="E80" s="127">
        <v>1896905</v>
      </c>
      <c r="F80" s="126">
        <f>_xlfn.COMPOUNDVALUE(911)</f>
        <v>7519</v>
      </c>
      <c r="G80" s="127">
        <v>18079885</v>
      </c>
      <c r="H80" s="126">
        <f>_xlfn.COMPOUNDVALUE(912)</f>
        <v>380</v>
      </c>
      <c r="I80" s="128">
        <v>1667901</v>
      </c>
      <c r="J80" s="126">
        <v>564</v>
      </c>
      <c r="K80" s="128">
        <v>22164</v>
      </c>
      <c r="L80" s="126">
        <v>8063</v>
      </c>
      <c r="M80" s="128">
        <v>16434147</v>
      </c>
      <c r="N80" s="126">
        <v>8369</v>
      </c>
      <c r="O80" s="129">
        <v>270</v>
      </c>
      <c r="P80" s="129">
        <v>30</v>
      </c>
      <c r="Q80" s="130">
        <v>8669</v>
      </c>
      <c r="R80" s="97" t="s">
        <v>102</v>
      </c>
    </row>
    <row r="81" spans="1:18" ht="15.75" customHeight="1">
      <c r="A81" s="78" t="s">
        <v>103</v>
      </c>
      <c r="B81" s="131">
        <f>_xlfn.COMPOUNDVALUE(913)</f>
        <v>3208</v>
      </c>
      <c r="C81" s="132">
        <v>18498455</v>
      </c>
      <c r="D81" s="131">
        <f>_xlfn.COMPOUNDVALUE(914)</f>
        <v>2596</v>
      </c>
      <c r="E81" s="132">
        <v>1359611</v>
      </c>
      <c r="F81" s="131">
        <f>_xlfn.COMPOUNDVALUE(915)</f>
        <v>5804</v>
      </c>
      <c r="G81" s="132">
        <v>19858065</v>
      </c>
      <c r="H81" s="131">
        <f>_xlfn.COMPOUNDVALUE(916)</f>
        <v>297</v>
      </c>
      <c r="I81" s="133">
        <v>6545772</v>
      </c>
      <c r="J81" s="131">
        <v>408</v>
      </c>
      <c r="K81" s="133">
        <v>120367</v>
      </c>
      <c r="L81" s="131">
        <v>6273</v>
      </c>
      <c r="M81" s="133">
        <v>13432660</v>
      </c>
      <c r="N81" s="126">
        <v>6593</v>
      </c>
      <c r="O81" s="129">
        <v>198</v>
      </c>
      <c r="P81" s="129">
        <v>30</v>
      </c>
      <c r="Q81" s="130">
        <v>6821</v>
      </c>
      <c r="R81" s="77" t="s">
        <v>103</v>
      </c>
    </row>
    <row r="82" spans="1:18" ht="15.75" customHeight="1">
      <c r="A82" s="78" t="s">
        <v>104</v>
      </c>
      <c r="B82" s="131">
        <f>_xlfn.COMPOUNDVALUE(917)</f>
        <v>6343</v>
      </c>
      <c r="C82" s="132">
        <v>26490238</v>
      </c>
      <c r="D82" s="131">
        <f>_xlfn.COMPOUNDVALUE(918)</f>
        <v>5392</v>
      </c>
      <c r="E82" s="132">
        <v>2736920</v>
      </c>
      <c r="F82" s="131">
        <f>_xlfn.COMPOUNDVALUE(919)</f>
        <v>11735</v>
      </c>
      <c r="G82" s="132">
        <v>29227158</v>
      </c>
      <c r="H82" s="131">
        <f>_xlfn.COMPOUNDVALUE(920)</f>
        <v>440</v>
      </c>
      <c r="I82" s="133">
        <v>3889762</v>
      </c>
      <c r="J82" s="131">
        <v>783</v>
      </c>
      <c r="K82" s="133">
        <v>85403</v>
      </c>
      <c r="L82" s="131">
        <v>12420</v>
      </c>
      <c r="M82" s="133">
        <v>25422799</v>
      </c>
      <c r="N82" s="126">
        <v>12498</v>
      </c>
      <c r="O82" s="129">
        <v>369</v>
      </c>
      <c r="P82" s="129">
        <v>22</v>
      </c>
      <c r="Q82" s="130">
        <v>12889</v>
      </c>
      <c r="R82" s="77" t="s">
        <v>104</v>
      </c>
    </row>
    <row r="83" spans="1:18" ht="15.75" customHeight="1">
      <c r="A83" s="161" t="s">
        <v>105</v>
      </c>
      <c r="B83" s="162">
        <v>42622</v>
      </c>
      <c r="C83" s="163">
        <v>229616509</v>
      </c>
      <c r="D83" s="162">
        <v>34451</v>
      </c>
      <c r="E83" s="163">
        <v>18498629</v>
      </c>
      <c r="F83" s="162">
        <v>77073</v>
      </c>
      <c r="G83" s="163">
        <v>248115137</v>
      </c>
      <c r="H83" s="162">
        <v>3576</v>
      </c>
      <c r="I83" s="164">
        <v>41370558</v>
      </c>
      <c r="J83" s="162">
        <v>5429</v>
      </c>
      <c r="K83" s="164">
        <v>1032046</v>
      </c>
      <c r="L83" s="162">
        <v>82392</v>
      </c>
      <c r="M83" s="164">
        <v>207776625</v>
      </c>
      <c r="N83" s="162">
        <v>83977</v>
      </c>
      <c r="O83" s="184">
        <v>2546</v>
      </c>
      <c r="P83" s="184">
        <v>253</v>
      </c>
      <c r="Q83" s="185">
        <v>86776</v>
      </c>
      <c r="R83" s="165" t="s">
        <v>106</v>
      </c>
    </row>
    <row r="84" spans="1:18" ht="15.75" customHeight="1">
      <c r="A84" s="176"/>
      <c r="B84" s="177"/>
      <c r="C84" s="178"/>
      <c r="D84" s="177"/>
      <c r="E84" s="178"/>
      <c r="F84" s="177"/>
      <c r="G84" s="178"/>
      <c r="H84" s="177"/>
      <c r="I84" s="179"/>
      <c r="J84" s="177"/>
      <c r="K84" s="179"/>
      <c r="L84" s="177"/>
      <c r="M84" s="179"/>
      <c r="N84" s="189"/>
      <c r="O84" s="190"/>
      <c r="P84" s="190"/>
      <c r="Q84" s="191"/>
      <c r="R84" s="180" t="s">
        <v>38</v>
      </c>
    </row>
    <row r="85" spans="1:18" ht="15.75" customHeight="1">
      <c r="A85" s="171" t="s">
        <v>107</v>
      </c>
      <c r="B85" s="172">
        <v>310268</v>
      </c>
      <c r="C85" s="173">
        <v>6173055352</v>
      </c>
      <c r="D85" s="172">
        <v>167829</v>
      </c>
      <c r="E85" s="173">
        <v>101193910</v>
      </c>
      <c r="F85" s="172">
        <v>478097</v>
      </c>
      <c r="G85" s="173">
        <v>6274249262</v>
      </c>
      <c r="H85" s="172">
        <v>46460</v>
      </c>
      <c r="I85" s="174">
        <v>1925317076</v>
      </c>
      <c r="J85" s="172">
        <v>36884</v>
      </c>
      <c r="K85" s="174">
        <v>14319881</v>
      </c>
      <c r="L85" s="172">
        <v>533734</v>
      </c>
      <c r="M85" s="174">
        <v>4363252068</v>
      </c>
      <c r="N85" s="172">
        <v>529573</v>
      </c>
      <c r="O85" s="192">
        <v>30602</v>
      </c>
      <c r="P85" s="192">
        <v>5889</v>
      </c>
      <c r="Q85" s="193">
        <v>566064</v>
      </c>
      <c r="R85" s="175" t="s">
        <v>108</v>
      </c>
    </row>
    <row r="86" spans="1:18" ht="15.75" customHeight="1">
      <c r="A86" s="166"/>
      <c r="B86" s="167"/>
      <c r="C86" s="168"/>
      <c r="D86" s="167"/>
      <c r="E86" s="168"/>
      <c r="F86" s="169"/>
      <c r="G86" s="168"/>
      <c r="H86" s="169"/>
      <c r="I86" s="168"/>
      <c r="J86" s="169"/>
      <c r="K86" s="168"/>
      <c r="L86" s="169"/>
      <c r="M86" s="168"/>
      <c r="N86" s="186"/>
      <c r="O86" s="187"/>
      <c r="P86" s="187"/>
      <c r="Q86" s="188"/>
      <c r="R86" s="170" t="s">
        <v>38</v>
      </c>
    </row>
    <row r="87" spans="1:18" ht="15.75" customHeight="1">
      <c r="A87" s="76" t="s">
        <v>109</v>
      </c>
      <c r="B87" s="126">
        <f>_xlfn.COMPOUNDVALUE(921)</f>
        <v>3523</v>
      </c>
      <c r="C87" s="127">
        <v>28440816</v>
      </c>
      <c r="D87" s="126">
        <f>_xlfn.COMPOUNDVALUE(922)</f>
        <v>2388</v>
      </c>
      <c r="E87" s="127">
        <v>1292038</v>
      </c>
      <c r="F87" s="126">
        <f>_xlfn.COMPOUNDVALUE(923)</f>
        <v>5911</v>
      </c>
      <c r="G87" s="127">
        <v>29732854</v>
      </c>
      <c r="H87" s="126">
        <f>_xlfn.COMPOUNDVALUE(924)</f>
        <v>329</v>
      </c>
      <c r="I87" s="128">
        <v>2100663</v>
      </c>
      <c r="J87" s="126">
        <v>434</v>
      </c>
      <c r="K87" s="128">
        <v>96841</v>
      </c>
      <c r="L87" s="126">
        <v>6368</v>
      </c>
      <c r="M87" s="128">
        <v>27729032</v>
      </c>
      <c r="N87" s="126">
        <v>6317</v>
      </c>
      <c r="O87" s="129">
        <v>236</v>
      </c>
      <c r="P87" s="129">
        <v>21</v>
      </c>
      <c r="Q87" s="130">
        <v>6574</v>
      </c>
      <c r="R87" s="86" t="s">
        <v>109</v>
      </c>
    </row>
    <row r="88" spans="1:18" ht="15.75" customHeight="1">
      <c r="A88" s="76" t="s">
        <v>110</v>
      </c>
      <c r="B88" s="126">
        <f>_xlfn.COMPOUNDVALUE(925)</f>
        <v>7981</v>
      </c>
      <c r="C88" s="127">
        <v>202661522</v>
      </c>
      <c r="D88" s="126">
        <f>_xlfn.COMPOUNDVALUE(926)</f>
        <v>3859</v>
      </c>
      <c r="E88" s="127">
        <v>2453050</v>
      </c>
      <c r="F88" s="126">
        <f>_xlfn.COMPOUNDVALUE(927)</f>
        <v>11840</v>
      </c>
      <c r="G88" s="127">
        <v>205114572</v>
      </c>
      <c r="H88" s="126">
        <f>_xlfn.COMPOUNDVALUE(928)</f>
        <v>1688</v>
      </c>
      <c r="I88" s="128">
        <v>18267397</v>
      </c>
      <c r="J88" s="126">
        <v>890</v>
      </c>
      <c r="K88" s="128">
        <v>18046</v>
      </c>
      <c r="L88" s="126">
        <v>13725</v>
      </c>
      <c r="M88" s="128">
        <v>186865221</v>
      </c>
      <c r="N88" s="126">
        <v>13424</v>
      </c>
      <c r="O88" s="129">
        <v>840</v>
      </c>
      <c r="P88" s="129">
        <v>134</v>
      </c>
      <c r="Q88" s="130">
        <v>14398</v>
      </c>
      <c r="R88" s="77" t="s">
        <v>110</v>
      </c>
    </row>
    <row r="89" spans="1:18" ht="15.75" customHeight="1">
      <c r="A89" s="76" t="s">
        <v>111</v>
      </c>
      <c r="B89" s="126">
        <f>_xlfn.COMPOUNDVALUE(929)</f>
        <v>5042</v>
      </c>
      <c r="C89" s="127">
        <v>25490012</v>
      </c>
      <c r="D89" s="126">
        <f>_xlfn.COMPOUNDVALUE(930)</f>
        <v>3901</v>
      </c>
      <c r="E89" s="127">
        <v>2054167</v>
      </c>
      <c r="F89" s="126">
        <f>_xlfn.COMPOUNDVALUE(931)</f>
        <v>8943</v>
      </c>
      <c r="G89" s="127">
        <v>27544179</v>
      </c>
      <c r="H89" s="126">
        <f>_xlfn.COMPOUNDVALUE(932)</f>
        <v>379</v>
      </c>
      <c r="I89" s="128">
        <v>3810212</v>
      </c>
      <c r="J89" s="126">
        <v>755</v>
      </c>
      <c r="K89" s="128">
        <v>93052</v>
      </c>
      <c r="L89" s="126">
        <v>9591</v>
      </c>
      <c r="M89" s="128">
        <v>23827019</v>
      </c>
      <c r="N89" s="126">
        <v>9889</v>
      </c>
      <c r="O89" s="129">
        <v>257</v>
      </c>
      <c r="P89" s="129">
        <v>16</v>
      </c>
      <c r="Q89" s="130">
        <v>10162</v>
      </c>
      <c r="R89" s="77" t="s">
        <v>111</v>
      </c>
    </row>
    <row r="90" spans="1:18" ht="15.75" customHeight="1">
      <c r="A90" s="76" t="s">
        <v>112</v>
      </c>
      <c r="B90" s="126">
        <f>_xlfn.COMPOUNDVALUE(933)</f>
        <v>6974</v>
      </c>
      <c r="C90" s="127">
        <v>34253931</v>
      </c>
      <c r="D90" s="126">
        <f>_xlfn.COMPOUNDVALUE(934)</f>
        <v>5213</v>
      </c>
      <c r="E90" s="127">
        <v>2800906</v>
      </c>
      <c r="F90" s="126">
        <f>_xlfn.COMPOUNDVALUE(935)</f>
        <v>12187</v>
      </c>
      <c r="G90" s="127">
        <v>37054837</v>
      </c>
      <c r="H90" s="126">
        <f>_xlfn.COMPOUNDVALUE(936)</f>
        <v>744</v>
      </c>
      <c r="I90" s="128">
        <v>2783470</v>
      </c>
      <c r="J90" s="126">
        <v>929</v>
      </c>
      <c r="K90" s="128">
        <v>206917</v>
      </c>
      <c r="L90" s="126">
        <v>13258</v>
      </c>
      <c r="M90" s="128">
        <v>34478283</v>
      </c>
      <c r="N90" s="126">
        <v>13396</v>
      </c>
      <c r="O90" s="129">
        <v>435</v>
      </c>
      <c r="P90" s="129">
        <v>41</v>
      </c>
      <c r="Q90" s="130">
        <v>13872</v>
      </c>
      <c r="R90" s="77" t="s">
        <v>112</v>
      </c>
    </row>
    <row r="91" spans="1:18" ht="15.75" customHeight="1">
      <c r="A91" s="76" t="s">
        <v>113</v>
      </c>
      <c r="B91" s="126">
        <f>_xlfn.COMPOUNDVALUE(937)</f>
        <v>7518</v>
      </c>
      <c r="C91" s="127">
        <v>79194773</v>
      </c>
      <c r="D91" s="126">
        <f>_xlfn.COMPOUNDVALUE(938)</f>
        <v>5090</v>
      </c>
      <c r="E91" s="127">
        <v>2967668</v>
      </c>
      <c r="F91" s="126">
        <f>_xlfn.COMPOUNDVALUE(939)</f>
        <v>12608</v>
      </c>
      <c r="G91" s="127">
        <v>82162440</v>
      </c>
      <c r="H91" s="126">
        <f>_xlfn.COMPOUNDVALUE(940)</f>
        <v>1060</v>
      </c>
      <c r="I91" s="128">
        <v>151011628</v>
      </c>
      <c r="J91" s="126">
        <v>867</v>
      </c>
      <c r="K91" s="128">
        <v>339640</v>
      </c>
      <c r="L91" s="126">
        <v>13909</v>
      </c>
      <c r="M91" s="128">
        <v>-68509548</v>
      </c>
      <c r="N91" s="126">
        <v>13548</v>
      </c>
      <c r="O91" s="129">
        <v>604</v>
      </c>
      <c r="P91" s="129">
        <v>80</v>
      </c>
      <c r="Q91" s="130">
        <v>14232</v>
      </c>
      <c r="R91" s="77" t="s">
        <v>113</v>
      </c>
    </row>
    <row r="92" spans="1:18" ht="15.75" customHeight="1">
      <c r="A92" s="76"/>
      <c r="B92" s="126"/>
      <c r="C92" s="127"/>
      <c r="D92" s="126"/>
      <c r="E92" s="127"/>
      <c r="F92" s="126"/>
      <c r="G92" s="127"/>
      <c r="H92" s="126"/>
      <c r="I92" s="128"/>
      <c r="J92" s="126"/>
      <c r="K92" s="128"/>
      <c r="L92" s="126"/>
      <c r="M92" s="128"/>
      <c r="N92" s="126"/>
      <c r="O92" s="129"/>
      <c r="P92" s="129"/>
      <c r="Q92" s="130"/>
      <c r="R92" s="77" t="s">
        <v>38</v>
      </c>
    </row>
    <row r="93" spans="1:18" ht="15.75" customHeight="1">
      <c r="A93" s="76" t="s">
        <v>114</v>
      </c>
      <c r="B93" s="126">
        <f>_xlfn.COMPOUNDVALUE(941)</f>
        <v>4184</v>
      </c>
      <c r="C93" s="127">
        <v>20441592</v>
      </c>
      <c r="D93" s="126">
        <f>_xlfn.COMPOUNDVALUE(942)</f>
        <v>3509</v>
      </c>
      <c r="E93" s="127">
        <v>1880780</v>
      </c>
      <c r="F93" s="126">
        <f>_xlfn.COMPOUNDVALUE(943)</f>
        <v>7693</v>
      </c>
      <c r="G93" s="127">
        <v>22322372</v>
      </c>
      <c r="H93" s="126">
        <f>_xlfn.COMPOUNDVALUE(944)</f>
        <v>373</v>
      </c>
      <c r="I93" s="128">
        <v>5206545</v>
      </c>
      <c r="J93" s="126">
        <v>669</v>
      </c>
      <c r="K93" s="128">
        <v>117802</v>
      </c>
      <c r="L93" s="126">
        <v>8298</v>
      </c>
      <c r="M93" s="128">
        <v>17233629</v>
      </c>
      <c r="N93" s="126">
        <v>8302</v>
      </c>
      <c r="O93" s="129">
        <v>308</v>
      </c>
      <c r="P93" s="129">
        <v>14</v>
      </c>
      <c r="Q93" s="130">
        <v>8624</v>
      </c>
      <c r="R93" s="77" t="s">
        <v>114</v>
      </c>
    </row>
    <row r="94" spans="1:18" ht="15.75" customHeight="1">
      <c r="A94" s="76" t="s">
        <v>169</v>
      </c>
      <c r="B94" s="126">
        <f>_xlfn.COMPOUNDVALUE(945)</f>
        <v>7228</v>
      </c>
      <c r="C94" s="127">
        <v>32906293</v>
      </c>
      <c r="D94" s="126">
        <f>_xlfn.COMPOUNDVALUE(946)</f>
        <v>5884</v>
      </c>
      <c r="E94" s="127">
        <v>3457624</v>
      </c>
      <c r="F94" s="126">
        <f>_xlfn.COMPOUNDVALUE(947)</f>
        <v>13112</v>
      </c>
      <c r="G94" s="127">
        <v>36363917</v>
      </c>
      <c r="H94" s="126">
        <f>_xlfn.COMPOUNDVALUE(948)</f>
        <v>818</v>
      </c>
      <c r="I94" s="128">
        <v>3635655</v>
      </c>
      <c r="J94" s="126">
        <v>901</v>
      </c>
      <c r="K94" s="128">
        <v>93646</v>
      </c>
      <c r="L94" s="126">
        <v>14257</v>
      </c>
      <c r="M94" s="128">
        <v>32821908</v>
      </c>
      <c r="N94" s="126">
        <v>14360</v>
      </c>
      <c r="O94" s="129">
        <v>568</v>
      </c>
      <c r="P94" s="129">
        <v>39</v>
      </c>
      <c r="Q94" s="130">
        <v>14967</v>
      </c>
      <c r="R94" s="77" t="s">
        <v>115</v>
      </c>
    </row>
    <row r="95" spans="1:18" ht="15.75" customHeight="1">
      <c r="A95" s="76" t="s">
        <v>116</v>
      </c>
      <c r="B95" s="126">
        <f>_xlfn.COMPOUNDVALUE(949)</f>
        <v>5418</v>
      </c>
      <c r="C95" s="127">
        <v>93442563</v>
      </c>
      <c r="D95" s="126">
        <f>_xlfn.COMPOUNDVALUE(950)</f>
        <v>3351</v>
      </c>
      <c r="E95" s="127">
        <v>1888459</v>
      </c>
      <c r="F95" s="126">
        <f>_xlfn.COMPOUNDVALUE(951)</f>
        <v>8769</v>
      </c>
      <c r="G95" s="127">
        <v>95331022</v>
      </c>
      <c r="H95" s="126">
        <f>_xlfn.COMPOUNDVALUE(952)</f>
        <v>529</v>
      </c>
      <c r="I95" s="128">
        <v>30481481</v>
      </c>
      <c r="J95" s="126">
        <v>598</v>
      </c>
      <c r="K95" s="128">
        <v>112994</v>
      </c>
      <c r="L95" s="126">
        <v>9483</v>
      </c>
      <c r="M95" s="128">
        <v>64962535</v>
      </c>
      <c r="N95" s="126">
        <v>9843</v>
      </c>
      <c r="O95" s="129">
        <v>273</v>
      </c>
      <c r="P95" s="129">
        <v>40</v>
      </c>
      <c r="Q95" s="130">
        <v>10156</v>
      </c>
      <c r="R95" s="77" t="s">
        <v>116</v>
      </c>
    </row>
    <row r="96" spans="1:18" ht="15.75" customHeight="1">
      <c r="A96" s="76" t="s">
        <v>117</v>
      </c>
      <c r="B96" s="126">
        <f>_xlfn.COMPOUNDVALUE(953)</f>
        <v>6644</v>
      </c>
      <c r="C96" s="127">
        <v>72617199</v>
      </c>
      <c r="D96" s="126">
        <f>_xlfn.COMPOUNDVALUE(954)</f>
        <v>5408</v>
      </c>
      <c r="E96" s="127">
        <v>3043058</v>
      </c>
      <c r="F96" s="126">
        <f>_xlfn.COMPOUNDVALUE(955)</f>
        <v>12052</v>
      </c>
      <c r="G96" s="127">
        <v>75660257</v>
      </c>
      <c r="H96" s="126">
        <f>_xlfn.COMPOUNDVALUE(956)</f>
        <v>574</v>
      </c>
      <c r="I96" s="128">
        <v>6053270</v>
      </c>
      <c r="J96" s="126">
        <v>803</v>
      </c>
      <c r="K96" s="128">
        <v>356913</v>
      </c>
      <c r="L96" s="126">
        <v>12865</v>
      </c>
      <c r="M96" s="128">
        <v>69963900</v>
      </c>
      <c r="N96" s="126">
        <v>13267</v>
      </c>
      <c r="O96" s="129">
        <v>480</v>
      </c>
      <c r="P96" s="129">
        <v>40</v>
      </c>
      <c r="Q96" s="130">
        <v>13787</v>
      </c>
      <c r="R96" s="77" t="s">
        <v>117</v>
      </c>
    </row>
    <row r="97" spans="1:18" ht="15.75" customHeight="1">
      <c r="A97" s="76" t="s">
        <v>118</v>
      </c>
      <c r="B97" s="126">
        <f>_xlfn.COMPOUNDVALUE(957)</f>
        <v>3084</v>
      </c>
      <c r="C97" s="127">
        <v>8662068</v>
      </c>
      <c r="D97" s="126">
        <f>_xlfn.COMPOUNDVALUE(958)</f>
        <v>2686</v>
      </c>
      <c r="E97" s="127">
        <v>1435307</v>
      </c>
      <c r="F97" s="126">
        <f>_xlfn.COMPOUNDVALUE(959)</f>
        <v>5770</v>
      </c>
      <c r="G97" s="127">
        <v>10097375</v>
      </c>
      <c r="H97" s="126">
        <f>_xlfn.COMPOUNDVALUE(960)</f>
        <v>329</v>
      </c>
      <c r="I97" s="128">
        <v>1745325</v>
      </c>
      <c r="J97" s="126">
        <v>413</v>
      </c>
      <c r="K97" s="128">
        <v>117156</v>
      </c>
      <c r="L97" s="126">
        <v>6245</v>
      </c>
      <c r="M97" s="128">
        <v>8469206</v>
      </c>
      <c r="N97" s="126">
        <v>6389</v>
      </c>
      <c r="O97" s="129">
        <v>246</v>
      </c>
      <c r="P97" s="129">
        <v>18</v>
      </c>
      <c r="Q97" s="130">
        <v>6653</v>
      </c>
      <c r="R97" s="77" t="s">
        <v>118</v>
      </c>
    </row>
    <row r="98" spans="1:18" ht="15.75" customHeight="1">
      <c r="A98" s="76"/>
      <c r="B98" s="126"/>
      <c r="C98" s="127"/>
      <c r="D98" s="126"/>
      <c r="E98" s="127"/>
      <c r="F98" s="126"/>
      <c r="G98" s="127"/>
      <c r="H98" s="126"/>
      <c r="I98" s="128"/>
      <c r="J98" s="126"/>
      <c r="K98" s="128"/>
      <c r="L98" s="126"/>
      <c r="M98" s="128"/>
      <c r="N98" s="126"/>
      <c r="O98" s="129"/>
      <c r="P98" s="129"/>
      <c r="Q98" s="130"/>
      <c r="R98" s="77" t="s">
        <v>38</v>
      </c>
    </row>
    <row r="99" spans="1:18" ht="15.75" customHeight="1">
      <c r="A99" s="76" t="s">
        <v>119</v>
      </c>
      <c r="B99" s="126">
        <f>_xlfn.COMPOUNDVALUE(961)</f>
        <v>4114</v>
      </c>
      <c r="C99" s="127">
        <v>16690608</v>
      </c>
      <c r="D99" s="126">
        <f>_xlfn.COMPOUNDVALUE(962)</f>
        <v>4054</v>
      </c>
      <c r="E99" s="127">
        <v>1978155</v>
      </c>
      <c r="F99" s="126">
        <f>_xlfn.COMPOUNDVALUE(963)</f>
        <v>8168</v>
      </c>
      <c r="G99" s="127">
        <v>18668763</v>
      </c>
      <c r="H99" s="126">
        <f>_xlfn.COMPOUNDVALUE(964)</f>
        <v>265</v>
      </c>
      <c r="I99" s="128">
        <v>763322</v>
      </c>
      <c r="J99" s="126">
        <v>550</v>
      </c>
      <c r="K99" s="128">
        <v>82579</v>
      </c>
      <c r="L99" s="126">
        <v>8629</v>
      </c>
      <c r="M99" s="128">
        <v>17988020</v>
      </c>
      <c r="N99" s="126">
        <v>8889</v>
      </c>
      <c r="O99" s="129">
        <v>181</v>
      </c>
      <c r="P99" s="129">
        <v>17</v>
      </c>
      <c r="Q99" s="130">
        <v>9087</v>
      </c>
      <c r="R99" s="77" t="s">
        <v>119</v>
      </c>
    </row>
    <row r="100" spans="1:18" ht="15.75" customHeight="1">
      <c r="A100" s="76" t="s">
        <v>120</v>
      </c>
      <c r="B100" s="126">
        <f>_xlfn.COMPOUNDVALUE(965)</f>
        <v>5352</v>
      </c>
      <c r="C100" s="127">
        <v>33201106</v>
      </c>
      <c r="D100" s="126">
        <f>_xlfn.COMPOUNDVALUE(966)</f>
        <v>4609</v>
      </c>
      <c r="E100" s="127">
        <v>2300231</v>
      </c>
      <c r="F100" s="126">
        <f>_xlfn.COMPOUNDVALUE(967)</f>
        <v>9961</v>
      </c>
      <c r="G100" s="127">
        <v>35501337</v>
      </c>
      <c r="H100" s="126">
        <f>_xlfn.COMPOUNDVALUE(968)</f>
        <v>378</v>
      </c>
      <c r="I100" s="128">
        <v>2808903</v>
      </c>
      <c r="J100" s="126">
        <v>745</v>
      </c>
      <c r="K100" s="128">
        <v>105340</v>
      </c>
      <c r="L100" s="126">
        <v>10549</v>
      </c>
      <c r="M100" s="128">
        <v>32797773</v>
      </c>
      <c r="N100" s="126">
        <v>10589</v>
      </c>
      <c r="O100" s="129">
        <v>275</v>
      </c>
      <c r="P100" s="129">
        <v>19</v>
      </c>
      <c r="Q100" s="130">
        <v>10883</v>
      </c>
      <c r="R100" s="77" t="s">
        <v>120</v>
      </c>
    </row>
    <row r="101" spans="1:18" ht="15.75" customHeight="1">
      <c r="A101" s="78" t="s">
        <v>121</v>
      </c>
      <c r="B101" s="131">
        <f>_xlfn.COMPOUNDVALUE(969)</f>
        <v>2833</v>
      </c>
      <c r="C101" s="132">
        <v>9948058</v>
      </c>
      <c r="D101" s="131">
        <f>_xlfn.COMPOUNDVALUE(970)</f>
        <v>2832</v>
      </c>
      <c r="E101" s="132">
        <v>1513195</v>
      </c>
      <c r="F101" s="131">
        <f>_xlfn.COMPOUNDVALUE(971)</f>
        <v>5665</v>
      </c>
      <c r="G101" s="132">
        <v>11461253</v>
      </c>
      <c r="H101" s="131">
        <f>_xlfn.COMPOUNDVALUE(972)</f>
        <v>293</v>
      </c>
      <c r="I101" s="133">
        <v>419333</v>
      </c>
      <c r="J101" s="131">
        <v>439</v>
      </c>
      <c r="K101" s="133">
        <v>35336</v>
      </c>
      <c r="L101" s="131">
        <v>6107</v>
      </c>
      <c r="M101" s="133">
        <v>11077257</v>
      </c>
      <c r="N101" s="126">
        <v>6178</v>
      </c>
      <c r="O101" s="129">
        <v>240</v>
      </c>
      <c r="P101" s="129">
        <v>19</v>
      </c>
      <c r="Q101" s="130">
        <v>6437</v>
      </c>
      <c r="R101" s="77" t="s">
        <v>121</v>
      </c>
    </row>
    <row r="102" spans="1:18" ht="15.75" customHeight="1">
      <c r="A102" s="78" t="s">
        <v>122</v>
      </c>
      <c r="B102" s="131">
        <f>_xlfn.COMPOUNDVALUE(973)</f>
        <v>6735</v>
      </c>
      <c r="C102" s="132">
        <v>30443367</v>
      </c>
      <c r="D102" s="131">
        <f>_xlfn.COMPOUNDVALUE(974)</f>
        <v>5790</v>
      </c>
      <c r="E102" s="132">
        <v>3025757</v>
      </c>
      <c r="F102" s="131">
        <f>_xlfn.COMPOUNDVALUE(975)</f>
        <v>12525</v>
      </c>
      <c r="G102" s="132">
        <v>33469123</v>
      </c>
      <c r="H102" s="131">
        <f>_xlfn.COMPOUNDVALUE(976)</f>
        <v>621</v>
      </c>
      <c r="I102" s="133">
        <v>5130359</v>
      </c>
      <c r="J102" s="131">
        <v>928</v>
      </c>
      <c r="K102" s="133">
        <v>233195</v>
      </c>
      <c r="L102" s="131">
        <v>13385</v>
      </c>
      <c r="M102" s="133">
        <v>28571960</v>
      </c>
      <c r="N102" s="126">
        <v>13601</v>
      </c>
      <c r="O102" s="129">
        <v>436</v>
      </c>
      <c r="P102" s="129">
        <v>24</v>
      </c>
      <c r="Q102" s="130">
        <v>14061</v>
      </c>
      <c r="R102" s="77" t="s">
        <v>122</v>
      </c>
    </row>
    <row r="103" spans="1:18" ht="15.75" customHeight="1">
      <c r="A103" s="78" t="s">
        <v>123</v>
      </c>
      <c r="B103" s="131">
        <f>_xlfn.COMPOUNDVALUE(977)</f>
        <v>4353</v>
      </c>
      <c r="C103" s="132">
        <v>20246749</v>
      </c>
      <c r="D103" s="131">
        <f>_xlfn.COMPOUNDVALUE(978)</f>
        <v>3321</v>
      </c>
      <c r="E103" s="132">
        <v>1624579</v>
      </c>
      <c r="F103" s="131">
        <f>_xlfn.COMPOUNDVALUE(979)</f>
        <v>7674</v>
      </c>
      <c r="G103" s="132">
        <v>21871328</v>
      </c>
      <c r="H103" s="131">
        <f>_xlfn.COMPOUNDVALUE(980)</f>
        <v>235</v>
      </c>
      <c r="I103" s="133">
        <v>690436</v>
      </c>
      <c r="J103" s="131">
        <v>504</v>
      </c>
      <c r="K103" s="133">
        <v>63574</v>
      </c>
      <c r="L103" s="131">
        <v>8013</v>
      </c>
      <c r="M103" s="133">
        <v>21244467</v>
      </c>
      <c r="N103" s="126">
        <v>8013</v>
      </c>
      <c r="O103" s="129">
        <v>182</v>
      </c>
      <c r="P103" s="129">
        <v>30</v>
      </c>
      <c r="Q103" s="130">
        <v>8225</v>
      </c>
      <c r="R103" s="77" t="s">
        <v>123</v>
      </c>
    </row>
    <row r="104" spans="1:18" ht="15.75" customHeight="1">
      <c r="A104" s="78"/>
      <c r="B104" s="131"/>
      <c r="C104" s="132"/>
      <c r="D104" s="131"/>
      <c r="E104" s="132"/>
      <c r="F104" s="131"/>
      <c r="G104" s="132"/>
      <c r="H104" s="131"/>
      <c r="I104" s="133"/>
      <c r="J104" s="131"/>
      <c r="K104" s="133"/>
      <c r="L104" s="131"/>
      <c r="M104" s="133"/>
      <c r="N104" s="126"/>
      <c r="O104" s="129"/>
      <c r="P104" s="129"/>
      <c r="Q104" s="130"/>
      <c r="R104" s="77" t="s">
        <v>38</v>
      </c>
    </row>
    <row r="105" spans="1:18" ht="15.75" customHeight="1">
      <c r="A105" s="78" t="s">
        <v>124</v>
      </c>
      <c r="B105" s="131">
        <f>_xlfn.COMPOUNDVALUE(981)</f>
        <v>7111</v>
      </c>
      <c r="C105" s="132">
        <v>32739973</v>
      </c>
      <c r="D105" s="131">
        <f>_xlfn.COMPOUNDVALUE(982)</f>
        <v>5580</v>
      </c>
      <c r="E105" s="132">
        <v>2966857</v>
      </c>
      <c r="F105" s="131">
        <f>_xlfn.COMPOUNDVALUE(983)</f>
        <v>12691</v>
      </c>
      <c r="G105" s="132">
        <v>35706831</v>
      </c>
      <c r="H105" s="131">
        <f>_xlfn.COMPOUNDVALUE(984)</f>
        <v>597</v>
      </c>
      <c r="I105" s="133">
        <v>11033748</v>
      </c>
      <c r="J105" s="131">
        <v>926</v>
      </c>
      <c r="K105" s="133">
        <v>125831</v>
      </c>
      <c r="L105" s="131">
        <v>13560</v>
      </c>
      <c r="M105" s="133">
        <v>24798913</v>
      </c>
      <c r="N105" s="126">
        <v>14004</v>
      </c>
      <c r="O105" s="129">
        <v>436</v>
      </c>
      <c r="P105" s="129">
        <v>34</v>
      </c>
      <c r="Q105" s="130">
        <v>14474</v>
      </c>
      <c r="R105" s="77" t="s">
        <v>124</v>
      </c>
    </row>
    <row r="106" spans="1:18" ht="15.75" customHeight="1">
      <c r="A106" s="78" t="s">
        <v>125</v>
      </c>
      <c r="B106" s="131">
        <f>_xlfn.COMPOUNDVALUE(985)</f>
        <v>3383</v>
      </c>
      <c r="C106" s="132">
        <v>23374014</v>
      </c>
      <c r="D106" s="131">
        <f>_xlfn.COMPOUNDVALUE(986)</f>
        <v>2519</v>
      </c>
      <c r="E106" s="132">
        <v>1378580</v>
      </c>
      <c r="F106" s="131">
        <f>_xlfn.COMPOUNDVALUE(987)</f>
        <v>5902</v>
      </c>
      <c r="G106" s="132">
        <v>24752594</v>
      </c>
      <c r="H106" s="131">
        <f>_xlfn.COMPOUNDVALUE(988)</f>
        <v>259</v>
      </c>
      <c r="I106" s="133">
        <v>17921250</v>
      </c>
      <c r="J106" s="131">
        <v>490</v>
      </c>
      <c r="K106" s="133">
        <v>219542</v>
      </c>
      <c r="L106" s="131">
        <v>6288</v>
      </c>
      <c r="M106" s="133">
        <v>7050886</v>
      </c>
      <c r="N106" s="126">
        <v>6080</v>
      </c>
      <c r="O106" s="129">
        <v>217</v>
      </c>
      <c r="P106" s="129">
        <v>22</v>
      </c>
      <c r="Q106" s="130">
        <v>6319</v>
      </c>
      <c r="R106" s="77" t="s">
        <v>125</v>
      </c>
    </row>
    <row r="107" spans="1:18" ht="15.75" customHeight="1">
      <c r="A107" s="78" t="s">
        <v>126</v>
      </c>
      <c r="B107" s="131">
        <f>_xlfn.COMPOUNDVALUE(989)</f>
        <v>5468</v>
      </c>
      <c r="C107" s="132">
        <v>25821458</v>
      </c>
      <c r="D107" s="131">
        <f>_xlfn.COMPOUNDVALUE(990)</f>
        <v>4322</v>
      </c>
      <c r="E107" s="132">
        <v>2381624</v>
      </c>
      <c r="F107" s="131">
        <f>_xlfn.COMPOUNDVALUE(991)</f>
        <v>9790</v>
      </c>
      <c r="G107" s="132">
        <v>28203082</v>
      </c>
      <c r="H107" s="131">
        <f>_xlfn.COMPOUNDVALUE(992)</f>
        <v>472</v>
      </c>
      <c r="I107" s="133">
        <v>4721140</v>
      </c>
      <c r="J107" s="131">
        <v>688</v>
      </c>
      <c r="K107" s="133">
        <v>104128</v>
      </c>
      <c r="L107" s="131">
        <v>10503</v>
      </c>
      <c r="M107" s="133">
        <v>23586070</v>
      </c>
      <c r="N107" s="126">
        <v>10866</v>
      </c>
      <c r="O107" s="129">
        <v>358</v>
      </c>
      <c r="P107" s="129">
        <v>24</v>
      </c>
      <c r="Q107" s="130">
        <v>11248</v>
      </c>
      <c r="R107" s="77" t="s">
        <v>126</v>
      </c>
    </row>
    <row r="108" spans="1:18" ht="15.75" customHeight="1">
      <c r="A108" s="161" t="s">
        <v>127</v>
      </c>
      <c r="B108" s="162">
        <v>96945</v>
      </c>
      <c r="C108" s="163">
        <v>790576101</v>
      </c>
      <c r="D108" s="162">
        <v>74316</v>
      </c>
      <c r="E108" s="163">
        <v>40442034</v>
      </c>
      <c r="F108" s="162">
        <v>171261</v>
      </c>
      <c r="G108" s="163">
        <v>831018135</v>
      </c>
      <c r="H108" s="162">
        <v>9943</v>
      </c>
      <c r="I108" s="164">
        <v>268584136</v>
      </c>
      <c r="J108" s="162">
        <v>12529</v>
      </c>
      <c r="K108" s="164">
        <v>2522531</v>
      </c>
      <c r="L108" s="162">
        <v>185033</v>
      </c>
      <c r="M108" s="164">
        <v>564956530</v>
      </c>
      <c r="N108" s="162">
        <v>186955</v>
      </c>
      <c r="O108" s="184">
        <v>6572</v>
      </c>
      <c r="P108" s="184">
        <v>632</v>
      </c>
      <c r="Q108" s="185">
        <v>194159</v>
      </c>
      <c r="R108" s="165" t="s">
        <v>128</v>
      </c>
    </row>
    <row r="109" spans="1:18" ht="15.75" customHeight="1">
      <c r="A109" s="166"/>
      <c r="B109" s="167"/>
      <c r="C109" s="168"/>
      <c r="D109" s="167"/>
      <c r="E109" s="168"/>
      <c r="F109" s="169"/>
      <c r="G109" s="168"/>
      <c r="H109" s="169"/>
      <c r="I109" s="168"/>
      <c r="J109" s="169"/>
      <c r="K109" s="168"/>
      <c r="L109" s="169"/>
      <c r="M109" s="168"/>
      <c r="N109" s="186"/>
      <c r="O109" s="187"/>
      <c r="P109" s="187"/>
      <c r="Q109" s="188"/>
      <c r="R109" s="170" t="s">
        <v>38</v>
      </c>
    </row>
    <row r="110" spans="1:18" ht="15.75" customHeight="1">
      <c r="A110" s="76" t="s">
        <v>129</v>
      </c>
      <c r="B110" s="126">
        <f>_xlfn.COMPOUNDVALUE(993)</f>
        <v>6677</v>
      </c>
      <c r="C110" s="127">
        <v>31967503</v>
      </c>
      <c r="D110" s="126">
        <f>_xlfn.COMPOUNDVALUE(994)</f>
        <v>4790</v>
      </c>
      <c r="E110" s="127">
        <v>2299563</v>
      </c>
      <c r="F110" s="126">
        <f>_xlfn.COMPOUNDVALUE(995)</f>
        <v>11467</v>
      </c>
      <c r="G110" s="127">
        <v>34267066</v>
      </c>
      <c r="H110" s="126">
        <f>_xlfn.COMPOUNDVALUE(996)</f>
        <v>419</v>
      </c>
      <c r="I110" s="128">
        <v>2821023</v>
      </c>
      <c r="J110" s="126">
        <v>787</v>
      </c>
      <c r="K110" s="128">
        <v>176720</v>
      </c>
      <c r="L110" s="126">
        <v>12119</v>
      </c>
      <c r="M110" s="128">
        <v>31622763</v>
      </c>
      <c r="N110" s="126">
        <v>12056</v>
      </c>
      <c r="O110" s="129">
        <v>344</v>
      </c>
      <c r="P110" s="129">
        <v>28</v>
      </c>
      <c r="Q110" s="130">
        <v>12428</v>
      </c>
      <c r="R110" s="86" t="s">
        <v>129</v>
      </c>
    </row>
    <row r="111" spans="1:18" ht="15.75" customHeight="1">
      <c r="A111" s="78" t="s">
        <v>130</v>
      </c>
      <c r="B111" s="131">
        <f>_xlfn.COMPOUNDVALUE(997)</f>
        <v>1771</v>
      </c>
      <c r="C111" s="132">
        <v>5974046</v>
      </c>
      <c r="D111" s="131">
        <f>_xlfn.COMPOUNDVALUE(998)</f>
        <v>1715</v>
      </c>
      <c r="E111" s="132">
        <v>662608</v>
      </c>
      <c r="F111" s="131">
        <f>_xlfn.COMPOUNDVALUE(999)</f>
        <v>3486</v>
      </c>
      <c r="G111" s="132">
        <v>6636654</v>
      </c>
      <c r="H111" s="131">
        <f>_xlfn.COMPOUNDVALUE(1000)</f>
        <v>94</v>
      </c>
      <c r="I111" s="133">
        <v>221444</v>
      </c>
      <c r="J111" s="131">
        <v>166</v>
      </c>
      <c r="K111" s="133">
        <v>42972</v>
      </c>
      <c r="L111" s="131">
        <v>3633</v>
      </c>
      <c r="M111" s="133">
        <v>6458183</v>
      </c>
      <c r="N111" s="126">
        <v>3822</v>
      </c>
      <c r="O111" s="129">
        <v>97</v>
      </c>
      <c r="P111" s="129">
        <v>3</v>
      </c>
      <c r="Q111" s="130">
        <v>3922</v>
      </c>
      <c r="R111" s="77" t="s">
        <v>130</v>
      </c>
    </row>
    <row r="112" spans="1:18" ht="15.75" customHeight="1">
      <c r="A112" s="78" t="s">
        <v>131</v>
      </c>
      <c r="B112" s="131">
        <f>_xlfn.COMPOUNDVALUE(1001)</f>
        <v>3006</v>
      </c>
      <c r="C112" s="132">
        <v>11262824</v>
      </c>
      <c r="D112" s="131">
        <f>_xlfn.COMPOUNDVALUE(1002)</f>
        <v>2312</v>
      </c>
      <c r="E112" s="132">
        <v>1108328</v>
      </c>
      <c r="F112" s="131">
        <f>_xlfn.COMPOUNDVALUE(1003)</f>
        <v>5318</v>
      </c>
      <c r="G112" s="132">
        <v>12371152</v>
      </c>
      <c r="H112" s="131">
        <f>_xlfn.COMPOUNDVALUE(1004)</f>
        <v>181</v>
      </c>
      <c r="I112" s="133">
        <v>14103108</v>
      </c>
      <c r="J112" s="131">
        <v>420</v>
      </c>
      <c r="K112" s="133">
        <v>70925</v>
      </c>
      <c r="L112" s="131">
        <v>5600</v>
      </c>
      <c r="M112" s="133">
        <v>-1661032</v>
      </c>
      <c r="N112" s="126">
        <v>5391</v>
      </c>
      <c r="O112" s="129">
        <v>146</v>
      </c>
      <c r="P112" s="129">
        <v>13</v>
      </c>
      <c r="Q112" s="130">
        <v>5550</v>
      </c>
      <c r="R112" s="77" t="s">
        <v>131</v>
      </c>
    </row>
    <row r="113" spans="1:18" ht="15.75" customHeight="1">
      <c r="A113" s="78" t="s">
        <v>132</v>
      </c>
      <c r="B113" s="131">
        <f>_xlfn.COMPOUNDVALUE(1005)</f>
        <v>668</v>
      </c>
      <c r="C113" s="132">
        <v>2571414</v>
      </c>
      <c r="D113" s="131">
        <f>_xlfn.COMPOUNDVALUE(1006)</f>
        <v>658</v>
      </c>
      <c r="E113" s="132">
        <v>263193</v>
      </c>
      <c r="F113" s="131">
        <f>_xlfn.COMPOUNDVALUE(1007)</f>
        <v>1326</v>
      </c>
      <c r="G113" s="132">
        <v>2834607</v>
      </c>
      <c r="H113" s="131">
        <f>_xlfn.COMPOUNDVALUE(1008)</f>
        <v>30</v>
      </c>
      <c r="I113" s="133">
        <v>50617</v>
      </c>
      <c r="J113" s="131">
        <v>118</v>
      </c>
      <c r="K113" s="133">
        <v>14135</v>
      </c>
      <c r="L113" s="131">
        <v>1372</v>
      </c>
      <c r="M113" s="133">
        <v>2798124</v>
      </c>
      <c r="N113" s="126">
        <v>1377</v>
      </c>
      <c r="O113" s="129">
        <v>24</v>
      </c>
      <c r="P113" s="129">
        <v>1</v>
      </c>
      <c r="Q113" s="130">
        <v>1402</v>
      </c>
      <c r="R113" s="77" t="s">
        <v>132</v>
      </c>
    </row>
    <row r="114" spans="1:18" ht="15.75" customHeight="1">
      <c r="A114" s="79" t="s">
        <v>133</v>
      </c>
      <c r="B114" s="134">
        <v>12122</v>
      </c>
      <c r="C114" s="135">
        <v>51775787</v>
      </c>
      <c r="D114" s="134">
        <v>9475</v>
      </c>
      <c r="E114" s="135">
        <v>4333692</v>
      </c>
      <c r="F114" s="134">
        <v>21597</v>
      </c>
      <c r="G114" s="135">
        <v>56109479</v>
      </c>
      <c r="H114" s="134">
        <v>724</v>
      </c>
      <c r="I114" s="136">
        <v>17196193</v>
      </c>
      <c r="J114" s="134">
        <v>1491</v>
      </c>
      <c r="K114" s="136">
        <v>304753</v>
      </c>
      <c r="L114" s="134">
        <v>22724</v>
      </c>
      <c r="M114" s="136">
        <v>39218039</v>
      </c>
      <c r="N114" s="134">
        <v>22646</v>
      </c>
      <c r="O114" s="137">
        <v>611</v>
      </c>
      <c r="P114" s="137">
        <v>45</v>
      </c>
      <c r="Q114" s="138">
        <v>23302</v>
      </c>
      <c r="R114" s="84" t="s">
        <v>134</v>
      </c>
    </row>
    <row r="115" spans="1:18" ht="15.75" customHeight="1" thickBot="1">
      <c r="A115" s="80"/>
      <c r="B115" s="142"/>
      <c r="C115" s="143"/>
      <c r="D115" s="142"/>
      <c r="E115" s="143"/>
      <c r="F115" s="144"/>
      <c r="G115" s="143"/>
      <c r="H115" s="144"/>
      <c r="I115" s="143"/>
      <c r="J115" s="144"/>
      <c r="K115" s="143"/>
      <c r="L115" s="144"/>
      <c r="M115" s="143"/>
      <c r="N115" s="145"/>
      <c r="O115" s="146"/>
      <c r="P115" s="146"/>
      <c r="Q115" s="147"/>
      <c r="R115" s="81" t="s">
        <v>38</v>
      </c>
    </row>
    <row r="116" spans="1:18" ht="15.75" customHeight="1" thickBot="1" thickTop="1">
      <c r="A116" s="82" t="s">
        <v>37</v>
      </c>
      <c r="B116" s="148">
        <v>481717</v>
      </c>
      <c r="C116" s="149">
        <v>7357160028</v>
      </c>
      <c r="D116" s="148">
        <v>299776</v>
      </c>
      <c r="E116" s="149">
        <v>170448797</v>
      </c>
      <c r="F116" s="148">
        <v>781493</v>
      </c>
      <c r="G116" s="149">
        <v>7527608825</v>
      </c>
      <c r="H116" s="148">
        <v>63751</v>
      </c>
      <c r="I116" s="150">
        <v>2245876344</v>
      </c>
      <c r="J116" s="148">
        <v>59398</v>
      </c>
      <c r="K116" s="150">
        <v>18307298</v>
      </c>
      <c r="L116" s="148">
        <v>861148</v>
      </c>
      <c r="M116" s="150">
        <v>5300039779</v>
      </c>
      <c r="N116" s="151">
        <v>860016</v>
      </c>
      <c r="O116" s="152">
        <v>42231</v>
      </c>
      <c r="P116" s="152">
        <v>6929</v>
      </c>
      <c r="Q116" s="153">
        <v>909176</v>
      </c>
      <c r="R116" s="83" t="s">
        <v>37</v>
      </c>
    </row>
    <row r="117" spans="1:10" ht="13.5">
      <c r="A117" s="247" t="s">
        <v>180</v>
      </c>
      <c r="B117" s="247"/>
      <c r="C117" s="247"/>
      <c r="D117" s="247"/>
      <c r="E117" s="247"/>
      <c r="F117" s="247"/>
      <c r="G117" s="247"/>
      <c r="H117" s="247"/>
      <c r="I117" s="247"/>
      <c r="J117" s="247"/>
    </row>
  </sheetData>
  <sheetProtection/>
  <mergeCells count="16">
    <mergeCell ref="L3:M4"/>
    <mergeCell ref="N3:Q3"/>
    <mergeCell ref="R3:R5"/>
    <mergeCell ref="B4:C4"/>
    <mergeCell ref="D4:E4"/>
    <mergeCell ref="F4:G4"/>
    <mergeCell ref="N4:N5"/>
    <mergeCell ref="O4:O5"/>
    <mergeCell ref="P4:P5"/>
    <mergeCell ref="Q4:Q5"/>
    <mergeCell ref="A117:J117"/>
    <mergeCell ref="A2:I2"/>
    <mergeCell ref="A3:A5"/>
    <mergeCell ref="B3:G3"/>
    <mergeCell ref="H3:I4"/>
    <mergeCell ref="J3:K4"/>
  </mergeCells>
  <printOptions horizontalCentered="1"/>
  <pageMargins left="0.7874015748031497" right="0.7874015748031497" top="0.7874015748031497" bottom="0.7874015748031497" header="0.5118110236220472" footer="0.35433070866141736"/>
  <pageSetup fitToHeight="0" fitToWidth="1" horizontalDpi="600" verticalDpi="600" orientation="landscape" paperSize="9" scale="64" r:id="rId1"/>
  <headerFooter alignWithMargins="0">
    <oddFooter>&amp;R東京国税局
消費税
(H28)</oddFooter>
  </headerFooter>
  <rowBreaks count="2" manualBreakCount="2">
    <brk id="42" max="17" man="1"/>
    <brk id="79"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国税庁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dc:creator>
  <cp:keywords/>
  <dc:description/>
  <cp:lastModifiedBy>朝永</cp:lastModifiedBy>
  <cp:lastPrinted>2018-02-20T08:00:31Z</cp:lastPrinted>
  <dcterms:created xsi:type="dcterms:W3CDTF">2003-07-09T01:05:10Z</dcterms:created>
  <dcterms:modified xsi:type="dcterms:W3CDTF">2018-02-20T08:03:31Z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