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<sst xmlns="http://schemas.openxmlformats.org/spreadsheetml/2006/main" count="793" uniqueCount="190">
  <si>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</si>
  <si>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</si>
  <si>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</si>
  <si>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</si>
  <si>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</si>
  <si>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</si>
  <si>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</si>
  <si>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</si>
  <si>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</si>
  <si>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</si>
  <si>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</si>
  <si>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</si>
  <si>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</si>
  <si>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</si>
  <si>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</si>
  <si>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</si>
  <si>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</si>
  <si>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合　　　　　　　　　計</t>
  </si>
  <si>
    <t>法　　　　　　　人</t>
  </si>
  <si>
    <t>合　　　　　　　計</t>
  </si>
  <si>
    <t>件　　数</t>
  </si>
  <si>
    <t>税　　額</t>
  </si>
  <si>
    <t>(3)　課税事業者等届出件数</t>
  </si>
  <si>
    <t>千円</t>
  </si>
  <si>
    <t>件</t>
  </si>
  <si>
    <t>(2)　課税状況の累年比較</t>
  </si>
  <si>
    <t>平成23年度</t>
  </si>
  <si>
    <t>　ハ　個人事業者と法人の合計</t>
  </si>
  <si>
    <t>税務署名</t>
  </si>
  <si>
    <t>納　　　税　　　申　　　告　　　及　　　び　　　処　　　理</t>
  </si>
  <si>
    <t>既往年分の
申告及び処理</t>
  </si>
  <si>
    <t>合　　　　　　計</t>
  </si>
  <si>
    <t>税務署名</t>
  </si>
  <si>
    <t>簡易申告及び処理</t>
  </si>
  <si>
    <t>小　　　　　　計</t>
  </si>
  <si>
    <t>課税事業者
届出</t>
  </si>
  <si>
    <t>合　　　計</t>
  </si>
  <si>
    <t>件数</t>
  </si>
  <si>
    <t>総　計</t>
  </si>
  <si>
    <t/>
  </si>
  <si>
    <t>千葉東</t>
  </si>
  <si>
    <t>千葉南</t>
  </si>
  <si>
    <t>千葉西</t>
  </si>
  <si>
    <t>銚子</t>
  </si>
  <si>
    <t>市川</t>
  </si>
  <si>
    <t>船橋</t>
  </si>
  <si>
    <t>館山</t>
  </si>
  <si>
    <t>木更津</t>
  </si>
  <si>
    <t>松戸</t>
  </si>
  <si>
    <t>佐原</t>
  </si>
  <si>
    <t>茂原</t>
  </si>
  <si>
    <t>成田</t>
  </si>
  <si>
    <t>東金</t>
  </si>
  <si>
    <t>柏</t>
  </si>
  <si>
    <t>千葉県計</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</si>
  <si>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</si>
  <si>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</si>
  <si>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</si>
  <si>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</si>
  <si>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</si>
  <si>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</si>
  <si>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</si>
  <si>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</si>
  <si>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</si>
  <si>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</si>
  <si>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</si>
  <si>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</si>
  <si>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</si>
  <si>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</si>
  <si>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</si>
  <si>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</si>
  <si>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</si>
  <si>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</si>
  <si>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</si>
  <si>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</si>
  <si>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</si>
  <si>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</si>
  <si>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</si>
  <si>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</si>
  <si>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</si>
  <si>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</si>
  <si>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</si>
  <si>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</si>
  <si>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</si>
  <si>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</si>
  <si>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</si>
  <si>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</si>
  <si>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</si>
  <si>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</si>
  <si>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</si>
  <si>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</si>
  <si>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</si>
  <si>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</si>
  <si>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</si>
  <si>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</si>
  <si>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</si>
  <si>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</si>
  <si>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都区内計</t>
  </si>
  <si>
    <t>八王子</t>
  </si>
  <si>
    <t>立川</t>
  </si>
  <si>
    <t>武蔵野</t>
  </si>
  <si>
    <t>青梅</t>
  </si>
  <si>
    <t>武蔵府中</t>
  </si>
  <si>
    <t>町田</t>
  </si>
  <si>
    <t>日野</t>
  </si>
  <si>
    <t>東村山</t>
  </si>
  <si>
    <t>多摩地区計</t>
  </si>
  <si>
    <t>多摩地区計</t>
  </si>
  <si>
    <t>東京都計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</si>
  <si>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</si>
  <si>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</si>
  <si>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</si>
  <si>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</si>
  <si>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</si>
  <si>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</si>
  <si>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</si>
  <si>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</si>
  <si>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</si>
  <si>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</si>
  <si>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</si>
  <si>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</si>
  <si>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</si>
  <si>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</si>
  <si>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</si>
  <si>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</si>
  <si>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</si>
  <si>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</si>
  <si>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</si>
  <si>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</si>
  <si>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神奈川県計</t>
  </si>
  <si>
    <t>甲府</t>
  </si>
  <si>
    <t>山梨</t>
  </si>
  <si>
    <t>大月</t>
  </si>
  <si>
    <t>鰍沢</t>
  </si>
  <si>
    <t>山梨県計</t>
  </si>
  <si>
    <t>山梨県計</t>
  </si>
  <si>
    <t>　ロ　法　　　人</t>
  </si>
  <si>
    <t>(4)　税務署別課税状況</t>
  </si>
  <si>
    <t>　イ　個人事業者</t>
  </si>
  <si>
    <t>税務署名</t>
  </si>
  <si>
    <t>税額</t>
  </si>
  <si>
    <t>税　額　①</t>
  </si>
  <si>
    <t>税　額　②</t>
  </si>
  <si>
    <t>税　額　③</t>
  </si>
  <si>
    <t>税　　　額
(①－②＋③)</t>
  </si>
  <si>
    <t>都区内計</t>
  </si>
  <si>
    <t>東京都計</t>
  </si>
  <si>
    <t>神奈川県計</t>
  </si>
  <si>
    <t>総　計</t>
  </si>
  <si>
    <t>(4)　税務署別課税状況（続）</t>
  </si>
  <si>
    <t>課　税　事　業　者　等　届　出　件　数</t>
  </si>
  <si>
    <t>課税事業者
選択届出</t>
  </si>
  <si>
    <t>新設法人に
該当する旨
の届出</t>
  </si>
  <si>
    <t>税　　額
(①－②＋③)</t>
  </si>
  <si>
    <t>平成24年度</t>
  </si>
  <si>
    <t>平成25年度</t>
  </si>
  <si>
    <t>調査対象等：</t>
  </si>
  <si>
    <t>税関分は含まない。</t>
  </si>
  <si>
    <t>「件数欄」の「実」は、実件数を示す。</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</si>
  <si>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</si>
  <si>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</si>
  <si>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</si>
  <si>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</si>
  <si>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</si>
  <si>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</si>
  <si>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</si>
  <si>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</si>
  <si>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</si>
  <si>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</si>
  <si>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</si>
  <si>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</si>
  <si>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柏</t>
  </si>
  <si>
    <t>芝</t>
  </si>
  <si>
    <t>緑</t>
  </si>
  <si>
    <t>千葉県計</t>
  </si>
  <si>
    <t>都区内計</t>
  </si>
  <si>
    <t>多摩地区計</t>
  </si>
  <si>
    <t>東京都計</t>
  </si>
  <si>
    <t>神奈川県計</t>
  </si>
  <si>
    <t>山梨県計</t>
  </si>
  <si>
    <t>総　計</t>
  </si>
  <si>
    <t>平成26年度</t>
  </si>
  <si>
    <t>　「現年分」は、平成27年４月１日から平成28年３月31日までに終了した課税期間について、平成28年６月30日現在の申告（国・地方公共団体等については平成28年９月30日までの申告を含む。）及び処理（更正、決定等）による課税事績を「申告書及び決議書」に基づいて作成した。</t>
  </si>
  <si>
    <t>　「既往年分」は、平成27年３月31日以前に終了した課税期間について、平成27年７月１日から平成28年６月30日までの間の申告（平成27年７月１日から同年９月30日までの間の国・地方公共団体等に係る申告を除く。）及び処理（更正、決定等）による課税事績を「申告書及び決議書」に基づいて作成した。</t>
  </si>
  <si>
    <t>平成27年度</t>
  </si>
  <si>
    <t>調査対象等：平成27年度末（平成28年３月31日現在）の届出件数を示している。</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</si>
  <si>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</si>
  <si>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</si>
  <si>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　  （注）１</t>
  </si>
  <si>
    <t>　　 　 　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</si>
</sst>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8"/>
      <name val="ＭＳ Ｐゴシック"/>
      <family val="3"/>
    </font>
    <font>
      <sz val="11"/>
      <name val="ＭＳ ゴシック"/>
      <family val="3"/>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hair"/>
      <top style="hair"/>
      <bottom style="thin"/>
    </border>
    <border>
      <left style="hair"/>
      <right style="thin"/>
      <top style="hair"/>
      <bottom style="thin"/>
    </border>
    <border>
      <left style="hair"/>
      <right/>
      <top style="thin"/>
      <bottom/>
    </border>
    <border>
      <left style="medium"/>
      <right/>
      <top/>
      <bottom style="hair">
        <color indexed="55"/>
      </bottom>
    </border>
    <border>
      <left style="thin"/>
      <right style="medium"/>
      <top style="hair">
        <color indexed="55"/>
      </top>
      <bottom style="hair">
        <color indexed="55"/>
      </bottom>
    </border>
    <border>
      <left style="medium"/>
      <right/>
      <top style="hair">
        <color indexed="55"/>
      </top>
      <bottom style="hair">
        <color indexed="55"/>
      </bottom>
    </border>
    <border>
      <left style="medium"/>
      <right/>
      <top style="hair">
        <color indexed="55"/>
      </top>
      <bottom style="thin">
        <color indexed="55"/>
      </bottom>
    </border>
    <border>
      <left style="medium"/>
      <right/>
      <top/>
      <bottom style="double"/>
    </border>
    <border>
      <left style="thin"/>
      <right style="medium"/>
      <top style="thin">
        <color indexed="23"/>
      </top>
      <bottom/>
    </border>
    <border>
      <left style="medium"/>
      <right>
        <color indexed="63"/>
      </right>
      <top>
        <color indexed="63"/>
      </top>
      <bottom style="medium"/>
    </border>
    <border>
      <left style="thin"/>
      <right style="medium"/>
      <top style="double"/>
      <bottom style="mediu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bottom style="hair">
        <color indexed="55"/>
      </bottom>
    </border>
    <border>
      <left style="hair"/>
      <right/>
      <top style="hair"/>
      <bottom style="thin"/>
    </border>
    <border>
      <left style="thin"/>
      <right style="medium"/>
      <top/>
      <bottom style="double"/>
    </border>
    <border>
      <left style="thin"/>
      <right style="medium"/>
      <top>
        <color indexed="63"/>
      </top>
      <bottom style="medium"/>
    </border>
    <border>
      <left style="thin"/>
      <right style="medium"/>
      <top style="thin"/>
      <bottom style="thin">
        <color rgb="FFCCFFFF"/>
      </bottom>
    </border>
    <border>
      <left style="thin"/>
      <right style="medium"/>
      <top style="thin">
        <color rgb="FFCCFFFF"/>
      </top>
      <bottom style="hair">
        <color indexed="55"/>
      </bottom>
    </border>
    <border>
      <left style="medium"/>
      <right style="thin"/>
      <top style="thin">
        <color rgb="FFCCFFFF"/>
      </top>
      <bottom style="hair">
        <color indexed="55"/>
      </bottom>
    </border>
    <border>
      <left style="medium"/>
      <right style="thin"/>
      <top>
        <color indexed="63"/>
      </top>
      <bottom style="hair">
        <color indexed="55"/>
      </bottom>
    </border>
    <border>
      <left style="medium"/>
      <right>
        <color indexed="63"/>
      </right>
      <top style="thin"/>
      <bottom style="thin">
        <color rgb="FFCCFFFF"/>
      </bottom>
    </border>
    <border>
      <left style="medium"/>
      <right style="thin"/>
      <top style="hair">
        <color indexed="55"/>
      </top>
      <bottom style="hair"/>
    </border>
    <border>
      <left style="medium"/>
      <right/>
      <top style="hair">
        <color indexed="55"/>
      </top>
      <bottom style="hair"/>
    </border>
    <border>
      <left style="thin"/>
      <right style="medium"/>
      <top style="hair">
        <color indexed="55"/>
      </top>
      <bottom style="hair"/>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style="hair"/>
      <top style="hair">
        <color indexed="55"/>
      </top>
      <bottom style="hair"/>
    </border>
    <border>
      <left style="hair"/>
      <right style="thin"/>
      <top style="hair">
        <color indexed="55"/>
      </top>
      <bottom style="hair"/>
    </border>
    <border>
      <left style="hair"/>
      <right/>
      <top style="hair">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medium"/>
      <right/>
      <top style="hair">
        <color indexed="55"/>
      </top>
      <bottom>
        <color indexed="63"/>
      </bottom>
    </border>
    <border>
      <left style="thin"/>
      <right style="hair"/>
      <top style="hair">
        <color indexed="55"/>
      </top>
      <bottom>
        <color indexed="63"/>
      </bottom>
    </border>
    <border>
      <left style="hair"/>
      <right/>
      <top style="hair">
        <color indexed="55"/>
      </top>
      <bottom>
        <color indexed="63"/>
      </bottom>
    </border>
    <border>
      <left style="thin"/>
      <right style="medium"/>
      <top style="hair">
        <color indexed="55"/>
      </top>
      <bottom>
        <color indexed="63"/>
      </bottom>
    </border>
    <border>
      <left style="medium"/>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color indexed="63"/>
      </right>
      <top>
        <color indexed="63"/>
      </top>
      <bottom>
        <color indexed="63"/>
      </bottom>
    </border>
    <border>
      <left style="hair"/>
      <right style="thin"/>
      <top>
        <color indexed="63"/>
      </top>
      <bottom>
        <color indexed="63"/>
      </bottom>
    </border>
    <border>
      <left style="hair"/>
      <right/>
      <top>
        <color indexed="63"/>
      </top>
      <bottom>
        <color indexed="63"/>
      </bottom>
    </border>
    <border>
      <left style="thin"/>
      <right style="medium"/>
      <top/>
      <bottom/>
    </border>
    <border>
      <left style="hair"/>
      <right/>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style="hair"/>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style="thin"/>
      <bottom>
        <color indexed="63"/>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5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6" fillId="0" borderId="19" xfId="0" applyFont="1" applyBorder="1" applyAlignment="1">
      <alignment horizontal="right" vertical="center"/>
    </xf>
    <xf numFmtId="0" fontId="2" fillId="0" borderId="20" xfId="0" applyFont="1" applyBorder="1" applyAlignment="1">
      <alignment horizontal="right" vertical="center"/>
    </xf>
    <xf numFmtId="3" fontId="2" fillId="0" borderId="19"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6" fillId="0" borderId="23" xfId="0" applyFont="1" applyBorder="1" applyAlignment="1">
      <alignment horizontal="distributed" vertical="center"/>
    </xf>
    <xf numFmtId="0" fontId="2" fillId="0" borderId="24" xfId="0" applyFont="1" applyBorder="1" applyAlignment="1">
      <alignment horizontal="distributed" vertical="center"/>
    </xf>
    <xf numFmtId="0" fontId="6" fillId="0" borderId="25" xfId="0" applyFont="1" applyBorder="1" applyAlignment="1">
      <alignment horizontal="right" vertical="center"/>
    </xf>
    <xf numFmtId="3" fontId="2" fillId="34" borderId="26"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2" fillId="0" borderId="29" xfId="0" applyFont="1" applyBorder="1" applyAlignment="1">
      <alignment horizontal="distributed" vertical="center"/>
    </xf>
    <xf numFmtId="3" fontId="2" fillId="34" borderId="30"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2"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9" xfId="0" applyFont="1" applyBorder="1" applyAlignment="1">
      <alignment horizontal="center" vertical="center"/>
    </xf>
    <xf numFmtId="3" fontId="2" fillId="0" borderId="19" xfId="0" applyNumberFormat="1" applyFont="1" applyBorder="1" applyAlignment="1">
      <alignment horizontal="center" vertical="center"/>
    </xf>
    <xf numFmtId="0" fontId="2" fillId="0" borderId="33"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7" fillId="0" borderId="35"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8"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6" xfId="0" applyNumberFormat="1" applyFont="1" applyFill="1" applyBorder="1" applyAlignment="1">
      <alignment horizontal="right" vertical="center"/>
    </xf>
    <xf numFmtId="0" fontId="2" fillId="0" borderId="35"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8"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7" fillId="34" borderId="40" xfId="0" applyFont="1" applyFill="1" applyBorder="1" applyAlignment="1">
      <alignment horizontal="right"/>
    </xf>
    <xf numFmtId="0" fontId="2" fillId="0" borderId="41" xfId="0" applyFont="1" applyBorder="1" applyAlignment="1">
      <alignment horizontal="left" vertical="top" wrapText="1"/>
    </xf>
    <xf numFmtId="0" fontId="5" fillId="0" borderId="0" xfId="0" applyFont="1" applyAlignment="1">
      <alignment horizontal="center" vertical="top"/>
    </xf>
    <xf numFmtId="0" fontId="2" fillId="0" borderId="21"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0" xfId="61" applyFont="1" applyBorder="1" applyAlignment="1">
      <alignment horizontal="left" vertical="center"/>
      <protection/>
    </xf>
    <xf numFmtId="0" fontId="2" fillId="0" borderId="42" xfId="61" applyFont="1" applyBorder="1" applyAlignment="1">
      <alignment horizontal="distributed" vertical="center" indent="1"/>
      <protection/>
    </xf>
    <xf numFmtId="0" fontId="2" fillId="0" borderId="43" xfId="61" applyFont="1" applyBorder="1" applyAlignment="1">
      <alignment horizontal="distributed" vertical="center" indent="1"/>
      <protection/>
    </xf>
    <xf numFmtId="0" fontId="2" fillId="0" borderId="43" xfId="61" applyFont="1" applyBorder="1" applyAlignment="1">
      <alignment horizontal="center" vertical="center" wrapText="1"/>
      <protection/>
    </xf>
    <xf numFmtId="0" fontId="7" fillId="35" borderId="35"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4" borderId="32" xfId="61" applyFont="1" applyFill="1" applyBorder="1" applyAlignment="1">
      <alignment horizontal="right" vertical="top"/>
      <protection/>
    </xf>
    <xf numFmtId="0" fontId="7" fillId="34" borderId="44" xfId="61" applyFont="1" applyFill="1" applyBorder="1" applyAlignment="1">
      <alignment horizontal="right" vertical="top"/>
      <protection/>
    </xf>
    <xf numFmtId="0" fontId="7" fillId="35" borderId="40" xfId="61" applyFont="1" applyFill="1" applyBorder="1" applyAlignment="1">
      <alignment horizontal="distributed"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8" fillId="0" borderId="49" xfId="61" applyFont="1" applyFill="1" applyBorder="1" applyAlignment="1">
      <alignment horizontal="distributed" vertical="center"/>
      <protection/>
    </xf>
    <xf numFmtId="0" fontId="8" fillId="0" borderId="50" xfId="61" applyFont="1" applyFill="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protection/>
    </xf>
    <xf numFmtId="0" fontId="6" fillId="36" borderId="53" xfId="61" applyFont="1" applyFill="1" applyBorder="1" applyAlignment="1">
      <alignment horizontal="distributed" vertical="center"/>
      <protection/>
    </xf>
    <xf numFmtId="0" fontId="2" fillId="36" borderId="54" xfId="61" applyFont="1" applyFill="1" applyBorder="1" applyAlignment="1">
      <alignment horizontal="distributed" vertical="center"/>
      <protection/>
    </xf>
    <xf numFmtId="0" fontId="2" fillId="36" borderId="55" xfId="61" applyFont="1" applyFill="1" applyBorder="1" applyAlignment="1">
      <alignment horizontal="distributed" vertical="center"/>
      <protection/>
    </xf>
    <xf numFmtId="0" fontId="2" fillId="0" borderId="56" xfId="61" applyFont="1" applyBorder="1" applyAlignment="1">
      <alignment horizontal="distributed" vertical="center" indent="1"/>
      <protection/>
    </xf>
    <xf numFmtId="0" fontId="2" fillId="0" borderId="56" xfId="61" applyFont="1" applyBorder="1" applyAlignment="1">
      <alignment horizontal="centerContinuous" vertical="center" wrapText="1"/>
      <protection/>
    </xf>
    <xf numFmtId="0" fontId="7" fillId="33" borderId="44" xfId="61" applyFont="1" applyFill="1" applyBorder="1" applyAlignment="1">
      <alignment horizontal="right" vertical="top"/>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9" fillId="0" borderId="0" xfId="61" applyFont="1" applyAlignment="1">
      <alignment horizontal="right" vertical="top"/>
      <protection/>
    </xf>
    <xf numFmtId="0" fontId="10" fillId="0" borderId="0" xfId="61" applyFont="1">
      <alignment/>
      <protection/>
    </xf>
    <xf numFmtId="0" fontId="11" fillId="0" borderId="0" xfId="61" applyFont="1">
      <alignment/>
      <protection/>
    </xf>
    <xf numFmtId="0" fontId="9" fillId="0" borderId="0" xfId="61" applyFont="1" applyAlignment="1">
      <alignment vertical="top"/>
      <protection/>
    </xf>
    <xf numFmtId="0" fontId="7" fillId="35" borderId="59" xfId="61" applyFont="1" applyFill="1" applyBorder="1" applyAlignment="1">
      <alignment horizontal="distributed" vertical="top"/>
      <protection/>
    </xf>
    <xf numFmtId="0" fontId="2" fillId="36" borderId="60" xfId="61" applyFont="1" applyFill="1" applyBorder="1" applyAlignment="1">
      <alignment horizontal="distributed" vertical="center"/>
      <protection/>
    </xf>
    <xf numFmtId="0" fontId="2" fillId="36" borderId="61" xfId="61" applyFont="1" applyFill="1" applyBorder="1" applyAlignment="1">
      <alignment horizontal="distributed" vertical="center"/>
      <protection/>
    </xf>
    <xf numFmtId="0" fontId="2" fillId="36" borderId="62" xfId="61" applyFont="1" applyFill="1" applyBorder="1" applyAlignment="1">
      <alignment horizontal="distributed" vertical="center"/>
      <protection/>
    </xf>
    <xf numFmtId="0" fontId="12" fillId="37" borderId="60" xfId="61" applyFont="1" applyFill="1" applyBorder="1" applyAlignment="1">
      <alignment horizontal="distributed" vertical="center"/>
      <protection/>
    </xf>
    <xf numFmtId="0" fontId="7" fillId="35" borderId="63" xfId="61" applyFont="1" applyFill="1" applyBorder="1" applyAlignment="1">
      <alignment horizontal="distributed" vertical="top"/>
      <protection/>
    </xf>
    <xf numFmtId="0" fontId="7" fillId="28" borderId="13" xfId="61" applyFont="1" applyFill="1" applyBorder="1" applyAlignment="1">
      <alignment horizontal="right" vertical="top"/>
      <protection/>
    </xf>
    <xf numFmtId="0" fontId="2" fillId="36" borderId="64" xfId="61" applyFont="1" applyFill="1" applyBorder="1" applyAlignment="1">
      <alignment horizontal="distributed" vertical="center"/>
      <protection/>
    </xf>
    <xf numFmtId="0" fontId="2" fillId="36" borderId="65" xfId="61" applyFont="1" applyFill="1" applyBorder="1" applyAlignment="1">
      <alignment horizontal="distributed" vertical="center"/>
      <protection/>
    </xf>
    <xf numFmtId="0" fontId="2" fillId="36" borderId="66" xfId="61" applyFont="1" applyFill="1" applyBorder="1" applyAlignment="1">
      <alignment horizontal="distributed" vertical="center"/>
      <protection/>
    </xf>
    <xf numFmtId="3" fontId="2" fillId="34" borderId="67"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6" fillId="34" borderId="68" xfId="0" applyNumberFormat="1" applyFont="1" applyFill="1" applyBorder="1" applyAlignment="1">
      <alignment horizontal="right" vertical="center"/>
    </xf>
    <xf numFmtId="3" fontId="6" fillId="33" borderId="23"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3" fontId="2" fillId="34" borderId="73" xfId="0" applyNumberFormat="1" applyFont="1" applyFill="1" applyBorder="1" applyAlignment="1">
      <alignment vertical="center"/>
    </xf>
    <xf numFmtId="3" fontId="2" fillId="34" borderId="68" xfId="0" applyNumberFormat="1" applyFont="1" applyFill="1" applyBorder="1" applyAlignment="1">
      <alignment vertical="center"/>
    </xf>
    <xf numFmtId="3" fontId="6" fillId="34" borderId="74" xfId="0" applyNumberFormat="1" applyFont="1" applyFill="1" applyBorder="1" applyAlignment="1">
      <alignment horizontal="right" vertical="center"/>
    </xf>
    <xf numFmtId="3" fontId="6" fillId="33" borderId="75" xfId="0" applyNumberFormat="1" applyFont="1" applyFill="1" applyBorder="1" applyAlignment="1">
      <alignment horizontal="right" vertical="center"/>
    </xf>
    <xf numFmtId="3" fontId="6" fillId="33" borderId="76" xfId="0" applyNumberFormat="1" applyFont="1" applyFill="1" applyBorder="1" applyAlignment="1">
      <alignment horizontal="right" vertical="center"/>
    </xf>
    <xf numFmtId="3" fontId="2" fillId="34" borderId="77"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0" fontId="0" fillId="0" borderId="0" xfId="61" applyFont="1">
      <alignment/>
      <protection/>
    </xf>
    <xf numFmtId="177" fontId="2" fillId="34" borderId="36" xfId="61" applyNumberFormat="1" applyFont="1" applyFill="1" applyBorder="1" applyAlignment="1">
      <alignment horizontal="right" vertical="center"/>
      <protection/>
    </xf>
    <xf numFmtId="177" fontId="2" fillId="33" borderId="33" xfId="61" applyNumberFormat="1" applyFont="1" applyFill="1" applyBorder="1" applyAlignment="1">
      <alignment horizontal="right" vertical="center"/>
      <protection/>
    </xf>
    <xf numFmtId="177" fontId="2" fillId="33" borderId="80" xfId="61" applyNumberFormat="1" applyFont="1" applyFill="1" applyBorder="1" applyAlignment="1">
      <alignment horizontal="right" vertical="center"/>
      <protection/>
    </xf>
    <xf numFmtId="177" fontId="2" fillId="34" borderId="67" xfId="61" applyNumberFormat="1" applyFont="1" applyFill="1" applyBorder="1" applyAlignment="1">
      <alignment horizontal="right" vertical="center"/>
      <protection/>
    </xf>
    <xf numFmtId="177" fontId="2" fillId="34" borderId="80" xfId="61" applyNumberFormat="1" applyFont="1" applyFill="1" applyBorder="1" applyAlignment="1">
      <alignment horizontal="right" vertical="center"/>
      <protection/>
    </xf>
    <xf numFmtId="177" fontId="2" fillId="34" borderId="81" xfId="61" applyNumberFormat="1" applyFont="1" applyFill="1" applyBorder="1" applyAlignment="1">
      <alignment horizontal="right" vertical="center"/>
      <protection/>
    </xf>
    <xf numFmtId="177" fontId="2" fillId="33" borderId="23" xfId="61" applyNumberFormat="1" applyFont="1" applyFill="1" applyBorder="1" applyAlignment="1">
      <alignment horizontal="right" vertical="center"/>
      <protection/>
    </xf>
    <xf numFmtId="177" fontId="2" fillId="33" borderId="82" xfId="61" applyNumberFormat="1" applyFont="1" applyFill="1" applyBorder="1" applyAlignment="1">
      <alignment horizontal="right" vertical="center"/>
      <protection/>
    </xf>
    <xf numFmtId="177" fontId="6" fillId="34" borderId="83" xfId="61" applyNumberFormat="1" applyFont="1" applyFill="1" applyBorder="1" applyAlignment="1">
      <alignment horizontal="right" vertical="center"/>
      <protection/>
    </xf>
    <xf numFmtId="177" fontId="6" fillId="33" borderId="84" xfId="61" applyNumberFormat="1" applyFont="1" applyFill="1" applyBorder="1" applyAlignment="1">
      <alignment horizontal="right" vertical="center"/>
      <protection/>
    </xf>
    <xf numFmtId="177" fontId="6" fillId="33" borderId="85" xfId="61" applyNumberFormat="1" applyFont="1" applyFill="1" applyBorder="1" applyAlignment="1">
      <alignment horizontal="right" vertical="center"/>
      <protection/>
    </xf>
    <xf numFmtId="177" fontId="6" fillId="34" borderId="86" xfId="61" applyNumberFormat="1" applyFont="1" applyFill="1" applyBorder="1" applyAlignment="1">
      <alignment horizontal="right" vertical="center"/>
      <protection/>
    </xf>
    <xf numFmtId="177" fontId="6" fillId="34" borderId="85" xfId="61" applyNumberFormat="1" applyFont="1" applyFill="1" applyBorder="1" applyAlignment="1">
      <alignment horizontal="right" vertical="center"/>
      <protection/>
    </xf>
    <xf numFmtId="177" fontId="2" fillId="34" borderId="87" xfId="61" applyNumberFormat="1" applyFont="1" applyFill="1" applyBorder="1" applyAlignment="1">
      <alignment horizontal="right" vertical="center"/>
      <protection/>
    </xf>
    <xf numFmtId="177" fontId="2" fillId="33" borderId="88" xfId="61" applyNumberFormat="1" applyFont="1" applyFill="1" applyBorder="1" applyAlignment="1">
      <alignment horizontal="right" vertical="center"/>
      <protection/>
    </xf>
    <xf numFmtId="177" fontId="2" fillId="33"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2" fillId="0" borderId="92" xfId="61" applyNumberFormat="1" applyFont="1" applyFill="1" applyBorder="1" applyAlignment="1">
      <alignment horizontal="right" vertical="center"/>
      <protection/>
    </xf>
    <xf numFmtId="177" fontId="2" fillId="0" borderId="93" xfId="61" applyNumberFormat="1" applyFont="1" applyFill="1" applyBorder="1" applyAlignment="1">
      <alignment horizontal="right" vertical="center"/>
      <protection/>
    </xf>
    <xf numFmtId="177" fontId="2" fillId="0" borderId="94" xfId="61" applyNumberFormat="1" applyFont="1" applyFill="1" applyBorder="1" applyAlignment="1">
      <alignment horizontal="right" vertical="center"/>
      <protection/>
    </xf>
    <xf numFmtId="177" fontId="2" fillId="0" borderId="95" xfId="61" applyNumberFormat="1" applyFont="1" applyFill="1" applyBorder="1" applyAlignment="1">
      <alignment horizontal="right" vertical="center"/>
      <protection/>
    </xf>
    <xf numFmtId="177" fontId="6" fillId="34" borderId="20"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3" borderId="96" xfId="61" applyNumberFormat="1" applyFont="1" applyFill="1" applyBorder="1" applyAlignment="1">
      <alignment horizontal="right" vertical="center"/>
      <protection/>
    </xf>
    <xf numFmtId="177" fontId="6" fillId="34" borderId="97" xfId="61" applyNumberFormat="1" applyFont="1" applyFill="1" applyBorder="1" applyAlignment="1">
      <alignment horizontal="right" vertical="center"/>
      <protection/>
    </xf>
    <xf numFmtId="177" fontId="6" fillId="34" borderId="98" xfId="61" applyNumberFormat="1" applyFont="1" applyFill="1" applyBorder="1" applyAlignment="1">
      <alignment horizontal="right" vertical="center"/>
      <protection/>
    </xf>
    <xf numFmtId="177" fontId="6" fillId="34" borderId="99"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3" fontId="2" fillId="34" borderId="100" xfId="0" applyNumberFormat="1" applyFont="1" applyFill="1" applyBorder="1" applyAlignment="1">
      <alignment horizontal="right" vertical="center" indent="1"/>
    </xf>
    <xf numFmtId="3" fontId="2" fillId="34" borderId="101" xfId="0" applyNumberFormat="1" applyFont="1" applyFill="1" applyBorder="1" applyAlignment="1">
      <alignment horizontal="right" vertical="center" indent="1"/>
    </xf>
    <xf numFmtId="3" fontId="2" fillId="34" borderId="102" xfId="0" applyNumberFormat="1" applyFont="1" applyFill="1" applyBorder="1" applyAlignment="1">
      <alignment horizontal="right" vertical="center" indent="1"/>
    </xf>
    <xf numFmtId="3" fontId="2" fillId="34" borderId="58" xfId="0" applyNumberFormat="1" applyFont="1" applyFill="1" applyBorder="1" applyAlignment="1">
      <alignment horizontal="right" vertical="center" indent="1"/>
    </xf>
    <xf numFmtId="0" fontId="8" fillId="37" borderId="103" xfId="61" applyFont="1" applyFill="1" applyBorder="1" applyAlignment="1">
      <alignment horizontal="distributed" vertical="center"/>
      <protection/>
    </xf>
    <xf numFmtId="0" fontId="8" fillId="37" borderId="104" xfId="61" applyFont="1" applyFill="1" applyBorder="1" applyAlignment="1">
      <alignment horizontal="center" vertical="center"/>
      <protection/>
    </xf>
    <xf numFmtId="177" fontId="8" fillId="28" borderId="105" xfId="61" applyNumberFormat="1" applyFont="1" applyFill="1" applyBorder="1" applyAlignment="1">
      <alignment horizontal="right" vertical="center"/>
      <protection/>
    </xf>
    <xf numFmtId="177" fontId="8" fillId="38" borderId="106" xfId="61" applyNumberFormat="1" applyFont="1" applyFill="1" applyBorder="1" applyAlignment="1">
      <alignment horizontal="right" vertical="center"/>
      <protection/>
    </xf>
    <xf numFmtId="177" fontId="8" fillId="38" borderId="107" xfId="61" applyNumberFormat="1" applyFont="1" applyFill="1" applyBorder="1" applyAlignment="1">
      <alignment horizontal="right" vertical="center"/>
      <protection/>
    </xf>
    <xf numFmtId="0" fontId="6" fillId="36" borderId="108" xfId="61" applyFont="1" applyFill="1" applyBorder="1" applyAlignment="1">
      <alignment horizontal="distributed" vertical="center"/>
      <protection/>
    </xf>
    <xf numFmtId="177" fontId="6" fillId="34" borderId="10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110" xfId="61" applyNumberFormat="1" applyFont="1" applyFill="1" applyBorder="1" applyAlignment="1">
      <alignment horizontal="right" vertical="center"/>
      <protection/>
    </xf>
    <xf numFmtId="0" fontId="6" fillId="36" borderId="111" xfId="61" applyFont="1" applyFill="1" applyBorder="1" applyAlignment="1">
      <alignment horizontal="distributed" vertical="center"/>
      <protection/>
    </xf>
    <xf numFmtId="0" fontId="8" fillId="0" borderId="112" xfId="61" applyFont="1" applyFill="1" applyBorder="1" applyAlignment="1">
      <alignment horizontal="distributed" vertical="center"/>
      <protection/>
    </xf>
    <xf numFmtId="177" fontId="8" fillId="0" borderId="113" xfId="61" applyNumberFormat="1" applyFont="1" applyFill="1" applyBorder="1" applyAlignment="1">
      <alignment horizontal="right" vertical="center"/>
      <protection/>
    </xf>
    <xf numFmtId="177" fontId="8" fillId="0" borderId="114" xfId="61" applyNumberFormat="1" applyFont="1" applyFill="1" applyBorder="1" applyAlignment="1">
      <alignment horizontal="right" vertical="center"/>
      <protection/>
    </xf>
    <xf numFmtId="177" fontId="8" fillId="0" borderId="115" xfId="61" applyNumberFormat="1" applyFont="1" applyFill="1" applyBorder="1" applyAlignment="1">
      <alignment horizontal="right" vertical="center"/>
      <protection/>
    </xf>
    <xf numFmtId="0" fontId="8" fillId="0" borderId="116" xfId="61" applyFont="1" applyFill="1" applyBorder="1" applyAlignment="1">
      <alignment horizontal="center" vertical="center"/>
      <protection/>
    </xf>
    <xf numFmtId="0" fontId="6" fillId="36" borderId="117" xfId="61" applyFont="1" applyFill="1" applyBorder="1" applyAlignment="1">
      <alignment horizontal="distributed" vertical="center"/>
      <protection/>
    </xf>
    <xf numFmtId="177" fontId="6" fillId="34" borderId="19" xfId="61" applyNumberFormat="1" applyFont="1" applyFill="1" applyBorder="1" applyAlignment="1">
      <alignment horizontal="right" vertical="center"/>
      <protection/>
    </xf>
    <xf numFmtId="177" fontId="6" fillId="33" borderId="118" xfId="61" applyNumberFormat="1" applyFont="1" applyFill="1" applyBorder="1" applyAlignment="1">
      <alignment horizontal="right" vertical="center"/>
      <protection/>
    </xf>
    <xf numFmtId="177" fontId="6" fillId="33" borderId="119" xfId="61" applyNumberFormat="1" applyFont="1" applyFill="1" applyBorder="1" applyAlignment="1">
      <alignment horizontal="right" vertical="center"/>
      <protection/>
    </xf>
    <xf numFmtId="0" fontId="6" fillId="36" borderId="120" xfId="61" applyFont="1" applyFill="1" applyBorder="1" applyAlignment="1">
      <alignment horizontal="distributed" vertical="center"/>
      <protection/>
    </xf>
    <xf numFmtId="0" fontId="8" fillId="37" borderId="112" xfId="61" applyFont="1" applyFill="1" applyBorder="1" applyAlignment="1">
      <alignment horizontal="distributed" vertical="center"/>
      <protection/>
    </xf>
    <xf numFmtId="177" fontId="8" fillId="28" borderId="115" xfId="61" applyNumberFormat="1" applyFont="1" applyFill="1" applyBorder="1" applyAlignment="1">
      <alignment horizontal="right" vertical="center"/>
      <protection/>
    </xf>
    <xf numFmtId="177" fontId="8" fillId="38" borderId="114" xfId="61" applyNumberFormat="1" applyFont="1" applyFill="1" applyBorder="1" applyAlignment="1">
      <alignment horizontal="right" vertical="center"/>
      <protection/>
    </xf>
    <xf numFmtId="177" fontId="8" fillId="38" borderId="121" xfId="61" applyNumberFormat="1" applyFont="1" applyFill="1" applyBorder="1" applyAlignment="1">
      <alignment horizontal="right" vertical="center"/>
      <protection/>
    </xf>
    <xf numFmtId="0" fontId="8" fillId="37" borderId="116" xfId="61" applyFont="1" applyFill="1" applyBorder="1" applyAlignment="1">
      <alignment horizontal="center" vertical="center"/>
      <protection/>
    </xf>
    <xf numFmtId="0" fontId="6" fillId="37" borderId="108" xfId="61" applyFont="1" applyFill="1" applyBorder="1" applyAlignment="1">
      <alignment horizontal="distributed" vertical="center"/>
      <protection/>
    </xf>
    <xf numFmtId="177" fontId="6" fillId="28" borderId="109" xfId="61" applyNumberFormat="1" applyFont="1" applyFill="1" applyBorder="1" applyAlignment="1">
      <alignment horizontal="right" vertical="center"/>
      <protection/>
    </xf>
    <xf numFmtId="177" fontId="6" fillId="38" borderId="71" xfId="61" applyNumberFormat="1" applyFont="1" applyFill="1" applyBorder="1" applyAlignment="1">
      <alignment horizontal="right" vertical="center"/>
      <protection/>
    </xf>
    <xf numFmtId="177" fontId="6" fillId="34" borderId="70" xfId="61" applyNumberFormat="1" applyFont="1" applyFill="1" applyBorder="1" applyAlignment="1">
      <alignment horizontal="right" vertical="center"/>
      <protection/>
    </xf>
    <xf numFmtId="177" fontId="6" fillId="34" borderId="110" xfId="61" applyNumberFormat="1" applyFont="1" applyFill="1" applyBorder="1" applyAlignment="1">
      <alignment horizontal="right" vertical="center"/>
      <protection/>
    </xf>
    <xf numFmtId="177" fontId="2" fillId="0" borderId="115" xfId="61" applyNumberFormat="1" applyFont="1" applyFill="1" applyBorder="1" applyAlignment="1">
      <alignment horizontal="right" vertical="center"/>
      <protection/>
    </xf>
    <xf numFmtId="177" fontId="2" fillId="0" borderId="122" xfId="61" applyNumberFormat="1" applyFont="1" applyFill="1" applyBorder="1" applyAlignment="1">
      <alignment horizontal="right" vertical="center"/>
      <protection/>
    </xf>
    <xf numFmtId="177" fontId="2" fillId="0" borderId="121" xfId="61" applyNumberFormat="1" applyFont="1" applyFill="1" applyBorder="1" applyAlignment="1">
      <alignment horizontal="right" vertical="center"/>
      <protection/>
    </xf>
    <xf numFmtId="177" fontId="2" fillId="28" borderId="115" xfId="61" applyNumberFormat="1" applyFont="1" applyFill="1" applyBorder="1" applyAlignment="1">
      <alignment horizontal="right" vertical="center"/>
      <protection/>
    </xf>
    <xf numFmtId="177" fontId="2" fillId="28" borderId="122" xfId="61" applyNumberFormat="1" applyFont="1" applyFill="1" applyBorder="1" applyAlignment="1">
      <alignment horizontal="right" vertical="center"/>
      <protection/>
    </xf>
    <xf numFmtId="177" fontId="2" fillId="28" borderId="121" xfId="61" applyNumberFormat="1" applyFont="1" applyFill="1" applyBorder="1" applyAlignment="1">
      <alignment horizontal="right" vertical="center"/>
      <protection/>
    </xf>
    <xf numFmtId="177" fontId="6" fillId="34" borderId="123" xfId="61" applyNumberFormat="1" applyFont="1" applyFill="1" applyBorder="1" applyAlignment="1">
      <alignment horizontal="right" vertical="center"/>
      <protection/>
    </xf>
    <xf numFmtId="177" fontId="6" fillId="34" borderId="119" xfId="61" applyNumberFormat="1" applyFont="1" applyFill="1" applyBorder="1" applyAlignment="1">
      <alignment horizontal="right" vertical="center"/>
      <protection/>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17" xfId="0" applyFont="1" applyBorder="1" applyAlignment="1">
      <alignment horizontal="center" vertical="center"/>
    </xf>
    <xf numFmtId="0" fontId="2" fillId="0" borderId="129" xfId="0" applyFont="1" applyBorder="1" applyAlignment="1">
      <alignment horizontal="center" vertical="center"/>
    </xf>
    <xf numFmtId="0" fontId="2" fillId="0" borderId="41" xfId="0" applyFont="1" applyBorder="1" applyAlignment="1">
      <alignment horizontal="justify" vertical="top" wrapText="1"/>
    </xf>
    <xf numFmtId="0" fontId="2" fillId="0" borderId="0" xfId="0" applyFont="1" applyAlignment="1">
      <alignment horizontal="justify" vertical="top" wrapText="1"/>
    </xf>
    <xf numFmtId="0" fontId="5" fillId="0" borderId="0" xfId="0" applyFont="1" applyAlignment="1">
      <alignment horizontal="center" vertical="top"/>
    </xf>
    <xf numFmtId="0" fontId="6" fillId="0" borderId="130" xfId="0" applyFont="1" applyBorder="1" applyAlignment="1">
      <alignment horizontal="distributed" vertical="center"/>
    </xf>
    <xf numFmtId="0" fontId="6" fillId="0" borderId="131" xfId="0" applyFont="1" applyBorder="1" applyAlignment="1">
      <alignment horizontal="distributed" vertical="center"/>
    </xf>
    <xf numFmtId="0" fontId="2" fillId="0" borderId="51"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wrapText="1"/>
    </xf>
    <xf numFmtId="0" fontId="2" fillId="0" borderId="134" xfId="0" applyFont="1" applyBorder="1" applyAlignment="1">
      <alignment horizontal="distributed" vertical="center"/>
    </xf>
    <xf numFmtId="0" fontId="2" fillId="0" borderId="135" xfId="0" applyFont="1" applyBorder="1" applyAlignment="1">
      <alignment horizontal="center" vertical="center"/>
    </xf>
    <xf numFmtId="0" fontId="2" fillId="0" borderId="136" xfId="0" applyFont="1" applyBorder="1" applyAlignment="1">
      <alignment horizontal="distributed" vertical="center" wrapText="1"/>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0" xfId="0" applyFont="1" applyAlignment="1">
      <alignment horizontal="left" vertical="top"/>
    </xf>
    <xf numFmtId="0" fontId="2" fillId="0" borderId="138" xfId="0" applyFont="1" applyBorder="1" applyAlignment="1">
      <alignment horizontal="center" vertical="center"/>
    </xf>
    <xf numFmtId="0" fontId="2" fillId="0" borderId="41" xfId="0" applyFont="1" applyBorder="1" applyAlignment="1">
      <alignment horizontal="center" vertical="center"/>
    </xf>
    <xf numFmtId="0" fontId="2" fillId="0" borderId="139" xfId="0" applyFont="1" applyBorder="1" applyAlignment="1">
      <alignment horizontal="center" vertical="center"/>
    </xf>
    <xf numFmtId="0" fontId="2" fillId="0" borderId="133" xfId="0" applyFont="1" applyBorder="1" applyAlignment="1">
      <alignment horizontal="center" vertical="center"/>
    </xf>
    <xf numFmtId="0" fontId="2" fillId="0" borderId="140"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41" xfId="0" applyFont="1" applyBorder="1" applyAlignment="1">
      <alignment horizontal="center" vertical="center"/>
    </xf>
    <xf numFmtId="0" fontId="2" fillId="0" borderId="41" xfId="0" applyFont="1" applyBorder="1" applyAlignment="1">
      <alignment horizontal="left" vertical="center"/>
    </xf>
    <xf numFmtId="0" fontId="2" fillId="0" borderId="0" xfId="0" applyFont="1" applyAlignment="1">
      <alignment horizontal="left" vertical="center"/>
    </xf>
    <xf numFmtId="0" fontId="2" fillId="0" borderId="16" xfId="61" applyFont="1" applyBorder="1" applyAlignment="1">
      <alignment horizontal="distributed" vertical="center" wrapText="1"/>
      <protection/>
    </xf>
    <xf numFmtId="0" fontId="2" fillId="0" borderId="120" xfId="61" applyFont="1" applyBorder="1" applyAlignment="1">
      <alignment horizontal="distributed" vertical="center" wrapText="1"/>
      <protection/>
    </xf>
    <xf numFmtId="0" fontId="2" fillId="0" borderId="142" xfId="61" applyFont="1" applyBorder="1" applyAlignment="1">
      <alignment horizontal="distributed" vertical="center" wrapText="1"/>
      <protection/>
    </xf>
    <xf numFmtId="0" fontId="2" fillId="0" borderId="143" xfId="61" applyFont="1" applyBorder="1" applyAlignment="1">
      <alignment horizontal="center" vertical="center"/>
      <protection/>
    </xf>
    <xf numFmtId="0" fontId="2" fillId="0" borderId="144" xfId="61" applyFont="1" applyBorder="1" applyAlignment="1">
      <alignment horizontal="center" vertical="center"/>
      <protection/>
    </xf>
    <xf numFmtId="0" fontId="2" fillId="0" borderId="145" xfId="61" applyFont="1" applyBorder="1" applyAlignment="1">
      <alignment horizontal="center" vertical="center"/>
      <protection/>
    </xf>
    <xf numFmtId="0" fontId="2" fillId="0" borderId="41" xfId="61" applyFont="1" applyBorder="1" applyAlignment="1">
      <alignment horizontal="left" vertical="center"/>
      <protection/>
    </xf>
    <xf numFmtId="0" fontId="2" fillId="0" borderId="0" xfId="61" applyFont="1" applyAlignment="1">
      <alignment horizontal="left" vertical="center"/>
      <protection/>
    </xf>
    <xf numFmtId="0" fontId="2" fillId="0" borderId="127" xfId="61" applyFont="1" applyBorder="1" applyAlignment="1">
      <alignment horizontal="distributed" vertical="center"/>
      <protection/>
    </xf>
    <xf numFmtId="0" fontId="2" fillId="0" borderId="117" xfId="61" applyFont="1" applyBorder="1" applyAlignment="1">
      <alignment horizontal="distributed" vertical="center"/>
      <protection/>
    </xf>
    <xf numFmtId="0" fontId="2" fillId="0" borderId="146" xfId="61" applyFont="1" applyBorder="1" applyAlignment="1">
      <alignment horizontal="distributed" vertical="center"/>
      <protection/>
    </xf>
    <xf numFmtId="0" fontId="2" fillId="0" borderId="147" xfId="61" applyFont="1" applyBorder="1" applyAlignment="1">
      <alignment horizontal="center" vertical="center"/>
      <protection/>
    </xf>
    <xf numFmtId="0" fontId="2" fillId="0" borderId="148" xfId="61" applyFont="1" applyBorder="1" applyAlignment="1">
      <alignment horizontal="center" vertical="center"/>
      <protection/>
    </xf>
    <xf numFmtId="0" fontId="2" fillId="0" borderId="149" xfId="61" applyFont="1" applyBorder="1" applyAlignment="1">
      <alignment horizontal="center" vertical="center"/>
      <protection/>
    </xf>
    <xf numFmtId="0" fontId="2" fillId="0" borderId="150" xfId="61" applyFont="1" applyBorder="1" applyAlignment="1">
      <alignment horizontal="center" vertical="center"/>
      <protection/>
    </xf>
    <xf numFmtId="0" fontId="2" fillId="0" borderId="148" xfId="61" applyFont="1" applyBorder="1" applyAlignment="1">
      <alignment horizontal="center" vertical="center" wrapText="1"/>
      <protection/>
    </xf>
    <xf numFmtId="0" fontId="2" fillId="0" borderId="151" xfId="61" applyFont="1" applyBorder="1" applyAlignment="1">
      <alignment horizontal="left" vertical="center"/>
      <protection/>
    </xf>
    <xf numFmtId="0" fontId="2" fillId="0" borderId="147" xfId="61" applyFont="1" applyBorder="1" applyAlignment="1">
      <alignment horizontal="center" vertical="center" wrapText="1"/>
      <protection/>
    </xf>
    <xf numFmtId="0" fontId="2" fillId="0" borderId="152" xfId="61" applyFont="1" applyBorder="1" applyAlignment="1">
      <alignment horizontal="center" vertical="center"/>
      <protection/>
    </xf>
    <xf numFmtId="0" fontId="2" fillId="0" borderId="153" xfId="61" applyFont="1" applyBorder="1" applyAlignment="1">
      <alignment horizontal="center" vertical="center"/>
      <protection/>
    </xf>
    <xf numFmtId="0" fontId="2" fillId="0" borderId="154" xfId="61" applyFont="1" applyBorder="1" applyAlignment="1">
      <alignment horizontal="distributed" vertical="center" wrapText="1"/>
      <protection/>
    </xf>
    <xf numFmtId="0" fontId="2" fillId="0" borderId="155" xfId="61" applyFont="1" applyBorder="1" applyAlignment="1">
      <alignment horizontal="distributed" vertical="center"/>
      <protection/>
    </xf>
    <xf numFmtId="0" fontId="2" fillId="0" borderId="156" xfId="61" applyFont="1" applyBorder="1" applyAlignment="1">
      <alignment horizontal="distributed" vertical="center" wrapText="1"/>
      <protection/>
    </xf>
    <xf numFmtId="0" fontId="2" fillId="0" borderId="157" xfId="61" applyFont="1" applyBorder="1" applyAlignment="1">
      <alignment horizontal="distributed" vertical="center"/>
      <protection/>
    </xf>
    <xf numFmtId="0" fontId="2" fillId="0" borderId="158" xfId="61" applyFont="1" applyBorder="1" applyAlignment="1">
      <alignment horizontal="distributed" vertical="center" wrapText="1"/>
      <protection/>
    </xf>
    <xf numFmtId="0" fontId="2" fillId="0" borderId="159" xfId="61" applyFont="1" applyBorder="1" applyAlignment="1">
      <alignment horizontal="distributed" vertical="center" wrapText="1"/>
      <protection/>
    </xf>
    <xf numFmtId="0" fontId="2" fillId="0" borderId="56"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1.5039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3.125" style="1" customWidth="1"/>
    <col min="9" max="9" width="3.00390625" style="1" customWidth="1"/>
    <col min="10" max="10" width="6.75390625" style="1" customWidth="1"/>
    <col min="11" max="11" width="13.625" style="1" customWidth="1"/>
    <col min="12" max="16384" width="5.875" style="1" customWidth="1"/>
  </cols>
  <sheetData>
    <row r="1" spans="1:11" ht="15">
      <c r="A1" s="209" t="s">
        <v>0</v>
      </c>
      <c r="B1" s="209"/>
      <c r="C1" s="209"/>
      <c r="D1" s="209"/>
      <c r="E1" s="209"/>
      <c r="F1" s="209"/>
      <c r="G1" s="209"/>
      <c r="H1" s="209"/>
      <c r="I1" s="209"/>
      <c r="J1" s="209"/>
      <c r="K1" s="209"/>
    </row>
    <row r="2" spans="1:11" ht="15">
      <c r="A2" s="58"/>
      <c r="B2" s="58"/>
      <c r="C2" s="58"/>
      <c r="D2" s="58"/>
      <c r="E2" s="58"/>
      <c r="F2" s="58"/>
      <c r="G2" s="58"/>
      <c r="H2" s="58"/>
      <c r="I2" s="58"/>
      <c r="J2" s="58"/>
      <c r="K2" s="58"/>
    </row>
    <row r="3" spans="1:11" ht="12" thickBot="1">
      <c r="A3" s="220" t="s">
        <v>159</v>
      </c>
      <c r="B3" s="220"/>
      <c r="C3" s="220"/>
      <c r="D3" s="220"/>
      <c r="E3" s="220"/>
      <c r="F3" s="220"/>
      <c r="G3" s="220"/>
      <c r="H3" s="220"/>
      <c r="I3" s="220"/>
      <c r="J3" s="220"/>
      <c r="K3" s="220"/>
    </row>
    <row r="4" spans="1:11" ht="24" customHeight="1">
      <c r="A4" s="203" t="s">
        <v>1</v>
      </c>
      <c r="B4" s="204"/>
      <c r="C4" s="198" t="s">
        <v>160</v>
      </c>
      <c r="D4" s="199"/>
      <c r="E4" s="200"/>
      <c r="F4" s="198" t="s">
        <v>161</v>
      </c>
      <c r="G4" s="199"/>
      <c r="H4" s="200"/>
      <c r="I4" s="198" t="s">
        <v>162</v>
      </c>
      <c r="J4" s="199"/>
      <c r="K4" s="216"/>
    </row>
    <row r="5" spans="1:11" ht="24" customHeight="1">
      <c r="A5" s="205"/>
      <c r="B5" s="206"/>
      <c r="C5" s="201" t="s">
        <v>2</v>
      </c>
      <c r="D5" s="202"/>
      <c r="E5" s="6" t="s">
        <v>3</v>
      </c>
      <c r="F5" s="201" t="s">
        <v>2</v>
      </c>
      <c r="G5" s="202"/>
      <c r="H5" s="6" t="s">
        <v>3</v>
      </c>
      <c r="I5" s="201" t="s">
        <v>2</v>
      </c>
      <c r="J5" s="202"/>
      <c r="K5" s="15" t="s">
        <v>3</v>
      </c>
    </row>
    <row r="6" spans="1:11" ht="12" customHeight="1">
      <c r="A6" s="44"/>
      <c r="B6" s="47"/>
      <c r="C6" s="45"/>
      <c r="D6" s="37" t="s">
        <v>24</v>
      </c>
      <c r="E6" s="36" t="s">
        <v>23</v>
      </c>
      <c r="F6" s="45"/>
      <c r="G6" s="37" t="s">
        <v>24</v>
      </c>
      <c r="H6" s="36" t="s">
        <v>23</v>
      </c>
      <c r="I6" s="45"/>
      <c r="J6" s="37" t="s">
        <v>24</v>
      </c>
      <c r="K6" s="46" t="s">
        <v>23</v>
      </c>
    </row>
    <row r="7" spans="1:11" ht="30" customHeight="1">
      <c r="A7" s="217" t="s">
        <v>163</v>
      </c>
      <c r="B7" s="41" t="s">
        <v>164</v>
      </c>
      <c r="C7" s="16"/>
      <c r="D7" s="106">
        <v>84552</v>
      </c>
      <c r="E7" s="42">
        <v>77185772</v>
      </c>
      <c r="F7" s="19"/>
      <c r="G7" s="106">
        <v>385772</v>
      </c>
      <c r="H7" s="42">
        <v>6823170798</v>
      </c>
      <c r="I7" s="19"/>
      <c r="J7" s="106">
        <v>470324</v>
      </c>
      <c r="K7" s="43">
        <v>6900356570</v>
      </c>
    </row>
    <row r="8" spans="1:11" ht="30" customHeight="1">
      <c r="A8" s="218"/>
      <c r="B8" s="24" t="s">
        <v>165</v>
      </c>
      <c r="C8" s="16"/>
      <c r="D8" s="107">
        <v>147178</v>
      </c>
      <c r="E8" s="108">
        <v>70134221</v>
      </c>
      <c r="F8" s="19"/>
      <c r="G8" s="107">
        <v>155812</v>
      </c>
      <c r="H8" s="108">
        <v>96706296</v>
      </c>
      <c r="I8" s="19"/>
      <c r="J8" s="107">
        <v>302990</v>
      </c>
      <c r="K8" s="109">
        <v>166840517</v>
      </c>
    </row>
    <row r="9" spans="1:11" s="3" customFormat="1" ht="30" customHeight="1">
      <c r="A9" s="218"/>
      <c r="B9" s="25" t="s">
        <v>166</v>
      </c>
      <c r="C9" s="17"/>
      <c r="D9" s="110">
        <v>231730</v>
      </c>
      <c r="E9" s="111">
        <v>147319992</v>
      </c>
      <c r="F9" s="17"/>
      <c r="G9" s="110">
        <v>541584</v>
      </c>
      <c r="H9" s="111">
        <v>6919877094</v>
      </c>
      <c r="I9" s="17"/>
      <c r="J9" s="110">
        <v>773314</v>
      </c>
      <c r="K9" s="112">
        <v>7067197087</v>
      </c>
    </row>
    <row r="10" spans="1:11" ht="30" customHeight="1">
      <c r="A10" s="219"/>
      <c r="B10" s="26" t="s">
        <v>167</v>
      </c>
      <c r="C10" s="16"/>
      <c r="D10" s="113">
        <v>7304</v>
      </c>
      <c r="E10" s="114">
        <v>11117846</v>
      </c>
      <c r="F10" s="16"/>
      <c r="G10" s="113">
        <v>53509</v>
      </c>
      <c r="H10" s="114">
        <v>2134273947</v>
      </c>
      <c r="I10" s="16"/>
      <c r="J10" s="113">
        <v>60813</v>
      </c>
      <c r="K10" s="115">
        <v>2145391793</v>
      </c>
    </row>
    <row r="11" spans="1:11" ht="30" customHeight="1">
      <c r="A11" s="214" t="s">
        <v>168</v>
      </c>
      <c r="B11" s="59" t="s">
        <v>169</v>
      </c>
      <c r="C11" s="9"/>
      <c r="D11" s="116">
        <v>18728</v>
      </c>
      <c r="E11" s="21">
        <v>4749454</v>
      </c>
      <c r="F11" s="38"/>
      <c r="G11" s="117">
        <v>29924</v>
      </c>
      <c r="H11" s="21">
        <v>30611900</v>
      </c>
      <c r="I11" s="38"/>
      <c r="J11" s="117">
        <v>48652</v>
      </c>
      <c r="K11" s="22">
        <v>35361354</v>
      </c>
    </row>
    <row r="12" spans="1:11" ht="30" customHeight="1">
      <c r="A12" s="215"/>
      <c r="B12" s="60" t="s">
        <v>170</v>
      </c>
      <c r="C12" s="39"/>
      <c r="D12" s="107">
        <v>3335</v>
      </c>
      <c r="E12" s="108">
        <v>775786</v>
      </c>
      <c r="F12" s="40"/>
      <c r="G12" s="118">
        <v>6174</v>
      </c>
      <c r="H12" s="108">
        <v>19944834</v>
      </c>
      <c r="I12" s="40"/>
      <c r="J12" s="118">
        <v>9509</v>
      </c>
      <c r="K12" s="109">
        <v>20720620</v>
      </c>
    </row>
    <row r="13" spans="1:11" s="3" customFormat="1" ht="30" customHeight="1">
      <c r="A13" s="210" t="s">
        <v>6</v>
      </c>
      <c r="B13" s="211"/>
      <c r="C13" s="27" t="s">
        <v>14</v>
      </c>
      <c r="D13" s="119">
        <v>248776</v>
      </c>
      <c r="E13" s="120">
        <v>140175814</v>
      </c>
      <c r="F13" s="27" t="s">
        <v>14</v>
      </c>
      <c r="G13" s="119">
        <v>601449</v>
      </c>
      <c r="H13" s="120">
        <v>4796270213</v>
      </c>
      <c r="I13" s="27" t="s">
        <v>14</v>
      </c>
      <c r="J13" s="119">
        <v>850225</v>
      </c>
      <c r="K13" s="121">
        <v>4936446027</v>
      </c>
    </row>
    <row r="14" spans="1:11" ht="30" customHeight="1" thickBot="1">
      <c r="A14" s="212" t="s">
        <v>7</v>
      </c>
      <c r="B14" s="213"/>
      <c r="C14" s="18"/>
      <c r="D14" s="122">
        <v>18054</v>
      </c>
      <c r="E14" s="123">
        <v>805557</v>
      </c>
      <c r="F14" s="20"/>
      <c r="G14" s="122">
        <v>24343</v>
      </c>
      <c r="H14" s="123">
        <v>3654037</v>
      </c>
      <c r="I14" s="20"/>
      <c r="J14" s="122">
        <v>42397</v>
      </c>
      <c r="K14" s="124">
        <v>4459594</v>
      </c>
    </row>
    <row r="15" spans="1:11" s="4" customFormat="1" ht="37.5" customHeight="1">
      <c r="A15" s="57" t="s">
        <v>156</v>
      </c>
      <c r="B15" s="207" t="s">
        <v>182</v>
      </c>
      <c r="C15" s="207"/>
      <c r="D15" s="207"/>
      <c r="E15" s="207"/>
      <c r="F15" s="207"/>
      <c r="G15" s="207"/>
      <c r="H15" s="207"/>
      <c r="I15" s="207"/>
      <c r="J15" s="207"/>
      <c r="K15" s="207"/>
    </row>
    <row r="16" spans="2:11" ht="45" customHeight="1">
      <c r="B16" s="208" t="s">
        <v>183</v>
      </c>
      <c r="C16" s="208"/>
      <c r="D16" s="208"/>
      <c r="E16" s="208"/>
      <c r="F16" s="208"/>
      <c r="G16" s="208"/>
      <c r="H16" s="208"/>
      <c r="I16" s="208"/>
      <c r="J16" s="208"/>
      <c r="K16" s="208"/>
    </row>
    <row r="17" spans="1:2" ht="14.25" customHeight="1">
      <c r="A17" s="1" t="s">
        <v>188</v>
      </c>
      <c r="B17" s="1" t="s">
        <v>157</v>
      </c>
    </row>
    <row r="18" spans="1:2" ht="11.25">
      <c r="A18" s="63" t="s">
        <v>189</v>
      </c>
      <c r="B18" s="1" t="s">
        <v>158</v>
      </c>
    </row>
  </sheetData>
  <sheetProtection/>
  <mergeCells count="15">
    <mergeCell ref="A1:K1"/>
    <mergeCell ref="A13:B13"/>
    <mergeCell ref="A14:B14"/>
    <mergeCell ref="A11:A12"/>
    <mergeCell ref="I4:K4"/>
    <mergeCell ref="A7:A10"/>
    <mergeCell ref="A3:K3"/>
    <mergeCell ref="I5:J5"/>
    <mergeCell ref="C4:E4"/>
    <mergeCell ref="F4:H4"/>
    <mergeCell ref="C5:D5"/>
    <mergeCell ref="F5:G5"/>
    <mergeCell ref="A4:B5"/>
    <mergeCell ref="B15:K15"/>
    <mergeCell ref="B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&amp;R東京国税局
消費税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62" customWidth="1"/>
    <col min="2" max="2" width="15.625" style="62" customWidth="1"/>
    <col min="3" max="3" width="8.625" style="62" customWidth="1"/>
    <col min="4" max="4" width="10.625" style="62" customWidth="1"/>
    <col min="5" max="5" width="8.625" style="62" customWidth="1"/>
    <col min="6" max="6" width="12.875" style="62" bestFit="1" customWidth="1"/>
    <col min="7" max="7" width="8.625" style="62" customWidth="1"/>
    <col min="8" max="8" width="12.875" style="62" bestFit="1" customWidth="1"/>
    <col min="9" max="16384" width="9.00390625" style="62" customWidth="1"/>
  </cols>
  <sheetData>
    <row r="1" s="1" customFormat="1" ht="12" thickBot="1">
      <c r="A1" s="1" t="s">
        <v>25</v>
      </c>
    </row>
    <row r="2" spans="1:8" s="1" customFormat="1" ht="15" customHeight="1">
      <c r="A2" s="203" t="s">
        <v>1</v>
      </c>
      <c r="B2" s="204"/>
      <c r="C2" s="221" t="s">
        <v>15</v>
      </c>
      <c r="D2" s="221"/>
      <c r="E2" s="221" t="s">
        <v>18</v>
      </c>
      <c r="F2" s="221"/>
      <c r="G2" s="222" t="s">
        <v>19</v>
      </c>
      <c r="H2" s="223"/>
    </row>
    <row r="3" spans="1:8" s="1" customFormat="1" ht="15" customHeight="1">
      <c r="A3" s="205"/>
      <c r="B3" s="206"/>
      <c r="C3" s="9" t="s">
        <v>20</v>
      </c>
      <c r="D3" s="6" t="s">
        <v>21</v>
      </c>
      <c r="E3" s="9" t="s">
        <v>20</v>
      </c>
      <c r="F3" s="7" t="s">
        <v>21</v>
      </c>
      <c r="G3" s="9" t="s">
        <v>20</v>
      </c>
      <c r="H3" s="8" t="s">
        <v>21</v>
      </c>
    </row>
    <row r="4" spans="1:8" s="10" customFormat="1" ht="15" customHeight="1">
      <c r="A4" s="49"/>
      <c r="B4" s="6"/>
      <c r="C4" s="50" t="s">
        <v>4</v>
      </c>
      <c r="D4" s="51" t="s">
        <v>5</v>
      </c>
      <c r="E4" s="50" t="s">
        <v>4</v>
      </c>
      <c r="F4" s="51" t="s">
        <v>5</v>
      </c>
      <c r="G4" s="50" t="s">
        <v>4</v>
      </c>
      <c r="H4" s="52" t="s">
        <v>5</v>
      </c>
    </row>
    <row r="5" spans="1:8" s="61" customFormat="1" ht="30" customHeight="1">
      <c r="A5" s="226" t="s">
        <v>26</v>
      </c>
      <c r="B5" s="41" t="s">
        <v>12</v>
      </c>
      <c r="C5" s="48">
        <v>248682</v>
      </c>
      <c r="D5" s="42">
        <v>95315802</v>
      </c>
      <c r="E5" s="48">
        <v>545806</v>
      </c>
      <c r="F5" s="42">
        <v>4195113592</v>
      </c>
      <c r="G5" s="48">
        <v>794488</v>
      </c>
      <c r="H5" s="43">
        <v>4290429394</v>
      </c>
    </row>
    <row r="6" spans="1:8" s="61" customFormat="1" ht="30" customHeight="1">
      <c r="A6" s="227"/>
      <c r="B6" s="26" t="s">
        <v>13</v>
      </c>
      <c r="C6" s="29">
        <v>6013</v>
      </c>
      <c r="D6" s="30">
        <v>4441122</v>
      </c>
      <c r="E6" s="29">
        <v>46170</v>
      </c>
      <c r="F6" s="30">
        <v>1204316116</v>
      </c>
      <c r="G6" s="29">
        <v>52183</v>
      </c>
      <c r="H6" s="31">
        <v>1208757237</v>
      </c>
    </row>
    <row r="7" spans="1:8" s="61" customFormat="1" ht="30" customHeight="1">
      <c r="A7" s="228" t="s">
        <v>154</v>
      </c>
      <c r="B7" s="23" t="s">
        <v>12</v>
      </c>
      <c r="C7" s="28">
        <v>235575</v>
      </c>
      <c r="D7" s="21">
        <v>94392719</v>
      </c>
      <c r="E7" s="28">
        <v>538562</v>
      </c>
      <c r="F7" s="21">
        <v>4196439370</v>
      </c>
      <c r="G7" s="28">
        <v>774137</v>
      </c>
      <c r="H7" s="22">
        <v>4290832089</v>
      </c>
    </row>
    <row r="8" spans="1:8" s="61" customFormat="1" ht="30" customHeight="1">
      <c r="A8" s="227"/>
      <c r="B8" s="26" t="s">
        <v>13</v>
      </c>
      <c r="C8" s="29">
        <v>5557</v>
      </c>
      <c r="D8" s="30">
        <v>4342149</v>
      </c>
      <c r="E8" s="29">
        <v>44769</v>
      </c>
      <c r="F8" s="30">
        <v>1128974442</v>
      </c>
      <c r="G8" s="29">
        <v>50326</v>
      </c>
      <c r="H8" s="31">
        <v>1133316591</v>
      </c>
    </row>
    <row r="9" spans="1:8" s="61" customFormat="1" ht="30" customHeight="1">
      <c r="A9" s="228" t="s">
        <v>155</v>
      </c>
      <c r="B9" s="23" t="s">
        <v>12</v>
      </c>
      <c r="C9" s="28">
        <v>230025</v>
      </c>
      <c r="D9" s="21">
        <v>94061605</v>
      </c>
      <c r="E9" s="28">
        <v>536099</v>
      </c>
      <c r="F9" s="21">
        <v>4275817752</v>
      </c>
      <c r="G9" s="28">
        <v>766124</v>
      </c>
      <c r="H9" s="22">
        <v>4369879357</v>
      </c>
    </row>
    <row r="10" spans="1:8" s="61" customFormat="1" ht="30" customHeight="1">
      <c r="A10" s="227"/>
      <c r="B10" s="26" t="s">
        <v>13</v>
      </c>
      <c r="C10" s="29">
        <v>5893</v>
      </c>
      <c r="D10" s="30">
        <v>5439994</v>
      </c>
      <c r="E10" s="29">
        <v>46112</v>
      </c>
      <c r="F10" s="30">
        <v>1229022101</v>
      </c>
      <c r="G10" s="29">
        <v>52005</v>
      </c>
      <c r="H10" s="31">
        <v>1234462095</v>
      </c>
    </row>
    <row r="11" spans="1:8" s="61" customFormat="1" ht="30" customHeight="1">
      <c r="A11" s="228" t="s">
        <v>181</v>
      </c>
      <c r="B11" s="23" t="s">
        <v>12</v>
      </c>
      <c r="C11" s="28">
        <v>230373</v>
      </c>
      <c r="D11" s="21">
        <v>131569900</v>
      </c>
      <c r="E11" s="28">
        <v>538063</v>
      </c>
      <c r="F11" s="21">
        <v>6259806616</v>
      </c>
      <c r="G11" s="28">
        <v>768436</v>
      </c>
      <c r="H11" s="22">
        <v>6391376516</v>
      </c>
    </row>
    <row r="12" spans="1:8" s="61" customFormat="1" ht="30" customHeight="1">
      <c r="A12" s="227"/>
      <c r="B12" s="26" t="s">
        <v>13</v>
      </c>
      <c r="C12" s="29">
        <v>6715</v>
      </c>
      <c r="D12" s="30">
        <v>8743154</v>
      </c>
      <c r="E12" s="29">
        <v>50053</v>
      </c>
      <c r="F12" s="30">
        <v>2160825496</v>
      </c>
      <c r="G12" s="29">
        <v>56768</v>
      </c>
      <c r="H12" s="31">
        <v>2169568650</v>
      </c>
    </row>
    <row r="13" spans="1:8" s="1" customFormat="1" ht="30" customHeight="1">
      <c r="A13" s="224" t="s">
        <v>184</v>
      </c>
      <c r="B13" s="23" t="s">
        <v>12</v>
      </c>
      <c r="C13" s="28">
        <v>231730</v>
      </c>
      <c r="D13" s="21">
        <v>147319992</v>
      </c>
      <c r="E13" s="28">
        <v>541584</v>
      </c>
      <c r="F13" s="21">
        <v>6919877094</v>
      </c>
      <c r="G13" s="28">
        <v>773314</v>
      </c>
      <c r="H13" s="22">
        <v>7067197087</v>
      </c>
    </row>
    <row r="14" spans="1:8" s="1" customFormat="1" ht="30" customHeight="1" thickBot="1">
      <c r="A14" s="225"/>
      <c r="B14" s="32" t="s">
        <v>13</v>
      </c>
      <c r="C14" s="33">
        <v>7304</v>
      </c>
      <c r="D14" s="34">
        <v>11117846</v>
      </c>
      <c r="E14" s="33">
        <v>53509</v>
      </c>
      <c r="F14" s="34">
        <v>2134273947</v>
      </c>
      <c r="G14" s="33">
        <v>60813</v>
      </c>
      <c r="H14" s="35">
        <v>2145391793</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62" customWidth="1"/>
    <col min="3" max="3" width="23.625" style="62" customWidth="1"/>
    <col min="4" max="4" width="18.625" style="62" customWidth="1"/>
    <col min="5" max="16384" width="9.00390625" style="62" customWidth="1"/>
  </cols>
  <sheetData>
    <row r="1" s="1" customFormat="1" ht="20.25" customHeight="1" thickBot="1">
      <c r="A1" s="1" t="s">
        <v>22</v>
      </c>
    </row>
    <row r="2" spans="1:4" s="4" customFormat="1" ht="19.5" customHeight="1">
      <c r="A2" s="11" t="s">
        <v>8</v>
      </c>
      <c r="B2" s="12" t="s">
        <v>9</v>
      </c>
      <c r="C2" s="14" t="s">
        <v>10</v>
      </c>
      <c r="D2" s="13" t="s">
        <v>17</v>
      </c>
    </row>
    <row r="3" spans="1:4" s="10" customFormat="1" ht="15" customHeight="1">
      <c r="A3" s="53" t="s">
        <v>4</v>
      </c>
      <c r="B3" s="54" t="s">
        <v>4</v>
      </c>
      <c r="C3" s="55" t="s">
        <v>4</v>
      </c>
      <c r="D3" s="56" t="s">
        <v>4</v>
      </c>
    </row>
    <row r="4" spans="1:9" s="4" customFormat="1" ht="30" customHeight="1" thickBot="1">
      <c r="A4" s="156">
        <v>854459</v>
      </c>
      <c r="B4" s="157">
        <v>39312</v>
      </c>
      <c r="C4" s="158">
        <v>6762</v>
      </c>
      <c r="D4" s="159">
        <v>900533</v>
      </c>
      <c r="E4" s="5"/>
      <c r="G4" s="5"/>
      <c r="I4" s="5"/>
    </row>
    <row r="5" spans="1:4" s="4" customFormat="1" ht="15" customHeight="1">
      <c r="A5" s="229" t="s">
        <v>185</v>
      </c>
      <c r="B5" s="229"/>
      <c r="C5" s="229"/>
      <c r="D5" s="229"/>
    </row>
    <row r="6" spans="1:4" s="4" customFormat="1" ht="15" customHeight="1">
      <c r="A6" s="230" t="s">
        <v>11</v>
      </c>
      <c r="B6" s="230"/>
      <c r="C6" s="230"/>
      <c r="D6" s="230"/>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(H27)</oddFooter>
  </headerFooter>
</worksheet>
</file>

<file path=xl/worksheets/sheet4.xml><?xml version="1.0" encoding="utf-8"?>
<worksheet xmlns="http://schemas.openxmlformats.org/spreadsheetml/2006/main" xmlns:r="http://schemas.openxmlformats.org/officeDocument/2006/relationships">
  <dimension ref="A1:O131"/>
  <sheetViews>
    <sheetView showGridLines="0" zoomScaleSheetLayoutView="115" zoomScalePageLayoutView="0" workbookViewId="0" topLeftCell="A1">
      <selection activeCell="A1" sqref="A1"/>
    </sheetView>
  </sheetViews>
  <sheetFormatPr defaultColWidth="9.00390625" defaultRowHeight="13.5"/>
  <cols>
    <col min="1" max="1" width="11.37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4" width="11.375" style="125" customWidth="1"/>
    <col min="15" max="16384" width="9.00390625" style="125" customWidth="1"/>
  </cols>
  <sheetData>
    <row r="1" spans="1:14" ht="13.5">
      <c r="A1" s="64" t="s">
        <v>137</v>
      </c>
      <c r="B1" s="64"/>
      <c r="C1" s="64"/>
      <c r="D1" s="64"/>
      <c r="E1" s="64"/>
      <c r="F1" s="64"/>
      <c r="G1" s="64"/>
      <c r="H1" s="65"/>
      <c r="I1" s="65"/>
      <c r="J1" s="65"/>
      <c r="K1" s="65"/>
      <c r="L1" s="65"/>
      <c r="M1" s="65"/>
      <c r="N1" s="65"/>
    </row>
    <row r="2" spans="1:14" ht="14.25" thickBot="1">
      <c r="A2" s="238" t="s">
        <v>138</v>
      </c>
      <c r="B2" s="238"/>
      <c r="C2" s="238"/>
      <c r="D2" s="238"/>
      <c r="E2" s="238"/>
      <c r="F2" s="238"/>
      <c r="G2" s="238"/>
      <c r="H2" s="65"/>
      <c r="I2" s="65"/>
      <c r="J2" s="65"/>
      <c r="K2" s="65"/>
      <c r="L2" s="65"/>
      <c r="M2" s="65"/>
      <c r="N2" s="65"/>
    </row>
    <row r="3" spans="1:14" ht="19.5" customHeight="1">
      <c r="A3" s="239" t="s">
        <v>28</v>
      </c>
      <c r="B3" s="242" t="s">
        <v>29</v>
      </c>
      <c r="C3" s="242"/>
      <c r="D3" s="242"/>
      <c r="E3" s="242"/>
      <c r="F3" s="242"/>
      <c r="G3" s="242"/>
      <c r="H3" s="243" t="s">
        <v>13</v>
      </c>
      <c r="I3" s="244"/>
      <c r="J3" s="246" t="s">
        <v>30</v>
      </c>
      <c r="K3" s="244"/>
      <c r="L3" s="243" t="s">
        <v>31</v>
      </c>
      <c r="M3" s="244"/>
      <c r="N3" s="231" t="s">
        <v>139</v>
      </c>
    </row>
    <row r="4" spans="1:14" ht="17.25" customHeight="1">
      <c r="A4" s="240"/>
      <c r="B4" s="234" t="s">
        <v>16</v>
      </c>
      <c r="C4" s="234"/>
      <c r="D4" s="235" t="s">
        <v>33</v>
      </c>
      <c r="E4" s="236"/>
      <c r="F4" s="235" t="s">
        <v>34</v>
      </c>
      <c r="G4" s="236"/>
      <c r="H4" s="235"/>
      <c r="I4" s="245"/>
      <c r="J4" s="235"/>
      <c r="K4" s="245"/>
      <c r="L4" s="235"/>
      <c r="M4" s="245"/>
      <c r="N4" s="232"/>
    </row>
    <row r="5" spans="1:14" s="154" customFormat="1" ht="28.5" customHeight="1">
      <c r="A5" s="241"/>
      <c r="B5" s="67" t="s">
        <v>37</v>
      </c>
      <c r="C5" s="68" t="s">
        <v>140</v>
      </c>
      <c r="D5" s="67" t="s">
        <v>37</v>
      </c>
      <c r="E5" s="68" t="s">
        <v>140</v>
      </c>
      <c r="F5" s="67" t="s">
        <v>37</v>
      </c>
      <c r="G5" s="68" t="s">
        <v>141</v>
      </c>
      <c r="H5" s="67" t="s">
        <v>37</v>
      </c>
      <c r="I5" s="87" t="s">
        <v>142</v>
      </c>
      <c r="J5" s="67" t="s">
        <v>37</v>
      </c>
      <c r="K5" s="87" t="s">
        <v>143</v>
      </c>
      <c r="L5" s="67" t="s">
        <v>37</v>
      </c>
      <c r="M5" s="88" t="s">
        <v>144</v>
      </c>
      <c r="N5" s="233"/>
    </row>
    <row r="6" spans="1:14" s="92" customFormat="1" ht="10.5">
      <c r="A6" s="101"/>
      <c r="B6" s="102" t="s">
        <v>4</v>
      </c>
      <c r="C6" s="72" t="s">
        <v>5</v>
      </c>
      <c r="D6" s="102" t="s">
        <v>4</v>
      </c>
      <c r="E6" s="72" t="s">
        <v>5</v>
      </c>
      <c r="F6" s="102" t="s">
        <v>4</v>
      </c>
      <c r="G6" s="72" t="s">
        <v>5</v>
      </c>
      <c r="H6" s="102" t="s">
        <v>4</v>
      </c>
      <c r="I6" s="89" t="s">
        <v>5</v>
      </c>
      <c r="J6" s="102" t="s">
        <v>4</v>
      </c>
      <c r="K6" s="89" t="s">
        <v>5</v>
      </c>
      <c r="L6" s="102" t="s">
        <v>4</v>
      </c>
      <c r="M6" s="89" t="s">
        <v>5</v>
      </c>
      <c r="N6" s="96"/>
    </row>
    <row r="7" spans="1:14" s="93" customFormat="1" ht="15.75" customHeight="1">
      <c r="A7" s="98" t="s">
        <v>40</v>
      </c>
      <c r="B7" s="126">
        <f>_xlfn.COMPOUNDVALUE(1)</f>
        <v>1016</v>
      </c>
      <c r="C7" s="127">
        <v>759042</v>
      </c>
      <c r="D7" s="126">
        <f>_xlfn.COMPOUNDVALUE(2)</f>
        <v>1560</v>
      </c>
      <c r="E7" s="127">
        <v>803529</v>
      </c>
      <c r="F7" s="126">
        <f>_xlfn.COMPOUNDVALUE(3)</f>
        <v>2576</v>
      </c>
      <c r="G7" s="127">
        <v>1562571</v>
      </c>
      <c r="H7" s="126">
        <f>_xlfn.COMPOUNDVALUE(4)</f>
        <v>93</v>
      </c>
      <c r="I7" s="128">
        <v>153216</v>
      </c>
      <c r="J7" s="126">
        <v>303</v>
      </c>
      <c r="K7" s="128">
        <v>106953</v>
      </c>
      <c r="L7" s="126">
        <v>2802</v>
      </c>
      <c r="M7" s="128">
        <v>1516308</v>
      </c>
      <c r="N7" s="100" t="s">
        <v>40</v>
      </c>
    </row>
    <row r="8" spans="1:14" s="93" customFormat="1" ht="15.75" customHeight="1">
      <c r="A8" s="76" t="s">
        <v>41</v>
      </c>
      <c r="B8" s="126">
        <f>_xlfn.COMPOUNDVALUE(5)</f>
        <v>965</v>
      </c>
      <c r="C8" s="127">
        <v>537760</v>
      </c>
      <c r="D8" s="126">
        <f>_xlfn.COMPOUNDVALUE(6)</f>
        <v>1514</v>
      </c>
      <c r="E8" s="127">
        <v>663727</v>
      </c>
      <c r="F8" s="126">
        <f>_xlfn.COMPOUNDVALUE(7)</f>
        <v>2479</v>
      </c>
      <c r="G8" s="127">
        <v>1201487</v>
      </c>
      <c r="H8" s="126">
        <f>_xlfn.COMPOUNDVALUE(8)</f>
        <v>97</v>
      </c>
      <c r="I8" s="128">
        <v>81369</v>
      </c>
      <c r="J8" s="126">
        <v>229</v>
      </c>
      <c r="K8" s="128">
        <v>52587</v>
      </c>
      <c r="L8" s="126">
        <v>2746</v>
      </c>
      <c r="M8" s="128">
        <v>1172706</v>
      </c>
      <c r="N8" s="86" t="s">
        <v>41</v>
      </c>
    </row>
    <row r="9" spans="1:14" s="93" customFormat="1" ht="15.75" customHeight="1">
      <c r="A9" s="76" t="s">
        <v>42</v>
      </c>
      <c r="B9" s="126">
        <f>_xlfn.COMPOUNDVALUE(9)</f>
        <v>1021</v>
      </c>
      <c r="C9" s="127">
        <v>698785</v>
      </c>
      <c r="D9" s="126">
        <f>_xlfn.COMPOUNDVALUE(10)</f>
        <v>1844</v>
      </c>
      <c r="E9" s="127">
        <v>847610</v>
      </c>
      <c r="F9" s="126">
        <f>_xlfn.COMPOUNDVALUE(11)</f>
        <v>2865</v>
      </c>
      <c r="G9" s="127">
        <v>1546394</v>
      </c>
      <c r="H9" s="126">
        <f>_xlfn.COMPOUNDVALUE(12)</f>
        <v>112</v>
      </c>
      <c r="I9" s="128">
        <v>181068</v>
      </c>
      <c r="J9" s="126">
        <v>428</v>
      </c>
      <c r="K9" s="128">
        <v>67864</v>
      </c>
      <c r="L9" s="126">
        <v>3170</v>
      </c>
      <c r="M9" s="128">
        <v>1433191</v>
      </c>
      <c r="N9" s="86" t="s">
        <v>42</v>
      </c>
    </row>
    <row r="10" spans="1:14" s="93" customFormat="1" ht="15.75" customHeight="1">
      <c r="A10" s="76" t="s">
        <v>43</v>
      </c>
      <c r="B10" s="126">
        <f>_xlfn.COMPOUNDVALUE(13)</f>
        <v>830</v>
      </c>
      <c r="C10" s="127">
        <v>648130</v>
      </c>
      <c r="D10" s="126">
        <f>_xlfn.COMPOUNDVALUE(14)</f>
        <v>2521</v>
      </c>
      <c r="E10" s="127">
        <v>936817</v>
      </c>
      <c r="F10" s="126">
        <f>_xlfn.COMPOUNDVALUE(15)</f>
        <v>3351</v>
      </c>
      <c r="G10" s="127">
        <v>1584947</v>
      </c>
      <c r="H10" s="126">
        <f>_xlfn.COMPOUNDVALUE(16)</f>
        <v>49</v>
      </c>
      <c r="I10" s="128">
        <v>61334</v>
      </c>
      <c r="J10" s="126">
        <v>193</v>
      </c>
      <c r="K10" s="128">
        <v>28614</v>
      </c>
      <c r="L10" s="126">
        <v>3488</v>
      </c>
      <c r="M10" s="128">
        <v>1552227</v>
      </c>
      <c r="N10" s="86" t="s">
        <v>43</v>
      </c>
    </row>
    <row r="11" spans="1:14" s="93" customFormat="1" ht="15.75" customHeight="1">
      <c r="A11" s="76" t="s">
        <v>44</v>
      </c>
      <c r="B11" s="126">
        <f>_xlfn.COMPOUNDVALUE(17)</f>
        <v>1362</v>
      </c>
      <c r="C11" s="127">
        <v>986623</v>
      </c>
      <c r="D11" s="126">
        <f>_xlfn.COMPOUNDVALUE(18)</f>
        <v>2283</v>
      </c>
      <c r="E11" s="127">
        <v>1070843</v>
      </c>
      <c r="F11" s="126">
        <f>_xlfn.COMPOUNDVALUE(19)</f>
        <v>3645</v>
      </c>
      <c r="G11" s="127">
        <v>2057466</v>
      </c>
      <c r="H11" s="126">
        <f>_xlfn.COMPOUNDVALUE(20)</f>
        <v>150</v>
      </c>
      <c r="I11" s="128">
        <v>157778</v>
      </c>
      <c r="J11" s="126">
        <v>321</v>
      </c>
      <c r="K11" s="128">
        <v>59577</v>
      </c>
      <c r="L11" s="126">
        <v>3929</v>
      </c>
      <c r="M11" s="128">
        <v>1959265</v>
      </c>
      <c r="N11" s="86" t="s">
        <v>44</v>
      </c>
    </row>
    <row r="12" spans="1:14" s="93" customFormat="1" ht="15.75" customHeight="1">
      <c r="A12" s="76"/>
      <c r="B12" s="126"/>
      <c r="C12" s="127"/>
      <c r="D12" s="126"/>
      <c r="E12" s="127"/>
      <c r="F12" s="126"/>
      <c r="G12" s="127"/>
      <c r="H12" s="126"/>
      <c r="I12" s="128"/>
      <c r="J12" s="126"/>
      <c r="K12" s="128"/>
      <c r="L12" s="126"/>
      <c r="M12" s="128"/>
      <c r="N12" s="86" t="s">
        <v>39</v>
      </c>
    </row>
    <row r="13" spans="1:14" s="93" customFormat="1" ht="15.75" customHeight="1">
      <c r="A13" s="76" t="s">
        <v>45</v>
      </c>
      <c r="B13" s="126">
        <f>_xlfn.COMPOUNDVALUE(21)</f>
        <v>1137</v>
      </c>
      <c r="C13" s="127">
        <v>733537</v>
      </c>
      <c r="D13" s="126">
        <f>_xlfn.COMPOUNDVALUE(22)</f>
        <v>2048</v>
      </c>
      <c r="E13" s="127">
        <v>935937</v>
      </c>
      <c r="F13" s="126">
        <f>_xlfn.COMPOUNDVALUE(23)</f>
        <v>3185</v>
      </c>
      <c r="G13" s="127">
        <v>1669474</v>
      </c>
      <c r="H13" s="126">
        <f>_xlfn.COMPOUNDVALUE(24)</f>
        <v>94</v>
      </c>
      <c r="I13" s="128">
        <v>200792</v>
      </c>
      <c r="J13" s="126">
        <v>329</v>
      </c>
      <c r="K13" s="128">
        <v>59180</v>
      </c>
      <c r="L13" s="126">
        <v>3445</v>
      </c>
      <c r="M13" s="128">
        <v>1527862</v>
      </c>
      <c r="N13" s="86" t="s">
        <v>45</v>
      </c>
    </row>
    <row r="14" spans="1:14" s="93" customFormat="1" ht="15.75" customHeight="1">
      <c r="A14" s="76" t="s">
        <v>46</v>
      </c>
      <c r="B14" s="126">
        <f>_xlfn.COMPOUNDVALUE(25)</f>
        <v>564</v>
      </c>
      <c r="C14" s="127">
        <v>312127</v>
      </c>
      <c r="D14" s="126">
        <f>_xlfn.COMPOUNDVALUE(26)</f>
        <v>987</v>
      </c>
      <c r="E14" s="127">
        <v>359524</v>
      </c>
      <c r="F14" s="126">
        <f>_xlfn.COMPOUNDVALUE(27)</f>
        <v>1551</v>
      </c>
      <c r="G14" s="127">
        <v>671650</v>
      </c>
      <c r="H14" s="126">
        <f>_xlfn.COMPOUNDVALUE(28)</f>
        <v>34</v>
      </c>
      <c r="I14" s="128">
        <v>21530</v>
      </c>
      <c r="J14" s="126">
        <v>190</v>
      </c>
      <c r="K14" s="128">
        <v>19482</v>
      </c>
      <c r="L14" s="126">
        <v>1652</v>
      </c>
      <c r="M14" s="128">
        <v>669603</v>
      </c>
      <c r="N14" s="86" t="s">
        <v>46</v>
      </c>
    </row>
    <row r="15" spans="1:14" s="93" customFormat="1" ht="15.75" customHeight="1">
      <c r="A15" s="76" t="s">
        <v>47</v>
      </c>
      <c r="B15" s="126">
        <f>_xlfn.COMPOUNDVALUE(29)</f>
        <v>838</v>
      </c>
      <c r="C15" s="127">
        <v>497860</v>
      </c>
      <c r="D15" s="126">
        <f>_xlfn.COMPOUNDVALUE(30)</f>
        <v>1567</v>
      </c>
      <c r="E15" s="127">
        <v>635495</v>
      </c>
      <c r="F15" s="126">
        <f>_xlfn.COMPOUNDVALUE(31)</f>
        <v>2405</v>
      </c>
      <c r="G15" s="127">
        <v>1133355</v>
      </c>
      <c r="H15" s="126">
        <f>_xlfn.COMPOUNDVALUE(32)</f>
        <v>76</v>
      </c>
      <c r="I15" s="128">
        <v>89431</v>
      </c>
      <c r="J15" s="126">
        <v>376</v>
      </c>
      <c r="K15" s="128">
        <v>51898</v>
      </c>
      <c r="L15" s="126">
        <v>2644</v>
      </c>
      <c r="M15" s="128">
        <v>1095822</v>
      </c>
      <c r="N15" s="86" t="s">
        <v>47</v>
      </c>
    </row>
    <row r="16" spans="1:14" s="93" customFormat="1" ht="15.75" customHeight="1">
      <c r="A16" s="78" t="s">
        <v>48</v>
      </c>
      <c r="B16" s="131">
        <f>_xlfn.COMPOUNDVALUE(33)</f>
        <v>1548</v>
      </c>
      <c r="C16" s="132">
        <v>1082018</v>
      </c>
      <c r="D16" s="131">
        <f>_xlfn.COMPOUNDVALUE(34)</f>
        <v>2807</v>
      </c>
      <c r="E16" s="132">
        <v>1268690</v>
      </c>
      <c r="F16" s="131">
        <f>_xlfn.COMPOUNDVALUE(35)</f>
        <v>4355</v>
      </c>
      <c r="G16" s="132">
        <v>2350708</v>
      </c>
      <c r="H16" s="131">
        <f>_xlfn.COMPOUNDVALUE(36)</f>
        <v>136</v>
      </c>
      <c r="I16" s="133">
        <v>177959</v>
      </c>
      <c r="J16" s="131">
        <v>418</v>
      </c>
      <c r="K16" s="133">
        <v>88597</v>
      </c>
      <c r="L16" s="131">
        <v>4660</v>
      </c>
      <c r="M16" s="133">
        <v>2261346</v>
      </c>
      <c r="N16" s="77" t="s">
        <v>48</v>
      </c>
    </row>
    <row r="17" spans="1:14" s="93" customFormat="1" ht="15.75" customHeight="1">
      <c r="A17" s="78" t="s">
        <v>49</v>
      </c>
      <c r="B17" s="131">
        <f>_xlfn.COMPOUNDVALUE(37)</f>
        <v>541</v>
      </c>
      <c r="C17" s="132">
        <v>421869</v>
      </c>
      <c r="D17" s="131">
        <f>_xlfn.COMPOUNDVALUE(38)</f>
        <v>1152</v>
      </c>
      <c r="E17" s="132">
        <v>406309</v>
      </c>
      <c r="F17" s="131">
        <f>_xlfn.COMPOUNDVALUE(39)</f>
        <v>1693</v>
      </c>
      <c r="G17" s="132">
        <v>828178</v>
      </c>
      <c r="H17" s="131">
        <f>_xlfn.COMPOUNDVALUE(40)</f>
        <v>34</v>
      </c>
      <c r="I17" s="133">
        <v>25293</v>
      </c>
      <c r="J17" s="131">
        <v>131</v>
      </c>
      <c r="K17" s="133">
        <v>15410</v>
      </c>
      <c r="L17" s="131">
        <v>1776</v>
      </c>
      <c r="M17" s="133">
        <v>818296</v>
      </c>
      <c r="N17" s="77" t="s">
        <v>49</v>
      </c>
    </row>
    <row r="18" spans="1:14" s="93" customFormat="1" ht="15.75" customHeight="1">
      <c r="A18" s="78"/>
      <c r="B18" s="131"/>
      <c r="C18" s="132"/>
      <c r="D18" s="131"/>
      <c r="E18" s="132"/>
      <c r="F18" s="131"/>
      <c r="G18" s="132"/>
      <c r="H18" s="131"/>
      <c r="I18" s="133"/>
      <c r="J18" s="131"/>
      <c r="K18" s="133"/>
      <c r="L18" s="131"/>
      <c r="M18" s="133"/>
      <c r="N18" s="77" t="s">
        <v>39</v>
      </c>
    </row>
    <row r="19" spans="1:14" s="93" customFormat="1" ht="15.75" customHeight="1">
      <c r="A19" s="78" t="s">
        <v>50</v>
      </c>
      <c r="B19" s="131">
        <f>_xlfn.COMPOUNDVALUE(41)</f>
        <v>717</v>
      </c>
      <c r="C19" s="132">
        <v>353542</v>
      </c>
      <c r="D19" s="131">
        <f>_xlfn.COMPOUNDVALUE(42)</f>
        <v>1284</v>
      </c>
      <c r="E19" s="132">
        <v>497673</v>
      </c>
      <c r="F19" s="131">
        <f>_xlfn.COMPOUNDVALUE(43)</f>
        <v>2001</v>
      </c>
      <c r="G19" s="132">
        <v>851215</v>
      </c>
      <c r="H19" s="131">
        <f>_xlfn.COMPOUNDVALUE(44)</f>
        <v>68</v>
      </c>
      <c r="I19" s="133">
        <v>43744</v>
      </c>
      <c r="J19" s="131">
        <v>229</v>
      </c>
      <c r="K19" s="133">
        <v>36431</v>
      </c>
      <c r="L19" s="131">
        <v>2141</v>
      </c>
      <c r="M19" s="133">
        <v>843902</v>
      </c>
      <c r="N19" s="77" t="s">
        <v>50</v>
      </c>
    </row>
    <row r="20" spans="1:14" s="93" customFormat="1" ht="15.75" customHeight="1">
      <c r="A20" s="78" t="s">
        <v>51</v>
      </c>
      <c r="B20" s="131">
        <f>_xlfn.COMPOUNDVALUE(45)</f>
        <v>1652</v>
      </c>
      <c r="C20" s="132">
        <v>905765</v>
      </c>
      <c r="D20" s="131">
        <f>_xlfn.COMPOUNDVALUE(46)</f>
        <v>3076</v>
      </c>
      <c r="E20" s="132">
        <v>1218398</v>
      </c>
      <c r="F20" s="131">
        <f>_xlfn.COMPOUNDVALUE(47)</f>
        <v>4728</v>
      </c>
      <c r="G20" s="132">
        <v>2124163</v>
      </c>
      <c r="H20" s="131">
        <f>_xlfn.COMPOUNDVALUE(48)</f>
        <v>148</v>
      </c>
      <c r="I20" s="133">
        <v>163437</v>
      </c>
      <c r="J20" s="131">
        <v>474</v>
      </c>
      <c r="K20" s="133">
        <v>40108</v>
      </c>
      <c r="L20" s="131">
        <v>5091</v>
      </c>
      <c r="M20" s="133">
        <v>2000834</v>
      </c>
      <c r="N20" s="77" t="s">
        <v>51</v>
      </c>
    </row>
    <row r="21" spans="1:14" s="93" customFormat="1" ht="15.75" customHeight="1">
      <c r="A21" s="78" t="s">
        <v>52</v>
      </c>
      <c r="B21" s="131">
        <f>_xlfn.COMPOUNDVALUE(49)</f>
        <v>644</v>
      </c>
      <c r="C21" s="132">
        <v>408398</v>
      </c>
      <c r="D21" s="131">
        <f>_xlfn.COMPOUNDVALUE(50)</f>
        <v>1583</v>
      </c>
      <c r="E21" s="132">
        <v>564876</v>
      </c>
      <c r="F21" s="131">
        <f>_xlfn.COMPOUNDVALUE(51)</f>
        <v>2227</v>
      </c>
      <c r="G21" s="132">
        <v>973274</v>
      </c>
      <c r="H21" s="131">
        <f>_xlfn.COMPOUNDVALUE(52)</f>
        <v>63</v>
      </c>
      <c r="I21" s="133">
        <v>36629</v>
      </c>
      <c r="J21" s="131">
        <v>209</v>
      </c>
      <c r="K21" s="133">
        <v>29007</v>
      </c>
      <c r="L21" s="131">
        <v>2392</v>
      </c>
      <c r="M21" s="133">
        <v>965652</v>
      </c>
      <c r="N21" s="77" t="s">
        <v>52</v>
      </c>
    </row>
    <row r="22" spans="1:14" s="93" customFormat="1" ht="15.75" customHeight="1">
      <c r="A22" s="78" t="s">
        <v>171</v>
      </c>
      <c r="B22" s="131">
        <f>_xlfn.COMPOUNDVALUE(53)</f>
        <v>1579</v>
      </c>
      <c r="C22" s="132">
        <v>1143425</v>
      </c>
      <c r="D22" s="131">
        <f>_xlfn.COMPOUNDVALUE(54)</f>
        <v>2781</v>
      </c>
      <c r="E22" s="132">
        <v>1256390</v>
      </c>
      <c r="F22" s="131">
        <f>_xlfn.COMPOUNDVALUE(55)</f>
        <v>4360</v>
      </c>
      <c r="G22" s="132">
        <v>2399815</v>
      </c>
      <c r="H22" s="131">
        <f>_xlfn.COMPOUNDVALUE(56)</f>
        <v>132</v>
      </c>
      <c r="I22" s="133">
        <v>204911</v>
      </c>
      <c r="J22" s="131">
        <v>396</v>
      </c>
      <c r="K22" s="133">
        <v>22983</v>
      </c>
      <c r="L22" s="131">
        <v>4628</v>
      </c>
      <c r="M22" s="133">
        <v>2217888</v>
      </c>
      <c r="N22" s="77" t="s">
        <v>53</v>
      </c>
    </row>
    <row r="23" spans="1:14" s="93" customFormat="1" ht="15.75" customHeight="1">
      <c r="A23" s="165" t="s">
        <v>54</v>
      </c>
      <c r="B23" s="166">
        <v>14414</v>
      </c>
      <c r="C23" s="167">
        <v>9488880</v>
      </c>
      <c r="D23" s="166">
        <v>27007</v>
      </c>
      <c r="E23" s="167">
        <v>11465817</v>
      </c>
      <c r="F23" s="166">
        <v>41421</v>
      </c>
      <c r="G23" s="167">
        <v>20954697</v>
      </c>
      <c r="H23" s="166">
        <v>1286</v>
      </c>
      <c r="I23" s="168">
        <v>1598489</v>
      </c>
      <c r="J23" s="166">
        <v>4226</v>
      </c>
      <c r="K23" s="168">
        <v>678694</v>
      </c>
      <c r="L23" s="166">
        <v>44564</v>
      </c>
      <c r="M23" s="168">
        <v>20034902</v>
      </c>
      <c r="N23" s="169" t="s">
        <v>55</v>
      </c>
    </row>
    <row r="24" spans="1:14" s="93" customFormat="1" ht="15.75" customHeight="1">
      <c r="A24" s="170"/>
      <c r="B24" s="171"/>
      <c r="C24" s="172"/>
      <c r="D24" s="171"/>
      <c r="E24" s="172"/>
      <c r="F24" s="173"/>
      <c r="G24" s="172"/>
      <c r="H24" s="173"/>
      <c r="I24" s="172"/>
      <c r="J24" s="173"/>
      <c r="K24" s="172"/>
      <c r="L24" s="173"/>
      <c r="M24" s="172"/>
      <c r="N24" s="174"/>
    </row>
    <row r="25" spans="1:14" s="93" customFormat="1" ht="15.75" customHeight="1">
      <c r="A25" s="76" t="s">
        <v>56</v>
      </c>
      <c r="B25" s="126">
        <f>_xlfn.COMPOUNDVALUE(57)</f>
        <v>1154</v>
      </c>
      <c r="C25" s="127">
        <v>4336401</v>
      </c>
      <c r="D25" s="126">
        <f>_xlfn.COMPOUNDVALUE(58)</f>
        <v>1659</v>
      </c>
      <c r="E25" s="127">
        <v>1182737</v>
      </c>
      <c r="F25" s="126">
        <f>_xlfn.COMPOUNDVALUE(59)</f>
        <v>2813</v>
      </c>
      <c r="G25" s="127">
        <v>5519138</v>
      </c>
      <c r="H25" s="126">
        <f>_xlfn.COMPOUNDVALUE(60)</f>
        <v>54</v>
      </c>
      <c r="I25" s="128">
        <v>183983</v>
      </c>
      <c r="J25" s="126">
        <v>191</v>
      </c>
      <c r="K25" s="128">
        <v>36652</v>
      </c>
      <c r="L25" s="126">
        <v>2890</v>
      </c>
      <c r="M25" s="128">
        <v>5371807</v>
      </c>
      <c r="N25" s="86" t="s">
        <v>56</v>
      </c>
    </row>
    <row r="26" spans="1:14" s="93" customFormat="1" ht="15.75" customHeight="1">
      <c r="A26" s="76" t="s">
        <v>57</v>
      </c>
      <c r="B26" s="126">
        <f>_xlfn.COMPOUNDVALUE(61)</f>
        <v>518</v>
      </c>
      <c r="C26" s="127">
        <v>766011</v>
      </c>
      <c r="D26" s="126">
        <f>_xlfn.COMPOUNDVALUE(62)</f>
        <v>1059</v>
      </c>
      <c r="E26" s="127">
        <v>668946</v>
      </c>
      <c r="F26" s="126">
        <f>_xlfn.COMPOUNDVALUE(63)</f>
        <v>1577</v>
      </c>
      <c r="G26" s="127">
        <v>1434957</v>
      </c>
      <c r="H26" s="126">
        <f>_xlfn.COMPOUNDVALUE(64)</f>
        <v>30</v>
      </c>
      <c r="I26" s="128">
        <v>22115</v>
      </c>
      <c r="J26" s="126">
        <v>82</v>
      </c>
      <c r="K26" s="128">
        <v>14987</v>
      </c>
      <c r="L26" s="126">
        <v>1635</v>
      </c>
      <c r="M26" s="128">
        <v>1427829</v>
      </c>
      <c r="N26" s="86" t="s">
        <v>57</v>
      </c>
    </row>
    <row r="27" spans="1:14" s="93" customFormat="1" ht="15.75" customHeight="1">
      <c r="A27" s="76" t="s">
        <v>58</v>
      </c>
      <c r="B27" s="126">
        <f>_xlfn.COMPOUNDVALUE(65)</f>
        <v>485</v>
      </c>
      <c r="C27" s="127">
        <v>649557</v>
      </c>
      <c r="D27" s="126">
        <f>_xlfn.COMPOUNDVALUE(66)</f>
        <v>922</v>
      </c>
      <c r="E27" s="127">
        <v>522832</v>
      </c>
      <c r="F27" s="126">
        <f>_xlfn.COMPOUNDVALUE(67)</f>
        <v>1407</v>
      </c>
      <c r="G27" s="127">
        <v>1172389</v>
      </c>
      <c r="H27" s="126">
        <f>_xlfn.COMPOUNDVALUE(68)</f>
        <v>68</v>
      </c>
      <c r="I27" s="128">
        <v>83082</v>
      </c>
      <c r="J27" s="126">
        <v>140</v>
      </c>
      <c r="K27" s="128">
        <v>11747</v>
      </c>
      <c r="L27" s="126">
        <v>1511</v>
      </c>
      <c r="M27" s="128">
        <v>1101054</v>
      </c>
      <c r="N27" s="86" t="s">
        <v>58</v>
      </c>
    </row>
    <row r="28" spans="1:14" s="93" customFormat="1" ht="15.75" customHeight="1">
      <c r="A28" s="76" t="s">
        <v>59</v>
      </c>
      <c r="B28" s="126">
        <f>_xlfn.COMPOUNDVALUE(69)</f>
        <v>1138</v>
      </c>
      <c r="C28" s="127">
        <v>1562014</v>
      </c>
      <c r="D28" s="126">
        <f>_xlfn.COMPOUNDVALUE(70)</f>
        <v>1390</v>
      </c>
      <c r="E28" s="127">
        <v>827424</v>
      </c>
      <c r="F28" s="126">
        <f>_xlfn.COMPOUNDVALUE(71)</f>
        <v>2528</v>
      </c>
      <c r="G28" s="127">
        <v>2389437</v>
      </c>
      <c r="H28" s="126">
        <f>_xlfn.COMPOUNDVALUE(72)</f>
        <v>95</v>
      </c>
      <c r="I28" s="128">
        <v>101069</v>
      </c>
      <c r="J28" s="126">
        <v>259</v>
      </c>
      <c r="K28" s="128">
        <v>63045</v>
      </c>
      <c r="L28" s="126">
        <v>2718</v>
      </c>
      <c r="M28" s="128">
        <v>2351413</v>
      </c>
      <c r="N28" s="86" t="s">
        <v>59</v>
      </c>
    </row>
    <row r="29" spans="1:14" s="93" customFormat="1" ht="15.75" customHeight="1">
      <c r="A29" s="76" t="s">
        <v>172</v>
      </c>
      <c r="B29" s="126">
        <f>_xlfn.COMPOUNDVALUE(73)</f>
        <v>1630</v>
      </c>
      <c r="C29" s="127">
        <v>2517104</v>
      </c>
      <c r="D29" s="126">
        <f>_xlfn.COMPOUNDVALUE(74)</f>
        <v>2167</v>
      </c>
      <c r="E29" s="127">
        <v>1276887</v>
      </c>
      <c r="F29" s="126">
        <f>_xlfn.COMPOUNDVALUE(75)</f>
        <v>3797</v>
      </c>
      <c r="G29" s="127">
        <v>3793990</v>
      </c>
      <c r="H29" s="126">
        <f>_xlfn.COMPOUNDVALUE(76)</f>
        <v>151</v>
      </c>
      <c r="I29" s="128">
        <v>257714</v>
      </c>
      <c r="J29" s="126">
        <v>297</v>
      </c>
      <c r="K29" s="128">
        <v>74849</v>
      </c>
      <c r="L29" s="126">
        <v>4035</v>
      </c>
      <c r="M29" s="128">
        <v>3611126</v>
      </c>
      <c r="N29" s="86" t="s">
        <v>60</v>
      </c>
    </row>
    <row r="30" spans="1:14" s="93" customFormat="1" ht="15.75" customHeight="1">
      <c r="A30" s="76"/>
      <c r="B30" s="126"/>
      <c r="C30" s="127"/>
      <c r="D30" s="126"/>
      <c r="E30" s="127"/>
      <c r="F30" s="126"/>
      <c r="G30" s="127"/>
      <c r="H30" s="126"/>
      <c r="I30" s="128"/>
      <c r="J30" s="126"/>
      <c r="K30" s="128"/>
      <c r="L30" s="126"/>
      <c r="M30" s="128"/>
      <c r="N30" s="86" t="s">
        <v>39</v>
      </c>
    </row>
    <row r="31" spans="1:14" s="93" customFormat="1" ht="15.75" customHeight="1">
      <c r="A31" s="76" t="s">
        <v>61</v>
      </c>
      <c r="B31" s="126">
        <f>_xlfn.COMPOUNDVALUE(77)</f>
        <v>1570</v>
      </c>
      <c r="C31" s="127">
        <v>3771197</v>
      </c>
      <c r="D31" s="126">
        <f>_xlfn.COMPOUNDVALUE(78)</f>
        <v>1843</v>
      </c>
      <c r="E31" s="127">
        <v>1183568</v>
      </c>
      <c r="F31" s="126">
        <f>_xlfn.COMPOUNDVALUE(79)</f>
        <v>3413</v>
      </c>
      <c r="G31" s="127">
        <v>4954765</v>
      </c>
      <c r="H31" s="126">
        <f>_xlfn.COMPOUNDVALUE(80)</f>
        <v>182</v>
      </c>
      <c r="I31" s="128">
        <v>986519</v>
      </c>
      <c r="J31" s="126">
        <v>335</v>
      </c>
      <c r="K31" s="128">
        <v>78967</v>
      </c>
      <c r="L31" s="126">
        <v>3723</v>
      </c>
      <c r="M31" s="128">
        <v>4047212</v>
      </c>
      <c r="N31" s="86" t="s">
        <v>61</v>
      </c>
    </row>
    <row r="32" spans="1:14" s="93" customFormat="1" ht="15.75" customHeight="1">
      <c r="A32" s="76" t="s">
        <v>62</v>
      </c>
      <c r="B32" s="126">
        <f>_xlfn.COMPOUNDVALUE(81)</f>
        <v>931</v>
      </c>
      <c r="C32" s="127">
        <v>1084414</v>
      </c>
      <c r="D32" s="126">
        <f>_xlfn.COMPOUNDVALUE(82)</f>
        <v>1343</v>
      </c>
      <c r="E32" s="127">
        <v>740036</v>
      </c>
      <c r="F32" s="126">
        <f>_xlfn.COMPOUNDVALUE(83)</f>
        <v>2274</v>
      </c>
      <c r="G32" s="127">
        <v>1824450</v>
      </c>
      <c r="H32" s="126">
        <f>_xlfn.COMPOUNDVALUE(84)</f>
        <v>105</v>
      </c>
      <c r="I32" s="128">
        <v>157731</v>
      </c>
      <c r="J32" s="126">
        <v>124</v>
      </c>
      <c r="K32" s="128">
        <v>22616</v>
      </c>
      <c r="L32" s="126">
        <v>2433</v>
      </c>
      <c r="M32" s="128">
        <v>1689335</v>
      </c>
      <c r="N32" s="86" t="s">
        <v>62</v>
      </c>
    </row>
    <row r="33" spans="1:14" s="93" customFormat="1" ht="15.75" customHeight="1">
      <c r="A33" s="76" t="s">
        <v>63</v>
      </c>
      <c r="B33" s="126">
        <f>_xlfn.COMPOUNDVALUE(85)</f>
        <v>914</v>
      </c>
      <c r="C33" s="127">
        <v>1344799</v>
      </c>
      <c r="D33" s="126">
        <f>_xlfn.COMPOUNDVALUE(86)</f>
        <v>1603</v>
      </c>
      <c r="E33" s="127">
        <v>927249</v>
      </c>
      <c r="F33" s="126">
        <f>_xlfn.COMPOUNDVALUE(87)</f>
        <v>2517</v>
      </c>
      <c r="G33" s="127">
        <v>2272048</v>
      </c>
      <c r="H33" s="126">
        <f>_xlfn.COMPOUNDVALUE(88)</f>
        <v>74</v>
      </c>
      <c r="I33" s="128">
        <v>100413</v>
      </c>
      <c r="J33" s="126">
        <v>231</v>
      </c>
      <c r="K33" s="128">
        <v>429758</v>
      </c>
      <c r="L33" s="126">
        <v>2686</v>
      </c>
      <c r="M33" s="128">
        <v>2601393</v>
      </c>
      <c r="N33" s="86" t="s">
        <v>63</v>
      </c>
    </row>
    <row r="34" spans="1:14" s="93" customFormat="1" ht="15.75" customHeight="1">
      <c r="A34" s="76" t="s">
        <v>64</v>
      </c>
      <c r="B34" s="126">
        <f>_xlfn.COMPOUNDVALUE(89)</f>
        <v>1012</v>
      </c>
      <c r="C34" s="127">
        <v>1340413</v>
      </c>
      <c r="D34" s="126">
        <f>_xlfn.COMPOUNDVALUE(90)</f>
        <v>1443</v>
      </c>
      <c r="E34" s="127">
        <v>836028</v>
      </c>
      <c r="F34" s="126">
        <f>_xlfn.COMPOUNDVALUE(91)</f>
        <v>2455</v>
      </c>
      <c r="G34" s="127">
        <v>2176441</v>
      </c>
      <c r="H34" s="126">
        <f>_xlfn.COMPOUNDVALUE(92)</f>
        <v>114</v>
      </c>
      <c r="I34" s="128">
        <v>189316</v>
      </c>
      <c r="J34" s="126">
        <v>243</v>
      </c>
      <c r="K34" s="128">
        <v>70081</v>
      </c>
      <c r="L34" s="126">
        <v>2681</v>
      </c>
      <c r="M34" s="128">
        <v>2057207</v>
      </c>
      <c r="N34" s="86" t="s">
        <v>64</v>
      </c>
    </row>
    <row r="35" spans="1:14" s="93" customFormat="1" ht="15.75" customHeight="1">
      <c r="A35" s="76" t="s">
        <v>65</v>
      </c>
      <c r="B35" s="126">
        <f>_xlfn.COMPOUNDVALUE(93)</f>
        <v>396</v>
      </c>
      <c r="C35" s="127">
        <v>500225</v>
      </c>
      <c r="D35" s="126">
        <f>_xlfn.COMPOUNDVALUE(94)</f>
        <v>868</v>
      </c>
      <c r="E35" s="127">
        <v>455557</v>
      </c>
      <c r="F35" s="126">
        <f>_xlfn.COMPOUNDVALUE(95)</f>
        <v>1264</v>
      </c>
      <c r="G35" s="127">
        <v>955782</v>
      </c>
      <c r="H35" s="126">
        <f>_xlfn.COMPOUNDVALUE(96)</f>
        <v>38</v>
      </c>
      <c r="I35" s="128">
        <v>22797</v>
      </c>
      <c r="J35" s="126">
        <v>97</v>
      </c>
      <c r="K35" s="128">
        <v>2927</v>
      </c>
      <c r="L35" s="126">
        <v>1322</v>
      </c>
      <c r="M35" s="128">
        <v>935912</v>
      </c>
      <c r="N35" s="86" t="s">
        <v>65</v>
      </c>
    </row>
    <row r="36" spans="1:14" s="93" customFormat="1" ht="15.75" customHeight="1">
      <c r="A36" s="76"/>
      <c r="B36" s="126"/>
      <c r="C36" s="127"/>
      <c r="D36" s="126"/>
      <c r="E36" s="127"/>
      <c r="F36" s="126"/>
      <c r="G36" s="127"/>
      <c r="H36" s="126"/>
      <c r="I36" s="128"/>
      <c r="J36" s="126"/>
      <c r="K36" s="128"/>
      <c r="L36" s="126"/>
      <c r="M36" s="128"/>
      <c r="N36" s="86" t="s">
        <v>39</v>
      </c>
    </row>
    <row r="37" spans="1:14" s="93" customFormat="1" ht="15.75" customHeight="1">
      <c r="A37" s="76" t="s">
        <v>66</v>
      </c>
      <c r="B37" s="126">
        <f>_xlfn.COMPOUNDVALUE(97)</f>
        <v>423</v>
      </c>
      <c r="C37" s="127">
        <v>433354</v>
      </c>
      <c r="D37" s="126">
        <f>_xlfn.COMPOUNDVALUE(98)</f>
        <v>853</v>
      </c>
      <c r="E37" s="127">
        <v>472181</v>
      </c>
      <c r="F37" s="126">
        <f>_xlfn.COMPOUNDVALUE(99)</f>
        <v>1276</v>
      </c>
      <c r="G37" s="127">
        <v>905535</v>
      </c>
      <c r="H37" s="126">
        <f>_xlfn.COMPOUNDVALUE(100)</f>
        <v>43</v>
      </c>
      <c r="I37" s="128">
        <v>18207</v>
      </c>
      <c r="J37" s="126">
        <v>141</v>
      </c>
      <c r="K37" s="128">
        <v>15430</v>
      </c>
      <c r="L37" s="126">
        <v>1351</v>
      </c>
      <c r="M37" s="128">
        <v>902758</v>
      </c>
      <c r="N37" s="86" t="s">
        <v>66</v>
      </c>
    </row>
    <row r="38" spans="1:14" s="93" customFormat="1" ht="15.75" customHeight="1">
      <c r="A38" s="76" t="s">
        <v>67</v>
      </c>
      <c r="B38" s="126">
        <f>_xlfn.COMPOUNDVALUE(101)</f>
        <v>502</v>
      </c>
      <c r="C38" s="127">
        <v>564686</v>
      </c>
      <c r="D38" s="126">
        <f>_xlfn.COMPOUNDVALUE(102)</f>
        <v>853</v>
      </c>
      <c r="E38" s="127">
        <v>420947</v>
      </c>
      <c r="F38" s="126">
        <f>_xlfn.COMPOUNDVALUE(103)</f>
        <v>1355</v>
      </c>
      <c r="G38" s="127">
        <v>985633</v>
      </c>
      <c r="H38" s="126">
        <f>_xlfn.COMPOUNDVALUE(104)</f>
        <v>36</v>
      </c>
      <c r="I38" s="128">
        <v>822533</v>
      </c>
      <c r="J38" s="126">
        <v>117</v>
      </c>
      <c r="K38" s="128">
        <v>18545</v>
      </c>
      <c r="L38" s="126">
        <v>1445</v>
      </c>
      <c r="M38" s="128">
        <v>181645</v>
      </c>
      <c r="N38" s="86" t="s">
        <v>67</v>
      </c>
    </row>
    <row r="39" spans="1:14" s="93" customFormat="1" ht="15.75" customHeight="1">
      <c r="A39" s="76" t="s">
        <v>68</v>
      </c>
      <c r="B39" s="126">
        <f>_xlfn.COMPOUNDVALUE(105)</f>
        <v>553</v>
      </c>
      <c r="C39" s="127">
        <v>457104</v>
      </c>
      <c r="D39" s="126">
        <f>_xlfn.COMPOUNDVALUE(106)</f>
        <v>1024</v>
      </c>
      <c r="E39" s="127">
        <v>447632</v>
      </c>
      <c r="F39" s="126">
        <f>_xlfn.COMPOUNDVALUE(107)</f>
        <v>1577</v>
      </c>
      <c r="G39" s="127">
        <v>904737</v>
      </c>
      <c r="H39" s="126">
        <f>_xlfn.COMPOUNDVALUE(108)</f>
        <v>122</v>
      </c>
      <c r="I39" s="128">
        <v>62343</v>
      </c>
      <c r="J39" s="126">
        <v>103</v>
      </c>
      <c r="K39" s="128">
        <v>30700</v>
      </c>
      <c r="L39" s="126">
        <v>1754</v>
      </c>
      <c r="M39" s="128">
        <v>873094</v>
      </c>
      <c r="N39" s="86" t="s">
        <v>68</v>
      </c>
    </row>
    <row r="40" spans="1:14" s="93" customFormat="1" ht="15.75" customHeight="1">
      <c r="A40" s="76" t="s">
        <v>69</v>
      </c>
      <c r="B40" s="126">
        <f>_xlfn.COMPOUNDVALUE(109)</f>
        <v>544</v>
      </c>
      <c r="C40" s="127">
        <v>393478</v>
      </c>
      <c r="D40" s="126">
        <f>_xlfn.COMPOUNDVALUE(110)</f>
        <v>848</v>
      </c>
      <c r="E40" s="127">
        <v>395012</v>
      </c>
      <c r="F40" s="126">
        <f>_xlfn.COMPOUNDVALUE(111)</f>
        <v>1392</v>
      </c>
      <c r="G40" s="127">
        <v>788490</v>
      </c>
      <c r="H40" s="126">
        <f>_xlfn.COMPOUNDVALUE(112)</f>
        <v>69</v>
      </c>
      <c r="I40" s="128">
        <v>264986</v>
      </c>
      <c r="J40" s="126">
        <v>140</v>
      </c>
      <c r="K40" s="128">
        <v>94186</v>
      </c>
      <c r="L40" s="126">
        <v>1490</v>
      </c>
      <c r="M40" s="128">
        <v>617690</v>
      </c>
      <c r="N40" s="86" t="s">
        <v>69</v>
      </c>
    </row>
    <row r="41" spans="1:14" s="93" customFormat="1" ht="15.75" customHeight="1">
      <c r="A41" s="76" t="s">
        <v>70</v>
      </c>
      <c r="B41" s="126">
        <f>_xlfn.COMPOUNDVALUE(113)</f>
        <v>369</v>
      </c>
      <c r="C41" s="127">
        <v>187251</v>
      </c>
      <c r="D41" s="126">
        <f>_xlfn.COMPOUNDVALUE(114)</f>
        <v>551</v>
      </c>
      <c r="E41" s="127">
        <v>219647</v>
      </c>
      <c r="F41" s="126">
        <f>_xlfn.COMPOUNDVALUE(115)</f>
        <v>920</v>
      </c>
      <c r="G41" s="127">
        <v>406897</v>
      </c>
      <c r="H41" s="126">
        <f>_xlfn.COMPOUNDVALUE(116)</f>
        <v>30</v>
      </c>
      <c r="I41" s="128">
        <v>9946</v>
      </c>
      <c r="J41" s="126">
        <v>107</v>
      </c>
      <c r="K41" s="128">
        <v>13272</v>
      </c>
      <c r="L41" s="126">
        <v>1002</v>
      </c>
      <c r="M41" s="128">
        <v>410223</v>
      </c>
      <c r="N41" s="86" t="s">
        <v>70</v>
      </c>
    </row>
    <row r="42" spans="1:14" s="93" customFormat="1" ht="15.75" customHeight="1">
      <c r="A42" s="103"/>
      <c r="B42" s="126"/>
      <c r="C42" s="127"/>
      <c r="D42" s="126"/>
      <c r="E42" s="127"/>
      <c r="F42" s="126"/>
      <c r="G42" s="127"/>
      <c r="H42" s="126"/>
      <c r="I42" s="128"/>
      <c r="J42" s="126"/>
      <c r="K42" s="128"/>
      <c r="L42" s="126"/>
      <c r="M42" s="128"/>
      <c r="N42" s="105" t="s">
        <v>39</v>
      </c>
    </row>
    <row r="43" spans="1:14" s="93" customFormat="1" ht="15.75" customHeight="1">
      <c r="A43" s="99" t="s">
        <v>71</v>
      </c>
      <c r="B43" s="126">
        <f>_xlfn.COMPOUNDVALUE(117)</f>
        <v>747</v>
      </c>
      <c r="C43" s="127">
        <v>551491</v>
      </c>
      <c r="D43" s="126">
        <f>_xlfn.COMPOUNDVALUE(118)</f>
        <v>1131</v>
      </c>
      <c r="E43" s="127">
        <v>574602</v>
      </c>
      <c r="F43" s="126">
        <f>_xlfn.COMPOUNDVALUE(119)</f>
        <v>1878</v>
      </c>
      <c r="G43" s="127">
        <v>1126093</v>
      </c>
      <c r="H43" s="126">
        <f>_xlfn.COMPOUNDVALUE(120)</f>
        <v>102</v>
      </c>
      <c r="I43" s="128">
        <v>97943</v>
      </c>
      <c r="J43" s="126">
        <v>154</v>
      </c>
      <c r="K43" s="128">
        <v>17513</v>
      </c>
      <c r="L43" s="126">
        <v>2031</v>
      </c>
      <c r="M43" s="128">
        <v>1045662</v>
      </c>
      <c r="N43" s="86" t="s">
        <v>71</v>
      </c>
    </row>
    <row r="44" spans="1:14" s="93" customFormat="1" ht="15.75" customHeight="1">
      <c r="A44" s="76" t="s">
        <v>72</v>
      </c>
      <c r="B44" s="126">
        <f>_xlfn.COMPOUNDVALUE(121)</f>
        <v>556</v>
      </c>
      <c r="C44" s="127">
        <v>359393</v>
      </c>
      <c r="D44" s="126">
        <f>_xlfn.COMPOUNDVALUE(122)</f>
        <v>899</v>
      </c>
      <c r="E44" s="127">
        <v>387497</v>
      </c>
      <c r="F44" s="126">
        <f>_xlfn.COMPOUNDVALUE(123)</f>
        <v>1455</v>
      </c>
      <c r="G44" s="127">
        <v>746890</v>
      </c>
      <c r="H44" s="126">
        <f>_xlfn.COMPOUNDVALUE(124)</f>
        <v>59</v>
      </c>
      <c r="I44" s="128">
        <v>23958</v>
      </c>
      <c r="J44" s="126">
        <v>203</v>
      </c>
      <c r="K44" s="128">
        <v>35251</v>
      </c>
      <c r="L44" s="126">
        <v>1615</v>
      </c>
      <c r="M44" s="128">
        <v>758183</v>
      </c>
      <c r="N44" s="86" t="s">
        <v>72</v>
      </c>
    </row>
    <row r="45" spans="1:14" s="93" customFormat="1" ht="15.75" customHeight="1">
      <c r="A45" s="76" t="s">
        <v>73</v>
      </c>
      <c r="B45" s="126">
        <f>_xlfn.COMPOUNDVALUE(125)</f>
        <v>441</v>
      </c>
      <c r="C45" s="127">
        <v>237087</v>
      </c>
      <c r="D45" s="126">
        <f>_xlfn.COMPOUNDVALUE(126)</f>
        <v>754</v>
      </c>
      <c r="E45" s="127">
        <v>348185</v>
      </c>
      <c r="F45" s="126">
        <f>_xlfn.COMPOUNDVALUE(127)</f>
        <v>1195</v>
      </c>
      <c r="G45" s="127">
        <v>585272</v>
      </c>
      <c r="H45" s="126">
        <f>_xlfn.COMPOUNDVALUE(128)</f>
        <v>30</v>
      </c>
      <c r="I45" s="128">
        <v>17548</v>
      </c>
      <c r="J45" s="126">
        <v>137</v>
      </c>
      <c r="K45" s="128">
        <v>20045</v>
      </c>
      <c r="L45" s="126">
        <v>1306</v>
      </c>
      <c r="M45" s="128">
        <v>587769</v>
      </c>
      <c r="N45" s="86" t="s">
        <v>73</v>
      </c>
    </row>
    <row r="46" spans="1:14" s="93" customFormat="1" ht="15.75" customHeight="1">
      <c r="A46" s="76" t="s">
        <v>74</v>
      </c>
      <c r="B46" s="126">
        <f>_xlfn.COMPOUNDVALUE(129)</f>
        <v>1393</v>
      </c>
      <c r="C46" s="127">
        <v>1755138</v>
      </c>
      <c r="D46" s="126">
        <f>_xlfn.COMPOUNDVALUE(130)</f>
        <v>2116</v>
      </c>
      <c r="E46" s="127">
        <v>1195250</v>
      </c>
      <c r="F46" s="126">
        <f>_xlfn.COMPOUNDVALUE(131)</f>
        <v>3509</v>
      </c>
      <c r="G46" s="127">
        <v>2950388</v>
      </c>
      <c r="H46" s="126">
        <f>_xlfn.COMPOUNDVALUE(132)</f>
        <v>104</v>
      </c>
      <c r="I46" s="128">
        <v>132655</v>
      </c>
      <c r="J46" s="126">
        <v>323</v>
      </c>
      <c r="K46" s="128">
        <v>56987</v>
      </c>
      <c r="L46" s="126">
        <v>3740</v>
      </c>
      <c r="M46" s="128">
        <v>2874719</v>
      </c>
      <c r="N46" s="86" t="s">
        <v>74</v>
      </c>
    </row>
    <row r="47" spans="1:14" s="93" customFormat="1" ht="15.75" customHeight="1">
      <c r="A47" s="76" t="s">
        <v>75</v>
      </c>
      <c r="B47" s="126">
        <f>_xlfn.COMPOUNDVALUE(133)</f>
        <v>621</v>
      </c>
      <c r="C47" s="127">
        <v>445368</v>
      </c>
      <c r="D47" s="126">
        <f>_xlfn.COMPOUNDVALUE(134)</f>
        <v>1153</v>
      </c>
      <c r="E47" s="127">
        <v>531059</v>
      </c>
      <c r="F47" s="126">
        <f>_xlfn.COMPOUNDVALUE(135)</f>
        <v>1774</v>
      </c>
      <c r="G47" s="127">
        <v>976427</v>
      </c>
      <c r="H47" s="126">
        <f>_xlfn.COMPOUNDVALUE(136)</f>
        <v>59</v>
      </c>
      <c r="I47" s="128">
        <v>46253</v>
      </c>
      <c r="J47" s="126">
        <v>154</v>
      </c>
      <c r="K47" s="128">
        <v>24795</v>
      </c>
      <c r="L47" s="126">
        <v>1883</v>
      </c>
      <c r="M47" s="128">
        <v>954969</v>
      </c>
      <c r="N47" s="86" t="s">
        <v>75</v>
      </c>
    </row>
    <row r="48" spans="1:14" s="93" customFormat="1" ht="15.75" customHeight="1">
      <c r="A48" s="76"/>
      <c r="B48" s="126"/>
      <c r="C48" s="127"/>
      <c r="D48" s="126"/>
      <c r="E48" s="127"/>
      <c r="F48" s="126"/>
      <c r="G48" s="127"/>
      <c r="H48" s="126"/>
      <c r="I48" s="128"/>
      <c r="J48" s="126"/>
      <c r="K48" s="128"/>
      <c r="L48" s="126"/>
      <c r="M48" s="128"/>
      <c r="N48" s="86" t="s">
        <v>39</v>
      </c>
    </row>
    <row r="49" spans="1:14" s="93" customFormat="1" ht="15.75" customHeight="1">
      <c r="A49" s="76" t="s">
        <v>76</v>
      </c>
      <c r="B49" s="126">
        <f>_xlfn.COMPOUNDVALUE(137)</f>
        <v>581</v>
      </c>
      <c r="C49" s="127">
        <v>682745</v>
      </c>
      <c r="D49" s="126">
        <f>_xlfn.COMPOUNDVALUE(138)</f>
        <v>966</v>
      </c>
      <c r="E49" s="127">
        <v>499761</v>
      </c>
      <c r="F49" s="126">
        <f>_xlfn.COMPOUNDVALUE(139)</f>
        <v>1547</v>
      </c>
      <c r="G49" s="127">
        <v>1182506</v>
      </c>
      <c r="H49" s="126">
        <f>_xlfn.COMPOUNDVALUE(140)</f>
        <v>62</v>
      </c>
      <c r="I49" s="128">
        <v>99242</v>
      </c>
      <c r="J49" s="126">
        <v>229</v>
      </c>
      <c r="K49" s="128">
        <v>25074</v>
      </c>
      <c r="L49" s="126">
        <v>1687</v>
      </c>
      <c r="M49" s="128">
        <v>1108338</v>
      </c>
      <c r="N49" s="86" t="s">
        <v>76</v>
      </c>
    </row>
    <row r="50" spans="1:14" s="93" customFormat="1" ht="15.75" customHeight="1">
      <c r="A50" s="76" t="s">
        <v>77</v>
      </c>
      <c r="B50" s="126">
        <f>_xlfn.COMPOUNDVALUE(141)</f>
        <v>747</v>
      </c>
      <c r="C50" s="127">
        <v>503223</v>
      </c>
      <c r="D50" s="126">
        <f>_xlfn.COMPOUNDVALUE(142)</f>
        <v>1217</v>
      </c>
      <c r="E50" s="127">
        <v>542205</v>
      </c>
      <c r="F50" s="126">
        <f>_xlfn.COMPOUNDVALUE(143)</f>
        <v>1964</v>
      </c>
      <c r="G50" s="127">
        <v>1045427</v>
      </c>
      <c r="H50" s="126">
        <f>_xlfn.COMPOUNDVALUE(144)</f>
        <v>44</v>
      </c>
      <c r="I50" s="128">
        <v>118099</v>
      </c>
      <c r="J50" s="126">
        <v>277</v>
      </c>
      <c r="K50" s="128">
        <v>51034</v>
      </c>
      <c r="L50" s="126">
        <v>2162</v>
      </c>
      <c r="M50" s="128">
        <v>978363</v>
      </c>
      <c r="N50" s="86" t="s">
        <v>77</v>
      </c>
    </row>
    <row r="51" spans="1:14" s="93" customFormat="1" ht="15.75" customHeight="1">
      <c r="A51" s="76" t="s">
        <v>78</v>
      </c>
      <c r="B51" s="126">
        <f>_xlfn.COMPOUNDVALUE(145)</f>
        <v>1294</v>
      </c>
      <c r="C51" s="127">
        <v>1355788</v>
      </c>
      <c r="D51" s="126">
        <f>_xlfn.COMPOUNDVALUE(146)</f>
        <v>2065</v>
      </c>
      <c r="E51" s="127">
        <v>1104217</v>
      </c>
      <c r="F51" s="126">
        <f>_xlfn.COMPOUNDVALUE(147)</f>
        <v>3359</v>
      </c>
      <c r="G51" s="127">
        <v>2460005</v>
      </c>
      <c r="H51" s="126">
        <f>_xlfn.COMPOUNDVALUE(148)</f>
        <v>123</v>
      </c>
      <c r="I51" s="128">
        <v>195598</v>
      </c>
      <c r="J51" s="126">
        <v>332</v>
      </c>
      <c r="K51" s="128">
        <v>44995</v>
      </c>
      <c r="L51" s="126">
        <v>3634</v>
      </c>
      <c r="M51" s="128">
        <v>2309401</v>
      </c>
      <c r="N51" s="86" t="s">
        <v>78</v>
      </c>
    </row>
    <row r="52" spans="1:14" s="93" customFormat="1" ht="15.75" customHeight="1">
      <c r="A52" s="76" t="s">
        <v>79</v>
      </c>
      <c r="B52" s="126">
        <f>_xlfn.COMPOUNDVALUE(149)</f>
        <v>1080</v>
      </c>
      <c r="C52" s="127">
        <v>1129218</v>
      </c>
      <c r="D52" s="126">
        <f>_xlfn.COMPOUNDVALUE(150)</f>
        <v>1953</v>
      </c>
      <c r="E52" s="127">
        <v>992913</v>
      </c>
      <c r="F52" s="126">
        <f>_xlfn.COMPOUNDVALUE(151)</f>
        <v>3033</v>
      </c>
      <c r="G52" s="127">
        <v>2122131</v>
      </c>
      <c r="H52" s="126">
        <f>_xlfn.COMPOUNDVALUE(152)</f>
        <v>90</v>
      </c>
      <c r="I52" s="128">
        <v>64523</v>
      </c>
      <c r="J52" s="126">
        <v>276</v>
      </c>
      <c r="K52" s="128">
        <v>55011</v>
      </c>
      <c r="L52" s="126">
        <v>3269</v>
      </c>
      <c r="M52" s="128">
        <v>2112619</v>
      </c>
      <c r="N52" s="86" t="s">
        <v>79</v>
      </c>
    </row>
    <row r="53" spans="1:14" s="93" customFormat="1" ht="15.75" customHeight="1">
      <c r="A53" s="76" t="s">
        <v>80</v>
      </c>
      <c r="B53" s="126">
        <f>_xlfn.COMPOUNDVALUE(153)</f>
        <v>1065</v>
      </c>
      <c r="C53" s="127">
        <v>1420160</v>
      </c>
      <c r="D53" s="126">
        <f>_xlfn.COMPOUNDVALUE(154)</f>
        <v>1771</v>
      </c>
      <c r="E53" s="127">
        <v>973478</v>
      </c>
      <c r="F53" s="126">
        <f>_xlfn.COMPOUNDVALUE(155)</f>
        <v>2836</v>
      </c>
      <c r="G53" s="127">
        <v>2393638</v>
      </c>
      <c r="H53" s="126">
        <f>_xlfn.COMPOUNDVALUE(156)</f>
        <v>122</v>
      </c>
      <c r="I53" s="128">
        <v>171310</v>
      </c>
      <c r="J53" s="126">
        <v>225</v>
      </c>
      <c r="K53" s="128">
        <v>42345</v>
      </c>
      <c r="L53" s="126">
        <v>3038</v>
      </c>
      <c r="M53" s="128">
        <v>2264672</v>
      </c>
      <c r="N53" s="86" t="s">
        <v>80</v>
      </c>
    </row>
    <row r="54" spans="1:14" s="93" customFormat="1" ht="15.75" customHeight="1">
      <c r="A54" s="76"/>
      <c r="B54" s="126"/>
      <c r="C54" s="127"/>
      <c r="D54" s="126"/>
      <c r="E54" s="127"/>
      <c r="F54" s="126"/>
      <c r="G54" s="127"/>
      <c r="H54" s="126"/>
      <c r="I54" s="128"/>
      <c r="J54" s="126"/>
      <c r="K54" s="128"/>
      <c r="L54" s="126"/>
      <c r="M54" s="128"/>
      <c r="N54" s="86" t="s">
        <v>39</v>
      </c>
    </row>
    <row r="55" spans="1:14" s="93" customFormat="1" ht="15.75" customHeight="1">
      <c r="A55" s="76" t="s">
        <v>81</v>
      </c>
      <c r="B55" s="126">
        <f>_xlfn.COMPOUNDVALUE(157)</f>
        <v>2092</v>
      </c>
      <c r="C55" s="127">
        <v>3479966</v>
      </c>
      <c r="D55" s="126">
        <f>_xlfn.COMPOUNDVALUE(158)</f>
        <v>3112</v>
      </c>
      <c r="E55" s="127">
        <v>1853032</v>
      </c>
      <c r="F55" s="126">
        <f>_xlfn.COMPOUNDVALUE(159)</f>
        <v>5204</v>
      </c>
      <c r="G55" s="127">
        <v>5332997</v>
      </c>
      <c r="H55" s="126">
        <f>_xlfn.COMPOUNDVALUE(160)</f>
        <v>190</v>
      </c>
      <c r="I55" s="128">
        <v>210967</v>
      </c>
      <c r="J55" s="126">
        <v>457</v>
      </c>
      <c r="K55" s="128">
        <v>65290</v>
      </c>
      <c r="L55" s="126">
        <v>5562</v>
      </c>
      <c r="M55" s="128">
        <v>5187321</v>
      </c>
      <c r="N55" s="86" t="s">
        <v>81</v>
      </c>
    </row>
    <row r="56" spans="1:14" s="93" customFormat="1" ht="15.75" customHeight="1">
      <c r="A56" s="76" t="s">
        <v>82</v>
      </c>
      <c r="B56" s="126">
        <f>_xlfn.COMPOUNDVALUE(161)</f>
        <v>991</v>
      </c>
      <c r="C56" s="127">
        <v>957282</v>
      </c>
      <c r="D56" s="126">
        <f>_xlfn.COMPOUNDVALUE(162)</f>
        <v>1657</v>
      </c>
      <c r="E56" s="127">
        <v>843260</v>
      </c>
      <c r="F56" s="126">
        <f>_xlfn.COMPOUNDVALUE(163)</f>
        <v>2648</v>
      </c>
      <c r="G56" s="127">
        <v>1800542</v>
      </c>
      <c r="H56" s="126">
        <f>_xlfn.COMPOUNDVALUE(164)</f>
        <v>102</v>
      </c>
      <c r="I56" s="128">
        <v>111249</v>
      </c>
      <c r="J56" s="126">
        <v>330</v>
      </c>
      <c r="K56" s="128">
        <v>34032</v>
      </c>
      <c r="L56" s="126">
        <v>2873</v>
      </c>
      <c r="M56" s="128">
        <v>1723325</v>
      </c>
      <c r="N56" s="86" t="s">
        <v>82</v>
      </c>
    </row>
    <row r="57" spans="1:14" s="93" customFormat="1" ht="15.75" customHeight="1">
      <c r="A57" s="76" t="s">
        <v>83</v>
      </c>
      <c r="B57" s="126">
        <f>_xlfn.COMPOUNDVALUE(165)</f>
        <v>1026</v>
      </c>
      <c r="C57" s="127">
        <v>870908</v>
      </c>
      <c r="D57" s="126">
        <f>_xlfn.COMPOUNDVALUE(166)</f>
        <v>1664</v>
      </c>
      <c r="E57" s="127">
        <v>832204</v>
      </c>
      <c r="F57" s="126">
        <f>_xlfn.COMPOUNDVALUE(167)</f>
        <v>2690</v>
      </c>
      <c r="G57" s="127">
        <v>1703112</v>
      </c>
      <c r="H57" s="126">
        <f>_xlfn.COMPOUNDVALUE(168)</f>
        <v>97</v>
      </c>
      <c r="I57" s="128">
        <v>168353</v>
      </c>
      <c r="J57" s="126">
        <v>250</v>
      </c>
      <c r="K57" s="128">
        <v>38756</v>
      </c>
      <c r="L57" s="126">
        <v>2903</v>
      </c>
      <c r="M57" s="128">
        <v>1573514</v>
      </c>
      <c r="N57" s="86" t="s">
        <v>83</v>
      </c>
    </row>
    <row r="58" spans="1:14" s="93" customFormat="1" ht="15.75" customHeight="1">
      <c r="A58" s="76" t="s">
        <v>84</v>
      </c>
      <c r="B58" s="126">
        <f>_xlfn.COMPOUNDVALUE(169)</f>
        <v>703</v>
      </c>
      <c r="C58" s="127">
        <v>792983</v>
      </c>
      <c r="D58" s="126">
        <f>_xlfn.COMPOUNDVALUE(170)</f>
        <v>1376</v>
      </c>
      <c r="E58" s="127">
        <v>727820</v>
      </c>
      <c r="F58" s="126">
        <f>_xlfn.COMPOUNDVALUE(171)</f>
        <v>2079</v>
      </c>
      <c r="G58" s="127">
        <v>1520803</v>
      </c>
      <c r="H58" s="126">
        <f>_xlfn.COMPOUNDVALUE(172)</f>
        <v>80</v>
      </c>
      <c r="I58" s="128">
        <v>147734</v>
      </c>
      <c r="J58" s="126">
        <v>190</v>
      </c>
      <c r="K58" s="128">
        <v>34833</v>
      </c>
      <c r="L58" s="126">
        <v>2226</v>
      </c>
      <c r="M58" s="128">
        <v>1407903</v>
      </c>
      <c r="N58" s="86" t="s">
        <v>84</v>
      </c>
    </row>
    <row r="59" spans="1:14" s="93" customFormat="1" ht="15.75" customHeight="1">
      <c r="A59" s="76" t="s">
        <v>85</v>
      </c>
      <c r="B59" s="126">
        <f>_xlfn.COMPOUNDVALUE(173)</f>
        <v>1180</v>
      </c>
      <c r="C59" s="127">
        <v>1234883</v>
      </c>
      <c r="D59" s="126">
        <f>_xlfn.COMPOUNDVALUE(174)</f>
        <v>1913</v>
      </c>
      <c r="E59" s="127">
        <v>1036663</v>
      </c>
      <c r="F59" s="126">
        <f>_xlfn.COMPOUNDVALUE(175)</f>
        <v>3093</v>
      </c>
      <c r="G59" s="127">
        <v>2271545</v>
      </c>
      <c r="H59" s="126">
        <f>_xlfn.COMPOUNDVALUE(176)</f>
        <v>92</v>
      </c>
      <c r="I59" s="128">
        <v>80651</v>
      </c>
      <c r="J59" s="126">
        <v>202</v>
      </c>
      <c r="K59" s="128">
        <v>30065</v>
      </c>
      <c r="L59" s="126">
        <v>3279</v>
      </c>
      <c r="M59" s="128">
        <v>2220959</v>
      </c>
      <c r="N59" s="86" t="s">
        <v>85</v>
      </c>
    </row>
    <row r="60" spans="1:14" s="93" customFormat="1" ht="15.75" customHeight="1">
      <c r="A60" s="76"/>
      <c r="B60" s="126"/>
      <c r="C60" s="127"/>
      <c r="D60" s="126"/>
      <c r="E60" s="127"/>
      <c r="F60" s="126"/>
      <c r="G60" s="127"/>
      <c r="H60" s="126"/>
      <c r="I60" s="128"/>
      <c r="J60" s="126"/>
      <c r="K60" s="128"/>
      <c r="L60" s="126"/>
      <c r="M60" s="128"/>
      <c r="N60" s="86" t="s">
        <v>39</v>
      </c>
    </row>
    <row r="61" spans="1:14" s="93" customFormat="1" ht="15.75" customHeight="1">
      <c r="A61" s="76" t="s">
        <v>86</v>
      </c>
      <c r="B61" s="126">
        <f>_xlfn.COMPOUNDVALUE(177)</f>
        <v>903</v>
      </c>
      <c r="C61" s="127">
        <v>580613</v>
      </c>
      <c r="D61" s="126">
        <f>_xlfn.COMPOUNDVALUE(178)</f>
        <v>1371</v>
      </c>
      <c r="E61" s="127">
        <v>603400</v>
      </c>
      <c r="F61" s="126">
        <f>_xlfn.COMPOUNDVALUE(179)</f>
        <v>2274</v>
      </c>
      <c r="G61" s="127">
        <v>1184013</v>
      </c>
      <c r="H61" s="126">
        <f>_xlfn.COMPOUNDVALUE(180)</f>
        <v>58</v>
      </c>
      <c r="I61" s="128">
        <v>34926</v>
      </c>
      <c r="J61" s="126">
        <v>235</v>
      </c>
      <c r="K61" s="128">
        <v>30522</v>
      </c>
      <c r="L61" s="126">
        <v>2441</v>
      </c>
      <c r="M61" s="128">
        <v>1179609</v>
      </c>
      <c r="N61" s="86" t="s">
        <v>86</v>
      </c>
    </row>
    <row r="62" spans="1:14" s="93" customFormat="1" ht="15.75" customHeight="1">
      <c r="A62" s="76" t="s">
        <v>87</v>
      </c>
      <c r="B62" s="126">
        <f>_xlfn.COMPOUNDVALUE(181)</f>
        <v>700</v>
      </c>
      <c r="C62" s="127">
        <v>472206</v>
      </c>
      <c r="D62" s="126">
        <f>_xlfn.COMPOUNDVALUE(182)</f>
        <v>1048</v>
      </c>
      <c r="E62" s="127">
        <v>430476</v>
      </c>
      <c r="F62" s="126">
        <f>_xlfn.COMPOUNDVALUE(183)</f>
        <v>1748</v>
      </c>
      <c r="G62" s="127">
        <v>902682</v>
      </c>
      <c r="H62" s="126">
        <f>_xlfn.COMPOUNDVALUE(184)</f>
        <v>71</v>
      </c>
      <c r="I62" s="128">
        <v>50432</v>
      </c>
      <c r="J62" s="126">
        <v>136</v>
      </c>
      <c r="K62" s="128">
        <v>14223</v>
      </c>
      <c r="L62" s="126">
        <v>1895</v>
      </c>
      <c r="M62" s="128">
        <v>866473</v>
      </c>
      <c r="N62" s="86" t="s">
        <v>87</v>
      </c>
    </row>
    <row r="63" spans="1:14" s="93" customFormat="1" ht="15.75" customHeight="1">
      <c r="A63" s="76" t="s">
        <v>88</v>
      </c>
      <c r="B63" s="126">
        <f>_xlfn.COMPOUNDVALUE(185)</f>
        <v>1534</v>
      </c>
      <c r="C63" s="127">
        <v>995143</v>
      </c>
      <c r="D63" s="126">
        <f>_xlfn.COMPOUNDVALUE(186)</f>
        <v>2376</v>
      </c>
      <c r="E63" s="127">
        <v>1127048</v>
      </c>
      <c r="F63" s="126">
        <f>_xlfn.COMPOUNDVALUE(187)</f>
        <v>3910</v>
      </c>
      <c r="G63" s="127">
        <v>2122191</v>
      </c>
      <c r="H63" s="126">
        <f>_xlfn.COMPOUNDVALUE(188)</f>
        <v>106</v>
      </c>
      <c r="I63" s="128">
        <v>236662</v>
      </c>
      <c r="J63" s="126">
        <v>421</v>
      </c>
      <c r="K63" s="128">
        <v>62174</v>
      </c>
      <c r="L63" s="126">
        <v>4174</v>
      </c>
      <c r="M63" s="128">
        <v>1947702</v>
      </c>
      <c r="N63" s="86" t="s">
        <v>88</v>
      </c>
    </row>
    <row r="64" spans="1:14" s="93" customFormat="1" ht="15.75" customHeight="1">
      <c r="A64" s="76" t="s">
        <v>89</v>
      </c>
      <c r="B64" s="126">
        <f>_xlfn.COMPOUNDVALUE(189)</f>
        <v>1152</v>
      </c>
      <c r="C64" s="127">
        <v>942687</v>
      </c>
      <c r="D64" s="126">
        <f>_xlfn.COMPOUNDVALUE(190)</f>
        <v>2173</v>
      </c>
      <c r="E64" s="127">
        <v>1075225</v>
      </c>
      <c r="F64" s="126">
        <f>_xlfn.COMPOUNDVALUE(191)</f>
        <v>3325</v>
      </c>
      <c r="G64" s="127">
        <v>2017912</v>
      </c>
      <c r="H64" s="126">
        <f>_xlfn.COMPOUNDVALUE(192)</f>
        <v>96</v>
      </c>
      <c r="I64" s="128">
        <v>82372</v>
      </c>
      <c r="J64" s="126">
        <v>313</v>
      </c>
      <c r="K64" s="128">
        <v>50394</v>
      </c>
      <c r="L64" s="126">
        <v>3559</v>
      </c>
      <c r="M64" s="128">
        <v>1985934</v>
      </c>
      <c r="N64" s="86" t="s">
        <v>89</v>
      </c>
    </row>
    <row r="65" spans="1:14" s="93" customFormat="1" ht="15.75" customHeight="1">
      <c r="A65" s="78" t="s">
        <v>90</v>
      </c>
      <c r="B65" s="131">
        <f>_xlfn.COMPOUNDVALUE(193)</f>
        <v>806</v>
      </c>
      <c r="C65" s="132">
        <v>596908</v>
      </c>
      <c r="D65" s="131">
        <f>_xlfn.COMPOUNDVALUE(194)</f>
        <v>1462</v>
      </c>
      <c r="E65" s="132">
        <v>671104</v>
      </c>
      <c r="F65" s="131">
        <f>_xlfn.COMPOUNDVALUE(195)</f>
        <v>2268</v>
      </c>
      <c r="G65" s="132">
        <v>1268012</v>
      </c>
      <c r="H65" s="131">
        <f>_xlfn.COMPOUNDVALUE(196)</f>
        <v>61</v>
      </c>
      <c r="I65" s="133">
        <v>117041</v>
      </c>
      <c r="J65" s="131">
        <v>266</v>
      </c>
      <c r="K65" s="133">
        <v>50279</v>
      </c>
      <c r="L65" s="131">
        <v>2433</v>
      </c>
      <c r="M65" s="133">
        <v>1201249</v>
      </c>
      <c r="N65" s="77" t="s">
        <v>90</v>
      </c>
    </row>
    <row r="66" spans="1:14" s="93" customFormat="1" ht="15.75" customHeight="1">
      <c r="A66" s="78"/>
      <c r="B66" s="131"/>
      <c r="C66" s="132"/>
      <c r="D66" s="131"/>
      <c r="E66" s="132"/>
      <c r="F66" s="131"/>
      <c r="G66" s="132"/>
      <c r="H66" s="131"/>
      <c r="I66" s="133"/>
      <c r="J66" s="131"/>
      <c r="K66" s="133"/>
      <c r="L66" s="131"/>
      <c r="M66" s="133"/>
      <c r="N66" s="77" t="s">
        <v>39</v>
      </c>
    </row>
    <row r="67" spans="1:14" s="93" customFormat="1" ht="15.75" customHeight="1">
      <c r="A67" s="78" t="s">
        <v>91</v>
      </c>
      <c r="B67" s="131">
        <f>_xlfn.COMPOUNDVALUE(197)</f>
        <v>1260</v>
      </c>
      <c r="C67" s="132">
        <v>769903</v>
      </c>
      <c r="D67" s="131">
        <f>_xlfn.COMPOUNDVALUE(198)</f>
        <v>1862</v>
      </c>
      <c r="E67" s="132">
        <v>888630</v>
      </c>
      <c r="F67" s="131">
        <f>_xlfn.COMPOUNDVALUE(199)</f>
        <v>3122</v>
      </c>
      <c r="G67" s="132">
        <v>1658533</v>
      </c>
      <c r="H67" s="131">
        <f>_xlfn.COMPOUNDVALUE(200)</f>
        <v>79</v>
      </c>
      <c r="I67" s="133">
        <v>88151</v>
      </c>
      <c r="J67" s="131">
        <v>243</v>
      </c>
      <c r="K67" s="133">
        <v>41383</v>
      </c>
      <c r="L67" s="131">
        <v>3304</v>
      </c>
      <c r="M67" s="133">
        <v>1611766</v>
      </c>
      <c r="N67" s="77" t="s">
        <v>91</v>
      </c>
    </row>
    <row r="68" spans="1:14" s="93" customFormat="1" ht="15.75" customHeight="1">
      <c r="A68" s="78" t="s">
        <v>92</v>
      </c>
      <c r="B68" s="131">
        <f>_xlfn.COMPOUNDVALUE(201)</f>
        <v>925</v>
      </c>
      <c r="C68" s="132">
        <v>552083</v>
      </c>
      <c r="D68" s="131">
        <f>_xlfn.COMPOUNDVALUE(202)</f>
        <v>1586</v>
      </c>
      <c r="E68" s="132">
        <v>684978</v>
      </c>
      <c r="F68" s="131">
        <f>_xlfn.COMPOUNDVALUE(203)</f>
        <v>2511</v>
      </c>
      <c r="G68" s="132">
        <v>1237061</v>
      </c>
      <c r="H68" s="131">
        <f>_xlfn.COMPOUNDVALUE(204)</f>
        <v>55</v>
      </c>
      <c r="I68" s="133">
        <v>34939</v>
      </c>
      <c r="J68" s="131">
        <v>211</v>
      </c>
      <c r="K68" s="133">
        <v>31888</v>
      </c>
      <c r="L68" s="131">
        <v>2681</v>
      </c>
      <c r="M68" s="133">
        <v>1234010</v>
      </c>
      <c r="N68" s="77" t="s">
        <v>92</v>
      </c>
    </row>
    <row r="69" spans="1:14" s="93" customFormat="1" ht="15.75" customHeight="1">
      <c r="A69" s="78" t="s">
        <v>93</v>
      </c>
      <c r="B69" s="131">
        <f>_xlfn.COMPOUNDVALUE(205)</f>
        <v>1190</v>
      </c>
      <c r="C69" s="132">
        <v>818775</v>
      </c>
      <c r="D69" s="131">
        <f>_xlfn.COMPOUNDVALUE(206)</f>
        <v>2210</v>
      </c>
      <c r="E69" s="132">
        <v>941699</v>
      </c>
      <c r="F69" s="131">
        <f>_xlfn.COMPOUNDVALUE(207)</f>
        <v>3400</v>
      </c>
      <c r="G69" s="132">
        <v>1760474</v>
      </c>
      <c r="H69" s="131">
        <f>_xlfn.COMPOUNDVALUE(208)</f>
        <v>77</v>
      </c>
      <c r="I69" s="133">
        <v>185684</v>
      </c>
      <c r="J69" s="131">
        <v>343</v>
      </c>
      <c r="K69" s="133">
        <v>64101</v>
      </c>
      <c r="L69" s="131">
        <v>3649</v>
      </c>
      <c r="M69" s="133">
        <v>1638891</v>
      </c>
      <c r="N69" s="77" t="s">
        <v>93</v>
      </c>
    </row>
    <row r="70" spans="1:14" s="93" customFormat="1" ht="15.75" customHeight="1">
      <c r="A70" s="78" t="s">
        <v>94</v>
      </c>
      <c r="B70" s="131">
        <f>_xlfn.COMPOUNDVALUE(209)</f>
        <v>1376</v>
      </c>
      <c r="C70" s="132">
        <v>1015479</v>
      </c>
      <c r="D70" s="131">
        <f>_xlfn.COMPOUNDVALUE(210)</f>
        <v>2148</v>
      </c>
      <c r="E70" s="132">
        <v>941058</v>
      </c>
      <c r="F70" s="131">
        <f>_xlfn.COMPOUNDVALUE(211)</f>
        <v>3524</v>
      </c>
      <c r="G70" s="132">
        <v>1956538</v>
      </c>
      <c r="H70" s="131">
        <f>_xlfn.COMPOUNDVALUE(212)</f>
        <v>80</v>
      </c>
      <c r="I70" s="133">
        <v>120605</v>
      </c>
      <c r="J70" s="131">
        <v>236</v>
      </c>
      <c r="K70" s="133">
        <v>32421</v>
      </c>
      <c r="L70" s="131">
        <v>3754</v>
      </c>
      <c r="M70" s="133">
        <v>1868354</v>
      </c>
      <c r="N70" s="77" t="s">
        <v>94</v>
      </c>
    </row>
    <row r="71" spans="1:14" s="93" customFormat="1" ht="15.75" customHeight="1">
      <c r="A71" s="78" t="s">
        <v>95</v>
      </c>
      <c r="B71" s="131">
        <f>_xlfn.COMPOUNDVALUE(213)</f>
        <v>643</v>
      </c>
      <c r="C71" s="132">
        <v>641060</v>
      </c>
      <c r="D71" s="131">
        <f>_xlfn.COMPOUNDVALUE(214)</f>
        <v>929</v>
      </c>
      <c r="E71" s="132">
        <v>482586</v>
      </c>
      <c r="F71" s="131">
        <f>_xlfn.COMPOUNDVALUE(215)</f>
        <v>1572</v>
      </c>
      <c r="G71" s="132">
        <v>1123646</v>
      </c>
      <c r="H71" s="131">
        <f>_xlfn.COMPOUNDVALUE(216)</f>
        <v>39</v>
      </c>
      <c r="I71" s="133">
        <v>35612</v>
      </c>
      <c r="J71" s="131">
        <v>151</v>
      </c>
      <c r="K71" s="133">
        <v>27457</v>
      </c>
      <c r="L71" s="131">
        <v>1684</v>
      </c>
      <c r="M71" s="133">
        <v>1115491</v>
      </c>
      <c r="N71" s="77" t="s">
        <v>95</v>
      </c>
    </row>
    <row r="72" spans="1:14" s="93" customFormat="1" ht="15.75" customHeight="1">
      <c r="A72" s="79" t="s">
        <v>145</v>
      </c>
      <c r="B72" s="134">
        <v>37145</v>
      </c>
      <c r="C72" s="135">
        <v>43068498</v>
      </c>
      <c r="D72" s="134">
        <v>59338</v>
      </c>
      <c r="E72" s="135">
        <v>30865033</v>
      </c>
      <c r="F72" s="134">
        <v>96483</v>
      </c>
      <c r="G72" s="135">
        <v>73933527</v>
      </c>
      <c r="H72" s="134">
        <v>3289</v>
      </c>
      <c r="I72" s="136">
        <v>5955261</v>
      </c>
      <c r="J72" s="134">
        <v>8901</v>
      </c>
      <c r="K72" s="136">
        <v>1958630</v>
      </c>
      <c r="L72" s="134">
        <v>103458</v>
      </c>
      <c r="M72" s="136">
        <v>69936894</v>
      </c>
      <c r="N72" s="84" t="s">
        <v>97</v>
      </c>
    </row>
    <row r="73" spans="1:14" s="93" customFormat="1" ht="15.75" customHeight="1">
      <c r="A73" s="160"/>
      <c r="B73" s="162"/>
      <c r="C73" s="163"/>
      <c r="D73" s="162"/>
      <c r="E73" s="163"/>
      <c r="F73" s="162"/>
      <c r="G73" s="163"/>
      <c r="H73" s="162"/>
      <c r="I73" s="164"/>
      <c r="J73" s="162"/>
      <c r="K73" s="164"/>
      <c r="L73" s="162"/>
      <c r="M73" s="164"/>
      <c r="N73" s="161" t="s">
        <v>39</v>
      </c>
    </row>
    <row r="74" spans="1:14" s="93" customFormat="1" ht="15.75" customHeight="1">
      <c r="A74" s="76" t="s">
        <v>98</v>
      </c>
      <c r="B74" s="126">
        <f>_xlfn.COMPOUNDVALUE(217)</f>
        <v>1270</v>
      </c>
      <c r="C74" s="127">
        <v>832491</v>
      </c>
      <c r="D74" s="126">
        <f>_xlfn.COMPOUNDVALUE(218)</f>
        <v>2338</v>
      </c>
      <c r="E74" s="127">
        <v>1043182</v>
      </c>
      <c r="F74" s="126">
        <f>_xlfn.COMPOUNDVALUE(219)</f>
        <v>3608</v>
      </c>
      <c r="G74" s="127">
        <v>1875673</v>
      </c>
      <c r="H74" s="126">
        <f>_xlfn.COMPOUNDVALUE(220)</f>
        <v>83</v>
      </c>
      <c r="I74" s="128">
        <v>42282</v>
      </c>
      <c r="J74" s="126">
        <v>317</v>
      </c>
      <c r="K74" s="128">
        <v>35290</v>
      </c>
      <c r="L74" s="126">
        <v>3811</v>
      </c>
      <c r="M74" s="128">
        <v>1868680</v>
      </c>
      <c r="N74" s="85" t="s">
        <v>98</v>
      </c>
    </row>
    <row r="75" spans="1:14" s="93" customFormat="1" ht="15.75" customHeight="1">
      <c r="A75" s="78" t="s">
        <v>99</v>
      </c>
      <c r="B75" s="131">
        <f>_xlfn.COMPOUNDVALUE(221)</f>
        <v>1643</v>
      </c>
      <c r="C75" s="132">
        <v>1193497</v>
      </c>
      <c r="D75" s="131">
        <f>_xlfn.COMPOUNDVALUE(222)</f>
        <v>3087</v>
      </c>
      <c r="E75" s="132">
        <v>1461600</v>
      </c>
      <c r="F75" s="131">
        <f>_xlfn.COMPOUNDVALUE(223)</f>
        <v>4730</v>
      </c>
      <c r="G75" s="132">
        <v>2655098</v>
      </c>
      <c r="H75" s="131">
        <f>_xlfn.COMPOUNDVALUE(224)</f>
        <v>111</v>
      </c>
      <c r="I75" s="133">
        <v>149620</v>
      </c>
      <c r="J75" s="131">
        <v>497</v>
      </c>
      <c r="K75" s="133">
        <v>76115</v>
      </c>
      <c r="L75" s="131">
        <v>5101</v>
      </c>
      <c r="M75" s="133">
        <v>2581593</v>
      </c>
      <c r="N75" s="77" t="s">
        <v>99</v>
      </c>
    </row>
    <row r="76" spans="1:14" s="93" customFormat="1" ht="15.75" customHeight="1">
      <c r="A76" s="78" t="s">
        <v>100</v>
      </c>
      <c r="B76" s="131">
        <f>_xlfn.COMPOUNDVALUE(225)</f>
        <v>1200</v>
      </c>
      <c r="C76" s="132">
        <v>1483308</v>
      </c>
      <c r="D76" s="131">
        <f>_xlfn.COMPOUNDVALUE(226)</f>
        <v>2480</v>
      </c>
      <c r="E76" s="132">
        <v>1245499</v>
      </c>
      <c r="F76" s="131">
        <f>_xlfn.COMPOUNDVALUE(227)</f>
        <v>3680</v>
      </c>
      <c r="G76" s="132">
        <v>2728807</v>
      </c>
      <c r="H76" s="131">
        <f>_xlfn.COMPOUNDVALUE(228)</f>
        <v>116</v>
      </c>
      <c r="I76" s="133">
        <v>258590</v>
      </c>
      <c r="J76" s="131">
        <v>258</v>
      </c>
      <c r="K76" s="133">
        <v>37206</v>
      </c>
      <c r="L76" s="131">
        <v>3890</v>
      </c>
      <c r="M76" s="133">
        <v>2507423</v>
      </c>
      <c r="N76" s="77" t="s">
        <v>100</v>
      </c>
    </row>
    <row r="77" spans="1:14" s="93" customFormat="1" ht="15.75" customHeight="1">
      <c r="A77" s="78" t="s">
        <v>101</v>
      </c>
      <c r="B77" s="131">
        <f>_xlfn.COMPOUNDVALUE(229)</f>
        <v>1145</v>
      </c>
      <c r="C77" s="132">
        <v>773279</v>
      </c>
      <c r="D77" s="131">
        <f>_xlfn.COMPOUNDVALUE(230)</f>
        <v>2008</v>
      </c>
      <c r="E77" s="132">
        <v>854363</v>
      </c>
      <c r="F77" s="131">
        <f>_xlfn.COMPOUNDVALUE(231)</f>
        <v>3153</v>
      </c>
      <c r="G77" s="132">
        <v>1627641</v>
      </c>
      <c r="H77" s="131">
        <f>_xlfn.COMPOUNDVALUE(232)</f>
        <v>76</v>
      </c>
      <c r="I77" s="133">
        <v>115381</v>
      </c>
      <c r="J77" s="131">
        <v>274</v>
      </c>
      <c r="K77" s="133">
        <v>52614</v>
      </c>
      <c r="L77" s="131">
        <v>3353</v>
      </c>
      <c r="M77" s="133">
        <v>1564875</v>
      </c>
      <c r="N77" s="77" t="s">
        <v>101</v>
      </c>
    </row>
    <row r="78" spans="1:14" s="93" customFormat="1" ht="15.75" customHeight="1">
      <c r="A78" s="78" t="s">
        <v>102</v>
      </c>
      <c r="B78" s="131">
        <f>_xlfn.COMPOUNDVALUE(233)</f>
        <v>1427</v>
      </c>
      <c r="C78" s="132">
        <v>1049391</v>
      </c>
      <c r="D78" s="131">
        <f>_xlfn.COMPOUNDVALUE(234)</f>
        <v>2457</v>
      </c>
      <c r="E78" s="132">
        <v>1152699</v>
      </c>
      <c r="F78" s="131">
        <f>_xlfn.COMPOUNDVALUE(235)</f>
        <v>3884</v>
      </c>
      <c r="G78" s="132">
        <v>2202090</v>
      </c>
      <c r="H78" s="131">
        <f>_xlfn.COMPOUNDVALUE(236)</f>
        <v>100</v>
      </c>
      <c r="I78" s="133">
        <v>99749</v>
      </c>
      <c r="J78" s="131">
        <v>361</v>
      </c>
      <c r="K78" s="133">
        <v>84566</v>
      </c>
      <c r="L78" s="131">
        <v>4157</v>
      </c>
      <c r="M78" s="133">
        <v>2186907</v>
      </c>
      <c r="N78" s="77" t="s">
        <v>102</v>
      </c>
    </row>
    <row r="79" spans="1:14" s="93" customFormat="1" ht="15.75" customHeight="1">
      <c r="A79" s="103"/>
      <c r="B79" s="139"/>
      <c r="C79" s="140"/>
      <c r="D79" s="139"/>
      <c r="E79" s="140"/>
      <c r="F79" s="139"/>
      <c r="G79" s="140"/>
      <c r="H79" s="139"/>
      <c r="I79" s="141"/>
      <c r="J79" s="139"/>
      <c r="K79" s="141"/>
      <c r="L79" s="139"/>
      <c r="M79" s="140"/>
      <c r="N79" s="105" t="s">
        <v>39</v>
      </c>
    </row>
    <row r="80" spans="1:14" s="93" customFormat="1" ht="15.75" customHeight="1">
      <c r="A80" s="99" t="s">
        <v>103</v>
      </c>
      <c r="B80" s="126">
        <f>_xlfn.COMPOUNDVALUE(237)</f>
        <v>922</v>
      </c>
      <c r="C80" s="127">
        <v>826398</v>
      </c>
      <c r="D80" s="126">
        <f>_xlfn.COMPOUNDVALUE(238)</f>
        <v>1745</v>
      </c>
      <c r="E80" s="127">
        <v>833904</v>
      </c>
      <c r="F80" s="126">
        <f>_xlfn.COMPOUNDVALUE(239)</f>
        <v>2667</v>
      </c>
      <c r="G80" s="127">
        <v>1660302</v>
      </c>
      <c r="H80" s="126">
        <f>_xlfn.COMPOUNDVALUE(240)</f>
        <v>70</v>
      </c>
      <c r="I80" s="128">
        <v>149589</v>
      </c>
      <c r="J80" s="126">
        <v>250</v>
      </c>
      <c r="K80" s="128">
        <v>23599</v>
      </c>
      <c r="L80" s="126">
        <v>2828</v>
      </c>
      <c r="M80" s="127">
        <v>1534311</v>
      </c>
      <c r="N80" s="86" t="s">
        <v>103</v>
      </c>
    </row>
    <row r="81" spans="1:14" s="93" customFormat="1" ht="15.75" customHeight="1">
      <c r="A81" s="78" t="s">
        <v>104</v>
      </c>
      <c r="B81" s="131">
        <f>_xlfn.COMPOUNDVALUE(241)</f>
        <v>733</v>
      </c>
      <c r="C81" s="132">
        <v>569055</v>
      </c>
      <c r="D81" s="131">
        <f>_xlfn.COMPOUNDVALUE(242)</f>
        <v>1430</v>
      </c>
      <c r="E81" s="132">
        <v>688195</v>
      </c>
      <c r="F81" s="131">
        <f>_xlfn.COMPOUNDVALUE(243)</f>
        <v>2163</v>
      </c>
      <c r="G81" s="132">
        <v>1257250</v>
      </c>
      <c r="H81" s="131">
        <f>_xlfn.COMPOUNDVALUE(244)</f>
        <v>66</v>
      </c>
      <c r="I81" s="133">
        <v>109045</v>
      </c>
      <c r="J81" s="131">
        <v>337</v>
      </c>
      <c r="K81" s="133">
        <v>44717</v>
      </c>
      <c r="L81" s="131">
        <v>2385</v>
      </c>
      <c r="M81" s="133">
        <v>1192922</v>
      </c>
      <c r="N81" s="77" t="s">
        <v>104</v>
      </c>
    </row>
    <row r="82" spans="1:14" s="93" customFormat="1" ht="15.75" customHeight="1">
      <c r="A82" s="78" t="s">
        <v>105</v>
      </c>
      <c r="B82" s="131">
        <f>_xlfn.COMPOUNDVALUE(245)</f>
        <v>1673</v>
      </c>
      <c r="C82" s="132">
        <v>1034775</v>
      </c>
      <c r="D82" s="131">
        <f>_xlfn.COMPOUNDVALUE(246)</f>
        <v>3044</v>
      </c>
      <c r="E82" s="132">
        <v>1352506</v>
      </c>
      <c r="F82" s="131">
        <f>_xlfn.COMPOUNDVALUE(247)</f>
        <v>4717</v>
      </c>
      <c r="G82" s="132">
        <v>2387281</v>
      </c>
      <c r="H82" s="131">
        <f>_xlfn.COMPOUNDVALUE(248)</f>
        <v>96</v>
      </c>
      <c r="I82" s="133">
        <v>139705</v>
      </c>
      <c r="J82" s="131">
        <v>366</v>
      </c>
      <c r="K82" s="133">
        <v>55820</v>
      </c>
      <c r="L82" s="131">
        <v>5005</v>
      </c>
      <c r="M82" s="133">
        <v>2303397</v>
      </c>
      <c r="N82" s="77" t="s">
        <v>105</v>
      </c>
    </row>
    <row r="83" spans="1:14" s="93" customFormat="1" ht="15.75" customHeight="1">
      <c r="A83" s="165" t="s">
        <v>106</v>
      </c>
      <c r="B83" s="166">
        <v>10013</v>
      </c>
      <c r="C83" s="167">
        <v>7762194</v>
      </c>
      <c r="D83" s="166">
        <v>18589</v>
      </c>
      <c r="E83" s="167">
        <v>8631948</v>
      </c>
      <c r="F83" s="166">
        <v>28602</v>
      </c>
      <c r="G83" s="167">
        <v>16394142</v>
      </c>
      <c r="H83" s="166">
        <v>718</v>
      </c>
      <c r="I83" s="168">
        <v>1063961</v>
      </c>
      <c r="J83" s="166">
        <v>2660</v>
      </c>
      <c r="K83" s="168">
        <v>409927</v>
      </c>
      <c r="L83" s="166">
        <v>30530</v>
      </c>
      <c r="M83" s="168">
        <v>15740108</v>
      </c>
      <c r="N83" s="169" t="s">
        <v>107</v>
      </c>
    </row>
    <row r="84" spans="1:14" s="93" customFormat="1" ht="15.75" customHeight="1">
      <c r="A84" s="180"/>
      <c r="B84" s="181"/>
      <c r="C84" s="182"/>
      <c r="D84" s="181"/>
      <c r="E84" s="182"/>
      <c r="F84" s="181"/>
      <c r="G84" s="182"/>
      <c r="H84" s="181"/>
      <c r="I84" s="183"/>
      <c r="J84" s="181"/>
      <c r="K84" s="183"/>
      <c r="L84" s="181"/>
      <c r="M84" s="183"/>
      <c r="N84" s="184" t="s">
        <v>39</v>
      </c>
    </row>
    <row r="85" spans="1:14" s="93" customFormat="1" ht="15.75" customHeight="1">
      <c r="A85" s="175" t="s">
        <v>146</v>
      </c>
      <c r="B85" s="176">
        <v>47158</v>
      </c>
      <c r="C85" s="177">
        <v>50830691</v>
      </c>
      <c r="D85" s="176">
        <v>77927</v>
      </c>
      <c r="E85" s="177">
        <v>39496976</v>
      </c>
      <c r="F85" s="176">
        <v>125085</v>
      </c>
      <c r="G85" s="177">
        <v>90327667</v>
      </c>
      <c r="H85" s="176">
        <v>4007</v>
      </c>
      <c r="I85" s="178">
        <v>7019221</v>
      </c>
      <c r="J85" s="176">
        <v>11561</v>
      </c>
      <c r="K85" s="178">
        <v>2368557</v>
      </c>
      <c r="L85" s="176">
        <v>133988</v>
      </c>
      <c r="M85" s="178">
        <v>85677003</v>
      </c>
      <c r="N85" s="179" t="s">
        <v>109</v>
      </c>
    </row>
    <row r="86" spans="1:14" s="93" customFormat="1" ht="15.75" customHeight="1">
      <c r="A86" s="170"/>
      <c r="B86" s="171"/>
      <c r="C86" s="172"/>
      <c r="D86" s="171"/>
      <c r="E86" s="172"/>
      <c r="F86" s="173"/>
      <c r="G86" s="172"/>
      <c r="H86" s="173"/>
      <c r="I86" s="172"/>
      <c r="J86" s="173"/>
      <c r="K86" s="172"/>
      <c r="L86" s="173"/>
      <c r="M86" s="172"/>
      <c r="N86" s="174"/>
    </row>
    <row r="87" spans="1:14" s="93" customFormat="1" ht="15.75" customHeight="1">
      <c r="A87" s="76" t="s">
        <v>110</v>
      </c>
      <c r="B87" s="126">
        <f>_xlfn.COMPOUNDVALUE(249)</f>
        <v>637</v>
      </c>
      <c r="C87" s="127">
        <v>395754</v>
      </c>
      <c r="D87" s="126">
        <f>_xlfn.COMPOUNDVALUE(250)</f>
        <v>1009</v>
      </c>
      <c r="E87" s="127">
        <v>425132</v>
      </c>
      <c r="F87" s="126">
        <f>_xlfn.COMPOUNDVALUE(251)</f>
        <v>1646</v>
      </c>
      <c r="G87" s="127">
        <v>820886</v>
      </c>
      <c r="H87" s="126">
        <f>_xlfn.COMPOUNDVALUE(252)</f>
        <v>56</v>
      </c>
      <c r="I87" s="128">
        <v>106908</v>
      </c>
      <c r="J87" s="126">
        <v>183</v>
      </c>
      <c r="K87" s="128">
        <v>19348</v>
      </c>
      <c r="L87" s="126">
        <v>1798</v>
      </c>
      <c r="M87" s="128">
        <v>733325</v>
      </c>
      <c r="N87" s="86" t="s">
        <v>110</v>
      </c>
    </row>
    <row r="88" spans="1:14" s="93" customFormat="1" ht="15.75" customHeight="1">
      <c r="A88" s="76" t="s">
        <v>111</v>
      </c>
      <c r="B88" s="126">
        <f>_xlfn.COMPOUNDVALUE(253)</f>
        <v>948</v>
      </c>
      <c r="C88" s="127">
        <v>949210</v>
      </c>
      <c r="D88" s="126">
        <f>_xlfn.COMPOUNDVALUE(254)</f>
        <v>1447</v>
      </c>
      <c r="E88" s="127">
        <v>820432</v>
      </c>
      <c r="F88" s="126">
        <f>_xlfn.COMPOUNDVALUE(255)</f>
        <v>2395</v>
      </c>
      <c r="G88" s="127">
        <v>1769642</v>
      </c>
      <c r="H88" s="126">
        <f>_xlfn.COMPOUNDVALUE(256)</f>
        <v>142</v>
      </c>
      <c r="I88" s="128">
        <v>118707</v>
      </c>
      <c r="J88" s="126">
        <v>226</v>
      </c>
      <c r="K88" s="128">
        <v>17382</v>
      </c>
      <c r="L88" s="126">
        <v>2616</v>
      </c>
      <c r="M88" s="128">
        <v>1668317</v>
      </c>
      <c r="N88" s="86" t="s">
        <v>111</v>
      </c>
    </row>
    <row r="89" spans="1:14" s="93" customFormat="1" ht="15.75" customHeight="1">
      <c r="A89" s="76" t="s">
        <v>112</v>
      </c>
      <c r="B89" s="126">
        <f>_xlfn.COMPOUNDVALUE(257)</f>
        <v>1046</v>
      </c>
      <c r="C89" s="127">
        <v>684105</v>
      </c>
      <c r="D89" s="126">
        <f>_xlfn.COMPOUNDVALUE(258)</f>
        <v>1981</v>
      </c>
      <c r="E89" s="127">
        <v>869106</v>
      </c>
      <c r="F89" s="126">
        <f>_xlfn.COMPOUNDVALUE(259)</f>
        <v>3027</v>
      </c>
      <c r="G89" s="127">
        <v>1553211</v>
      </c>
      <c r="H89" s="126">
        <f>_xlfn.COMPOUNDVALUE(260)</f>
        <v>77</v>
      </c>
      <c r="I89" s="128">
        <v>121802</v>
      </c>
      <c r="J89" s="126">
        <v>363</v>
      </c>
      <c r="K89" s="128">
        <v>56737</v>
      </c>
      <c r="L89" s="126">
        <v>3277</v>
      </c>
      <c r="M89" s="128">
        <v>1488147</v>
      </c>
      <c r="N89" s="86" t="s">
        <v>112</v>
      </c>
    </row>
    <row r="90" spans="1:14" s="93" customFormat="1" ht="15.75" customHeight="1">
      <c r="A90" s="76" t="s">
        <v>113</v>
      </c>
      <c r="B90" s="126">
        <f>_xlfn.COMPOUNDVALUE(261)</f>
        <v>1445</v>
      </c>
      <c r="C90" s="127">
        <v>1075287</v>
      </c>
      <c r="D90" s="126">
        <f>_xlfn.COMPOUNDVALUE(262)</f>
        <v>2335</v>
      </c>
      <c r="E90" s="127">
        <v>1080536</v>
      </c>
      <c r="F90" s="126">
        <f>_xlfn.COMPOUNDVALUE(263)</f>
        <v>3780</v>
      </c>
      <c r="G90" s="127">
        <v>2155822</v>
      </c>
      <c r="H90" s="126">
        <f>_xlfn.COMPOUNDVALUE(264)</f>
        <v>152</v>
      </c>
      <c r="I90" s="128">
        <v>180028</v>
      </c>
      <c r="J90" s="126">
        <v>457</v>
      </c>
      <c r="K90" s="128">
        <v>62197</v>
      </c>
      <c r="L90" s="126">
        <v>4149</v>
      </c>
      <c r="M90" s="128">
        <v>2037991</v>
      </c>
      <c r="N90" s="86" t="s">
        <v>113</v>
      </c>
    </row>
    <row r="91" spans="1:14" s="93" customFormat="1" ht="15.75" customHeight="1">
      <c r="A91" s="76" t="s">
        <v>114</v>
      </c>
      <c r="B91" s="126">
        <f>_xlfn.COMPOUNDVALUE(265)</f>
        <v>1160</v>
      </c>
      <c r="C91" s="127">
        <v>1100948</v>
      </c>
      <c r="D91" s="126">
        <f>_xlfn.COMPOUNDVALUE(266)</f>
        <v>2336</v>
      </c>
      <c r="E91" s="127">
        <v>1247594</v>
      </c>
      <c r="F91" s="126">
        <f>_xlfn.COMPOUNDVALUE(267)</f>
        <v>3496</v>
      </c>
      <c r="G91" s="127">
        <v>2348543</v>
      </c>
      <c r="H91" s="126">
        <f>_xlfn.COMPOUNDVALUE(268)</f>
        <v>131</v>
      </c>
      <c r="I91" s="128">
        <v>171933</v>
      </c>
      <c r="J91" s="126">
        <v>336</v>
      </c>
      <c r="K91" s="128">
        <v>60617</v>
      </c>
      <c r="L91" s="126">
        <v>3795</v>
      </c>
      <c r="M91" s="128">
        <v>2237226</v>
      </c>
      <c r="N91" s="86" t="s">
        <v>114</v>
      </c>
    </row>
    <row r="92" spans="1:14" s="93" customFormat="1" ht="15.75" customHeight="1">
      <c r="A92" s="76"/>
      <c r="B92" s="126"/>
      <c r="C92" s="127"/>
      <c r="D92" s="126"/>
      <c r="E92" s="127"/>
      <c r="F92" s="126"/>
      <c r="G92" s="127"/>
      <c r="H92" s="126"/>
      <c r="I92" s="128"/>
      <c r="J92" s="126"/>
      <c r="K92" s="128"/>
      <c r="L92" s="126"/>
      <c r="M92" s="128"/>
      <c r="N92" s="86" t="s">
        <v>39</v>
      </c>
    </row>
    <row r="93" spans="1:14" s="93" customFormat="1" ht="15.75" customHeight="1">
      <c r="A93" s="76" t="s">
        <v>115</v>
      </c>
      <c r="B93" s="126">
        <f>_xlfn.COMPOUNDVALUE(269)</f>
        <v>936</v>
      </c>
      <c r="C93" s="127">
        <v>775298</v>
      </c>
      <c r="D93" s="126">
        <f>_xlfn.COMPOUNDVALUE(270)</f>
        <v>1842</v>
      </c>
      <c r="E93" s="127">
        <v>846016</v>
      </c>
      <c r="F93" s="126">
        <f>_xlfn.COMPOUNDVALUE(271)</f>
        <v>2778</v>
      </c>
      <c r="G93" s="127">
        <v>1621314</v>
      </c>
      <c r="H93" s="126">
        <f>_xlfn.COMPOUNDVALUE(272)</f>
        <v>100</v>
      </c>
      <c r="I93" s="128">
        <v>101767</v>
      </c>
      <c r="J93" s="126">
        <v>279</v>
      </c>
      <c r="K93" s="128">
        <v>52642</v>
      </c>
      <c r="L93" s="126">
        <v>3029</v>
      </c>
      <c r="M93" s="128">
        <v>1572190</v>
      </c>
      <c r="N93" s="86" t="s">
        <v>115</v>
      </c>
    </row>
    <row r="94" spans="1:14" s="93" customFormat="1" ht="15.75" customHeight="1">
      <c r="A94" s="76" t="s">
        <v>173</v>
      </c>
      <c r="B94" s="126">
        <f>_xlfn.COMPOUNDVALUE(273)</f>
        <v>1578</v>
      </c>
      <c r="C94" s="127">
        <v>1681256</v>
      </c>
      <c r="D94" s="126">
        <f>_xlfn.COMPOUNDVALUE(274)</f>
        <v>3059</v>
      </c>
      <c r="E94" s="127">
        <v>1615024</v>
      </c>
      <c r="F94" s="126">
        <f>_xlfn.COMPOUNDVALUE(275)</f>
        <v>4637</v>
      </c>
      <c r="G94" s="127">
        <v>3296280</v>
      </c>
      <c r="H94" s="126">
        <f>_xlfn.COMPOUNDVALUE(276)</f>
        <v>164</v>
      </c>
      <c r="I94" s="128">
        <v>254856</v>
      </c>
      <c r="J94" s="126">
        <v>355</v>
      </c>
      <c r="K94" s="128">
        <v>69126</v>
      </c>
      <c r="L94" s="126">
        <v>4994</v>
      </c>
      <c r="M94" s="128">
        <v>3110550</v>
      </c>
      <c r="N94" s="86" t="s">
        <v>116</v>
      </c>
    </row>
    <row r="95" spans="1:14" s="93" customFormat="1" ht="15.75" customHeight="1">
      <c r="A95" s="76" t="s">
        <v>117</v>
      </c>
      <c r="B95" s="126">
        <f>_xlfn.COMPOUNDVALUE(277)</f>
        <v>895</v>
      </c>
      <c r="C95" s="127">
        <v>527771</v>
      </c>
      <c r="D95" s="126">
        <f>_xlfn.COMPOUNDVALUE(278)</f>
        <v>1403</v>
      </c>
      <c r="E95" s="127">
        <v>647144</v>
      </c>
      <c r="F95" s="126">
        <f>_xlfn.COMPOUNDVALUE(279)</f>
        <v>2298</v>
      </c>
      <c r="G95" s="127">
        <v>1174915</v>
      </c>
      <c r="H95" s="126">
        <f>_xlfn.COMPOUNDVALUE(280)</f>
        <v>55</v>
      </c>
      <c r="I95" s="128">
        <v>45684</v>
      </c>
      <c r="J95" s="126">
        <v>297</v>
      </c>
      <c r="K95" s="128">
        <v>47500</v>
      </c>
      <c r="L95" s="126">
        <v>2489</v>
      </c>
      <c r="M95" s="128">
        <v>1176730</v>
      </c>
      <c r="N95" s="86" t="s">
        <v>117</v>
      </c>
    </row>
    <row r="96" spans="1:14" s="93" customFormat="1" ht="15.75" customHeight="1">
      <c r="A96" s="76" t="s">
        <v>118</v>
      </c>
      <c r="B96" s="126">
        <f>_xlfn.COMPOUNDVALUE(281)</f>
        <v>1400</v>
      </c>
      <c r="C96" s="127">
        <v>1061799</v>
      </c>
      <c r="D96" s="126">
        <f>_xlfn.COMPOUNDVALUE(282)</f>
        <v>2684</v>
      </c>
      <c r="E96" s="127">
        <v>1333493</v>
      </c>
      <c r="F96" s="126">
        <f>_xlfn.COMPOUNDVALUE(283)</f>
        <v>4084</v>
      </c>
      <c r="G96" s="127">
        <v>2395291</v>
      </c>
      <c r="H96" s="126">
        <f>_xlfn.COMPOUNDVALUE(284)</f>
        <v>136</v>
      </c>
      <c r="I96" s="128">
        <v>226102</v>
      </c>
      <c r="J96" s="126">
        <v>353</v>
      </c>
      <c r="K96" s="128">
        <v>57399</v>
      </c>
      <c r="L96" s="126">
        <v>4358</v>
      </c>
      <c r="M96" s="128">
        <v>2226589</v>
      </c>
      <c r="N96" s="86" t="s">
        <v>118</v>
      </c>
    </row>
    <row r="97" spans="1:14" s="93" customFormat="1" ht="15.75" customHeight="1">
      <c r="A97" s="76" t="s">
        <v>119</v>
      </c>
      <c r="B97" s="126">
        <f>_xlfn.COMPOUNDVALUE(285)</f>
        <v>849</v>
      </c>
      <c r="C97" s="127">
        <v>673902</v>
      </c>
      <c r="D97" s="126">
        <f>_xlfn.COMPOUNDVALUE(286)</f>
        <v>1442</v>
      </c>
      <c r="E97" s="127">
        <v>685756</v>
      </c>
      <c r="F97" s="126">
        <f>_xlfn.COMPOUNDVALUE(287)</f>
        <v>2291</v>
      </c>
      <c r="G97" s="127">
        <v>1359658</v>
      </c>
      <c r="H97" s="126">
        <f>_xlfn.COMPOUNDVALUE(288)</f>
        <v>87</v>
      </c>
      <c r="I97" s="128">
        <v>146306</v>
      </c>
      <c r="J97" s="126">
        <v>211</v>
      </c>
      <c r="K97" s="128">
        <v>25246</v>
      </c>
      <c r="L97" s="126">
        <v>2475</v>
      </c>
      <c r="M97" s="128">
        <v>1238598</v>
      </c>
      <c r="N97" s="86" t="s">
        <v>119</v>
      </c>
    </row>
    <row r="98" spans="1:14" s="93" customFormat="1" ht="15.75" customHeight="1">
      <c r="A98" s="76"/>
      <c r="B98" s="126"/>
      <c r="C98" s="127"/>
      <c r="D98" s="126"/>
      <c r="E98" s="127"/>
      <c r="F98" s="126"/>
      <c r="G98" s="127"/>
      <c r="H98" s="126"/>
      <c r="I98" s="128"/>
      <c r="J98" s="126"/>
      <c r="K98" s="128"/>
      <c r="L98" s="126"/>
      <c r="M98" s="128"/>
      <c r="N98" s="86" t="s">
        <v>39</v>
      </c>
    </row>
    <row r="99" spans="1:14" s="93" customFormat="1" ht="15.75" customHeight="1">
      <c r="A99" s="76" t="s">
        <v>120</v>
      </c>
      <c r="B99" s="126">
        <f>_xlfn.COMPOUNDVALUE(289)</f>
        <v>898</v>
      </c>
      <c r="C99" s="127">
        <v>493249</v>
      </c>
      <c r="D99" s="126">
        <f>_xlfn.COMPOUNDVALUE(290)</f>
        <v>2297</v>
      </c>
      <c r="E99" s="127">
        <v>927511</v>
      </c>
      <c r="F99" s="126">
        <f>_xlfn.COMPOUNDVALUE(291)</f>
        <v>3195</v>
      </c>
      <c r="G99" s="127">
        <v>1420759</v>
      </c>
      <c r="H99" s="126">
        <f>_xlfn.COMPOUNDVALUE(292)</f>
        <v>72</v>
      </c>
      <c r="I99" s="128">
        <v>83318</v>
      </c>
      <c r="J99" s="126">
        <v>429</v>
      </c>
      <c r="K99" s="128">
        <v>62114</v>
      </c>
      <c r="L99" s="126">
        <v>3495</v>
      </c>
      <c r="M99" s="128">
        <v>1399556</v>
      </c>
      <c r="N99" s="86" t="s">
        <v>120</v>
      </c>
    </row>
    <row r="100" spans="1:14" s="93" customFormat="1" ht="15.75" customHeight="1">
      <c r="A100" s="76" t="s">
        <v>121</v>
      </c>
      <c r="B100" s="126">
        <f>_xlfn.COMPOUNDVALUE(293)</f>
        <v>1064</v>
      </c>
      <c r="C100" s="127">
        <v>609143</v>
      </c>
      <c r="D100" s="126">
        <f>_xlfn.COMPOUNDVALUE(294)</f>
        <v>2263</v>
      </c>
      <c r="E100" s="127">
        <v>912088</v>
      </c>
      <c r="F100" s="126">
        <f>_xlfn.COMPOUNDVALUE(295)</f>
        <v>3327</v>
      </c>
      <c r="G100" s="127">
        <v>1521232</v>
      </c>
      <c r="H100" s="126">
        <f>_xlfn.COMPOUNDVALUE(296)</f>
        <v>66</v>
      </c>
      <c r="I100" s="128">
        <v>72973</v>
      </c>
      <c r="J100" s="126">
        <v>285</v>
      </c>
      <c r="K100" s="128">
        <v>51749</v>
      </c>
      <c r="L100" s="126">
        <v>3558</v>
      </c>
      <c r="M100" s="128">
        <v>1500008</v>
      </c>
      <c r="N100" s="86" t="s">
        <v>121</v>
      </c>
    </row>
    <row r="101" spans="1:14" s="93" customFormat="1" ht="15.75" customHeight="1">
      <c r="A101" s="78" t="s">
        <v>122</v>
      </c>
      <c r="B101" s="131">
        <f>_xlfn.COMPOUNDVALUE(297)</f>
        <v>721</v>
      </c>
      <c r="C101" s="132">
        <v>585768</v>
      </c>
      <c r="D101" s="131">
        <f>_xlfn.COMPOUNDVALUE(298)</f>
        <v>1413</v>
      </c>
      <c r="E101" s="132">
        <v>667221</v>
      </c>
      <c r="F101" s="131">
        <f>_xlfn.COMPOUNDVALUE(299)</f>
        <v>2134</v>
      </c>
      <c r="G101" s="132">
        <v>1252989</v>
      </c>
      <c r="H101" s="131">
        <f>_xlfn.COMPOUNDVALUE(300)</f>
        <v>83</v>
      </c>
      <c r="I101" s="133">
        <v>101259</v>
      </c>
      <c r="J101" s="131">
        <v>218</v>
      </c>
      <c r="K101" s="133">
        <v>33788</v>
      </c>
      <c r="L101" s="131">
        <v>2328</v>
      </c>
      <c r="M101" s="133">
        <v>1185518</v>
      </c>
      <c r="N101" s="77" t="s">
        <v>122</v>
      </c>
    </row>
    <row r="102" spans="1:14" s="93" customFormat="1" ht="15.75" customHeight="1">
      <c r="A102" s="78" t="s">
        <v>123</v>
      </c>
      <c r="B102" s="131">
        <f>_xlfn.COMPOUNDVALUE(301)</f>
        <v>1598</v>
      </c>
      <c r="C102" s="132">
        <v>1202956</v>
      </c>
      <c r="D102" s="131">
        <f>_xlfn.COMPOUNDVALUE(302)</f>
        <v>2958</v>
      </c>
      <c r="E102" s="132">
        <v>1366021</v>
      </c>
      <c r="F102" s="131">
        <f>_xlfn.COMPOUNDVALUE(303)</f>
        <v>4556</v>
      </c>
      <c r="G102" s="132">
        <v>2568977</v>
      </c>
      <c r="H102" s="131">
        <f>_xlfn.COMPOUNDVALUE(304)</f>
        <v>118</v>
      </c>
      <c r="I102" s="133">
        <v>136032</v>
      </c>
      <c r="J102" s="131">
        <v>370</v>
      </c>
      <c r="K102" s="133">
        <v>69931</v>
      </c>
      <c r="L102" s="131">
        <v>4865</v>
      </c>
      <c r="M102" s="133">
        <v>2502876</v>
      </c>
      <c r="N102" s="77" t="s">
        <v>123</v>
      </c>
    </row>
    <row r="103" spans="1:14" s="93" customFormat="1" ht="15.75" customHeight="1">
      <c r="A103" s="78" t="s">
        <v>124</v>
      </c>
      <c r="B103" s="131">
        <f>_xlfn.COMPOUNDVALUE(305)</f>
        <v>949</v>
      </c>
      <c r="C103" s="132">
        <v>504372</v>
      </c>
      <c r="D103" s="131">
        <f>_xlfn.COMPOUNDVALUE(306)</f>
        <v>1612</v>
      </c>
      <c r="E103" s="132">
        <v>635241</v>
      </c>
      <c r="F103" s="131">
        <f>_xlfn.COMPOUNDVALUE(307)</f>
        <v>2561</v>
      </c>
      <c r="G103" s="132">
        <v>1139613</v>
      </c>
      <c r="H103" s="131">
        <f>_xlfn.COMPOUNDVALUE(308)</f>
        <v>64</v>
      </c>
      <c r="I103" s="133">
        <v>48547</v>
      </c>
      <c r="J103" s="131">
        <v>199</v>
      </c>
      <c r="K103" s="133">
        <v>21641</v>
      </c>
      <c r="L103" s="131">
        <v>2715</v>
      </c>
      <c r="M103" s="133">
        <v>1112707</v>
      </c>
      <c r="N103" s="77" t="s">
        <v>124</v>
      </c>
    </row>
    <row r="104" spans="1:14" s="93" customFormat="1" ht="15.75" customHeight="1">
      <c r="A104" s="78"/>
      <c r="B104" s="131"/>
      <c r="C104" s="132"/>
      <c r="D104" s="131"/>
      <c r="E104" s="132"/>
      <c r="F104" s="131"/>
      <c r="G104" s="132"/>
      <c r="H104" s="131"/>
      <c r="I104" s="133"/>
      <c r="J104" s="131"/>
      <c r="K104" s="133"/>
      <c r="L104" s="131"/>
      <c r="M104" s="133"/>
      <c r="N104" s="77" t="s">
        <v>39</v>
      </c>
    </row>
    <row r="105" spans="1:14" s="93" customFormat="1" ht="15.75" customHeight="1">
      <c r="A105" s="78" t="s">
        <v>125</v>
      </c>
      <c r="B105" s="131">
        <f>_xlfn.COMPOUNDVALUE(309)</f>
        <v>1389</v>
      </c>
      <c r="C105" s="132">
        <v>1116247</v>
      </c>
      <c r="D105" s="131">
        <f>_xlfn.COMPOUNDVALUE(310)</f>
        <v>2673</v>
      </c>
      <c r="E105" s="132">
        <v>1223185</v>
      </c>
      <c r="F105" s="131">
        <f>_xlfn.COMPOUNDVALUE(311)</f>
        <v>4062</v>
      </c>
      <c r="G105" s="132">
        <v>2339432</v>
      </c>
      <c r="H105" s="131">
        <f>_xlfn.COMPOUNDVALUE(312)</f>
        <v>112</v>
      </c>
      <c r="I105" s="133">
        <v>182085</v>
      </c>
      <c r="J105" s="131">
        <v>345</v>
      </c>
      <c r="K105" s="133">
        <v>47823</v>
      </c>
      <c r="L105" s="131">
        <v>4344</v>
      </c>
      <c r="M105" s="133">
        <v>2205169</v>
      </c>
      <c r="N105" s="77" t="s">
        <v>125</v>
      </c>
    </row>
    <row r="106" spans="1:14" s="93" customFormat="1" ht="15.75" customHeight="1">
      <c r="A106" s="78" t="s">
        <v>126</v>
      </c>
      <c r="B106" s="131">
        <f>_xlfn.COMPOUNDVALUE(313)</f>
        <v>671</v>
      </c>
      <c r="C106" s="132">
        <v>431570</v>
      </c>
      <c r="D106" s="131">
        <f>_xlfn.COMPOUNDVALUE(314)</f>
        <v>1209</v>
      </c>
      <c r="E106" s="132">
        <v>537327</v>
      </c>
      <c r="F106" s="131">
        <f>_xlfn.COMPOUNDVALUE(315)</f>
        <v>1880</v>
      </c>
      <c r="G106" s="132">
        <v>968897</v>
      </c>
      <c r="H106" s="131">
        <f>_xlfn.COMPOUNDVALUE(316)</f>
        <v>49</v>
      </c>
      <c r="I106" s="133">
        <v>76118</v>
      </c>
      <c r="J106" s="131">
        <v>182</v>
      </c>
      <c r="K106" s="133">
        <v>23647</v>
      </c>
      <c r="L106" s="131">
        <v>2004</v>
      </c>
      <c r="M106" s="133">
        <v>916426</v>
      </c>
      <c r="N106" s="77" t="s">
        <v>126</v>
      </c>
    </row>
    <row r="107" spans="1:14" s="93" customFormat="1" ht="15.75" customHeight="1">
      <c r="A107" s="78" t="s">
        <v>127</v>
      </c>
      <c r="B107" s="131">
        <f>_xlfn.COMPOUNDVALUE(317)</f>
        <v>1134</v>
      </c>
      <c r="C107" s="132">
        <v>678618</v>
      </c>
      <c r="D107" s="131">
        <f>_xlfn.COMPOUNDVALUE(318)</f>
        <v>2241</v>
      </c>
      <c r="E107" s="132">
        <v>974237</v>
      </c>
      <c r="F107" s="131">
        <f>_xlfn.COMPOUNDVALUE(319)</f>
        <v>3375</v>
      </c>
      <c r="G107" s="132">
        <v>1652855</v>
      </c>
      <c r="H107" s="131">
        <f>_xlfn.COMPOUNDVALUE(320)</f>
        <v>97</v>
      </c>
      <c r="I107" s="133">
        <v>127446</v>
      </c>
      <c r="J107" s="131">
        <v>436</v>
      </c>
      <c r="K107" s="133">
        <v>63366</v>
      </c>
      <c r="L107" s="131">
        <v>3671</v>
      </c>
      <c r="M107" s="133">
        <v>1588775</v>
      </c>
      <c r="N107" s="77" t="s">
        <v>127</v>
      </c>
    </row>
    <row r="108" spans="1:14" s="93" customFormat="1" ht="15.75" customHeight="1">
      <c r="A108" s="165" t="s">
        <v>147</v>
      </c>
      <c r="B108" s="166">
        <v>19318</v>
      </c>
      <c r="C108" s="167">
        <v>14547251</v>
      </c>
      <c r="D108" s="166">
        <v>36204</v>
      </c>
      <c r="E108" s="167">
        <v>16813063</v>
      </c>
      <c r="F108" s="166">
        <v>55522</v>
      </c>
      <c r="G108" s="167">
        <v>31360314</v>
      </c>
      <c r="H108" s="166">
        <v>1761</v>
      </c>
      <c r="I108" s="168">
        <v>2301869</v>
      </c>
      <c r="J108" s="166">
        <v>5524</v>
      </c>
      <c r="K108" s="168">
        <v>842253</v>
      </c>
      <c r="L108" s="166">
        <v>59960</v>
      </c>
      <c r="M108" s="168">
        <v>29900698</v>
      </c>
      <c r="N108" s="169" t="s">
        <v>129</v>
      </c>
    </row>
    <row r="109" spans="1:14" s="93" customFormat="1" ht="15.75" customHeight="1">
      <c r="A109" s="170"/>
      <c r="B109" s="171"/>
      <c r="C109" s="172"/>
      <c r="D109" s="171"/>
      <c r="E109" s="172"/>
      <c r="F109" s="173"/>
      <c r="G109" s="172"/>
      <c r="H109" s="173"/>
      <c r="I109" s="172"/>
      <c r="J109" s="173"/>
      <c r="K109" s="172"/>
      <c r="L109" s="173"/>
      <c r="M109" s="172"/>
      <c r="N109" s="174"/>
    </row>
    <row r="110" spans="1:14" s="93" customFormat="1" ht="15.75" customHeight="1">
      <c r="A110" s="76" t="s">
        <v>130</v>
      </c>
      <c r="B110" s="126">
        <f>_xlfn.COMPOUNDVALUE(321)</f>
        <v>1894</v>
      </c>
      <c r="C110" s="127">
        <v>1247600</v>
      </c>
      <c r="D110" s="126">
        <f>_xlfn.COMPOUNDVALUE(322)</f>
        <v>2949</v>
      </c>
      <c r="E110" s="127">
        <v>1206293</v>
      </c>
      <c r="F110" s="126">
        <f>_xlfn.COMPOUNDVALUE(323)</f>
        <v>4843</v>
      </c>
      <c r="G110" s="127">
        <v>2453893</v>
      </c>
      <c r="H110" s="126">
        <f>_xlfn.COMPOUNDVALUE(324)</f>
        <v>138</v>
      </c>
      <c r="I110" s="128">
        <v>102424</v>
      </c>
      <c r="J110" s="126">
        <v>423</v>
      </c>
      <c r="K110" s="128">
        <v>54343</v>
      </c>
      <c r="L110" s="126">
        <v>5201</v>
      </c>
      <c r="M110" s="128">
        <v>2405812</v>
      </c>
      <c r="N110" s="86" t="s">
        <v>130</v>
      </c>
    </row>
    <row r="111" spans="1:14" s="93" customFormat="1" ht="15.75" customHeight="1">
      <c r="A111" s="78" t="s">
        <v>131</v>
      </c>
      <c r="B111" s="131">
        <f>_xlfn.COMPOUNDVALUE(325)</f>
        <v>577</v>
      </c>
      <c r="C111" s="132">
        <v>339960</v>
      </c>
      <c r="D111" s="131">
        <f>_xlfn.COMPOUNDVALUE(326)</f>
        <v>1310</v>
      </c>
      <c r="E111" s="132">
        <v>437877</v>
      </c>
      <c r="F111" s="131">
        <f>_xlfn.COMPOUNDVALUE(327)</f>
        <v>1887</v>
      </c>
      <c r="G111" s="132">
        <v>777837</v>
      </c>
      <c r="H111" s="131">
        <f>_xlfn.COMPOUNDVALUE(328)</f>
        <v>49</v>
      </c>
      <c r="I111" s="133">
        <v>35651</v>
      </c>
      <c r="J111" s="131">
        <v>79</v>
      </c>
      <c r="K111" s="133">
        <v>9666</v>
      </c>
      <c r="L111" s="131">
        <v>1967</v>
      </c>
      <c r="M111" s="133">
        <v>751852</v>
      </c>
      <c r="N111" s="77" t="s">
        <v>131</v>
      </c>
    </row>
    <row r="112" spans="1:14" s="93" customFormat="1" ht="15.75" customHeight="1">
      <c r="A112" s="78" t="s">
        <v>132</v>
      </c>
      <c r="B112" s="131">
        <f>_xlfn.COMPOUNDVALUE(329)</f>
        <v>994</v>
      </c>
      <c r="C112" s="132">
        <v>603397</v>
      </c>
      <c r="D112" s="131">
        <f>_xlfn.COMPOUNDVALUE(330)</f>
        <v>1344</v>
      </c>
      <c r="E112" s="132">
        <v>559695</v>
      </c>
      <c r="F112" s="131">
        <f>_xlfn.COMPOUNDVALUE(331)</f>
        <v>2338</v>
      </c>
      <c r="G112" s="132">
        <v>1163092</v>
      </c>
      <c r="H112" s="131">
        <f>_xlfn.COMPOUNDVALUE(332)</f>
        <v>56</v>
      </c>
      <c r="I112" s="133">
        <v>50001</v>
      </c>
      <c r="J112" s="131">
        <v>200</v>
      </c>
      <c r="K112" s="133">
        <v>20321</v>
      </c>
      <c r="L112" s="131">
        <v>2450</v>
      </c>
      <c r="M112" s="133">
        <v>1133411</v>
      </c>
      <c r="N112" s="77" t="s">
        <v>132</v>
      </c>
    </row>
    <row r="113" spans="1:14" s="93" customFormat="1" ht="15.75" customHeight="1">
      <c r="A113" s="78" t="s">
        <v>133</v>
      </c>
      <c r="B113" s="131">
        <f>_xlfn.COMPOUNDVALUE(333)</f>
        <v>197</v>
      </c>
      <c r="C113" s="132">
        <v>127993</v>
      </c>
      <c r="D113" s="131">
        <f>_xlfn.COMPOUNDVALUE(334)</f>
        <v>437</v>
      </c>
      <c r="E113" s="132">
        <v>154499</v>
      </c>
      <c r="F113" s="131">
        <f>_xlfn.COMPOUNDVALUE(335)</f>
        <v>634</v>
      </c>
      <c r="G113" s="132">
        <v>282491</v>
      </c>
      <c r="H113" s="131">
        <f>_xlfn.COMPOUNDVALUE(336)</f>
        <v>7</v>
      </c>
      <c r="I113" s="133">
        <v>10192</v>
      </c>
      <c r="J113" s="131">
        <v>50</v>
      </c>
      <c r="K113" s="133">
        <v>-165</v>
      </c>
      <c r="L113" s="131">
        <v>646</v>
      </c>
      <c r="M113" s="133">
        <v>272135</v>
      </c>
      <c r="N113" s="77" t="s">
        <v>133</v>
      </c>
    </row>
    <row r="114" spans="1:14" s="93" customFormat="1" ht="15.75" customHeight="1">
      <c r="A114" s="79" t="s">
        <v>134</v>
      </c>
      <c r="B114" s="134">
        <v>3662</v>
      </c>
      <c r="C114" s="135">
        <v>2318949</v>
      </c>
      <c r="D114" s="134">
        <v>6040</v>
      </c>
      <c r="E114" s="135">
        <v>2358364</v>
      </c>
      <c r="F114" s="134">
        <v>9702</v>
      </c>
      <c r="G114" s="135">
        <v>4677313</v>
      </c>
      <c r="H114" s="134">
        <v>250</v>
      </c>
      <c r="I114" s="136">
        <v>198267</v>
      </c>
      <c r="J114" s="134">
        <v>752</v>
      </c>
      <c r="K114" s="136">
        <v>84165</v>
      </c>
      <c r="L114" s="134">
        <v>10264</v>
      </c>
      <c r="M114" s="136">
        <v>4563211</v>
      </c>
      <c r="N114" s="84" t="s">
        <v>135</v>
      </c>
    </row>
    <row r="115" spans="1:15" s="93" customFormat="1" ht="15.75" customHeight="1" thickBot="1">
      <c r="A115" s="80"/>
      <c r="B115" s="142"/>
      <c r="C115" s="143"/>
      <c r="D115" s="142"/>
      <c r="E115" s="143"/>
      <c r="F115" s="144"/>
      <c r="G115" s="143"/>
      <c r="H115" s="144"/>
      <c r="I115" s="143"/>
      <c r="J115" s="144"/>
      <c r="K115" s="143"/>
      <c r="L115" s="144"/>
      <c r="M115" s="143"/>
      <c r="N115" s="90"/>
      <c r="O115" s="94"/>
    </row>
    <row r="116" spans="1:14" s="93" customFormat="1" ht="15.75" customHeight="1" thickBot="1" thickTop="1">
      <c r="A116" s="82" t="s">
        <v>148</v>
      </c>
      <c r="B116" s="148">
        <v>84552</v>
      </c>
      <c r="C116" s="149">
        <v>77185772</v>
      </c>
      <c r="D116" s="148">
        <v>147178</v>
      </c>
      <c r="E116" s="149">
        <v>70134221</v>
      </c>
      <c r="F116" s="148">
        <v>231730</v>
      </c>
      <c r="G116" s="149">
        <v>147319992</v>
      </c>
      <c r="H116" s="148">
        <v>7304</v>
      </c>
      <c r="I116" s="150">
        <v>11117846</v>
      </c>
      <c r="J116" s="148">
        <v>22063</v>
      </c>
      <c r="K116" s="150">
        <v>3973668</v>
      </c>
      <c r="L116" s="148">
        <v>248776</v>
      </c>
      <c r="M116" s="150">
        <v>140175814</v>
      </c>
      <c r="N116" s="91" t="s">
        <v>38</v>
      </c>
    </row>
    <row r="117" spans="1:14" ht="13.5">
      <c r="A117" s="237" t="s">
        <v>186</v>
      </c>
      <c r="B117" s="237"/>
      <c r="C117" s="237"/>
      <c r="D117" s="237"/>
      <c r="E117" s="237"/>
      <c r="F117" s="237"/>
      <c r="G117" s="237"/>
      <c r="H117" s="237"/>
      <c r="I117" s="237"/>
      <c r="J117" s="66"/>
      <c r="K117" s="66"/>
      <c r="L117" s="65"/>
      <c r="M117" s="65"/>
      <c r="N117" s="65"/>
    </row>
    <row r="119" spans="2:10" ht="13.5">
      <c r="B119" s="155"/>
      <c r="C119" s="155"/>
      <c r="D119" s="155"/>
      <c r="E119" s="155"/>
      <c r="F119" s="155"/>
      <c r="G119" s="155"/>
      <c r="H119" s="155"/>
      <c r="J119" s="155"/>
    </row>
    <row r="120" spans="2:10" ht="13.5">
      <c r="B120" s="155"/>
      <c r="C120" s="155"/>
      <c r="D120" s="155"/>
      <c r="E120" s="155"/>
      <c r="F120" s="155"/>
      <c r="G120" s="155"/>
      <c r="H120" s="155"/>
      <c r="J120" s="155"/>
    </row>
    <row r="121" spans="2:10" ht="13.5">
      <c r="B121" s="155"/>
      <c r="C121" s="155"/>
      <c r="D121" s="155"/>
      <c r="E121" s="155"/>
      <c r="F121" s="155"/>
      <c r="G121" s="155"/>
      <c r="H121" s="155"/>
      <c r="J121" s="155"/>
    </row>
    <row r="122" spans="2:10" ht="13.5">
      <c r="B122" s="155"/>
      <c r="C122" s="155"/>
      <c r="D122" s="155"/>
      <c r="E122" s="155"/>
      <c r="F122" s="155"/>
      <c r="G122" s="155"/>
      <c r="H122" s="155"/>
      <c r="J122" s="155"/>
    </row>
    <row r="123" spans="2:10" ht="13.5">
      <c r="B123" s="155"/>
      <c r="C123" s="155"/>
      <c r="D123" s="155"/>
      <c r="E123" s="155"/>
      <c r="F123" s="155"/>
      <c r="G123" s="155"/>
      <c r="H123" s="155"/>
      <c r="J123" s="155"/>
    </row>
    <row r="124" spans="2:10" ht="13.5">
      <c r="B124" s="155"/>
      <c r="C124" s="155"/>
      <c r="D124" s="155"/>
      <c r="E124" s="155"/>
      <c r="F124" s="155"/>
      <c r="G124" s="155"/>
      <c r="H124" s="155"/>
      <c r="J124" s="155"/>
    </row>
    <row r="125" spans="2:10" ht="13.5">
      <c r="B125" s="155"/>
      <c r="C125" s="155"/>
      <c r="D125" s="155"/>
      <c r="E125" s="155"/>
      <c r="F125" s="155"/>
      <c r="G125" s="155"/>
      <c r="H125" s="155"/>
      <c r="J125" s="155"/>
    </row>
    <row r="126" spans="2:10" ht="13.5">
      <c r="B126" s="155"/>
      <c r="C126" s="155"/>
      <c r="D126" s="155"/>
      <c r="E126" s="155"/>
      <c r="F126" s="155"/>
      <c r="G126" s="155"/>
      <c r="H126" s="155"/>
      <c r="J126" s="155"/>
    </row>
    <row r="127" spans="2:10" ht="13.5">
      <c r="B127" s="155"/>
      <c r="C127" s="155"/>
      <c r="D127" s="155"/>
      <c r="E127" s="155"/>
      <c r="F127" s="155"/>
      <c r="G127" s="155"/>
      <c r="H127" s="155"/>
      <c r="J127" s="155"/>
    </row>
    <row r="128" spans="2:10" ht="13.5">
      <c r="B128" s="155"/>
      <c r="C128" s="155"/>
      <c r="D128" s="155"/>
      <c r="E128" s="155"/>
      <c r="F128" s="155"/>
      <c r="G128" s="155"/>
      <c r="H128" s="155"/>
      <c r="J128" s="155"/>
    </row>
    <row r="129" spans="2:10" ht="13.5">
      <c r="B129" s="155"/>
      <c r="C129" s="155"/>
      <c r="D129" s="155"/>
      <c r="E129" s="155"/>
      <c r="F129" s="155"/>
      <c r="G129" s="155"/>
      <c r="H129" s="155"/>
      <c r="J129" s="155"/>
    </row>
    <row r="130" spans="2:10" ht="13.5">
      <c r="B130" s="155"/>
      <c r="C130" s="155"/>
      <c r="D130" s="155"/>
      <c r="E130" s="155"/>
      <c r="F130" s="155"/>
      <c r="G130" s="155"/>
      <c r="H130" s="155"/>
      <c r="J130" s="155"/>
    </row>
    <row r="131" spans="2:10" ht="13.5">
      <c r="B131" s="155"/>
      <c r="C131" s="155"/>
      <c r="D131" s="155"/>
      <c r="E131" s="155"/>
      <c r="F131" s="155"/>
      <c r="G131" s="155"/>
      <c r="H131" s="155"/>
      <c r="J131" s="155"/>
    </row>
  </sheetData>
  <sheetProtection/>
  <mergeCells count="11">
    <mergeCell ref="L3:M4"/>
    <mergeCell ref="N3:N5"/>
    <mergeCell ref="B4:C4"/>
    <mergeCell ref="D4:E4"/>
    <mergeCell ref="F4:G4"/>
    <mergeCell ref="A117:I117"/>
    <mergeCell ref="A2:G2"/>
    <mergeCell ref="A3:A5"/>
    <mergeCell ref="B3:G3"/>
    <mergeCell ref="H3:I4"/>
    <mergeCell ref="J3:K4"/>
  </mergeCells>
  <printOptions horizontalCentered="1"/>
  <pageMargins left="0.7874015748031497" right="0.7874015748031497" top="0.8661417322834646" bottom="0.8267716535433072" header="0.5118110236220472" footer="0.3937007874015748"/>
  <pageSetup fitToHeight="3" horizontalDpi="600" verticalDpi="600" orientation="landscape" paperSize="9" scale="71" r:id="rId1"/>
  <headerFooter alignWithMargins="0">
    <oddFooter>&amp;R東京国税局
消費税
(H27)</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7"/>
  <sheetViews>
    <sheetView showGridLines="0" zoomScaleSheetLayoutView="85" zoomScalePageLayoutView="0" workbookViewId="0" topLeftCell="A1">
      <selection activeCell="A1" sqref="A1"/>
    </sheetView>
  </sheetViews>
  <sheetFormatPr defaultColWidth="9.00390625" defaultRowHeight="13.5"/>
  <cols>
    <col min="1" max="1" width="11.12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4" width="11.375" style="125" customWidth="1"/>
    <col min="15" max="16384" width="9.00390625" style="125" customWidth="1"/>
  </cols>
  <sheetData>
    <row r="1" spans="1:13" ht="13.5">
      <c r="A1" s="64" t="s">
        <v>149</v>
      </c>
      <c r="B1" s="64"/>
      <c r="C1" s="64"/>
      <c r="D1" s="64"/>
      <c r="E1" s="64"/>
      <c r="F1" s="64"/>
      <c r="G1" s="64"/>
      <c r="H1" s="64"/>
      <c r="I1" s="64"/>
      <c r="J1" s="64"/>
      <c r="K1" s="64"/>
      <c r="L1" s="65"/>
      <c r="M1" s="65"/>
    </row>
    <row r="2" spans="1:13" ht="14.25" thickBot="1">
      <c r="A2" s="247" t="s">
        <v>136</v>
      </c>
      <c r="B2" s="247"/>
      <c r="C2" s="247"/>
      <c r="D2" s="247"/>
      <c r="E2" s="247"/>
      <c r="F2" s="247"/>
      <c r="G2" s="247"/>
      <c r="H2" s="247"/>
      <c r="I2" s="247"/>
      <c r="J2" s="66"/>
      <c r="K2" s="66"/>
      <c r="L2" s="65"/>
      <c r="M2" s="65"/>
    </row>
    <row r="3" spans="1:14" ht="19.5" customHeight="1">
      <c r="A3" s="239" t="s">
        <v>28</v>
      </c>
      <c r="B3" s="242" t="s">
        <v>29</v>
      </c>
      <c r="C3" s="242"/>
      <c r="D3" s="242"/>
      <c r="E3" s="242"/>
      <c r="F3" s="242"/>
      <c r="G3" s="242"/>
      <c r="H3" s="243" t="s">
        <v>13</v>
      </c>
      <c r="I3" s="244"/>
      <c r="J3" s="246" t="s">
        <v>30</v>
      </c>
      <c r="K3" s="244"/>
      <c r="L3" s="243" t="s">
        <v>31</v>
      </c>
      <c r="M3" s="244"/>
      <c r="N3" s="231" t="s">
        <v>32</v>
      </c>
    </row>
    <row r="4" spans="1:14" ht="17.25" customHeight="1">
      <c r="A4" s="240"/>
      <c r="B4" s="235" t="s">
        <v>16</v>
      </c>
      <c r="C4" s="236"/>
      <c r="D4" s="235" t="s">
        <v>33</v>
      </c>
      <c r="E4" s="236"/>
      <c r="F4" s="235" t="s">
        <v>34</v>
      </c>
      <c r="G4" s="236"/>
      <c r="H4" s="235"/>
      <c r="I4" s="245"/>
      <c r="J4" s="235"/>
      <c r="K4" s="245"/>
      <c r="L4" s="235"/>
      <c r="M4" s="245"/>
      <c r="N4" s="232"/>
    </row>
    <row r="5" spans="1:14" ht="28.5" customHeight="1">
      <c r="A5" s="241"/>
      <c r="B5" s="67" t="s">
        <v>37</v>
      </c>
      <c r="C5" s="68" t="s">
        <v>140</v>
      </c>
      <c r="D5" s="67" t="s">
        <v>37</v>
      </c>
      <c r="E5" s="68" t="s">
        <v>140</v>
      </c>
      <c r="F5" s="67" t="s">
        <v>37</v>
      </c>
      <c r="G5" s="68" t="s">
        <v>141</v>
      </c>
      <c r="H5" s="67" t="s">
        <v>37</v>
      </c>
      <c r="I5" s="87" t="s">
        <v>142</v>
      </c>
      <c r="J5" s="67" t="s">
        <v>37</v>
      </c>
      <c r="K5" s="87" t="s">
        <v>143</v>
      </c>
      <c r="L5" s="67" t="s">
        <v>37</v>
      </c>
      <c r="M5" s="88" t="s">
        <v>144</v>
      </c>
      <c r="N5" s="233"/>
    </row>
    <row r="6" spans="1:14" s="95" customFormat="1" ht="10.5">
      <c r="A6" s="101"/>
      <c r="B6" s="71" t="s">
        <v>4</v>
      </c>
      <c r="C6" s="72" t="s">
        <v>5</v>
      </c>
      <c r="D6" s="71" t="s">
        <v>4</v>
      </c>
      <c r="E6" s="72" t="s">
        <v>5</v>
      </c>
      <c r="F6" s="71" t="s">
        <v>4</v>
      </c>
      <c r="G6" s="72" t="s">
        <v>5</v>
      </c>
      <c r="H6" s="71" t="s">
        <v>4</v>
      </c>
      <c r="I6" s="89" t="s">
        <v>5</v>
      </c>
      <c r="J6" s="71" t="s">
        <v>4</v>
      </c>
      <c r="K6" s="89" t="s">
        <v>5</v>
      </c>
      <c r="L6" s="71" t="s">
        <v>4</v>
      </c>
      <c r="M6" s="89" t="s">
        <v>5</v>
      </c>
      <c r="N6" s="96"/>
    </row>
    <row r="7" spans="1:14" ht="15.75" customHeight="1">
      <c r="A7" s="99" t="s">
        <v>40</v>
      </c>
      <c r="B7" s="126">
        <f>_xlfn.COMPOUNDVALUE(337)</f>
        <v>4567</v>
      </c>
      <c r="C7" s="127">
        <v>34345196</v>
      </c>
      <c r="D7" s="126">
        <f>_xlfn.COMPOUNDVALUE(338)</f>
        <v>1925</v>
      </c>
      <c r="E7" s="127">
        <v>1171225</v>
      </c>
      <c r="F7" s="126">
        <f>_xlfn.COMPOUNDVALUE(339)</f>
        <v>6492</v>
      </c>
      <c r="G7" s="127">
        <v>35516422</v>
      </c>
      <c r="H7" s="126">
        <f>_xlfn.COMPOUNDVALUE(340)</f>
        <v>475</v>
      </c>
      <c r="I7" s="128">
        <v>1699849</v>
      </c>
      <c r="J7" s="126">
        <v>409</v>
      </c>
      <c r="K7" s="128">
        <v>73792</v>
      </c>
      <c r="L7" s="126">
        <v>7057</v>
      </c>
      <c r="M7" s="128">
        <v>33890365</v>
      </c>
      <c r="N7" s="86" t="s">
        <v>40</v>
      </c>
    </row>
    <row r="8" spans="1:14" ht="15.75" customHeight="1">
      <c r="A8" s="76" t="s">
        <v>41</v>
      </c>
      <c r="B8" s="126">
        <f>_xlfn.COMPOUNDVALUE(341)</f>
        <v>3866</v>
      </c>
      <c r="C8" s="127">
        <v>22102306</v>
      </c>
      <c r="D8" s="126">
        <f>_xlfn.COMPOUNDVALUE(342)</f>
        <v>1849</v>
      </c>
      <c r="E8" s="127">
        <v>1124284</v>
      </c>
      <c r="F8" s="126">
        <f>_xlfn.COMPOUNDVALUE(343)</f>
        <v>5715</v>
      </c>
      <c r="G8" s="127">
        <v>23226590</v>
      </c>
      <c r="H8" s="126">
        <f>_xlfn.COMPOUNDVALUE(344)</f>
        <v>313</v>
      </c>
      <c r="I8" s="128">
        <v>815333</v>
      </c>
      <c r="J8" s="126">
        <v>344</v>
      </c>
      <c r="K8" s="128">
        <v>16264</v>
      </c>
      <c r="L8" s="126">
        <v>6115</v>
      </c>
      <c r="M8" s="128">
        <v>22427520</v>
      </c>
      <c r="N8" s="86" t="s">
        <v>41</v>
      </c>
    </row>
    <row r="9" spans="1:14" ht="15.75" customHeight="1">
      <c r="A9" s="76" t="s">
        <v>42</v>
      </c>
      <c r="B9" s="126">
        <f>_xlfn.COMPOUNDVALUE(345)</f>
        <v>4275</v>
      </c>
      <c r="C9" s="127">
        <v>67171460</v>
      </c>
      <c r="D9" s="126">
        <f>_xlfn.COMPOUNDVALUE(346)</f>
        <v>1884</v>
      </c>
      <c r="E9" s="127">
        <v>1107719</v>
      </c>
      <c r="F9" s="126">
        <f>_xlfn.COMPOUNDVALUE(347)</f>
        <v>6159</v>
      </c>
      <c r="G9" s="127">
        <v>68279179</v>
      </c>
      <c r="H9" s="126">
        <f>_xlfn.COMPOUNDVALUE(348)</f>
        <v>487</v>
      </c>
      <c r="I9" s="128">
        <v>4601115</v>
      </c>
      <c r="J9" s="126">
        <v>444</v>
      </c>
      <c r="K9" s="128">
        <v>75968</v>
      </c>
      <c r="L9" s="126">
        <v>6720</v>
      </c>
      <c r="M9" s="128">
        <v>63754032</v>
      </c>
      <c r="N9" s="86" t="s">
        <v>42</v>
      </c>
    </row>
    <row r="10" spans="1:14" ht="15.75" customHeight="1">
      <c r="A10" s="76" t="s">
        <v>43</v>
      </c>
      <c r="B10" s="126">
        <f>_xlfn.COMPOUNDVALUE(349)</f>
        <v>1760</v>
      </c>
      <c r="C10" s="127">
        <v>8595171</v>
      </c>
      <c r="D10" s="126">
        <f>_xlfn.COMPOUNDVALUE(350)</f>
        <v>755</v>
      </c>
      <c r="E10" s="127">
        <v>433941</v>
      </c>
      <c r="F10" s="126">
        <f>_xlfn.COMPOUNDVALUE(351)</f>
        <v>2515</v>
      </c>
      <c r="G10" s="127">
        <v>9029112</v>
      </c>
      <c r="H10" s="126">
        <f>_xlfn.COMPOUNDVALUE(352)</f>
        <v>133</v>
      </c>
      <c r="I10" s="128">
        <v>810460</v>
      </c>
      <c r="J10" s="126">
        <v>156</v>
      </c>
      <c r="K10" s="128">
        <v>72200</v>
      </c>
      <c r="L10" s="126">
        <v>2665</v>
      </c>
      <c r="M10" s="128">
        <v>8290852</v>
      </c>
      <c r="N10" s="86" t="s">
        <v>43</v>
      </c>
    </row>
    <row r="11" spans="1:14" ht="15.75" customHeight="1">
      <c r="A11" s="76" t="s">
        <v>44</v>
      </c>
      <c r="B11" s="126">
        <f>_xlfn.COMPOUNDVALUE(353)</f>
        <v>4403</v>
      </c>
      <c r="C11" s="127">
        <v>42318767</v>
      </c>
      <c r="D11" s="126">
        <f>_xlfn.COMPOUNDVALUE(354)</f>
        <v>2116</v>
      </c>
      <c r="E11" s="127">
        <v>1266621</v>
      </c>
      <c r="F11" s="126">
        <f>_xlfn.COMPOUNDVALUE(355)</f>
        <v>6519</v>
      </c>
      <c r="G11" s="127">
        <v>43585388</v>
      </c>
      <c r="H11" s="126">
        <f>_xlfn.COMPOUNDVALUE(356)</f>
        <v>452</v>
      </c>
      <c r="I11" s="128">
        <v>1863673</v>
      </c>
      <c r="J11" s="126">
        <v>381</v>
      </c>
      <c r="K11" s="128">
        <v>31525</v>
      </c>
      <c r="L11" s="126">
        <v>7064</v>
      </c>
      <c r="M11" s="128">
        <v>41753240</v>
      </c>
      <c r="N11" s="86" t="s">
        <v>44</v>
      </c>
    </row>
    <row r="12" spans="1:14" ht="15.75" customHeight="1">
      <c r="A12" s="76"/>
      <c r="B12" s="126"/>
      <c r="C12" s="127"/>
      <c r="D12" s="126"/>
      <c r="E12" s="127"/>
      <c r="F12" s="126"/>
      <c r="G12" s="127"/>
      <c r="H12" s="126"/>
      <c r="I12" s="128"/>
      <c r="J12" s="126"/>
      <c r="K12" s="128"/>
      <c r="L12" s="126"/>
      <c r="M12" s="128"/>
      <c r="N12" s="86" t="s">
        <v>39</v>
      </c>
    </row>
    <row r="13" spans="1:14" ht="15.75" customHeight="1">
      <c r="A13" s="76" t="s">
        <v>45</v>
      </c>
      <c r="B13" s="126">
        <f>_xlfn.COMPOUNDVALUE(357)</f>
        <v>4101</v>
      </c>
      <c r="C13" s="127">
        <v>24147814</v>
      </c>
      <c r="D13" s="126">
        <f>_xlfn.COMPOUNDVALUE(358)</f>
        <v>1976</v>
      </c>
      <c r="E13" s="127">
        <v>1164647</v>
      </c>
      <c r="F13" s="126">
        <f>_xlfn.COMPOUNDVALUE(359)</f>
        <v>6077</v>
      </c>
      <c r="G13" s="127">
        <v>25312461</v>
      </c>
      <c r="H13" s="126">
        <f>_xlfn.COMPOUNDVALUE(360)</f>
        <v>422</v>
      </c>
      <c r="I13" s="128">
        <v>2473146</v>
      </c>
      <c r="J13" s="126">
        <v>378</v>
      </c>
      <c r="K13" s="128">
        <v>73724</v>
      </c>
      <c r="L13" s="126">
        <v>6557</v>
      </c>
      <c r="M13" s="128">
        <v>22913039</v>
      </c>
      <c r="N13" s="86" t="s">
        <v>45</v>
      </c>
    </row>
    <row r="14" spans="1:14" ht="15.75" customHeight="1">
      <c r="A14" s="76" t="s">
        <v>46</v>
      </c>
      <c r="B14" s="126">
        <f>_xlfn.COMPOUNDVALUE(361)</f>
        <v>1208</v>
      </c>
      <c r="C14" s="127">
        <v>4833865</v>
      </c>
      <c r="D14" s="126">
        <f>_xlfn.COMPOUNDVALUE(362)</f>
        <v>539</v>
      </c>
      <c r="E14" s="127">
        <v>293952</v>
      </c>
      <c r="F14" s="126">
        <f>_xlfn.COMPOUNDVALUE(363)</f>
        <v>1747</v>
      </c>
      <c r="G14" s="127">
        <v>5127817</v>
      </c>
      <c r="H14" s="126">
        <f>_xlfn.COMPOUNDVALUE(364)</f>
        <v>70</v>
      </c>
      <c r="I14" s="128">
        <v>150252</v>
      </c>
      <c r="J14" s="126">
        <v>105</v>
      </c>
      <c r="K14" s="128">
        <v>7567</v>
      </c>
      <c r="L14" s="126">
        <v>1838</v>
      </c>
      <c r="M14" s="128">
        <v>4985132</v>
      </c>
      <c r="N14" s="86" t="s">
        <v>46</v>
      </c>
    </row>
    <row r="15" spans="1:14" ht="15.75" customHeight="1">
      <c r="A15" s="76" t="s">
        <v>47</v>
      </c>
      <c r="B15" s="126">
        <f>_xlfn.COMPOUNDVALUE(365)</f>
        <v>2680</v>
      </c>
      <c r="C15" s="127">
        <v>14689879</v>
      </c>
      <c r="D15" s="126">
        <f>_xlfn.COMPOUNDVALUE(366)</f>
        <v>1326</v>
      </c>
      <c r="E15" s="127">
        <v>858901</v>
      </c>
      <c r="F15" s="126">
        <f>_xlfn.COMPOUNDVALUE(367)</f>
        <v>4006</v>
      </c>
      <c r="G15" s="127">
        <v>15548780</v>
      </c>
      <c r="H15" s="126">
        <f>_xlfn.COMPOUNDVALUE(368)</f>
        <v>185</v>
      </c>
      <c r="I15" s="128">
        <v>2855044</v>
      </c>
      <c r="J15" s="126">
        <v>196</v>
      </c>
      <c r="K15" s="128">
        <v>56356</v>
      </c>
      <c r="L15" s="126">
        <v>4241</v>
      </c>
      <c r="M15" s="128">
        <v>12750092</v>
      </c>
      <c r="N15" s="86" t="s">
        <v>47</v>
      </c>
    </row>
    <row r="16" spans="1:14" ht="15.75" customHeight="1">
      <c r="A16" s="78" t="s">
        <v>48</v>
      </c>
      <c r="B16" s="131">
        <f>_xlfn.COMPOUNDVALUE(369)</f>
        <v>4925</v>
      </c>
      <c r="C16" s="132">
        <v>21648420</v>
      </c>
      <c r="D16" s="131">
        <f>_xlfn.COMPOUNDVALUE(370)</f>
        <v>2637</v>
      </c>
      <c r="E16" s="132">
        <v>1523584</v>
      </c>
      <c r="F16" s="131">
        <f>_xlfn.COMPOUNDVALUE(371)</f>
        <v>7562</v>
      </c>
      <c r="G16" s="132">
        <v>23172004</v>
      </c>
      <c r="H16" s="131">
        <f>_xlfn.COMPOUNDVALUE(372)</f>
        <v>497</v>
      </c>
      <c r="I16" s="133">
        <v>2597321</v>
      </c>
      <c r="J16" s="131">
        <v>465</v>
      </c>
      <c r="K16" s="133">
        <v>55637</v>
      </c>
      <c r="L16" s="131">
        <v>8170</v>
      </c>
      <c r="M16" s="133">
        <v>20630321</v>
      </c>
      <c r="N16" s="77" t="s">
        <v>48</v>
      </c>
    </row>
    <row r="17" spans="1:14" ht="15.75" customHeight="1">
      <c r="A17" s="78" t="s">
        <v>49</v>
      </c>
      <c r="B17" s="131">
        <f>_xlfn.COMPOUNDVALUE(373)</f>
        <v>1071</v>
      </c>
      <c r="C17" s="132">
        <v>4787668</v>
      </c>
      <c r="D17" s="131">
        <f>_xlfn.COMPOUNDVALUE(374)</f>
        <v>440</v>
      </c>
      <c r="E17" s="132">
        <v>247511</v>
      </c>
      <c r="F17" s="131">
        <f>_xlfn.COMPOUNDVALUE(375)</f>
        <v>1511</v>
      </c>
      <c r="G17" s="132">
        <v>5035179</v>
      </c>
      <c r="H17" s="131">
        <f>_xlfn.COMPOUNDVALUE(376)</f>
        <v>80</v>
      </c>
      <c r="I17" s="133">
        <v>368501</v>
      </c>
      <c r="J17" s="131">
        <v>115</v>
      </c>
      <c r="K17" s="133">
        <v>8709</v>
      </c>
      <c r="L17" s="131">
        <v>1600</v>
      </c>
      <c r="M17" s="133">
        <v>4675386</v>
      </c>
      <c r="N17" s="77" t="s">
        <v>49</v>
      </c>
    </row>
    <row r="18" spans="1:14" ht="15.75" customHeight="1">
      <c r="A18" s="78"/>
      <c r="B18" s="131"/>
      <c r="C18" s="132"/>
      <c r="D18" s="131"/>
      <c r="E18" s="132"/>
      <c r="F18" s="131"/>
      <c r="G18" s="132"/>
      <c r="H18" s="131"/>
      <c r="I18" s="133"/>
      <c r="J18" s="131"/>
      <c r="K18" s="133"/>
      <c r="L18" s="131"/>
      <c r="M18" s="133"/>
      <c r="N18" s="77" t="s">
        <v>39</v>
      </c>
    </row>
    <row r="19" spans="1:14" ht="15.75" customHeight="1">
      <c r="A19" s="78" t="s">
        <v>50</v>
      </c>
      <c r="B19" s="131">
        <f>_xlfn.COMPOUNDVALUE(377)</f>
        <v>1861</v>
      </c>
      <c r="C19" s="132">
        <v>7890670</v>
      </c>
      <c r="D19" s="131">
        <f>_xlfn.COMPOUNDVALUE(378)</f>
        <v>865</v>
      </c>
      <c r="E19" s="132">
        <v>478999</v>
      </c>
      <c r="F19" s="131">
        <f>_xlfn.COMPOUNDVALUE(379)</f>
        <v>2726</v>
      </c>
      <c r="G19" s="132">
        <v>8369668</v>
      </c>
      <c r="H19" s="131">
        <f>_xlfn.COMPOUNDVALUE(380)</f>
        <v>128</v>
      </c>
      <c r="I19" s="133">
        <v>221888</v>
      </c>
      <c r="J19" s="131">
        <v>148</v>
      </c>
      <c r="K19" s="133">
        <v>19633</v>
      </c>
      <c r="L19" s="131">
        <v>2890</v>
      </c>
      <c r="M19" s="133">
        <v>8167413</v>
      </c>
      <c r="N19" s="77" t="s">
        <v>50</v>
      </c>
    </row>
    <row r="20" spans="1:14" ht="15.75" customHeight="1">
      <c r="A20" s="78" t="s">
        <v>51</v>
      </c>
      <c r="B20" s="131">
        <f>_xlfn.COMPOUNDVALUE(381)</f>
        <v>5198</v>
      </c>
      <c r="C20" s="132">
        <v>25014893</v>
      </c>
      <c r="D20" s="131">
        <f>_xlfn.COMPOUNDVALUE(382)</f>
        <v>2318</v>
      </c>
      <c r="E20" s="132">
        <v>1367606</v>
      </c>
      <c r="F20" s="131">
        <f>_xlfn.COMPOUNDVALUE(383)</f>
        <v>7516</v>
      </c>
      <c r="G20" s="132">
        <v>26382499</v>
      </c>
      <c r="H20" s="131">
        <f>_xlfn.COMPOUNDVALUE(384)</f>
        <v>1013</v>
      </c>
      <c r="I20" s="133">
        <v>8868379</v>
      </c>
      <c r="J20" s="131">
        <v>546</v>
      </c>
      <c r="K20" s="133">
        <v>10382</v>
      </c>
      <c r="L20" s="131">
        <v>8664</v>
      </c>
      <c r="M20" s="133">
        <v>17524502</v>
      </c>
      <c r="N20" s="77" t="s">
        <v>51</v>
      </c>
    </row>
    <row r="21" spans="1:14" ht="15.75" customHeight="1">
      <c r="A21" s="78" t="s">
        <v>52</v>
      </c>
      <c r="B21" s="131">
        <f>_xlfn.COMPOUNDVALUE(385)</f>
        <v>1816</v>
      </c>
      <c r="C21" s="132">
        <v>7321210</v>
      </c>
      <c r="D21" s="131">
        <f>_xlfn.COMPOUNDVALUE(386)</f>
        <v>790</v>
      </c>
      <c r="E21" s="132">
        <v>441912</v>
      </c>
      <c r="F21" s="131">
        <f>_xlfn.COMPOUNDVALUE(387)</f>
        <v>2606</v>
      </c>
      <c r="G21" s="132">
        <v>7763122</v>
      </c>
      <c r="H21" s="131">
        <f>_xlfn.COMPOUNDVALUE(388)</f>
        <v>150</v>
      </c>
      <c r="I21" s="133">
        <v>381127</v>
      </c>
      <c r="J21" s="131">
        <v>150</v>
      </c>
      <c r="K21" s="133">
        <v>19534</v>
      </c>
      <c r="L21" s="131">
        <v>2788</v>
      </c>
      <c r="M21" s="133">
        <v>7401529</v>
      </c>
      <c r="N21" s="77" t="s">
        <v>52</v>
      </c>
    </row>
    <row r="22" spans="1:14" ht="15.75" customHeight="1">
      <c r="A22" s="78" t="s">
        <v>171</v>
      </c>
      <c r="B22" s="131">
        <f>_xlfn.COMPOUNDVALUE(389)</f>
        <v>5091</v>
      </c>
      <c r="C22" s="132">
        <v>25643143</v>
      </c>
      <c r="D22" s="131">
        <f>_xlfn.COMPOUNDVALUE(390)</f>
        <v>2377</v>
      </c>
      <c r="E22" s="132">
        <v>1376591</v>
      </c>
      <c r="F22" s="131">
        <f>_xlfn.COMPOUNDVALUE(391)</f>
        <v>7468</v>
      </c>
      <c r="G22" s="132">
        <v>27019734</v>
      </c>
      <c r="H22" s="131">
        <f>_xlfn.COMPOUNDVALUE(392)</f>
        <v>547</v>
      </c>
      <c r="I22" s="133">
        <v>2835579</v>
      </c>
      <c r="J22" s="131">
        <v>429</v>
      </c>
      <c r="K22" s="133">
        <v>-27247</v>
      </c>
      <c r="L22" s="131">
        <v>8129</v>
      </c>
      <c r="M22" s="133">
        <v>24156908</v>
      </c>
      <c r="N22" s="77" t="s">
        <v>53</v>
      </c>
    </row>
    <row r="23" spans="1:14" ht="15.75" customHeight="1">
      <c r="A23" s="165" t="s">
        <v>174</v>
      </c>
      <c r="B23" s="166">
        <v>46822</v>
      </c>
      <c r="C23" s="167">
        <v>310510462</v>
      </c>
      <c r="D23" s="166">
        <v>21797</v>
      </c>
      <c r="E23" s="167">
        <v>12857493</v>
      </c>
      <c r="F23" s="166">
        <v>68619</v>
      </c>
      <c r="G23" s="167">
        <v>323367955</v>
      </c>
      <c r="H23" s="166">
        <v>4952</v>
      </c>
      <c r="I23" s="168">
        <v>30541668</v>
      </c>
      <c r="J23" s="166">
        <v>4266</v>
      </c>
      <c r="K23" s="168">
        <v>494044</v>
      </c>
      <c r="L23" s="166">
        <v>74498</v>
      </c>
      <c r="M23" s="168">
        <v>293320330</v>
      </c>
      <c r="N23" s="169" t="s">
        <v>55</v>
      </c>
    </row>
    <row r="24" spans="1:14" ht="15.75" customHeight="1">
      <c r="A24" s="170"/>
      <c r="B24" s="171"/>
      <c r="C24" s="172"/>
      <c r="D24" s="171"/>
      <c r="E24" s="172"/>
      <c r="F24" s="173"/>
      <c r="G24" s="172"/>
      <c r="H24" s="173"/>
      <c r="I24" s="172"/>
      <c r="J24" s="173"/>
      <c r="K24" s="172"/>
      <c r="L24" s="173"/>
      <c r="M24" s="172"/>
      <c r="N24" s="174"/>
    </row>
    <row r="25" spans="1:14" ht="15.75" customHeight="1">
      <c r="A25" s="76" t="s">
        <v>56</v>
      </c>
      <c r="B25" s="126">
        <f>_xlfn.COMPOUNDVALUE(393)</f>
        <v>9920</v>
      </c>
      <c r="C25" s="127">
        <v>1019912631</v>
      </c>
      <c r="D25" s="126">
        <f>_xlfn.COMPOUNDVALUE(394)</f>
        <v>1646</v>
      </c>
      <c r="E25" s="127">
        <v>1515784</v>
      </c>
      <c r="F25" s="126">
        <f>_xlfn.COMPOUNDVALUE(395)</f>
        <v>11566</v>
      </c>
      <c r="G25" s="127">
        <v>1021428415</v>
      </c>
      <c r="H25" s="126">
        <f>_xlfn.COMPOUNDVALUE(396)</f>
        <v>3589</v>
      </c>
      <c r="I25" s="128">
        <v>475232422</v>
      </c>
      <c r="J25" s="126">
        <v>1065</v>
      </c>
      <c r="K25" s="128">
        <v>2065125</v>
      </c>
      <c r="L25" s="126">
        <v>15309</v>
      </c>
      <c r="M25" s="128">
        <v>548261118</v>
      </c>
      <c r="N25" s="86" t="s">
        <v>56</v>
      </c>
    </row>
    <row r="26" spans="1:14" ht="15.75" customHeight="1">
      <c r="A26" s="76" t="s">
        <v>57</v>
      </c>
      <c r="B26" s="126">
        <f>_xlfn.COMPOUNDVALUE(397)</f>
        <v>11148</v>
      </c>
      <c r="C26" s="127">
        <v>273124155</v>
      </c>
      <c r="D26" s="126">
        <f>_xlfn.COMPOUNDVALUE(398)</f>
        <v>2429</v>
      </c>
      <c r="E26" s="127">
        <v>1838859</v>
      </c>
      <c r="F26" s="126">
        <f>_xlfn.COMPOUNDVALUE(399)</f>
        <v>13577</v>
      </c>
      <c r="G26" s="127">
        <v>274963013</v>
      </c>
      <c r="H26" s="126">
        <f>_xlfn.COMPOUNDVALUE(400)</f>
        <v>2280</v>
      </c>
      <c r="I26" s="128">
        <v>62437646</v>
      </c>
      <c r="J26" s="126">
        <v>1140</v>
      </c>
      <c r="K26" s="128">
        <v>685440</v>
      </c>
      <c r="L26" s="126">
        <v>16024</v>
      </c>
      <c r="M26" s="128">
        <v>213210807</v>
      </c>
      <c r="N26" s="86" t="s">
        <v>57</v>
      </c>
    </row>
    <row r="27" spans="1:14" ht="15.75" customHeight="1">
      <c r="A27" s="76" t="s">
        <v>58</v>
      </c>
      <c r="B27" s="126">
        <f>_xlfn.COMPOUNDVALUE(401)</f>
        <v>8864</v>
      </c>
      <c r="C27" s="127">
        <v>319236854</v>
      </c>
      <c r="D27" s="126">
        <f>_xlfn.COMPOUNDVALUE(402)</f>
        <v>1779</v>
      </c>
      <c r="E27" s="127">
        <v>1421699</v>
      </c>
      <c r="F27" s="126">
        <f>_xlfn.COMPOUNDVALUE(403)</f>
        <v>10643</v>
      </c>
      <c r="G27" s="127">
        <v>320658553</v>
      </c>
      <c r="H27" s="126">
        <f>_xlfn.COMPOUNDVALUE(404)</f>
        <v>2198</v>
      </c>
      <c r="I27" s="128">
        <v>82528062</v>
      </c>
      <c r="J27" s="126">
        <v>875</v>
      </c>
      <c r="K27" s="128">
        <v>616115</v>
      </c>
      <c r="L27" s="126">
        <v>12950</v>
      </c>
      <c r="M27" s="128">
        <v>238746605</v>
      </c>
      <c r="N27" s="86" t="s">
        <v>58</v>
      </c>
    </row>
    <row r="28" spans="1:14" ht="15.75" customHeight="1">
      <c r="A28" s="76" t="s">
        <v>59</v>
      </c>
      <c r="B28" s="126">
        <f>_xlfn.COMPOUNDVALUE(405)</f>
        <v>11408</v>
      </c>
      <c r="C28" s="127">
        <v>350979267</v>
      </c>
      <c r="D28" s="126">
        <f>_xlfn.COMPOUNDVALUE(406)</f>
        <v>2467</v>
      </c>
      <c r="E28" s="127">
        <v>1849586</v>
      </c>
      <c r="F28" s="126">
        <f>_xlfn.COMPOUNDVALUE(407)</f>
        <v>13875</v>
      </c>
      <c r="G28" s="127">
        <v>352828853</v>
      </c>
      <c r="H28" s="126">
        <f>_xlfn.COMPOUNDVALUE(408)</f>
        <v>2416</v>
      </c>
      <c r="I28" s="128">
        <v>173572439</v>
      </c>
      <c r="J28" s="126">
        <v>1246</v>
      </c>
      <c r="K28" s="128">
        <v>1167592</v>
      </c>
      <c r="L28" s="126">
        <v>16460</v>
      </c>
      <c r="M28" s="128">
        <v>180424006</v>
      </c>
      <c r="N28" s="86" t="s">
        <v>59</v>
      </c>
    </row>
    <row r="29" spans="1:14" ht="15.75" customHeight="1">
      <c r="A29" s="76" t="s">
        <v>172</v>
      </c>
      <c r="B29" s="126">
        <f>_xlfn.COMPOUNDVALUE(409)</f>
        <v>14481</v>
      </c>
      <c r="C29" s="127">
        <v>849425062</v>
      </c>
      <c r="D29" s="126">
        <f>_xlfn.COMPOUNDVALUE(410)</f>
        <v>2929</v>
      </c>
      <c r="E29" s="127">
        <v>3117839</v>
      </c>
      <c r="F29" s="126">
        <f>_xlfn.COMPOUNDVALUE(411)</f>
        <v>17410</v>
      </c>
      <c r="G29" s="127">
        <v>852542901</v>
      </c>
      <c r="H29" s="126">
        <f>_xlfn.COMPOUNDVALUE(412)</f>
        <v>4277</v>
      </c>
      <c r="I29" s="128">
        <v>386007850</v>
      </c>
      <c r="J29" s="126">
        <v>1588</v>
      </c>
      <c r="K29" s="128">
        <v>1159228</v>
      </c>
      <c r="L29" s="126">
        <v>21887</v>
      </c>
      <c r="M29" s="128">
        <v>467694278</v>
      </c>
      <c r="N29" s="86" t="s">
        <v>60</v>
      </c>
    </row>
    <row r="30" spans="1:14" ht="15.75" customHeight="1">
      <c r="A30" s="76"/>
      <c r="B30" s="126"/>
      <c r="C30" s="127"/>
      <c r="D30" s="126"/>
      <c r="E30" s="127"/>
      <c r="F30" s="126"/>
      <c r="G30" s="127"/>
      <c r="H30" s="126"/>
      <c r="I30" s="128"/>
      <c r="J30" s="126"/>
      <c r="K30" s="128"/>
      <c r="L30" s="126"/>
      <c r="M30" s="128"/>
      <c r="N30" s="86" t="s">
        <v>39</v>
      </c>
    </row>
    <row r="31" spans="1:14" ht="15.75" customHeight="1">
      <c r="A31" s="76" t="s">
        <v>61</v>
      </c>
      <c r="B31" s="126">
        <f>_xlfn.COMPOUNDVALUE(413)</f>
        <v>13428</v>
      </c>
      <c r="C31" s="127">
        <v>320234507</v>
      </c>
      <c r="D31" s="126">
        <f>_xlfn.COMPOUNDVALUE(414)</f>
        <v>2931</v>
      </c>
      <c r="E31" s="127">
        <v>2280937</v>
      </c>
      <c r="F31" s="126">
        <f>_xlfn.COMPOUNDVALUE(415)</f>
        <v>16359</v>
      </c>
      <c r="G31" s="127">
        <v>322515444</v>
      </c>
      <c r="H31" s="126">
        <f>_xlfn.COMPOUNDVALUE(416)</f>
        <v>2915</v>
      </c>
      <c r="I31" s="128">
        <v>226308625</v>
      </c>
      <c r="J31" s="126">
        <v>1220</v>
      </c>
      <c r="K31" s="128">
        <v>-2595457</v>
      </c>
      <c r="L31" s="126">
        <v>19535</v>
      </c>
      <c r="M31" s="128">
        <v>93611362</v>
      </c>
      <c r="N31" s="86" t="s">
        <v>61</v>
      </c>
    </row>
    <row r="32" spans="1:14" ht="15.75" customHeight="1">
      <c r="A32" s="76" t="s">
        <v>62</v>
      </c>
      <c r="B32" s="126">
        <f>_xlfn.COMPOUNDVALUE(417)</f>
        <v>6518</v>
      </c>
      <c r="C32" s="127">
        <v>210806295</v>
      </c>
      <c r="D32" s="126">
        <f>_xlfn.COMPOUNDVALUE(418)</f>
        <v>1853</v>
      </c>
      <c r="E32" s="127">
        <v>1277261</v>
      </c>
      <c r="F32" s="126">
        <f>_xlfn.COMPOUNDVALUE(419)</f>
        <v>8371</v>
      </c>
      <c r="G32" s="127">
        <v>212083556</v>
      </c>
      <c r="H32" s="126">
        <f>_xlfn.COMPOUNDVALUE(420)</f>
        <v>1308</v>
      </c>
      <c r="I32" s="128">
        <v>63925470</v>
      </c>
      <c r="J32" s="126">
        <v>609</v>
      </c>
      <c r="K32" s="128">
        <v>302528</v>
      </c>
      <c r="L32" s="126">
        <v>9762</v>
      </c>
      <c r="M32" s="128">
        <v>148460613</v>
      </c>
      <c r="N32" s="86" t="s">
        <v>62</v>
      </c>
    </row>
    <row r="33" spans="1:14" ht="15.75" customHeight="1">
      <c r="A33" s="76" t="s">
        <v>63</v>
      </c>
      <c r="B33" s="126">
        <f>_xlfn.COMPOUNDVALUE(421)</f>
        <v>7621</v>
      </c>
      <c r="C33" s="127">
        <v>119956444</v>
      </c>
      <c r="D33" s="126">
        <f>_xlfn.COMPOUNDVALUE(422)</f>
        <v>2311</v>
      </c>
      <c r="E33" s="127">
        <v>2383773</v>
      </c>
      <c r="F33" s="126">
        <f>_xlfn.COMPOUNDVALUE(423)</f>
        <v>9932</v>
      </c>
      <c r="G33" s="127">
        <v>122340218</v>
      </c>
      <c r="H33" s="126">
        <f>_xlfn.COMPOUNDVALUE(424)</f>
        <v>987</v>
      </c>
      <c r="I33" s="128">
        <v>14970310</v>
      </c>
      <c r="J33" s="126">
        <v>732</v>
      </c>
      <c r="K33" s="128">
        <v>330415</v>
      </c>
      <c r="L33" s="126">
        <v>11046</v>
      </c>
      <c r="M33" s="128">
        <v>107700323</v>
      </c>
      <c r="N33" s="86" t="s">
        <v>63</v>
      </c>
    </row>
    <row r="34" spans="1:14" ht="15.75" customHeight="1">
      <c r="A34" s="76" t="s">
        <v>64</v>
      </c>
      <c r="B34" s="126">
        <f>_xlfn.COMPOUNDVALUE(425)</f>
        <v>8707</v>
      </c>
      <c r="C34" s="127">
        <v>327202335</v>
      </c>
      <c r="D34" s="126">
        <f>_xlfn.COMPOUNDVALUE(426)</f>
        <v>2370</v>
      </c>
      <c r="E34" s="127">
        <v>1733837</v>
      </c>
      <c r="F34" s="126">
        <f>_xlfn.COMPOUNDVALUE(427)</f>
        <v>11077</v>
      </c>
      <c r="G34" s="127">
        <v>328936172</v>
      </c>
      <c r="H34" s="126">
        <f>_xlfn.COMPOUNDVALUE(428)</f>
        <v>1757</v>
      </c>
      <c r="I34" s="128">
        <v>28314655</v>
      </c>
      <c r="J34" s="126">
        <v>942</v>
      </c>
      <c r="K34" s="128">
        <v>762333</v>
      </c>
      <c r="L34" s="126">
        <v>13017</v>
      </c>
      <c r="M34" s="128">
        <v>301383849</v>
      </c>
      <c r="N34" s="86" t="s">
        <v>64</v>
      </c>
    </row>
    <row r="35" spans="1:14" ht="15.75" customHeight="1">
      <c r="A35" s="76" t="s">
        <v>65</v>
      </c>
      <c r="B35" s="126">
        <f>_xlfn.COMPOUNDVALUE(429)</f>
        <v>2415</v>
      </c>
      <c r="C35" s="127">
        <v>49070675</v>
      </c>
      <c r="D35" s="126">
        <f>_xlfn.COMPOUNDVALUE(430)</f>
        <v>1012</v>
      </c>
      <c r="E35" s="127">
        <v>575242</v>
      </c>
      <c r="F35" s="126">
        <f>_xlfn.COMPOUNDVALUE(431)</f>
        <v>3427</v>
      </c>
      <c r="G35" s="127">
        <v>49645917</v>
      </c>
      <c r="H35" s="126">
        <f>_xlfn.COMPOUNDVALUE(432)</f>
        <v>338</v>
      </c>
      <c r="I35" s="128">
        <v>8717908</v>
      </c>
      <c r="J35" s="126">
        <v>299</v>
      </c>
      <c r="K35" s="128">
        <v>-55824</v>
      </c>
      <c r="L35" s="126">
        <v>3811</v>
      </c>
      <c r="M35" s="128">
        <v>40872184</v>
      </c>
      <c r="N35" s="86" t="s">
        <v>65</v>
      </c>
    </row>
    <row r="36" spans="1:14" ht="15.75" customHeight="1">
      <c r="A36" s="76"/>
      <c r="B36" s="126"/>
      <c r="C36" s="127"/>
      <c r="D36" s="126"/>
      <c r="E36" s="127"/>
      <c r="F36" s="126"/>
      <c r="G36" s="127"/>
      <c r="H36" s="126"/>
      <c r="I36" s="128"/>
      <c r="J36" s="126"/>
      <c r="K36" s="128"/>
      <c r="L36" s="126"/>
      <c r="M36" s="128"/>
      <c r="N36" s="86" t="s">
        <v>39</v>
      </c>
    </row>
    <row r="37" spans="1:14" ht="15.75" customHeight="1">
      <c r="A37" s="76" t="s">
        <v>66</v>
      </c>
      <c r="B37" s="126">
        <f>_xlfn.COMPOUNDVALUE(433)</f>
        <v>3201</v>
      </c>
      <c r="C37" s="127">
        <v>42191241</v>
      </c>
      <c r="D37" s="126">
        <f>_xlfn.COMPOUNDVALUE(434)</f>
        <v>1148</v>
      </c>
      <c r="E37" s="127">
        <v>711674</v>
      </c>
      <c r="F37" s="126">
        <f>_xlfn.COMPOUNDVALUE(435)</f>
        <v>4349</v>
      </c>
      <c r="G37" s="127">
        <v>42902914</v>
      </c>
      <c r="H37" s="126">
        <f>_xlfn.COMPOUNDVALUE(436)</f>
        <v>461</v>
      </c>
      <c r="I37" s="128">
        <v>2888643</v>
      </c>
      <c r="J37" s="126">
        <v>282</v>
      </c>
      <c r="K37" s="128">
        <v>18535</v>
      </c>
      <c r="L37" s="126">
        <v>4861</v>
      </c>
      <c r="M37" s="128">
        <v>40032807</v>
      </c>
      <c r="N37" s="86" t="s">
        <v>66</v>
      </c>
    </row>
    <row r="38" spans="1:14" ht="15.75" customHeight="1">
      <c r="A38" s="76" t="s">
        <v>67</v>
      </c>
      <c r="B38" s="126">
        <f>_xlfn.COMPOUNDVALUE(437)</f>
        <v>5059</v>
      </c>
      <c r="C38" s="127">
        <v>80436499</v>
      </c>
      <c r="D38" s="126">
        <f>_xlfn.COMPOUNDVALUE(438)</f>
        <v>1590</v>
      </c>
      <c r="E38" s="127">
        <v>948443</v>
      </c>
      <c r="F38" s="126">
        <f>_xlfn.COMPOUNDVALUE(439)</f>
        <v>6649</v>
      </c>
      <c r="G38" s="127">
        <v>81384941</v>
      </c>
      <c r="H38" s="126">
        <f>_xlfn.COMPOUNDVALUE(440)</f>
        <v>916</v>
      </c>
      <c r="I38" s="128">
        <v>10275967</v>
      </c>
      <c r="J38" s="126">
        <v>586</v>
      </c>
      <c r="K38" s="128">
        <v>424563</v>
      </c>
      <c r="L38" s="126">
        <v>7645</v>
      </c>
      <c r="M38" s="128">
        <v>71533537</v>
      </c>
      <c r="N38" s="86" t="s">
        <v>67</v>
      </c>
    </row>
    <row r="39" spans="1:14" ht="15.75" customHeight="1">
      <c r="A39" s="76" t="s">
        <v>68</v>
      </c>
      <c r="B39" s="126">
        <f>_xlfn.COMPOUNDVALUE(441)</f>
        <v>4992</v>
      </c>
      <c r="C39" s="127">
        <v>69228764</v>
      </c>
      <c r="D39" s="126">
        <f>_xlfn.COMPOUNDVALUE(442)</f>
        <v>1837</v>
      </c>
      <c r="E39" s="127">
        <v>955807</v>
      </c>
      <c r="F39" s="126">
        <f>_xlfn.COMPOUNDVALUE(443)</f>
        <v>6829</v>
      </c>
      <c r="G39" s="127">
        <v>70184570</v>
      </c>
      <c r="H39" s="126">
        <f>_xlfn.COMPOUNDVALUE(444)</f>
        <v>812</v>
      </c>
      <c r="I39" s="128">
        <v>6946071</v>
      </c>
      <c r="J39" s="126">
        <v>451</v>
      </c>
      <c r="K39" s="128">
        <v>184292</v>
      </c>
      <c r="L39" s="126">
        <v>7727</v>
      </c>
      <c r="M39" s="128">
        <v>63422791</v>
      </c>
      <c r="N39" s="86" t="s">
        <v>68</v>
      </c>
    </row>
    <row r="40" spans="1:14" ht="15.75" customHeight="1">
      <c r="A40" s="76" t="s">
        <v>69</v>
      </c>
      <c r="B40" s="126">
        <f>_xlfn.COMPOUNDVALUE(445)</f>
        <v>4074</v>
      </c>
      <c r="C40" s="127">
        <v>93134402</v>
      </c>
      <c r="D40" s="126">
        <f>_xlfn.COMPOUNDVALUE(446)</f>
        <v>1456</v>
      </c>
      <c r="E40" s="127">
        <v>777425</v>
      </c>
      <c r="F40" s="126">
        <f>_xlfn.COMPOUNDVALUE(447)</f>
        <v>5530</v>
      </c>
      <c r="G40" s="127">
        <v>93911827</v>
      </c>
      <c r="H40" s="126">
        <f>_xlfn.COMPOUNDVALUE(448)</f>
        <v>475</v>
      </c>
      <c r="I40" s="128">
        <v>5940862</v>
      </c>
      <c r="J40" s="126">
        <v>336</v>
      </c>
      <c r="K40" s="128">
        <v>112073</v>
      </c>
      <c r="L40" s="126">
        <v>6051</v>
      </c>
      <c r="M40" s="128">
        <v>88083038</v>
      </c>
      <c r="N40" s="86" t="s">
        <v>69</v>
      </c>
    </row>
    <row r="41" spans="1:14" ht="15.75" customHeight="1">
      <c r="A41" s="76" t="s">
        <v>70</v>
      </c>
      <c r="B41" s="126">
        <f>_xlfn.COMPOUNDVALUE(449)</f>
        <v>1461</v>
      </c>
      <c r="C41" s="127">
        <v>9557802</v>
      </c>
      <c r="D41" s="126">
        <f>_xlfn.COMPOUNDVALUE(450)</f>
        <v>822</v>
      </c>
      <c r="E41" s="127">
        <v>406461</v>
      </c>
      <c r="F41" s="126">
        <f>_xlfn.COMPOUNDVALUE(451)</f>
        <v>2283</v>
      </c>
      <c r="G41" s="127">
        <v>9964262</v>
      </c>
      <c r="H41" s="126">
        <f>_xlfn.COMPOUNDVALUE(452)</f>
        <v>95</v>
      </c>
      <c r="I41" s="128">
        <v>532678</v>
      </c>
      <c r="J41" s="126">
        <v>210</v>
      </c>
      <c r="K41" s="128">
        <v>13031</v>
      </c>
      <c r="L41" s="126">
        <v>2398</v>
      </c>
      <c r="M41" s="128">
        <v>9444615</v>
      </c>
      <c r="N41" s="86" t="s">
        <v>70</v>
      </c>
    </row>
    <row r="42" spans="1:14" ht="15.75" customHeight="1">
      <c r="A42" s="103"/>
      <c r="B42" s="126"/>
      <c r="C42" s="127"/>
      <c r="D42" s="126"/>
      <c r="E42" s="127"/>
      <c r="F42" s="126"/>
      <c r="G42" s="127"/>
      <c r="H42" s="126"/>
      <c r="I42" s="128"/>
      <c r="J42" s="126"/>
      <c r="K42" s="128"/>
      <c r="L42" s="126"/>
      <c r="M42" s="128"/>
      <c r="N42" s="105" t="s">
        <v>39</v>
      </c>
    </row>
    <row r="43" spans="1:14" ht="15.75" customHeight="1">
      <c r="A43" s="99" t="s">
        <v>71</v>
      </c>
      <c r="B43" s="126">
        <f>_xlfn.COMPOUNDVALUE(453)</f>
        <v>4547</v>
      </c>
      <c r="C43" s="127">
        <v>146689923</v>
      </c>
      <c r="D43" s="126">
        <f>_xlfn.COMPOUNDVALUE(454)</f>
        <v>1565</v>
      </c>
      <c r="E43" s="127">
        <v>900787</v>
      </c>
      <c r="F43" s="126">
        <f>_xlfn.COMPOUNDVALUE(455)</f>
        <v>6112</v>
      </c>
      <c r="G43" s="127">
        <v>147590709</v>
      </c>
      <c r="H43" s="126">
        <f>_xlfn.COMPOUNDVALUE(456)</f>
        <v>631</v>
      </c>
      <c r="I43" s="128">
        <v>43568124</v>
      </c>
      <c r="J43" s="126">
        <v>405</v>
      </c>
      <c r="K43" s="128">
        <v>-81523</v>
      </c>
      <c r="L43" s="126">
        <v>6821</v>
      </c>
      <c r="M43" s="128">
        <v>103941062</v>
      </c>
      <c r="N43" s="86" t="s">
        <v>71</v>
      </c>
    </row>
    <row r="44" spans="1:14" ht="15.75" customHeight="1">
      <c r="A44" s="76" t="s">
        <v>72</v>
      </c>
      <c r="B44" s="126">
        <f>_xlfn.COMPOUNDVALUE(457)</f>
        <v>2545</v>
      </c>
      <c r="C44" s="127">
        <v>60354624</v>
      </c>
      <c r="D44" s="126">
        <f>_xlfn.COMPOUNDVALUE(458)</f>
        <v>1112</v>
      </c>
      <c r="E44" s="127">
        <v>639939</v>
      </c>
      <c r="F44" s="126">
        <f>_xlfn.COMPOUNDVALUE(459)</f>
        <v>3657</v>
      </c>
      <c r="G44" s="127">
        <v>60994562</v>
      </c>
      <c r="H44" s="126">
        <f>_xlfn.COMPOUNDVALUE(460)</f>
        <v>319</v>
      </c>
      <c r="I44" s="128">
        <v>3877206</v>
      </c>
      <c r="J44" s="126">
        <v>284</v>
      </c>
      <c r="K44" s="128">
        <v>88855</v>
      </c>
      <c r="L44" s="126">
        <v>4028</v>
      </c>
      <c r="M44" s="128">
        <v>57206211</v>
      </c>
      <c r="N44" s="86" t="s">
        <v>72</v>
      </c>
    </row>
    <row r="45" spans="1:14" ht="15.75" customHeight="1">
      <c r="A45" s="76" t="s">
        <v>73</v>
      </c>
      <c r="B45" s="126">
        <f>_xlfn.COMPOUNDVALUE(461)</f>
        <v>1740</v>
      </c>
      <c r="C45" s="127">
        <v>12841661</v>
      </c>
      <c r="D45" s="126">
        <f>_xlfn.COMPOUNDVALUE(462)</f>
        <v>981</v>
      </c>
      <c r="E45" s="127">
        <v>547194</v>
      </c>
      <c r="F45" s="126">
        <f>_xlfn.COMPOUNDVALUE(463)</f>
        <v>2721</v>
      </c>
      <c r="G45" s="127">
        <v>13388855</v>
      </c>
      <c r="H45" s="126">
        <f>_xlfn.COMPOUNDVALUE(464)</f>
        <v>184</v>
      </c>
      <c r="I45" s="128">
        <v>2193577</v>
      </c>
      <c r="J45" s="126">
        <v>137</v>
      </c>
      <c r="K45" s="128">
        <v>38653</v>
      </c>
      <c r="L45" s="126">
        <v>2938</v>
      </c>
      <c r="M45" s="128">
        <v>11233931</v>
      </c>
      <c r="N45" s="86" t="s">
        <v>73</v>
      </c>
    </row>
    <row r="46" spans="1:14" ht="15.75" customHeight="1">
      <c r="A46" s="76" t="s">
        <v>74</v>
      </c>
      <c r="B46" s="126">
        <f>_xlfn.COMPOUNDVALUE(465)</f>
        <v>5534</v>
      </c>
      <c r="C46" s="127">
        <v>59255113</v>
      </c>
      <c r="D46" s="126">
        <f>_xlfn.COMPOUNDVALUE(466)</f>
        <v>2176</v>
      </c>
      <c r="E46" s="127">
        <v>1342763</v>
      </c>
      <c r="F46" s="126">
        <f>_xlfn.COMPOUNDVALUE(467)</f>
        <v>7710</v>
      </c>
      <c r="G46" s="127">
        <v>60597875</v>
      </c>
      <c r="H46" s="126">
        <f>_xlfn.COMPOUNDVALUE(468)</f>
        <v>631</v>
      </c>
      <c r="I46" s="128">
        <v>5822871</v>
      </c>
      <c r="J46" s="126">
        <v>476</v>
      </c>
      <c r="K46" s="128">
        <v>173634</v>
      </c>
      <c r="L46" s="126">
        <v>8418</v>
      </c>
      <c r="M46" s="128">
        <v>54948639</v>
      </c>
      <c r="N46" s="86" t="s">
        <v>74</v>
      </c>
    </row>
    <row r="47" spans="1:14" ht="15.75" customHeight="1">
      <c r="A47" s="76" t="s">
        <v>75</v>
      </c>
      <c r="B47" s="126">
        <f>_xlfn.COMPOUNDVALUE(469)</f>
        <v>3621</v>
      </c>
      <c r="C47" s="127">
        <v>44444130</v>
      </c>
      <c r="D47" s="126">
        <f>_xlfn.COMPOUNDVALUE(470)</f>
        <v>1602</v>
      </c>
      <c r="E47" s="127">
        <v>872411</v>
      </c>
      <c r="F47" s="126">
        <f>_xlfn.COMPOUNDVALUE(471)</f>
        <v>5223</v>
      </c>
      <c r="G47" s="127">
        <v>45316541</v>
      </c>
      <c r="H47" s="126">
        <f>_xlfn.COMPOUNDVALUE(472)</f>
        <v>356</v>
      </c>
      <c r="I47" s="128">
        <v>11884624</v>
      </c>
      <c r="J47" s="126">
        <v>303</v>
      </c>
      <c r="K47" s="128">
        <v>24651</v>
      </c>
      <c r="L47" s="126">
        <v>5621</v>
      </c>
      <c r="M47" s="128">
        <v>33456569</v>
      </c>
      <c r="N47" s="86" t="s">
        <v>75</v>
      </c>
    </row>
    <row r="48" spans="1:14" ht="15.75" customHeight="1">
      <c r="A48" s="76"/>
      <c r="B48" s="126"/>
      <c r="C48" s="127"/>
      <c r="D48" s="126"/>
      <c r="E48" s="127"/>
      <c r="F48" s="126"/>
      <c r="G48" s="127"/>
      <c r="H48" s="126"/>
      <c r="I48" s="128"/>
      <c r="J48" s="126"/>
      <c r="K48" s="128"/>
      <c r="L48" s="126"/>
      <c r="M48" s="128"/>
      <c r="N48" s="86" t="s">
        <v>39</v>
      </c>
    </row>
    <row r="49" spans="1:14" ht="15.75" customHeight="1">
      <c r="A49" s="76" t="s">
        <v>76</v>
      </c>
      <c r="B49" s="126">
        <f>_xlfn.COMPOUNDVALUE(473)</f>
        <v>1879</v>
      </c>
      <c r="C49" s="127">
        <v>10850169</v>
      </c>
      <c r="D49" s="126">
        <f>_xlfn.COMPOUNDVALUE(474)</f>
        <v>1035</v>
      </c>
      <c r="E49" s="127">
        <v>570431</v>
      </c>
      <c r="F49" s="126">
        <f>_xlfn.COMPOUNDVALUE(475)</f>
        <v>2914</v>
      </c>
      <c r="G49" s="127">
        <v>11420600</v>
      </c>
      <c r="H49" s="126">
        <f>_xlfn.COMPOUNDVALUE(476)</f>
        <v>217</v>
      </c>
      <c r="I49" s="128">
        <v>6856339</v>
      </c>
      <c r="J49" s="126">
        <v>200</v>
      </c>
      <c r="K49" s="128">
        <v>26756</v>
      </c>
      <c r="L49" s="126">
        <v>3161</v>
      </c>
      <c r="M49" s="128">
        <v>4591018</v>
      </c>
      <c r="N49" s="86" t="s">
        <v>76</v>
      </c>
    </row>
    <row r="50" spans="1:14" ht="15.75" customHeight="1">
      <c r="A50" s="76" t="s">
        <v>77</v>
      </c>
      <c r="B50" s="126">
        <f>_xlfn.COMPOUNDVALUE(477)</f>
        <v>3873</v>
      </c>
      <c r="C50" s="127">
        <v>59319406</v>
      </c>
      <c r="D50" s="126">
        <f>_xlfn.COMPOUNDVALUE(478)</f>
        <v>2075</v>
      </c>
      <c r="E50" s="127">
        <v>1160350</v>
      </c>
      <c r="F50" s="126">
        <f>_xlfn.COMPOUNDVALUE(479)</f>
        <v>5948</v>
      </c>
      <c r="G50" s="127">
        <v>60479756</v>
      </c>
      <c r="H50" s="126">
        <f>_xlfn.COMPOUNDVALUE(480)</f>
        <v>322</v>
      </c>
      <c r="I50" s="128">
        <v>51571957</v>
      </c>
      <c r="J50" s="126">
        <v>485</v>
      </c>
      <c r="K50" s="128">
        <v>-21614</v>
      </c>
      <c r="L50" s="126">
        <v>6330</v>
      </c>
      <c r="M50" s="128">
        <v>8886185</v>
      </c>
      <c r="N50" s="86" t="s">
        <v>77</v>
      </c>
    </row>
    <row r="51" spans="1:14" ht="15.75" customHeight="1">
      <c r="A51" s="76" t="s">
        <v>78</v>
      </c>
      <c r="B51" s="126">
        <f>_xlfn.COMPOUNDVALUE(481)</f>
        <v>3638</v>
      </c>
      <c r="C51" s="127">
        <v>19930859</v>
      </c>
      <c r="D51" s="126">
        <f>_xlfn.COMPOUNDVALUE(482)</f>
        <v>1846</v>
      </c>
      <c r="E51" s="127">
        <v>1119315</v>
      </c>
      <c r="F51" s="126">
        <f>_xlfn.COMPOUNDVALUE(483)</f>
        <v>5484</v>
      </c>
      <c r="G51" s="127">
        <v>21050174</v>
      </c>
      <c r="H51" s="126">
        <f>_xlfn.COMPOUNDVALUE(484)</f>
        <v>436</v>
      </c>
      <c r="I51" s="128">
        <v>1771341</v>
      </c>
      <c r="J51" s="126">
        <v>269</v>
      </c>
      <c r="K51" s="128">
        <v>-17717</v>
      </c>
      <c r="L51" s="126">
        <v>5988</v>
      </c>
      <c r="M51" s="128">
        <v>19261117</v>
      </c>
      <c r="N51" s="86" t="s">
        <v>78</v>
      </c>
    </row>
    <row r="52" spans="1:14" ht="15.75" customHeight="1">
      <c r="A52" s="76" t="s">
        <v>79</v>
      </c>
      <c r="B52" s="126">
        <f>_xlfn.COMPOUNDVALUE(485)</f>
        <v>3225</v>
      </c>
      <c r="C52" s="127">
        <v>19513656</v>
      </c>
      <c r="D52" s="126">
        <f>_xlfn.COMPOUNDVALUE(486)</f>
        <v>1790</v>
      </c>
      <c r="E52" s="127">
        <v>1058671</v>
      </c>
      <c r="F52" s="126">
        <f>_xlfn.COMPOUNDVALUE(487)</f>
        <v>5015</v>
      </c>
      <c r="G52" s="127">
        <v>20572326</v>
      </c>
      <c r="H52" s="126">
        <f>_xlfn.COMPOUNDVALUE(488)</f>
        <v>273</v>
      </c>
      <c r="I52" s="128">
        <v>557454</v>
      </c>
      <c r="J52" s="126">
        <v>287</v>
      </c>
      <c r="K52" s="128">
        <v>81798</v>
      </c>
      <c r="L52" s="126">
        <v>5368</v>
      </c>
      <c r="M52" s="128">
        <v>20096671</v>
      </c>
      <c r="N52" s="86" t="s">
        <v>79</v>
      </c>
    </row>
    <row r="53" spans="1:14" ht="15.75" customHeight="1">
      <c r="A53" s="76" t="s">
        <v>80</v>
      </c>
      <c r="B53" s="126">
        <f>_xlfn.COMPOUNDVALUE(489)</f>
        <v>3217</v>
      </c>
      <c r="C53" s="127">
        <v>37062542</v>
      </c>
      <c r="D53" s="126">
        <f>_xlfn.COMPOUNDVALUE(490)</f>
        <v>1599</v>
      </c>
      <c r="E53" s="127">
        <v>913035</v>
      </c>
      <c r="F53" s="126">
        <f>_xlfn.COMPOUNDVALUE(491)</f>
        <v>4816</v>
      </c>
      <c r="G53" s="127">
        <v>37975578</v>
      </c>
      <c r="H53" s="126">
        <f>_xlfn.COMPOUNDVALUE(492)</f>
        <v>430</v>
      </c>
      <c r="I53" s="128">
        <v>3515699</v>
      </c>
      <c r="J53" s="126">
        <v>355</v>
      </c>
      <c r="K53" s="128">
        <v>-76014</v>
      </c>
      <c r="L53" s="126">
        <v>5318</v>
      </c>
      <c r="M53" s="128">
        <v>34383864</v>
      </c>
      <c r="N53" s="86" t="s">
        <v>80</v>
      </c>
    </row>
    <row r="54" spans="1:14" ht="15.75" customHeight="1">
      <c r="A54" s="76"/>
      <c r="B54" s="126"/>
      <c r="C54" s="127"/>
      <c r="D54" s="126"/>
      <c r="E54" s="127"/>
      <c r="F54" s="126"/>
      <c r="G54" s="127"/>
      <c r="H54" s="126"/>
      <c r="I54" s="128"/>
      <c r="J54" s="126"/>
      <c r="K54" s="128"/>
      <c r="L54" s="126"/>
      <c r="M54" s="128"/>
      <c r="N54" s="86" t="s">
        <v>39</v>
      </c>
    </row>
    <row r="55" spans="1:14" ht="15.75" customHeight="1">
      <c r="A55" s="76" t="s">
        <v>81</v>
      </c>
      <c r="B55" s="126">
        <f>_xlfn.COMPOUNDVALUE(493)</f>
        <v>19316</v>
      </c>
      <c r="C55" s="127">
        <v>449176328</v>
      </c>
      <c r="D55" s="126">
        <f>_xlfn.COMPOUNDVALUE(494)</f>
        <v>5024</v>
      </c>
      <c r="E55" s="127">
        <v>3740994</v>
      </c>
      <c r="F55" s="126">
        <f>_xlfn.COMPOUNDVALUE(495)</f>
        <v>24340</v>
      </c>
      <c r="G55" s="127">
        <v>452917322</v>
      </c>
      <c r="H55" s="126">
        <f>_xlfn.COMPOUNDVALUE(496)</f>
        <v>2637</v>
      </c>
      <c r="I55" s="128">
        <v>86821336</v>
      </c>
      <c r="J55" s="126">
        <v>1769</v>
      </c>
      <c r="K55" s="128">
        <v>1342912</v>
      </c>
      <c r="L55" s="126">
        <v>27346</v>
      </c>
      <c r="M55" s="128">
        <v>367438897</v>
      </c>
      <c r="N55" s="86" t="s">
        <v>81</v>
      </c>
    </row>
    <row r="56" spans="1:14" ht="15.75" customHeight="1">
      <c r="A56" s="76" t="s">
        <v>82</v>
      </c>
      <c r="B56" s="126">
        <f>_xlfn.COMPOUNDVALUE(497)</f>
        <v>4053</v>
      </c>
      <c r="C56" s="127">
        <v>68855437</v>
      </c>
      <c r="D56" s="126">
        <f>_xlfn.COMPOUNDVALUE(498)</f>
        <v>1831</v>
      </c>
      <c r="E56" s="127">
        <v>1086593</v>
      </c>
      <c r="F56" s="126">
        <f>_xlfn.COMPOUNDVALUE(499)</f>
        <v>5884</v>
      </c>
      <c r="G56" s="127">
        <v>69942030</v>
      </c>
      <c r="H56" s="126">
        <f>_xlfn.COMPOUNDVALUE(500)</f>
        <v>497</v>
      </c>
      <c r="I56" s="128">
        <v>2544685</v>
      </c>
      <c r="J56" s="126">
        <v>439</v>
      </c>
      <c r="K56" s="128">
        <v>20636</v>
      </c>
      <c r="L56" s="126">
        <v>6464</v>
      </c>
      <c r="M56" s="128">
        <v>67417980</v>
      </c>
      <c r="N56" s="86" t="s">
        <v>82</v>
      </c>
    </row>
    <row r="57" spans="1:14" ht="15.75" customHeight="1">
      <c r="A57" s="76" t="s">
        <v>83</v>
      </c>
      <c r="B57" s="126">
        <f>_xlfn.COMPOUNDVALUE(501)</f>
        <v>3124</v>
      </c>
      <c r="C57" s="127">
        <v>21509184</v>
      </c>
      <c r="D57" s="126">
        <f>_xlfn.COMPOUNDVALUE(502)</f>
        <v>1585</v>
      </c>
      <c r="E57" s="127">
        <v>927976</v>
      </c>
      <c r="F57" s="126">
        <f>_xlfn.COMPOUNDVALUE(503)</f>
        <v>4709</v>
      </c>
      <c r="G57" s="127">
        <v>22437160</v>
      </c>
      <c r="H57" s="126">
        <f>_xlfn.COMPOUNDVALUE(504)</f>
        <v>347</v>
      </c>
      <c r="I57" s="128">
        <v>2313807</v>
      </c>
      <c r="J57" s="126">
        <v>238</v>
      </c>
      <c r="K57" s="128">
        <v>59601</v>
      </c>
      <c r="L57" s="126">
        <v>5121</v>
      </c>
      <c r="M57" s="128">
        <v>20182954</v>
      </c>
      <c r="N57" s="86" t="s">
        <v>83</v>
      </c>
    </row>
    <row r="58" spans="1:14" ht="15.75" customHeight="1">
      <c r="A58" s="76" t="s">
        <v>84</v>
      </c>
      <c r="B58" s="126">
        <f>_xlfn.COMPOUNDVALUE(505)</f>
        <v>2282</v>
      </c>
      <c r="C58" s="127">
        <v>14300191</v>
      </c>
      <c r="D58" s="126">
        <f>_xlfn.COMPOUNDVALUE(506)</f>
        <v>1199</v>
      </c>
      <c r="E58" s="127">
        <v>725149</v>
      </c>
      <c r="F58" s="126">
        <f>_xlfn.COMPOUNDVALUE(507)</f>
        <v>3481</v>
      </c>
      <c r="G58" s="127">
        <v>15025340</v>
      </c>
      <c r="H58" s="126">
        <f>_xlfn.COMPOUNDVALUE(508)</f>
        <v>307</v>
      </c>
      <c r="I58" s="128">
        <v>847277</v>
      </c>
      <c r="J58" s="126">
        <v>176</v>
      </c>
      <c r="K58" s="128">
        <v>52545</v>
      </c>
      <c r="L58" s="126">
        <v>3825</v>
      </c>
      <c r="M58" s="128">
        <v>14230607</v>
      </c>
      <c r="N58" s="86" t="s">
        <v>84</v>
      </c>
    </row>
    <row r="59" spans="1:14" ht="15.75" customHeight="1">
      <c r="A59" s="76" t="s">
        <v>85</v>
      </c>
      <c r="B59" s="126">
        <f>_xlfn.COMPOUNDVALUE(509)</f>
        <v>7938</v>
      </c>
      <c r="C59" s="127">
        <v>114712623</v>
      </c>
      <c r="D59" s="126">
        <f>_xlfn.COMPOUNDVALUE(510)</f>
        <v>2691</v>
      </c>
      <c r="E59" s="127">
        <v>1726612</v>
      </c>
      <c r="F59" s="126">
        <f>_xlfn.COMPOUNDVALUE(511)</f>
        <v>10629</v>
      </c>
      <c r="G59" s="127">
        <v>116439235</v>
      </c>
      <c r="H59" s="126">
        <f>_xlfn.COMPOUNDVALUE(512)</f>
        <v>1280</v>
      </c>
      <c r="I59" s="128">
        <v>9093585</v>
      </c>
      <c r="J59" s="126">
        <v>853</v>
      </c>
      <c r="K59" s="128">
        <v>486226</v>
      </c>
      <c r="L59" s="126">
        <v>12070</v>
      </c>
      <c r="M59" s="128">
        <v>107831876</v>
      </c>
      <c r="N59" s="86" t="s">
        <v>85</v>
      </c>
    </row>
    <row r="60" spans="1:14" ht="15.75" customHeight="1">
      <c r="A60" s="76"/>
      <c r="B60" s="126"/>
      <c r="C60" s="127"/>
      <c r="D60" s="126"/>
      <c r="E60" s="127"/>
      <c r="F60" s="126"/>
      <c r="G60" s="127"/>
      <c r="H60" s="126"/>
      <c r="I60" s="128"/>
      <c r="J60" s="126"/>
      <c r="K60" s="128"/>
      <c r="L60" s="126"/>
      <c r="M60" s="128"/>
      <c r="N60" s="86" t="s">
        <v>39</v>
      </c>
    </row>
    <row r="61" spans="1:14" ht="15.75" customHeight="1">
      <c r="A61" s="76" t="s">
        <v>86</v>
      </c>
      <c r="B61" s="126">
        <f>_xlfn.COMPOUNDVALUE(513)</f>
        <v>3660</v>
      </c>
      <c r="C61" s="127">
        <v>48483715</v>
      </c>
      <c r="D61" s="126">
        <f>_xlfn.COMPOUNDVALUE(514)</f>
        <v>1799</v>
      </c>
      <c r="E61" s="127">
        <v>1035713</v>
      </c>
      <c r="F61" s="126">
        <f>_xlfn.COMPOUNDVALUE(515)</f>
        <v>5459</v>
      </c>
      <c r="G61" s="127">
        <v>49519428</v>
      </c>
      <c r="H61" s="126">
        <f>_xlfn.COMPOUNDVALUE(516)</f>
        <v>427</v>
      </c>
      <c r="I61" s="128">
        <v>2748534</v>
      </c>
      <c r="J61" s="126">
        <v>316</v>
      </c>
      <c r="K61" s="128">
        <v>37063</v>
      </c>
      <c r="L61" s="126">
        <v>5936</v>
      </c>
      <c r="M61" s="128">
        <v>46807957</v>
      </c>
      <c r="N61" s="86" t="s">
        <v>86</v>
      </c>
    </row>
    <row r="62" spans="1:14" ht="15.75" customHeight="1">
      <c r="A62" s="76" t="s">
        <v>87</v>
      </c>
      <c r="B62" s="126">
        <f>_xlfn.COMPOUNDVALUE(517)</f>
        <v>3235</v>
      </c>
      <c r="C62" s="127">
        <v>26389021</v>
      </c>
      <c r="D62" s="126">
        <f>_xlfn.COMPOUNDVALUE(518)</f>
        <v>1503</v>
      </c>
      <c r="E62" s="127">
        <v>810757</v>
      </c>
      <c r="F62" s="126">
        <f>_xlfn.COMPOUNDVALUE(519)</f>
        <v>4738</v>
      </c>
      <c r="G62" s="127">
        <v>27199778</v>
      </c>
      <c r="H62" s="126">
        <f>_xlfn.COMPOUNDVALUE(520)</f>
        <v>357</v>
      </c>
      <c r="I62" s="128">
        <v>1347246</v>
      </c>
      <c r="J62" s="126">
        <v>312</v>
      </c>
      <c r="K62" s="128">
        <v>133995</v>
      </c>
      <c r="L62" s="126">
        <v>5154</v>
      </c>
      <c r="M62" s="128">
        <v>25986527</v>
      </c>
      <c r="N62" s="86" t="s">
        <v>87</v>
      </c>
    </row>
    <row r="63" spans="1:14" ht="15.75" customHeight="1">
      <c r="A63" s="76" t="s">
        <v>88</v>
      </c>
      <c r="B63" s="126">
        <f>_xlfn.COMPOUNDVALUE(521)</f>
        <v>5908</v>
      </c>
      <c r="C63" s="127">
        <v>46288958</v>
      </c>
      <c r="D63" s="126">
        <f>_xlfn.COMPOUNDVALUE(522)</f>
        <v>2629</v>
      </c>
      <c r="E63" s="127">
        <v>1449421</v>
      </c>
      <c r="F63" s="126">
        <f>_xlfn.COMPOUNDVALUE(523)</f>
        <v>8537</v>
      </c>
      <c r="G63" s="127">
        <v>47738379</v>
      </c>
      <c r="H63" s="126">
        <f>_xlfn.COMPOUNDVALUE(524)</f>
        <v>538</v>
      </c>
      <c r="I63" s="128">
        <v>5662861</v>
      </c>
      <c r="J63" s="126">
        <v>577</v>
      </c>
      <c r="K63" s="128">
        <v>80715</v>
      </c>
      <c r="L63" s="126">
        <v>9182</v>
      </c>
      <c r="M63" s="128">
        <v>42156233</v>
      </c>
      <c r="N63" s="86" t="s">
        <v>88</v>
      </c>
    </row>
    <row r="64" spans="1:14" ht="15.75" customHeight="1">
      <c r="A64" s="76" t="s">
        <v>89</v>
      </c>
      <c r="B64" s="126">
        <f>_xlfn.COMPOUNDVALUE(525)</f>
        <v>4059</v>
      </c>
      <c r="C64" s="127">
        <v>18506669</v>
      </c>
      <c r="D64" s="126">
        <f>_xlfn.COMPOUNDVALUE(526)</f>
        <v>1951</v>
      </c>
      <c r="E64" s="127">
        <v>1073528</v>
      </c>
      <c r="F64" s="126">
        <f>_xlfn.COMPOUNDVALUE(527)</f>
        <v>6010</v>
      </c>
      <c r="G64" s="127">
        <v>19580197</v>
      </c>
      <c r="H64" s="126">
        <f>_xlfn.COMPOUNDVALUE(528)</f>
        <v>435</v>
      </c>
      <c r="I64" s="128">
        <v>3901787</v>
      </c>
      <c r="J64" s="126">
        <v>382</v>
      </c>
      <c r="K64" s="128">
        <v>37662</v>
      </c>
      <c r="L64" s="126">
        <v>6511</v>
      </c>
      <c r="M64" s="128">
        <v>15716072</v>
      </c>
      <c r="N64" s="86" t="s">
        <v>89</v>
      </c>
    </row>
    <row r="65" spans="1:14" ht="15.75" customHeight="1">
      <c r="A65" s="78" t="s">
        <v>90</v>
      </c>
      <c r="B65" s="131">
        <f>_xlfn.COMPOUNDVALUE(529)</f>
        <v>2322</v>
      </c>
      <c r="C65" s="132">
        <v>9215061</v>
      </c>
      <c r="D65" s="131">
        <f>_xlfn.COMPOUNDVALUE(530)</f>
        <v>1297</v>
      </c>
      <c r="E65" s="132">
        <v>756848</v>
      </c>
      <c r="F65" s="131">
        <f>_xlfn.COMPOUNDVALUE(531)</f>
        <v>3619</v>
      </c>
      <c r="G65" s="132">
        <v>9971910</v>
      </c>
      <c r="H65" s="131">
        <f>_xlfn.COMPOUNDVALUE(532)</f>
        <v>201</v>
      </c>
      <c r="I65" s="133">
        <v>436535</v>
      </c>
      <c r="J65" s="131">
        <v>140</v>
      </c>
      <c r="K65" s="133">
        <v>-40438</v>
      </c>
      <c r="L65" s="131">
        <v>3855</v>
      </c>
      <c r="M65" s="133">
        <v>9494937</v>
      </c>
      <c r="N65" s="77" t="s">
        <v>90</v>
      </c>
    </row>
    <row r="66" spans="1:14" ht="15.75" customHeight="1">
      <c r="A66" s="78"/>
      <c r="B66" s="131"/>
      <c r="C66" s="132"/>
      <c r="D66" s="131"/>
      <c r="E66" s="132"/>
      <c r="F66" s="131"/>
      <c r="G66" s="132"/>
      <c r="H66" s="131"/>
      <c r="I66" s="133"/>
      <c r="J66" s="131"/>
      <c r="K66" s="133"/>
      <c r="L66" s="131"/>
      <c r="M66" s="133"/>
      <c r="N66" s="77" t="s">
        <v>39</v>
      </c>
    </row>
    <row r="67" spans="1:14" ht="15.75" customHeight="1">
      <c r="A67" s="78" t="s">
        <v>91</v>
      </c>
      <c r="B67" s="131">
        <f>_xlfn.COMPOUNDVALUE(533)</f>
        <v>4402</v>
      </c>
      <c r="C67" s="132">
        <v>23897315</v>
      </c>
      <c r="D67" s="131">
        <f>_xlfn.COMPOUNDVALUE(534)</f>
        <v>1912</v>
      </c>
      <c r="E67" s="132">
        <v>1102667</v>
      </c>
      <c r="F67" s="131">
        <f>_xlfn.COMPOUNDVALUE(535)</f>
        <v>6314</v>
      </c>
      <c r="G67" s="132">
        <v>24999981</v>
      </c>
      <c r="H67" s="131">
        <f>_xlfn.COMPOUNDVALUE(536)</f>
        <v>370</v>
      </c>
      <c r="I67" s="133">
        <v>2866208</v>
      </c>
      <c r="J67" s="131">
        <v>430</v>
      </c>
      <c r="K67" s="133">
        <v>77099</v>
      </c>
      <c r="L67" s="131">
        <v>6749</v>
      </c>
      <c r="M67" s="133">
        <v>22210873</v>
      </c>
      <c r="N67" s="77" t="s">
        <v>91</v>
      </c>
    </row>
    <row r="68" spans="1:14" ht="15.75" customHeight="1">
      <c r="A68" s="78" t="s">
        <v>92</v>
      </c>
      <c r="B68" s="131">
        <f>_xlfn.COMPOUNDVALUE(537)</f>
        <v>3600</v>
      </c>
      <c r="C68" s="132">
        <v>18355555</v>
      </c>
      <c r="D68" s="131">
        <f>_xlfn.COMPOUNDVALUE(538)</f>
        <v>1607</v>
      </c>
      <c r="E68" s="132">
        <v>912280</v>
      </c>
      <c r="F68" s="131">
        <f>_xlfn.COMPOUNDVALUE(539)</f>
        <v>5207</v>
      </c>
      <c r="G68" s="132">
        <v>19267835</v>
      </c>
      <c r="H68" s="131">
        <f>_xlfn.COMPOUNDVALUE(540)</f>
        <v>271</v>
      </c>
      <c r="I68" s="133">
        <v>1569577</v>
      </c>
      <c r="J68" s="131">
        <v>318</v>
      </c>
      <c r="K68" s="133">
        <v>9801</v>
      </c>
      <c r="L68" s="131">
        <v>5530</v>
      </c>
      <c r="M68" s="133">
        <v>17708059</v>
      </c>
      <c r="N68" s="77" t="s">
        <v>92</v>
      </c>
    </row>
    <row r="69" spans="1:14" ht="15.75" customHeight="1">
      <c r="A69" s="78" t="s">
        <v>93</v>
      </c>
      <c r="B69" s="131">
        <f>_xlfn.COMPOUNDVALUE(541)</f>
        <v>4719</v>
      </c>
      <c r="C69" s="132">
        <v>21655061</v>
      </c>
      <c r="D69" s="131">
        <f>_xlfn.COMPOUNDVALUE(542)</f>
        <v>2450</v>
      </c>
      <c r="E69" s="132">
        <v>1382365</v>
      </c>
      <c r="F69" s="131">
        <f>_xlfn.COMPOUNDVALUE(543)</f>
        <v>7169</v>
      </c>
      <c r="G69" s="132">
        <v>23037426</v>
      </c>
      <c r="H69" s="131">
        <f>_xlfn.COMPOUNDVALUE(544)</f>
        <v>471</v>
      </c>
      <c r="I69" s="133">
        <v>2018921</v>
      </c>
      <c r="J69" s="131">
        <v>579</v>
      </c>
      <c r="K69" s="133">
        <v>-25998</v>
      </c>
      <c r="L69" s="131">
        <v>7717</v>
      </c>
      <c r="M69" s="133">
        <v>20992507</v>
      </c>
      <c r="N69" s="77" t="s">
        <v>93</v>
      </c>
    </row>
    <row r="70" spans="1:14" ht="15.75" customHeight="1">
      <c r="A70" s="78" t="s">
        <v>94</v>
      </c>
      <c r="B70" s="131">
        <f>_xlfn.COMPOUNDVALUE(545)</f>
        <v>5269</v>
      </c>
      <c r="C70" s="132">
        <v>24882849</v>
      </c>
      <c r="D70" s="131">
        <f>_xlfn.COMPOUNDVALUE(546)</f>
        <v>2488</v>
      </c>
      <c r="E70" s="132">
        <v>1428113</v>
      </c>
      <c r="F70" s="131">
        <f>_xlfn.COMPOUNDVALUE(547)</f>
        <v>7757</v>
      </c>
      <c r="G70" s="132">
        <v>26310961</v>
      </c>
      <c r="H70" s="131">
        <f>_xlfn.COMPOUNDVALUE(548)</f>
        <v>487</v>
      </c>
      <c r="I70" s="133">
        <v>2117559</v>
      </c>
      <c r="J70" s="131">
        <v>458</v>
      </c>
      <c r="K70" s="133">
        <v>192218</v>
      </c>
      <c r="L70" s="131">
        <v>8322</v>
      </c>
      <c r="M70" s="133">
        <v>24385620</v>
      </c>
      <c r="N70" s="77" t="s">
        <v>94</v>
      </c>
    </row>
    <row r="71" spans="1:14" ht="15.75" customHeight="1">
      <c r="A71" s="78" t="s">
        <v>95</v>
      </c>
      <c r="B71" s="131">
        <f>_xlfn.COMPOUNDVALUE(549)</f>
        <v>2524</v>
      </c>
      <c r="C71" s="132">
        <v>16899836</v>
      </c>
      <c r="D71" s="131">
        <f>_xlfn.COMPOUNDVALUE(550)</f>
        <v>1035</v>
      </c>
      <c r="E71" s="132">
        <v>666316</v>
      </c>
      <c r="F71" s="131">
        <f>_xlfn.COMPOUNDVALUE(551)</f>
        <v>3559</v>
      </c>
      <c r="G71" s="132">
        <v>17566152</v>
      </c>
      <c r="H71" s="131">
        <f>_xlfn.COMPOUNDVALUE(552)</f>
        <v>215</v>
      </c>
      <c r="I71" s="133">
        <v>1284133</v>
      </c>
      <c r="J71" s="131">
        <v>237</v>
      </c>
      <c r="K71" s="133">
        <v>25059</v>
      </c>
      <c r="L71" s="131">
        <v>3801</v>
      </c>
      <c r="M71" s="133">
        <v>16307079</v>
      </c>
      <c r="N71" s="77" t="s">
        <v>95</v>
      </c>
    </row>
    <row r="72" spans="1:14" ht="15.75" customHeight="1">
      <c r="A72" s="185" t="s">
        <v>175</v>
      </c>
      <c r="B72" s="186">
        <v>223527</v>
      </c>
      <c r="C72" s="187">
        <v>5527886819</v>
      </c>
      <c r="D72" s="166">
        <v>75362</v>
      </c>
      <c r="E72" s="167">
        <v>49744855</v>
      </c>
      <c r="F72" s="166">
        <v>298889</v>
      </c>
      <c r="G72" s="167">
        <v>5577631666</v>
      </c>
      <c r="H72" s="166">
        <v>37463</v>
      </c>
      <c r="I72" s="168">
        <v>1805792851</v>
      </c>
      <c r="J72" s="166">
        <v>22006</v>
      </c>
      <c r="K72" s="168">
        <v>7916564</v>
      </c>
      <c r="L72" s="166">
        <v>340057</v>
      </c>
      <c r="M72" s="168">
        <v>3779755378</v>
      </c>
      <c r="N72" s="169" t="s">
        <v>97</v>
      </c>
    </row>
    <row r="73" spans="1:14" ht="15.75" customHeight="1">
      <c r="A73" s="180"/>
      <c r="B73" s="181"/>
      <c r="C73" s="182"/>
      <c r="D73" s="181"/>
      <c r="E73" s="182"/>
      <c r="F73" s="181"/>
      <c r="G73" s="182"/>
      <c r="H73" s="181"/>
      <c r="I73" s="183"/>
      <c r="J73" s="181"/>
      <c r="K73" s="183"/>
      <c r="L73" s="181"/>
      <c r="M73" s="183"/>
      <c r="N73" s="184" t="s">
        <v>39</v>
      </c>
    </row>
    <row r="74" spans="1:14" ht="15.75" customHeight="1">
      <c r="A74" s="76" t="s">
        <v>98</v>
      </c>
      <c r="B74" s="126">
        <f>_xlfn.COMPOUNDVALUE(553)</f>
        <v>4583</v>
      </c>
      <c r="C74" s="127">
        <v>27392711</v>
      </c>
      <c r="D74" s="126">
        <f>_xlfn.COMPOUNDVALUE(554)</f>
        <v>2246</v>
      </c>
      <c r="E74" s="127">
        <v>1314698</v>
      </c>
      <c r="F74" s="126">
        <f>_xlfn.COMPOUNDVALUE(555)</f>
        <v>6829</v>
      </c>
      <c r="G74" s="127">
        <v>28707409</v>
      </c>
      <c r="H74" s="126">
        <f>_xlfn.COMPOUNDVALUE(556)</f>
        <v>360</v>
      </c>
      <c r="I74" s="128">
        <v>6655563</v>
      </c>
      <c r="J74" s="126">
        <v>370</v>
      </c>
      <c r="K74" s="128">
        <v>46199</v>
      </c>
      <c r="L74" s="126">
        <v>7254</v>
      </c>
      <c r="M74" s="128">
        <v>22098044</v>
      </c>
      <c r="N74" s="86" t="s">
        <v>98</v>
      </c>
    </row>
    <row r="75" spans="1:14" ht="15.75" customHeight="1">
      <c r="A75" s="78" t="s">
        <v>99</v>
      </c>
      <c r="B75" s="131">
        <f>_xlfn.COMPOUNDVALUE(557)</f>
        <v>5656</v>
      </c>
      <c r="C75" s="132">
        <v>39274823</v>
      </c>
      <c r="D75" s="131">
        <f>_xlfn.COMPOUNDVALUE(558)</f>
        <v>2702</v>
      </c>
      <c r="E75" s="132">
        <v>1601955</v>
      </c>
      <c r="F75" s="131">
        <f>_xlfn.COMPOUNDVALUE(559)</f>
        <v>8358</v>
      </c>
      <c r="G75" s="132">
        <v>40876778</v>
      </c>
      <c r="H75" s="131">
        <f>_xlfn.COMPOUNDVALUE(560)</f>
        <v>471</v>
      </c>
      <c r="I75" s="133">
        <v>5636400</v>
      </c>
      <c r="J75" s="131">
        <v>478</v>
      </c>
      <c r="K75" s="133">
        <v>150249</v>
      </c>
      <c r="L75" s="131">
        <v>8922</v>
      </c>
      <c r="M75" s="133">
        <v>35390628</v>
      </c>
      <c r="N75" s="77" t="s">
        <v>99</v>
      </c>
    </row>
    <row r="76" spans="1:14" ht="15.75" customHeight="1">
      <c r="A76" s="78" t="s">
        <v>100</v>
      </c>
      <c r="B76" s="131">
        <f>_xlfn.COMPOUNDVALUE(561)</f>
        <v>3756</v>
      </c>
      <c r="C76" s="132">
        <v>33922292</v>
      </c>
      <c r="D76" s="131">
        <f>_xlfn.COMPOUNDVALUE(562)</f>
        <v>2018</v>
      </c>
      <c r="E76" s="132">
        <v>1209598</v>
      </c>
      <c r="F76" s="131">
        <f>_xlfn.COMPOUNDVALUE(563)</f>
        <v>5774</v>
      </c>
      <c r="G76" s="132">
        <v>35131889</v>
      </c>
      <c r="H76" s="131">
        <f>_xlfn.COMPOUNDVALUE(564)</f>
        <v>464</v>
      </c>
      <c r="I76" s="133">
        <v>6889141</v>
      </c>
      <c r="J76" s="131">
        <v>267</v>
      </c>
      <c r="K76" s="133">
        <v>153921</v>
      </c>
      <c r="L76" s="131">
        <v>6278</v>
      </c>
      <c r="M76" s="133">
        <v>28396669</v>
      </c>
      <c r="N76" s="77" t="s">
        <v>100</v>
      </c>
    </row>
    <row r="77" spans="1:14" ht="15.75" customHeight="1">
      <c r="A77" s="78" t="s">
        <v>101</v>
      </c>
      <c r="B77" s="131">
        <f>_xlfn.COMPOUNDVALUE(565)</f>
        <v>3245</v>
      </c>
      <c r="C77" s="132">
        <v>19802507</v>
      </c>
      <c r="D77" s="131">
        <f>_xlfn.COMPOUNDVALUE(566)</f>
        <v>1638</v>
      </c>
      <c r="E77" s="132">
        <v>971798</v>
      </c>
      <c r="F77" s="131">
        <f>_xlfn.COMPOUNDVALUE(567)</f>
        <v>4883</v>
      </c>
      <c r="G77" s="132">
        <v>20774305</v>
      </c>
      <c r="H77" s="131">
        <f>_xlfn.COMPOUNDVALUE(568)</f>
        <v>232</v>
      </c>
      <c r="I77" s="133">
        <v>3828517</v>
      </c>
      <c r="J77" s="131">
        <v>229</v>
      </c>
      <c r="K77" s="133">
        <v>29792</v>
      </c>
      <c r="L77" s="131">
        <v>5154</v>
      </c>
      <c r="M77" s="133">
        <v>16975580</v>
      </c>
      <c r="N77" s="77" t="s">
        <v>101</v>
      </c>
    </row>
    <row r="78" spans="1:14" ht="15.75" customHeight="1">
      <c r="A78" s="78" t="s">
        <v>102</v>
      </c>
      <c r="B78" s="131">
        <f>_xlfn.COMPOUNDVALUE(569)</f>
        <v>4385</v>
      </c>
      <c r="C78" s="132">
        <v>37822297</v>
      </c>
      <c r="D78" s="131">
        <f>_xlfn.COMPOUNDVALUE(570)</f>
        <v>2309</v>
      </c>
      <c r="E78" s="132">
        <v>1301100</v>
      </c>
      <c r="F78" s="131">
        <f>_xlfn.COMPOUNDVALUE(571)</f>
        <v>6694</v>
      </c>
      <c r="G78" s="132">
        <v>39123397</v>
      </c>
      <c r="H78" s="131">
        <f>_xlfn.COMPOUNDVALUE(572)</f>
        <v>346</v>
      </c>
      <c r="I78" s="133">
        <v>2925914</v>
      </c>
      <c r="J78" s="131">
        <v>325</v>
      </c>
      <c r="K78" s="133">
        <v>22399</v>
      </c>
      <c r="L78" s="131">
        <v>7100</v>
      </c>
      <c r="M78" s="133">
        <v>36219881</v>
      </c>
      <c r="N78" s="77" t="s">
        <v>102</v>
      </c>
    </row>
    <row r="79" spans="1:14" ht="15.75" customHeight="1">
      <c r="A79" s="104"/>
      <c r="B79" s="139"/>
      <c r="C79" s="140"/>
      <c r="D79" s="139"/>
      <c r="E79" s="140"/>
      <c r="F79" s="139"/>
      <c r="G79" s="140"/>
      <c r="H79" s="139"/>
      <c r="I79" s="141"/>
      <c r="J79" s="139"/>
      <c r="K79" s="141"/>
      <c r="L79" s="139"/>
      <c r="M79" s="141"/>
      <c r="N79" s="105" t="s">
        <v>39</v>
      </c>
    </row>
    <row r="80" spans="1:14" ht="15.75" customHeight="1">
      <c r="A80" s="99" t="s">
        <v>103</v>
      </c>
      <c r="B80" s="126">
        <f>_xlfn.COMPOUNDVALUE(573)</f>
        <v>3012</v>
      </c>
      <c r="C80" s="127">
        <v>14734215</v>
      </c>
      <c r="D80" s="126">
        <f>_xlfn.COMPOUNDVALUE(574)</f>
        <v>1679</v>
      </c>
      <c r="E80" s="127">
        <v>1004748</v>
      </c>
      <c r="F80" s="126">
        <f>_xlfn.COMPOUNDVALUE(575)</f>
        <v>4691</v>
      </c>
      <c r="G80" s="127">
        <v>15738963</v>
      </c>
      <c r="H80" s="126">
        <f>_xlfn.COMPOUNDVALUE(576)</f>
        <v>291</v>
      </c>
      <c r="I80" s="128">
        <v>1042260</v>
      </c>
      <c r="J80" s="126">
        <v>308</v>
      </c>
      <c r="K80" s="128">
        <v>34734</v>
      </c>
      <c r="L80" s="126">
        <v>5054</v>
      </c>
      <c r="M80" s="128">
        <v>14731436</v>
      </c>
      <c r="N80" s="86" t="s">
        <v>103</v>
      </c>
    </row>
    <row r="81" spans="1:14" ht="15.75" customHeight="1">
      <c r="A81" s="78" t="s">
        <v>104</v>
      </c>
      <c r="B81" s="131">
        <f>_xlfn.COMPOUNDVALUE(577)</f>
        <v>2363</v>
      </c>
      <c r="C81" s="132">
        <v>18839024</v>
      </c>
      <c r="D81" s="131">
        <f>_xlfn.COMPOUNDVALUE(578)</f>
        <v>1155</v>
      </c>
      <c r="E81" s="132">
        <v>655537</v>
      </c>
      <c r="F81" s="131">
        <f>_xlfn.COMPOUNDVALUE(579)</f>
        <v>3518</v>
      </c>
      <c r="G81" s="132">
        <v>19494561</v>
      </c>
      <c r="H81" s="131">
        <f>_xlfn.COMPOUNDVALUE(580)</f>
        <v>206</v>
      </c>
      <c r="I81" s="133">
        <v>8617184</v>
      </c>
      <c r="J81" s="131">
        <v>185</v>
      </c>
      <c r="K81" s="133">
        <v>19773</v>
      </c>
      <c r="L81" s="131">
        <v>3756</v>
      </c>
      <c r="M81" s="133">
        <v>10897150</v>
      </c>
      <c r="N81" s="77" t="s">
        <v>104</v>
      </c>
    </row>
    <row r="82" spans="1:14" ht="15.75" customHeight="1">
      <c r="A82" s="78" t="s">
        <v>105</v>
      </c>
      <c r="B82" s="131">
        <f>_xlfn.COMPOUNDVALUE(581)</f>
        <v>4608</v>
      </c>
      <c r="C82" s="132">
        <v>25370023</v>
      </c>
      <c r="D82" s="131">
        <f>_xlfn.COMPOUNDVALUE(582)</f>
        <v>2469</v>
      </c>
      <c r="E82" s="132">
        <v>1344435</v>
      </c>
      <c r="F82" s="131">
        <f>_xlfn.COMPOUNDVALUE(583)</f>
        <v>7077</v>
      </c>
      <c r="G82" s="132">
        <v>26714458</v>
      </c>
      <c r="H82" s="131">
        <f>_xlfn.COMPOUNDVALUE(584)</f>
        <v>332</v>
      </c>
      <c r="I82" s="133">
        <v>3552600</v>
      </c>
      <c r="J82" s="131">
        <v>405</v>
      </c>
      <c r="K82" s="133">
        <v>36953</v>
      </c>
      <c r="L82" s="131">
        <v>7508</v>
      </c>
      <c r="M82" s="133">
        <v>23198812</v>
      </c>
      <c r="N82" s="77" t="s">
        <v>105</v>
      </c>
    </row>
    <row r="83" spans="1:14" ht="15.75" customHeight="1">
      <c r="A83" s="165" t="s">
        <v>176</v>
      </c>
      <c r="B83" s="166">
        <v>31608</v>
      </c>
      <c r="C83" s="167">
        <v>217157892</v>
      </c>
      <c r="D83" s="166">
        <v>16216</v>
      </c>
      <c r="E83" s="167">
        <v>9403869</v>
      </c>
      <c r="F83" s="166">
        <v>47824</v>
      </c>
      <c r="G83" s="167">
        <v>226561760</v>
      </c>
      <c r="H83" s="166">
        <v>2702</v>
      </c>
      <c r="I83" s="168">
        <v>39147579</v>
      </c>
      <c r="J83" s="166">
        <v>2567</v>
      </c>
      <c r="K83" s="168">
        <v>494020</v>
      </c>
      <c r="L83" s="166">
        <v>51026</v>
      </c>
      <c r="M83" s="168">
        <v>187908200</v>
      </c>
      <c r="N83" s="169" t="s">
        <v>107</v>
      </c>
    </row>
    <row r="84" spans="1:14" ht="15.75" customHeight="1">
      <c r="A84" s="180"/>
      <c r="B84" s="181"/>
      <c r="C84" s="182"/>
      <c r="D84" s="181"/>
      <c r="E84" s="182"/>
      <c r="F84" s="181"/>
      <c r="G84" s="182"/>
      <c r="H84" s="181"/>
      <c r="I84" s="183"/>
      <c r="J84" s="181"/>
      <c r="K84" s="183"/>
      <c r="L84" s="181"/>
      <c r="M84" s="183"/>
      <c r="N84" s="184" t="s">
        <v>39</v>
      </c>
    </row>
    <row r="85" spans="1:14" ht="15.75" customHeight="1">
      <c r="A85" s="175" t="s">
        <v>177</v>
      </c>
      <c r="B85" s="176">
        <v>255135</v>
      </c>
      <c r="C85" s="177">
        <v>5745044708</v>
      </c>
      <c r="D85" s="176">
        <v>91578</v>
      </c>
      <c r="E85" s="177">
        <v>59148717</v>
      </c>
      <c r="F85" s="176">
        <v>346713</v>
      </c>
      <c r="G85" s="177">
        <v>5804193425</v>
      </c>
      <c r="H85" s="176">
        <v>40165</v>
      </c>
      <c r="I85" s="178">
        <v>1844940432</v>
      </c>
      <c r="J85" s="176">
        <v>24573</v>
      </c>
      <c r="K85" s="178">
        <v>8410584</v>
      </c>
      <c r="L85" s="176">
        <v>391083</v>
      </c>
      <c r="M85" s="178">
        <v>3967663578</v>
      </c>
      <c r="N85" s="179" t="s">
        <v>109</v>
      </c>
    </row>
    <row r="86" spans="1:14" ht="15.75" customHeight="1">
      <c r="A86" s="170"/>
      <c r="B86" s="171"/>
      <c r="C86" s="172"/>
      <c r="D86" s="171"/>
      <c r="E86" s="172"/>
      <c r="F86" s="173"/>
      <c r="G86" s="172"/>
      <c r="H86" s="173"/>
      <c r="I86" s="172"/>
      <c r="J86" s="173"/>
      <c r="K86" s="172"/>
      <c r="L86" s="173"/>
      <c r="M86" s="172"/>
      <c r="N86" s="174"/>
    </row>
    <row r="87" spans="1:14" ht="15.75" customHeight="1">
      <c r="A87" s="76" t="s">
        <v>110</v>
      </c>
      <c r="B87" s="126">
        <f>_xlfn.COMPOUNDVALUE(585)</f>
        <v>2855</v>
      </c>
      <c r="C87" s="127">
        <v>25405527</v>
      </c>
      <c r="D87" s="126">
        <f>_xlfn.COMPOUNDVALUE(586)</f>
        <v>1432</v>
      </c>
      <c r="E87" s="127">
        <v>831886</v>
      </c>
      <c r="F87" s="126">
        <f>_xlfn.COMPOUNDVALUE(587)</f>
        <v>4287</v>
      </c>
      <c r="G87" s="127">
        <v>26237413</v>
      </c>
      <c r="H87" s="126">
        <f>_xlfn.COMPOUNDVALUE(588)</f>
        <v>233</v>
      </c>
      <c r="I87" s="128">
        <v>3626355</v>
      </c>
      <c r="J87" s="126">
        <v>278</v>
      </c>
      <c r="K87" s="128">
        <v>28638</v>
      </c>
      <c r="L87" s="126">
        <v>4545</v>
      </c>
      <c r="M87" s="128">
        <v>22639696</v>
      </c>
      <c r="N87" s="86" t="s">
        <v>110</v>
      </c>
    </row>
    <row r="88" spans="1:14" ht="15.75" customHeight="1">
      <c r="A88" s="76" t="s">
        <v>111</v>
      </c>
      <c r="B88" s="126">
        <f>_xlfn.COMPOUNDVALUE(589)</f>
        <v>6815</v>
      </c>
      <c r="C88" s="127">
        <v>181166278</v>
      </c>
      <c r="D88" s="126">
        <f>_xlfn.COMPOUNDVALUE(590)</f>
        <v>2457</v>
      </c>
      <c r="E88" s="127">
        <v>1563160</v>
      </c>
      <c r="F88" s="126">
        <f>_xlfn.COMPOUNDVALUE(591)</f>
        <v>9272</v>
      </c>
      <c r="G88" s="127">
        <v>182729438</v>
      </c>
      <c r="H88" s="126">
        <f>_xlfn.COMPOUNDVALUE(592)</f>
        <v>1377</v>
      </c>
      <c r="I88" s="128">
        <v>23972339</v>
      </c>
      <c r="J88" s="126">
        <v>691</v>
      </c>
      <c r="K88" s="128">
        <v>1242530</v>
      </c>
      <c r="L88" s="126">
        <v>10778</v>
      </c>
      <c r="M88" s="128">
        <v>159999629</v>
      </c>
      <c r="N88" s="86" t="s">
        <v>111</v>
      </c>
    </row>
    <row r="89" spans="1:14" ht="15.75" customHeight="1">
      <c r="A89" s="76" t="s">
        <v>112</v>
      </c>
      <c r="B89" s="126">
        <f>_xlfn.COMPOUNDVALUE(593)</f>
        <v>3913</v>
      </c>
      <c r="C89" s="127">
        <v>23944218</v>
      </c>
      <c r="D89" s="126">
        <f>_xlfn.COMPOUNDVALUE(594)</f>
        <v>2020</v>
      </c>
      <c r="E89" s="127">
        <v>1132829</v>
      </c>
      <c r="F89" s="126">
        <f>_xlfn.COMPOUNDVALUE(595)</f>
        <v>5933</v>
      </c>
      <c r="G89" s="127">
        <v>25077047</v>
      </c>
      <c r="H89" s="126">
        <f>_xlfn.COMPOUNDVALUE(596)</f>
        <v>298</v>
      </c>
      <c r="I89" s="128">
        <v>4101350</v>
      </c>
      <c r="J89" s="126">
        <v>312</v>
      </c>
      <c r="K89" s="128">
        <v>21484</v>
      </c>
      <c r="L89" s="126">
        <v>6285</v>
      </c>
      <c r="M89" s="128">
        <v>20997181</v>
      </c>
      <c r="N89" s="86" t="s">
        <v>112</v>
      </c>
    </row>
    <row r="90" spans="1:14" ht="15.75" customHeight="1">
      <c r="A90" s="76" t="s">
        <v>113</v>
      </c>
      <c r="B90" s="126">
        <f>_xlfn.COMPOUNDVALUE(597)</f>
        <v>5473</v>
      </c>
      <c r="C90" s="127">
        <v>30589428</v>
      </c>
      <c r="D90" s="126">
        <f>_xlfn.COMPOUNDVALUE(598)</f>
        <v>2957</v>
      </c>
      <c r="E90" s="127">
        <v>1610908</v>
      </c>
      <c r="F90" s="126">
        <f>_xlfn.COMPOUNDVALUE(599)</f>
        <v>8430</v>
      </c>
      <c r="G90" s="127">
        <v>32200336</v>
      </c>
      <c r="H90" s="126">
        <f>_xlfn.COMPOUNDVALUE(600)</f>
        <v>611</v>
      </c>
      <c r="I90" s="128">
        <v>3501822</v>
      </c>
      <c r="J90" s="126">
        <v>586</v>
      </c>
      <c r="K90" s="128">
        <v>237998</v>
      </c>
      <c r="L90" s="126">
        <v>9132</v>
      </c>
      <c r="M90" s="128">
        <v>28936512</v>
      </c>
      <c r="N90" s="86" t="s">
        <v>113</v>
      </c>
    </row>
    <row r="91" spans="1:14" ht="15.75" customHeight="1">
      <c r="A91" s="76" t="s">
        <v>114</v>
      </c>
      <c r="B91" s="126">
        <f>_xlfn.COMPOUNDVALUE(601)</f>
        <v>6211</v>
      </c>
      <c r="C91" s="127">
        <v>75272916</v>
      </c>
      <c r="D91" s="126">
        <f>_xlfn.COMPOUNDVALUE(602)</f>
        <v>2932</v>
      </c>
      <c r="E91" s="127">
        <v>1690973</v>
      </c>
      <c r="F91" s="126">
        <f>_xlfn.COMPOUNDVALUE(603)</f>
        <v>9143</v>
      </c>
      <c r="G91" s="127">
        <v>76963889</v>
      </c>
      <c r="H91" s="126">
        <f>_xlfn.COMPOUNDVALUE(604)</f>
        <v>914</v>
      </c>
      <c r="I91" s="128">
        <v>141402682</v>
      </c>
      <c r="J91" s="126">
        <v>544</v>
      </c>
      <c r="K91" s="128">
        <v>69004</v>
      </c>
      <c r="L91" s="126">
        <v>10133</v>
      </c>
      <c r="M91" s="128">
        <v>-64369790</v>
      </c>
      <c r="N91" s="86" t="s">
        <v>114</v>
      </c>
    </row>
    <row r="92" spans="1:14" ht="15.75" customHeight="1">
      <c r="A92" s="76"/>
      <c r="B92" s="126"/>
      <c r="C92" s="127"/>
      <c r="D92" s="126"/>
      <c r="E92" s="127"/>
      <c r="F92" s="126"/>
      <c r="G92" s="127"/>
      <c r="H92" s="126"/>
      <c r="I92" s="128"/>
      <c r="J92" s="126"/>
      <c r="K92" s="128"/>
      <c r="L92" s="126"/>
      <c r="M92" s="128"/>
      <c r="N92" s="86" t="s">
        <v>39</v>
      </c>
    </row>
    <row r="93" spans="1:14" ht="15.75" customHeight="1">
      <c r="A93" s="76" t="s">
        <v>115</v>
      </c>
      <c r="B93" s="126">
        <f>_xlfn.COMPOUNDVALUE(605)</f>
        <v>3194</v>
      </c>
      <c r="C93" s="127">
        <v>19224447</v>
      </c>
      <c r="D93" s="126">
        <f>_xlfn.COMPOUNDVALUE(606)</f>
        <v>1646</v>
      </c>
      <c r="E93" s="127">
        <v>965386</v>
      </c>
      <c r="F93" s="126">
        <f>_xlfn.COMPOUNDVALUE(607)</f>
        <v>4840</v>
      </c>
      <c r="G93" s="127">
        <v>20189834</v>
      </c>
      <c r="H93" s="126">
        <f>_xlfn.COMPOUNDVALUE(608)</f>
        <v>263</v>
      </c>
      <c r="I93" s="128">
        <v>5260020</v>
      </c>
      <c r="J93" s="126">
        <v>261</v>
      </c>
      <c r="K93" s="128">
        <v>45765</v>
      </c>
      <c r="L93" s="126">
        <v>5143</v>
      </c>
      <c r="M93" s="128">
        <v>14975579</v>
      </c>
      <c r="N93" s="86" t="s">
        <v>115</v>
      </c>
    </row>
    <row r="94" spans="1:14" ht="15.75" customHeight="1">
      <c r="A94" s="76" t="s">
        <v>173</v>
      </c>
      <c r="B94" s="126">
        <f>_xlfn.COMPOUNDVALUE(609)</f>
        <v>5432</v>
      </c>
      <c r="C94" s="127">
        <v>30354260</v>
      </c>
      <c r="D94" s="126">
        <f>_xlfn.COMPOUNDVALUE(610)</f>
        <v>2766</v>
      </c>
      <c r="E94" s="127">
        <v>1630522</v>
      </c>
      <c r="F94" s="126">
        <f>_xlfn.COMPOUNDVALUE(611)</f>
        <v>8198</v>
      </c>
      <c r="G94" s="127">
        <v>31984782</v>
      </c>
      <c r="H94" s="126">
        <f>_xlfn.COMPOUNDVALUE(612)</f>
        <v>651</v>
      </c>
      <c r="I94" s="128">
        <v>4038038</v>
      </c>
      <c r="J94" s="126">
        <v>432</v>
      </c>
      <c r="K94" s="128">
        <v>19422</v>
      </c>
      <c r="L94" s="126">
        <v>8927</v>
      </c>
      <c r="M94" s="128">
        <v>27966166</v>
      </c>
      <c r="N94" s="86" t="s">
        <v>116</v>
      </c>
    </row>
    <row r="95" spans="1:14" ht="15.75" customHeight="1">
      <c r="A95" s="76" t="s">
        <v>117</v>
      </c>
      <c r="B95" s="126">
        <f>_xlfn.COMPOUNDVALUE(613)</f>
        <v>4367</v>
      </c>
      <c r="C95" s="127">
        <v>87359364</v>
      </c>
      <c r="D95" s="126">
        <f>_xlfn.COMPOUNDVALUE(614)</f>
        <v>1987</v>
      </c>
      <c r="E95" s="127">
        <v>1217874</v>
      </c>
      <c r="F95" s="126">
        <f>_xlfn.COMPOUNDVALUE(615)</f>
        <v>6354</v>
      </c>
      <c r="G95" s="127">
        <v>88577238</v>
      </c>
      <c r="H95" s="126">
        <f>_xlfn.COMPOUNDVALUE(616)</f>
        <v>441</v>
      </c>
      <c r="I95" s="128">
        <v>27384572</v>
      </c>
      <c r="J95" s="126">
        <v>466</v>
      </c>
      <c r="K95" s="128">
        <v>38573</v>
      </c>
      <c r="L95" s="126">
        <v>6860</v>
      </c>
      <c r="M95" s="128">
        <v>61231239</v>
      </c>
      <c r="N95" s="86" t="s">
        <v>117</v>
      </c>
    </row>
    <row r="96" spans="1:14" ht="15.75" customHeight="1">
      <c r="A96" s="76" t="s">
        <v>118</v>
      </c>
      <c r="B96" s="126">
        <f>_xlfn.COMPOUNDVALUE(617)</f>
        <v>5092</v>
      </c>
      <c r="C96" s="127">
        <v>58901320</v>
      </c>
      <c r="D96" s="126">
        <f>_xlfn.COMPOUNDVALUE(618)</f>
        <v>2706</v>
      </c>
      <c r="E96" s="127">
        <v>1584481</v>
      </c>
      <c r="F96" s="126">
        <f>_xlfn.COMPOUNDVALUE(619)</f>
        <v>7798</v>
      </c>
      <c r="G96" s="127">
        <v>60485802</v>
      </c>
      <c r="H96" s="126">
        <f>_xlfn.COMPOUNDVALUE(620)</f>
        <v>437</v>
      </c>
      <c r="I96" s="128">
        <v>5132658</v>
      </c>
      <c r="J96" s="126">
        <v>347</v>
      </c>
      <c r="K96" s="128">
        <v>71830</v>
      </c>
      <c r="L96" s="126">
        <v>8307</v>
      </c>
      <c r="M96" s="128">
        <v>55424975</v>
      </c>
      <c r="N96" s="86" t="s">
        <v>118</v>
      </c>
    </row>
    <row r="97" spans="1:14" ht="15.75" customHeight="1">
      <c r="A97" s="76" t="s">
        <v>119</v>
      </c>
      <c r="B97" s="126">
        <f>_xlfn.COMPOUNDVALUE(621)</f>
        <v>2195</v>
      </c>
      <c r="C97" s="127">
        <v>7504108</v>
      </c>
      <c r="D97" s="126">
        <f>_xlfn.COMPOUNDVALUE(622)</f>
        <v>1216</v>
      </c>
      <c r="E97" s="127">
        <v>694520</v>
      </c>
      <c r="F97" s="126">
        <f>_xlfn.COMPOUNDVALUE(623)</f>
        <v>3411</v>
      </c>
      <c r="G97" s="127">
        <v>8198628</v>
      </c>
      <c r="H97" s="126">
        <f>_xlfn.COMPOUNDVALUE(624)</f>
        <v>229</v>
      </c>
      <c r="I97" s="128">
        <v>1853993</v>
      </c>
      <c r="J97" s="126">
        <v>174</v>
      </c>
      <c r="K97" s="128">
        <v>7475</v>
      </c>
      <c r="L97" s="126">
        <v>3671</v>
      </c>
      <c r="M97" s="128">
        <v>6352110</v>
      </c>
      <c r="N97" s="86" t="s">
        <v>119</v>
      </c>
    </row>
    <row r="98" spans="1:14" ht="15.75" customHeight="1">
      <c r="A98" s="76"/>
      <c r="B98" s="126"/>
      <c r="C98" s="127"/>
      <c r="D98" s="126"/>
      <c r="E98" s="127"/>
      <c r="F98" s="126"/>
      <c r="G98" s="127"/>
      <c r="H98" s="126"/>
      <c r="I98" s="128"/>
      <c r="J98" s="126"/>
      <c r="K98" s="128"/>
      <c r="L98" s="126"/>
      <c r="M98" s="128"/>
      <c r="N98" s="86" t="s">
        <v>39</v>
      </c>
    </row>
    <row r="99" spans="1:14" ht="15.75" customHeight="1">
      <c r="A99" s="76" t="s">
        <v>120</v>
      </c>
      <c r="B99" s="126">
        <f>_xlfn.COMPOUNDVALUE(625)</f>
        <v>3087</v>
      </c>
      <c r="C99" s="127">
        <v>15350639</v>
      </c>
      <c r="D99" s="126">
        <f>_xlfn.COMPOUNDVALUE(626)</f>
        <v>1871</v>
      </c>
      <c r="E99" s="127">
        <v>1043910</v>
      </c>
      <c r="F99" s="126">
        <f>_xlfn.COMPOUNDVALUE(627)</f>
        <v>4958</v>
      </c>
      <c r="G99" s="127">
        <v>16394550</v>
      </c>
      <c r="H99" s="126">
        <f>_xlfn.COMPOUNDVALUE(628)</f>
        <v>216</v>
      </c>
      <c r="I99" s="128">
        <v>1096854</v>
      </c>
      <c r="J99" s="126">
        <v>259</v>
      </c>
      <c r="K99" s="128">
        <v>25655</v>
      </c>
      <c r="L99" s="126">
        <v>5215</v>
      </c>
      <c r="M99" s="128">
        <v>15323350</v>
      </c>
      <c r="N99" s="86" t="s">
        <v>120</v>
      </c>
    </row>
    <row r="100" spans="1:14" ht="15.75" customHeight="1">
      <c r="A100" s="76" t="s">
        <v>121</v>
      </c>
      <c r="B100" s="126">
        <f>_xlfn.COMPOUNDVALUE(629)</f>
        <v>4209</v>
      </c>
      <c r="C100" s="127">
        <v>31683485</v>
      </c>
      <c r="D100" s="126">
        <f>_xlfn.COMPOUNDVALUE(630)</f>
        <v>2488</v>
      </c>
      <c r="E100" s="127">
        <v>1331445</v>
      </c>
      <c r="F100" s="126">
        <f>_xlfn.COMPOUNDVALUE(631)</f>
        <v>6697</v>
      </c>
      <c r="G100" s="127">
        <v>33014931</v>
      </c>
      <c r="H100" s="126">
        <f>_xlfn.COMPOUNDVALUE(632)</f>
        <v>308</v>
      </c>
      <c r="I100" s="128">
        <v>2746292</v>
      </c>
      <c r="J100" s="126">
        <v>317</v>
      </c>
      <c r="K100" s="128">
        <v>46477</v>
      </c>
      <c r="L100" s="126">
        <v>7055</v>
      </c>
      <c r="M100" s="128">
        <v>30315116</v>
      </c>
      <c r="N100" s="86" t="s">
        <v>121</v>
      </c>
    </row>
    <row r="101" spans="1:14" ht="15.75" customHeight="1">
      <c r="A101" s="78" t="s">
        <v>122</v>
      </c>
      <c r="B101" s="131">
        <f>_xlfn.COMPOUNDVALUE(633)</f>
        <v>2031</v>
      </c>
      <c r="C101" s="132">
        <v>9257687</v>
      </c>
      <c r="D101" s="131">
        <f>_xlfn.COMPOUNDVALUE(634)</f>
        <v>1412</v>
      </c>
      <c r="E101" s="132">
        <v>826544</v>
      </c>
      <c r="F101" s="131">
        <f>_xlfn.COMPOUNDVALUE(635)</f>
        <v>3443</v>
      </c>
      <c r="G101" s="132">
        <v>10084231</v>
      </c>
      <c r="H101" s="131">
        <f>_xlfn.COMPOUNDVALUE(636)</f>
        <v>208</v>
      </c>
      <c r="I101" s="133">
        <v>394980</v>
      </c>
      <c r="J101" s="131">
        <v>121</v>
      </c>
      <c r="K101" s="133">
        <v>17614</v>
      </c>
      <c r="L101" s="131">
        <v>3685</v>
      </c>
      <c r="M101" s="133">
        <v>9706865</v>
      </c>
      <c r="N101" s="77" t="s">
        <v>122</v>
      </c>
    </row>
    <row r="102" spans="1:14" ht="15.75" customHeight="1">
      <c r="A102" s="78" t="s">
        <v>123</v>
      </c>
      <c r="B102" s="131">
        <f>_xlfn.COMPOUNDVALUE(637)</f>
        <v>5009</v>
      </c>
      <c r="C102" s="132">
        <v>28477616</v>
      </c>
      <c r="D102" s="131">
        <f>_xlfn.COMPOUNDVALUE(638)</f>
        <v>2823</v>
      </c>
      <c r="E102" s="132">
        <v>1620173</v>
      </c>
      <c r="F102" s="131">
        <f>_xlfn.COMPOUNDVALUE(639)</f>
        <v>7832</v>
      </c>
      <c r="G102" s="132">
        <v>30097789</v>
      </c>
      <c r="H102" s="131">
        <f>_xlfn.COMPOUNDVALUE(640)</f>
        <v>439</v>
      </c>
      <c r="I102" s="133">
        <v>3454304</v>
      </c>
      <c r="J102" s="131">
        <v>431</v>
      </c>
      <c r="K102" s="133">
        <v>93798</v>
      </c>
      <c r="L102" s="131">
        <v>8356</v>
      </c>
      <c r="M102" s="133">
        <v>26737283</v>
      </c>
      <c r="N102" s="77" t="s">
        <v>123</v>
      </c>
    </row>
    <row r="103" spans="1:14" ht="15.75" customHeight="1">
      <c r="A103" s="78" t="s">
        <v>124</v>
      </c>
      <c r="B103" s="131">
        <f>_xlfn.COMPOUNDVALUE(641)</f>
        <v>3342</v>
      </c>
      <c r="C103" s="132">
        <v>18674607</v>
      </c>
      <c r="D103" s="131">
        <f>_xlfn.COMPOUNDVALUE(642)</f>
        <v>1741</v>
      </c>
      <c r="E103" s="132">
        <v>952177</v>
      </c>
      <c r="F103" s="131">
        <f>_xlfn.COMPOUNDVALUE(643)</f>
        <v>5083</v>
      </c>
      <c r="G103" s="132">
        <v>19626784</v>
      </c>
      <c r="H103" s="131">
        <f>_xlfn.COMPOUNDVALUE(644)</f>
        <v>173</v>
      </c>
      <c r="I103" s="133">
        <v>1935778</v>
      </c>
      <c r="J103" s="131">
        <v>250</v>
      </c>
      <c r="K103" s="133">
        <v>26659</v>
      </c>
      <c r="L103" s="131">
        <v>5284</v>
      </c>
      <c r="M103" s="133">
        <v>17717665</v>
      </c>
      <c r="N103" s="77" t="s">
        <v>124</v>
      </c>
    </row>
    <row r="104" spans="1:14" ht="15.75" customHeight="1">
      <c r="A104" s="78"/>
      <c r="B104" s="131"/>
      <c r="C104" s="132"/>
      <c r="D104" s="131"/>
      <c r="E104" s="132"/>
      <c r="F104" s="131"/>
      <c r="G104" s="132"/>
      <c r="H104" s="131"/>
      <c r="I104" s="133"/>
      <c r="J104" s="131"/>
      <c r="K104" s="133"/>
      <c r="L104" s="131"/>
      <c r="M104" s="133"/>
      <c r="N104" s="77" t="s">
        <v>39</v>
      </c>
    </row>
    <row r="105" spans="1:14" ht="15.75" customHeight="1">
      <c r="A105" s="78" t="s">
        <v>125</v>
      </c>
      <c r="B105" s="131">
        <f>_xlfn.COMPOUNDVALUE(645)</f>
        <v>5537</v>
      </c>
      <c r="C105" s="132">
        <v>31087181</v>
      </c>
      <c r="D105" s="131">
        <f>_xlfn.COMPOUNDVALUE(646)</f>
        <v>2953</v>
      </c>
      <c r="E105" s="132">
        <v>1781911</v>
      </c>
      <c r="F105" s="131">
        <f>_xlfn.COMPOUNDVALUE(647)</f>
        <v>8490</v>
      </c>
      <c r="G105" s="132">
        <v>32869092</v>
      </c>
      <c r="H105" s="131">
        <f>_xlfn.COMPOUNDVALUE(648)</f>
        <v>454</v>
      </c>
      <c r="I105" s="133">
        <v>10527553</v>
      </c>
      <c r="J105" s="131">
        <v>452</v>
      </c>
      <c r="K105" s="133">
        <v>58316</v>
      </c>
      <c r="L105" s="131">
        <v>9030</v>
      </c>
      <c r="M105" s="133">
        <v>22399854</v>
      </c>
      <c r="N105" s="77" t="s">
        <v>125</v>
      </c>
    </row>
    <row r="106" spans="1:14" ht="15.75" customHeight="1">
      <c r="A106" s="78" t="s">
        <v>126</v>
      </c>
      <c r="B106" s="131">
        <f>_xlfn.COMPOUNDVALUE(649)</f>
        <v>2632</v>
      </c>
      <c r="C106" s="132">
        <v>21871856</v>
      </c>
      <c r="D106" s="131">
        <f>_xlfn.COMPOUNDVALUE(650)</f>
        <v>1329</v>
      </c>
      <c r="E106" s="132">
        <v>799815</v>
      </c>
      <c r="F106" s="131">
        <f>_xlfn.COMPOUNDVALUE(651)</f>
        <v>3961</v>
      </c>
      <c r="G106" s="132">
        <v>22671671</v>
      </c>
      <c r="H106" s="131">
        <f>_xlfn.COMPOUNDVALUE(652)</f>
        <v>215</v>
      </c>
      <c r="I106" s="133">
        <v>3280207</v>
      </c>
      <c r="J106" s="131">
        <v>256</v>
      </c>
      <c r="K106" s="133">
        <v>21535</v>
      </c>
      <c r="L106" s="131">
        <v>4216</v>
      </c>
      <c r="M106" s="133">
        <v>19412999</v>
      </c>
      <c r="N106" s="77" t="s">
        <v>126</v>
      </c>
    </row>
    <row r="107" spans="1:14" ht="15.75" customHeight="1">
      <c r="A107" s="78" t="s">
        <v>127</v>
      </c>
      <c r="B107" s="131">
        <f>_xlfn.COMPOUNDVALUE(653)</f>
        <v>4284</v>
      </c>
      <c r="C107" s="132">
        <v>24655704</v>
      </c>
      <c r="D107" s="131">
        <f>_xlfn.COMPOUNDVALUE(654)</f>
        <v>2216</v>
      </c>
      <c r="E107" s="132">
        <v>1353695</v>
      </c>
      <c r="F107" s="131">
        <f>_xlfn.COMPOUNDVALUE(655)</f>
        <v>6500</v>
      </c>
      <c r="G107" s="132">
        <v>26009399</v>
      </c>
      <c r="H107" s="131">
        <f>_xlfn.COMPOUNDVALUE(656)</f>
        <v>373</v>
      </c>
      <c r="I107" s="133">
        <v>5037319</v>
      </c>
      <c r="J107" s="131">
        <v>369</v>
      </c>
      <c r="K107" s="133">
        <v>-412958</v>
      </c>
      <c r="L107" s="131">
        <v>6968</v>
      </c>
      <c r="M107" s="133">
        <v>20559121</v>
      </c>
      <c r="N107" s="77" t="s">
        <v>127</v>
      </c>
    </row>
    <row r="108" spans="1:14" ht="15.75" customHeight="1">
      <c r="A108" s="165" t="s">
        <v>178</v>
      </c>
      <c r="B108" s="166">
        <v>75678</v>
      </c>
      <c r="C108" s="167">
        <v>720780642</v>
      </c>
      <c r="D108" s="166">
        <v>38952</v>
      </c>
      <c r="E108" s="167">
        <v>22632208</v>
      </c>
      <c r="F108" s="166">
        <v>114630</v>
      </c>
      <c r="G108" s="167">
        <v>743412850</v>
      </c>
      <c r="H108" s="166">
        <v>7840</v>
      </c>
      <c r="I108" s="168">
        <v>248747115</v>
      </c>
      <c r="J108" s="166">
        <v>6546</v>
      </c>
      <c r="K108" s="168">
        <v>1659815</v>
      </c>
      <c r="L108" s="166">
        <v>123590</v>
      </c>
      <c r="M108" s="168">
        <v>496325550</v>
      </c>
      <c r="N108" s="169" t="s">
        <v>129</v>
      </c>
    </row>
    <row r="109" spans="1:14" ht="15.75" customHeight="1">
      <c r="A109" s="170"/>
      <c r="B109" s="171"/>
      <c r="C109" s="172"/>
      <c r="D109" s="171"/>
      <c r="E109" s="172"/>
      <c r="F109" s="173"/>
      <c r="G109" s="172"/>
      <c r="H109" s="173"/>
      <c r="I109" s="172"/>
      <c r="J109" s="173"/>
      <c r="K109" s="172"/>
      <c r="L109" s="173"/>
      <c r="M109" s="172"/>
      <c r="N109" s="174"/>
    </row>
    <row r="110" spans="1:14" ht="15.75" customHeight="1">
      <c r="A110" s="76" t="s">
        <v>130</v>
      </c>
      <c r="B110" s="126">
        <f>_xlfn.COMPOUNDVALUE(657)</f>
        <v>4604</v>
      </c>
      <c r="C110" s="127">
        <v>29222330</v>
      </c>
      <c r="D110" s="126">
        <f>_xlfn.COMPOUNDVALUE(658)</f>
        <v>1856</v>
      </c>
      <c r="E110" s="127">
        <v>1133061</v>
      </c>
      <c r="F110" s="126">
        <f>_xlfn.COMPOUNDVALUE(659)</f>
        <v>6460</v>
      </c>
      <c r="G110" s="127">
        <v>30355391</v>
      </c>
      <c r="H110" s="126">
        <f>_xlfn.COMPOUNDVALUE(660)</f>
        <v>332</v>
      </c>
      <c r="I110" s="128">
        <v>2539685</v>
      </c>
      <c r="J110" s="126">
        <v>373</v>
      </c>
      <c r="K110" s="128">
        <v>51619</v>
      </c>
      <c r="L110" s="126">
        <v>6859</v>
      </c>
      <c r="M110" s="128">
        <v>27867325</v>
      </c>
      <c r="N110" s="86" t="s">
        <v>130</v>
      </c>
    </row>
    <row r="111" spans="1:14" ht="15.75" customHeight="1">
      <c r="A111" s="78" t="s">
        <v>131</v>
      </c>
      <c r="B111" s="131">
        <f>_xlfn.COMPOUNDVALUE(661)</f>
        <v>1119</v>
      </c>
      <c r="C111" s="132">
        <v>5454043</v>
      </c>
      <c r="D111" s="131">
        <f>_xlfn.COMPOUNDVALUE(662)</f>
        <v>447</v>
      </c>
      <c r="E111" s="132">
        <v>245866</v>
      </c>
      <c r="F111" s="131">
        <f>_xlfn.COMPOUNDVALUE(663)</f>
        <v>1566</v>
      </c>
      <c r="G111" s="132">
        <v>5699909</v>
      </c>
      <c r="H111" s="131">
        <f>_xlfn.COMPOUNDVALUE(664)</f>
        <v>80</v>
      </c>
      <c r="I111" s="133">
        <v>398483</v>
      </c>
      <c r="J111" s="131">
        <v>106</v>
      </c>
      <c r="K111" s="133">
        <v>17998</v>
      </c>
      <c r="L111" s="131">
        <v>1660</v>
      </c>
      <c r="M111" s="133">
        <v>5319424</v>
      </c>
      <c r="N111" s="77" t="s">
        <v>131</v>
      </c>
    </row>
    <row r="112" spans="1:14" ht="15.75" customHeight="1">
      <c r="A112" s="78" t="s">
        <v>132</v>
      </c>
      <c r="B112" s="131">
        <f>_xlfn.COMPOUNDVALUE(665)</f>
        <v>1942</v>
      </c>
      <c r="C112" s="132">
        <v>10026279</v>
      </c>
      <c r="D112" s="131">
        <f>_xlfn.COMPOUNDVALUE(666)</f>
        <v>951</v>
      </c>
      <c r="E112" s="132">
        <v>562673</v>
      </c>
      <c r="F112" s="131">
        <f>_xlfn.COMPOUNDVALUE(667)</f>
        <v>2893</v>
      </c>
      <c r="G112" s="132">
        <v>10588952</v>
      </c>
      <c r="H112" s="131">
        <f>_xlfn.COMPOUNDVALUE(668)</f>
        <v>126</v>
      </c>
      <c r="I112" s="133">
        <v>7087372</v>
      </c>
      <c r="J112" s="131">
        <v>165</v>
      </c>
      <c r="K112" s="133">
        <v>24793</v>
      </c>
      <c r="L112" s="131">
        <v>3037</v>
      </c>
      <c r="M112" s="133">
        <v>3526373</v>
      </c>
      <c r="N112" s="77" t="s">
        <v>132</v>
      </c>
    </row>
    <row r="113" spans="1:14" ht="15.75" customHeight="1">
      <c r="A113" s="78" t="s">
        <v>133</v>
      </c>
      <c r="B113" s="131">
        <f>_xlfn.COMPOUNDVALUE(669)</f>
        <v>472</v>
      </c>
      <c r="C113" s="132">
        <v>2132334</v>
      </c>
      <c r="D113" s="131">
        <f>_xlfn.COMPOUNDVALUE(670)</f>
        <v>231</v>
      </c>
      <c r="E113" s="132">
        <v>126278</v>
      </c>
      <c r="F113" s="131">
        <f>_xlfn.COMPOUNDVALUE(671)</f>
        <v>703</v>
      </c>
      <c r="G113" s="132">
        <v>2258612</v>
      </c>
      <c r="H113" s="131">
        <f>_xlfn.COMPOUNDVALUE(672)</f>
        <v>14</v>
      </c>
      <c r="I113" s="133">
        <v>19191</v>
      </c>
      <c r="J113" s="131">
        <v>69</v>
      </c>
      <c r="K113" s="133">
        <v>8213</v>
      </c>
      <c r="L113" s="131">
        <v>722</v>
      </c>
      <c r="M113" s="133">
        <v>2247633</v>
      </c>
      <c r="N113" s="77" t="s">
        <v>133</v>
      </c>
    </row>
    <row r="114" spans="1:14" ht="15.75" customHeight="1">
      <c r="A114" s="79" t="s">
        <v>179</v>
      </c>
      <c r="B114" s="134">
        <v>8137</v>
      </c>
      <c r="C114" s="135">
        <v>46834986</v>
      </c>
      <c r="D114" s="134">
        <v>3485</v>
      </c>
      <c r="E114" s="135">
        <v>2067878</v>
      </c>
      <c r="F114" s="134">
        <v>11622</v>
      </c>
      <c r="G114" s="135">
        <v>48902864</v>
      </c>
      <c r="H114" s="134">
        <v>552</v>
      </c>
      <c r="I114" s="136">
        <v>10044732</v>
      </c>
      <c r="J114" s="134">
        <v>713</v>
      </c>
      <c r="K114" s="136">
        <v>102623</v>
      </c>
      <c r="L114" s="134">
        <v>12278</v>
      </c>
      <c r="M114" s="136">
        <v>38960755</v>
      </c>
      <c r="N114" s="84" t="s">
        <v>135</v>
      </c>
    </row>
    <row r="115" spans="1:14" ht="15.75" customHeight="1" thickBot="1">
      <c r="A115" s="80"/>
      <c r="B115" s="142"/>
      <c r="C115" s="143"/>
      <c r="D115" s="142"/>
      <c r="E115" s="143"/>
      <c r="F115" s="144"/>
      <c r="G115" s="143"/>
      <c r="H115" s="144"/>
      <c r="I115" s="143"/>
      <c r="J115" s="144"/>
      <c r="K115" s="143"/>
      <c r="L115" s="144"/>
      <c r="M115" s="143"/>
      <c r="N115" s="90"/>
    </row>
    <row r="116" spans="1:14" ht="15.75" customHeight="1" thickBot="1" thickTop="1">
      <c r="A116" s="82" t="s">
        <v>180</v>
      </c>
      <c r="B116" s="148">
        <v>385772</v>
      </c>
      <c r="C116" s="149">
        <v>6823170798</v>
      </c>
      <c r="D116" s="148">
        <v>155812</v>
      </c>
      <c r="E116" s="149">
        <v>96706296</v>
      </c>
      <c r="F116" s="148">
        <v>541584</v>
      </c>
      <c r="G116" s="149">
        <v>6919877094</v>
      </c>
      <c r="H116" s="148">
        <v>53509</v>
      </c>
      <c r="I116" s="150">
        <v>2134273947</v>
      </c>
      <c r="J116" s="148">
        <v>36098</v>
      </c>
      <c r="K116" s="150">
        <v>10667066</v>
      </c>
      <c r="L116" s="148">
        <v>601449</v>
      </c>
      <c r="M116" s="150">
        <v>4796270213</v>
      </c>
      <c r="N116" s="91" t="s">
        <v>38</v>
      </c>
    </row>
    <row r="117" spans="1:14" ht="13.5">
      <c r="A117" s="237" t="s">
        <v>186</v>
      </c>
      <c r="B117" s="237"/>
      <c r="C117" s="237"/>
      <c r="D117" s="237"/>
      <c r="E117" s="237"/>
      <c r="F117" s="237"/>
      <c r="G117" s="237"/>
      <c r="H117" s="237"/>
      <c r="I117" s="237"/>
      <c r="J117" s="66"/>
      <c r="K117" s="66"/>
      <c r="L117" s="65"/>
      <c r="M117" s="65"/>
      <c r="N117" s="65"/>
    </row>
  </sheetData>
  <sheetProtection/>
  <mergeCells count="11">
    <mergeCell ref="L3:M4"/>
    <mergeCell ref="N3:N5"/>
    <mergeCell ref="B4:C4"/>
    <mergeCell ref="D4:E4"/>
    <mergeCell ref="F4:G4"/>
    <mergeCell ref="A117:I117"/>
    <mergeCell ref="A2:I2"/>
    <mergeCell ref="A3:A5"/>
    <mergeCell ref="B3:G3"/>
    <mergeCell ref="H3:I4"/>
    <mergeCell ref="J3:K4"/>
  </mergeCells>
  <printOptions horizontalCentered="1"/>
  <pageMargins left="0.7874015748031497" right="0.7874015748031497" top="0.7874015748031497" bottom="0.8267716535433072" header="0.5118110236220472" footer="0.31496062992125984"/>
  <pageSetup fitToHeight="3" horizontalDpi="600" verticalDpi="600" orientation="landscape" paperSize="9" scale="71" r:id="rId1"/>
  <headerFooter alignWithMargins="0">
    <oddFooter>&amp;R東京国税局
消費税
(H27)</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zoomScaleSheetLayoutView="100" zoomScalePageLayoutView="0" workbookViewId="0" topLeftCell="A1">
      <selection activeCell="A1" sqref="A1"/>
    </sheetView>
  </sheetViews>
  <sheetFormatPr defaultColWidth="9.00390625" defaultRowHeight="13.5"/>
  <cols>
    <col min="1" max="1" width="10.37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7" width="10.625" style="125" customWidth="1"/>
    <col min="18" max="18" width="10.375" style="125" customWidth="1"/>
    <col min="19" max="16384" width="9.00390625" style="125" customWidth="1"/>
  </cols>
  <sheetData>
    <row r="1" spans="1:16" ht="13.5">
      <c r="A1" s="64" t="s">
        <v>149</v>
      </c>
      <c r="B1" s="64"/>
      <c r="C1" s="64"/>
      <c r="D1" s="64"/>
      <c r="E1" s="64"/>
      <c r="F1" s="64"/>
      <c r="G1" s="64"/>
      <c r="H1" s="64"/>
      <c r="I1" s="64"/>
      <c r="J1" s="64"/>
      <c r="K1" s="64"/>
      <c r="L1" s="65"/>
      <c r="M1" s="65"/>
      <c r="N1" s="65"/>
      <c r="O1" s="65"/>
      <c r="P1" s="65"/>
    </row>
    <row r="2" spans="1:16" ht="14.25" thickBot="1">
      <c r="A2" s="247" t="s">
        <v>27</v>
      </c>
      <c r="B2" s="247"/>
      <c r="C2" s="247"/>
      <c r="D2" s="247"/>
      <c r="E2" s="247"/>
      <c r="F2" s="247"/>
      <c r="G2" s="247"/>
      <c r="H2" s="247"/>
      <c r="I2" s="247"/>
      <c r="J2" s="66"/>
      <c r="K2" s="66"/>
      <c r="L2" s="65"/>
      <c r="M2" s="65"/>
      <c r="N2" s="65"/>
      <c r="O2" s="65"/>
      <c r="P2" s="65"/>
    </row>
    <row r="3" spans="1:18" ht="19.5" customHeight="1">
      <c r="A3" s="239" t="s">
        <v>28</v>
      </c>
      <c r="B3" s="242" t="s">
        <v>29</v>
      </c>
      <c r="C3" s="242"/>
      <c r="D3" s="242"/>
      <c r="E3" s="242"/>
      <c r="F3" s="242"/>
      <c r="G3" s="242"/>
      <c r="H3" s="242" t="s">
        <v>13</v>
      </c>
      <c r="I3" s="242"/>
      <c r="J3" s="248" t="s">
        <v>30</v>
      </c>
      <c r="K3" s="242"/>
      <c r="L3" s="242" t="s">
        <v>31</v>
      </c>
      <c r="M3" s="242"/>
      <c r="N3" s="249" t="s">
        <v>150</v>
      </c>
      <c r="O3" s="250"/>
      <c r="P3" s="250"/>
      <c r="Q3" s="250"/>
      <c r="R3" s="231" t="s">
        <v>32</v>
      </c>
    </row>
    <row r="4" spans="1:18" ht="17.25" customHeight="1">
      <c r="A4" s="240"/>
      <c r="B4" s="234" t="s">
        <v>16</v>
      </c>
      <c r="C4" s="234"/>
      <c r="D4" s="234" t="s">
        <v>33</v>
      </c>
      <c r="E4" s="234"/>
      <c r="F4" s="234" t="s">
        <v>34</v>
      </c>
      <c r="G4" s="234"/>
      <c r="H4" s="234"/>
      <c r="I4" s="234"/>
      <c r="J4" s="234"/>
      <c r="K4" s="234"/>
      <c r="L4" s="234"/>
      <c r="M4" s="234"/>
      <c r="N4" s="251" t="s">
        <v>35</v>
      </c>
      <c r="O4" s="253" t="s">
        <v>151</v>
      </c>
      <c r="P4" s="255" t="s">
        <v>152</v>
      </c>
      <c r="Q4" s="245" t="s">
        <v>36</v>
      </c>
      <c r="R4" s="232"/>
    </row>
    <row r="5" spans="1:18" ht="28.5" customHeight="1">
      <c r="A5" s="241"/>
      <c r="B5" s="67" t="s">
        <v>37</v>
      </c>
      <c r="C5" s="68" t="s">
        <v>140</v>
      </c>
      <c r="D5" s="67" t="s">
        <v>37</v>
      </c>
      <c r="E5" s="68" t="s">
        <v>140</v>
      </c>
      <c r="F5" s="67" t="s">
        <v>37</v>
      </c>
      <c r="G5" s="68" t="s">
        <v>141</v>
      </c>
      <c r="H5" s="67" t="s">
        <v>37</v>
      </c>
      <c r="I5" s="68" t="s">
        <v>142</v>
      </c>
      <c r="J5" s="67" t="s">
        <v>37</v>
      </c>
      <c r="K5" s="68" t="s">
        <v>143</v>
      </c>
      <c r="L5" s="67" t="s">
        <v>37</v>
      </c>
      <c r="M5" s="69" t="s">
        <v>153</v>
      </c>
      <c r="N5" s="252"/>
      <c r="O5" s="254"/>
      <c r="P5" s="256"/>
      <c r="Q5" s="257"/>
      <c r="R5" s="233"/>
    </row>
    <row r="6" spans="1:18" s="95" customFormat="1" ht="10.5">
      <c r="A6" s="70"/>
      <c r="B6" s="71" t="s">
        <v>4</v>
      </c>
      <c r="C6" s="72" t="s">
        <v>5</v>
      </c>
      <c r="D6" s="71" t="s">
        <v>4</v>
      </c>
      <c r="E6" s="72" t="s">
        <v>5</v>
      </c>
      <c r="F6" s="71" t="s">
        <v>4</v>
      </c>
      <c r="G6" s="72" t="s">
        <v>5</v>
      </c>
      <c r="H6" s="71" t="s">
        <v>4</v>
      </c>
      <c r="I6" s="72" t="s">
        <v>5</v>
      </c>
      <c r="J6" s="71" t="s">
        <v>4</v>
      </c>
      <c r="K6" s="72" t="s">
        <v>5</v>
      </c>
      <c r="L6" s="71" t="s">
        <v>4</v>
      </c>
      <c r="M6" s="72" t="s">
        <v>5</v>
      </c>
      <c r="N6" s="71" t="s">
        <v>4</v>
      </c>
      <c r="O6" s="73" t="s">
        <v>4</v>
      </c>
      <c r="P6" s="73" t="s">
        <v>4</v>
      </c>
      <c r="Q6" s="74" t="s">
        <v>4</v>
      </c>
      <c r="R6" s="75"/>
    </row>
    <row r="7" spans="1:18" ht="15.75" customHeight="1">
      <c r="A7" s="98" t="s">
        <v>40</v>
      </c>
      <c r="B7" s="126">
        <f>_xlfn.COMPOUNDVALUE(673)</f>
        <v>5583</v>
      </c>
      <c r="C7" s="127">
        <v>35104239</v>
      </c>
      <c r="D7" s="126">
        <f>_xlfn.COMPOUNDVALUE(674)</f>
        <v>3485</v>
      </c>
      <c r="E7" s="127">
        <v>1974754</v>
      </c>
      <c r="F7" s="126">
        <f>_xlfn.COMPOUNDVALUE(675)</f>
        <v>9068</v>
      </c>
      <c r="G7" s="127">
        <v>37078993</v>
      </c>
      <c r="H7" s="126">
        <f>_xlfn.COMPOUNDVALUE(676)</f>
        <v>568</v>
      </c>
      <c r="I7" s="128">
        <v>1853065</v>
      </c>
      <c r="J7" s="126">
        <v>712</v>
      </c>
      <c r="K7" s="128">
        <v>180745</v>
      </c>
      <c r="L7" s="126">
        <v>9859</v>
      </c>
      <c r="M7" s="128">
        <v>35406673</v>
      </c>
      <c r="N7" s="126">
        <v>10185</v>
      </c>
      <c r="O7" s="129">
        <v>379</v>
      </c>
      <c r="P7" s="129">
        <v>48</v>
      </c>
      <c r="Q7" s="130">
        <v>10612</v>
      </c>
      <c r="R7" s="97" t="s">
        <v>40</v>
      </c>
    </row>
    <row r="8" spans="1:18" ht="15.75" customHeight="1">
      <c r="A8" s="76" t="s">
        <v>41</v>
      </c>
      <c r="B8" s="126">
        <f>_xlfn.COMPOUNDVALUE(677)</f>
        <v>4831</v>
      </c>
      <c r="C8" s="127">
        <v>22640066</v>
      </c>
      <c r="D8" s="126">
        <f>_xlfn.COMPOUNDVALUE(678)</f>
        <v>3363</v>
      </c>
      <c r="E8" s="127">
        <v>1788011</v>
      </c>
      <c r="F8" s="126">
        <f>_xlfn.COMPOUNDVALUE(679)</f>
        <v>8194</v>
      </c>
      <c r="G8" s="127">
        <v>24428077</v>
      </c>
      <c r="H8" s="126">
        <f>_xlfn.COMPOUNDVALUE(680)</f>
        <v>410</v>
      </c>
      <c r="I8" s="128">
        <v>896702</v>
      </c>
      <c r="J8" s="126">
        <v>573</v>
      </c>
      <c r="K8" s="128">
        <v>68851</v>
      </c>
      <c r="L8" s="126">
        <v>8861</v>
      </c>
      <c r="M8" s="128">
        <v>23600226</v>
      </c>
      <c r="N8" s="126">
        <v>9087</v>
      </c>
      <c r="O8" s="129">
        <v>243</v>
      </c>
      <c r="P8" s="129">
        <v>18</v>
      </c>
      <c r="Q8" s="130">
        <v>9348</v>
      </c>
      <c r="R8" s="77" t="s">
        <v>41</v>
      </c>
    </row>
    <row r="9" spans="1:18" ht="15.75" customHeight="1">
      <c r="A9" s="76" t="s">
        <v>42</v>
      </c>
      <c r="B9" s="126">
        <f>_xlfn.COMPOUNDVALUE(681)</f>
        <v>5296</v>
      </c>
      <c r="C9" s="127">
        <v>67870245</v>
      </c>
      <c r="D9" s="126">
        <f>_xlfn.COMPOUNDVALUE(682)</f>
        <v>3728</v>
      </c>
      <c r="E9" s="127">
        <v>1955329</v>
      </c>
      <c r="F9" s="126">
        <f>_xlfn.COMPOUNDVALUE(683)</f>
        <v>9024</v>
      </c>
      <c r="G9" s="127">
        <v>69825573</v>
      </c>
      <c r="H9" s="126">
        <f>_xlfn.COMPOUNDVALUE(684)</f>
        <v>599</v>
      </c>
      <c r="I9" s="128">
        <v>4782183</v>
      </c>
      <c r="J9" s="126">
        <v>872</v>
      </c>
      <c r="K9" s="128">
        <v>143833</v>
      </c>
      <c r="L9" s="126">
        <v>9890</v>
      </c>
      <c r="M9" s="128">
        <v>65187223</v>
      </c>
      <c r="N9" s="126">
        <v>10070</v>
      </c>
      <c r="O9" s="129">
        <v>378</v>
      </c>
      <c r="P9" s="129">
        <v>42</v>
      </c>
      <c r="Q9" s="130">
        <v>10490</v>
      </c>
      <c r="R9" s="77" t="s">
        <v>42</v>
      </c>
    </row>
    <row r="10" spans="1:18" ht="15.75" customHeight="1">
      <c r="A10" s="76" t="s">
        <v>43</v>
      </c>
      <c r="B10" s="126">
        <f>_xlfn.COMPOUNDVALUE(685)</f>
        <v>2590</v>
      </c>
      <c r="C10" s="127">
        <v>9243301</v>
      </c>
      <c r="D10" s="126">
        <f>_xlfn.COMPOUNDVALUE(686)</f>
        <v>3276</v>
      </c>
      <c r="E10" s="127">
        <v>1370758</v>
      </c>
      <c r="F10" s="126">
        <f>_xlfn.COMPOUNDVALUE(687)</f>
        <v>5866</v>
      </c>
      <c r="G10" s="127">
        <v>10614059</v>
      </c>
      <c r="H10" s="126">
        <f>_xlfn.COMPOUNDVALUE(688)</f>
        <v>182</v>
      </c>
      <c r="I10" s="128">
        <v>871794</v>
      </c>
      <c r="J10" s="126">
        <v>349</v>
      </c>
      <c r="K10" s="128">
        <v>100814</v>
      </c>
      <c r="L10" s="126">
        <v>6153</v>
      </c>
      <c r="M10" s="128">
        <v>9843079</v>
      </c>
      <c r="N10" s="126">
        <v>6271</v>
      </c>
      <c r="O10" s="129">
        <v>137</v>
      </c>
      <c r="P10" s="129">
        <v>8</v>
      </c>
      <c r="Q10" s="130">
        <v>6416</v>
      </c>
      <c r="R10" s="77" t="s">
        <v>43</v>
      </c>
    </row>
    <row r="11" spans="1:18" ht="15.75" customHeight="1">
      <c r="A11" s="76" t="s">
        <v>44</v>
      </c>
      <c r="B11" s="126">
        <f>_xlfn.COMPOUNDVALUE(689)</f>
        <v>5765</v>
      </c>
      <c r="C11" s="127">
        <v>43305391</v>
      </c>
      <c r="D11" s="126">
        <f>_xlfn.COMPOUNDVALUE(690)</f>
        <v>4399</v>
      </c>
      <c r="E11" s="127">
        <v>2337463</v>
      </c>
      <c r="F11" s="126">
        <f>_xlfn.COMPOUNDVALUE(691)</f>
        <v>10164</v>
      </c>
      <c r="G11" s="127">
        <v>45642854</v>
      </c>
      <c r="H11" s="126">
        <f>_xlfn.COMPOUNDVALUE(692)</f>
        <v>602</v>
      </c>
      <c r="I11" s="128">
        <v>2021451</v>
      </c>
      <c r="J11" s="126">
        <v>702</v>
      </c>
      <c r="K11" s="128">
        <v>91102</v>
      </c>
      <c r="L11" s="126">
        <v>10993</v>
      </c>
      <c r="M11" s="128">
        <v>43712504</v>
      </c>
      <c r="N11" s="126">
        <v>11544</v>
      </c>
      <c r="O11" s="129">
        <v>399</v>
      </c>
      <c r="P11" s="129">
        <v>36</v>
      </c>
      <c r="Q11" s="130">
        <v>11979</v>
      </c>
      <c r="R11" s="77" t="s">
        <v>44</v>
      </c>
    </row>
    <row r="12" spans="1:18" ht="15.75" customHeight="1">
      <c r="A12" s="76"/>
      <c r="B12" s="126"/>
      <c r="C12" s="127"/>
      <c r="D12" s="126"/>
      <c r="E12" s="127"/>
      <c r="F12" s="126"/>
      <c r="G12" s="127"/>
      <c r="H12" s="126"/>
      <c r="I12" s="128"/>
      <c r="J12" s="126"/>
      <c r="K12" s="128"/>
      <c r="L12" s="126"/>
      <c r="M12" s="128"/>
      <c r="N12" s="126"/>
      <c r="O12" s="129"/>
      <c r="P12" s="129"/>
      <c r="Q12" s="130"/>
      <c r="R12" s="77" t="s">
        <v>39</v>
      </c>
    </row>
    <row r="13" spans="1:18" ht="15.75" customHeight="1">
      <c r="A13" s="76" t="s">
        <v>45</v>
      </c>
      <c r="B13" s="126">
        <f>_xlfn.COMPOUNDVALUE(693)</f>
        <v>5238</v>
      </c>
      <c r="C13" s="127">
        <v>24881351</v>
      </c>
      <c r="D13" s="126">
        <f>_xlfn.COMPOUNDVALUE(694)</f>
        <v>4024</v>
      </c>
      <c r="E13" s="127">
        <v>2100584</v>
      </c>
      <c r="F13" s="126">
        <f>_xlfn.COMPOUNDVALUE(695)</f>
        <v>9262</v>
      </c>
      <c r="G13" s="127">
        <v>26981934</v>
      </c>
      <c r="H13" s="126">
        <f>_xlfn.COMPOUNDVALUE(696)</f>
        <v>516</v>
      </c>
      <c r="I13" s="128">
        <v>2673937</v>
      </c>
      <c r="J13" s="126">
        <v>707</v>
      </c>
      <c r="K13" s="128">
        <v>132904</v>
      </c>
      <c r="L13" s="126">
        <v>10002</v>
      </c>
      <c r="M13" s="128">
        <v>24440901</v>
      </c>
      <c r="N13" s="126">
        <v>10039</v>
      </c>
      <c r="O13" s="129">
        <v>333</v>
      </c>
      <c r="P13" s="129">
        <v>46</v>
      </c>
      <c r="Q13" s="130">
        <v>10418</v>
      </c>
      <c r="R13" s="77" t="s">
        <v>45</v>
      </c>
    </row>
    <row r="14" spans="1:18" ht="15.75" customHeight="1">
      <c r="A14" s="76" t="s">
        <v>46</v>
      </c>
      <c r="B14" s="126">
        <f>_xlfn.COMPOUNDVALUE(697)</f>
        <v>1772</v>
      </c>
      <c r="C14" s="127">
        <v>5145992</v>
      </c>
      <c r="D14" s="126">
        <f>_xlfn.COMPOUNDVALUE(698)</f>
        <v>1526</v>
      </c>
      <c r="E14" s="127">
        <v>653476</v>
      </c>
      <c r="F14" s="126">
        <f>_xlfn.COMPOUNDVALUE(699)</f>
        <v>3298</v>
      </c>
      <c r="G14" s="127">
        <v>5799467</v>
      </c>
      <c r="H14" s="126">
        <f>_xlfn.COMPOUNDVALUE(700)</f>
        <v>104</v>
      </c>
      <c r="I14" s="128">
        <v>171783</v>
      </c>
      <c r="J14" s="126">
        <v>295</v>
      </c>
      <c r="K14" s="128">
        <v>27049</v>
      </c>
      <c r="L14" s="126">
        <v>3490</v>
      </c>
      <c r="M14" s="128">
        <v>5654734</v>
      </c>
      <c r="N14" s="126">
        <v>3438</v>
      </c>
      <c r="O14" s="129">
        <v>76</v>
      </c>
      <c r="P14" s="129">
        <v>3</v>
      </c>
      <c r="Q14" s="130">
        <v>3517</v>
      </c>
      <c r="R14" s="77" t="s">
        <v>46</v>
      </c>
    </row>
    <row r="15" spans="1:18" ht="15.75" customHeight="1">
      <c r="A15" s="76" t="s">
        <v>47</v>
      </c>
      <c r="B15" s="126">
        <f>_xlfn.COMPOUNDVALUE(701)</f>
        <v>3518</v>
      </c>
      <c r="C15" s="127">
        <v>15187739</v>
      </c>
      <c r="D15" s="126">
        <f>_xlfn.COMPOUNDVALUE(702)</f>
        <v>2893</v>
      </c>
      <c r="E15" s="127">
        <v>1494396</v>
      </c>
      <c r="F15" s="126">
        <f>_xlfn.COMPOUNDVALUE(703)</f>
        <v>6411</v>
      </c>
      <c r="G15" s="127">
        <v>16682135</v>
      </c>
      <c r="H15" s="126">
        <f>_xlfn.COMPOUNDVALUE(704)</f>
        <v>261</v>
      </c>
      <c r="I15" s="128">
        <v>2944475</v>
      </c>
      <c r="J15" s="126">
        <v>572</v>
      </c>
      <c r="K15" s="128">
        <v>108254</v>
      </c>
      <c r="L15" s="126">
        <v>6885</v>
      </c>
      <c r="M15" s="128">
        <v>13845914</v>
      </c>
      <c r="N15" s="126">
        <v>7059</v>
      </c>
      <c r="O15" s="129">
        <v>184</v>
      </c>
      <c r="P15" s="129">
        <v>13</v>
      </c>
      <c r="Q15" s="130">
        <v>7256</v>
      </c>
      <c r="R15" s="77" t="s">
        <v>47</v>
      </c>
    </row>
    <row r="16" spans="1:18" ht="15.75" customHeight="1">
      <c r="A16" s="78" t="s">
        <v>48</v>
      </c>
      <c r="B16" s="131">
        <f>_xlfn.COMPOUNDVALUE(705)</f>
        <v>6473</v>
      </c>
      <c r="C16" s="132">
        <v>22730439</v>
      </c>
      <c r="D16" s="131">
        <f>_xlfn.COMPOUNDVALUE(706)</f>
        <v>5444</v>
      </c>
      <c r="E16" s="132">
        <v>2792274</v>
      </c>
      <c r="F16" s="131">
        <f>_xlfn.COMPOUNDVALUE(707)</f>
        <v>11917</v>
      </c>
      <c r="G16" s="132">
        <v>25522713</v>
      </c>
      <c r="H16" s="131">
        <f>_xlfn.COMPOUNDVALUE(708)</f>
        <v>633</v>
      </c>
      <c r="I16" s="133">
        <v>2775279</v>
      </c>
      <c r="J16" s="131">
        <v>883</v>
      </c>
      <c r="K16" s="133">
        <v>144234</v>
      </c>
      <c r="L16" s="131">
        <v>12830</v>
      </c>
      <c r="M16" s="133">
        <v>22891668</v>
      </c>
      <c r="N16" s="126">
        <v>12783</v>
      </c>
      <c r="O16" s="129">
        <v>403</v>
      </c>
      <c r="P16" s="129">
        <v>39</v>
      </c>
      <c r="Q16" s="130">
        <v>13225</v>
      </c>
      <c r="R16" s="77" t="s">
        <v>48</v>
      </c>
    </row>
    <row r="17" spans="1:18" ht="15.75" customHeight="1">
      <c r="A17" s="78" t="s">
        <v>49</v>
      </c>
      <c r="B17" s="131">
        <f>_xlfn.COMPOUNDVALUE(709)</f>
        <v>1612</v>
      </c>
      <c r="C17" s="132">
        <v>5209537</v>
      </c>
      <c r="D17" s="131">
        <f>_xlfn.COMPOUNDVALUE(710)</f>
        <v>1592</v>
      </c>
      <c r="E17" s="132">
        <v>653820</v>
      </c>
      <c r="F17" s="131">
        <f>_xlfn.COMPOUNDVALUE(711)</f>
        <v>3204</v>
      </c>
      <c r="G17" s="132">
        <v>5863357</v>
      </c>
      <c r="H17" s="131">
        <f>_xlfn.COMPOUNDVALUE(712)</f>
        <v>114</v>
      </c>
      <c r="I17" s="133">
        <v>393794</v>
      </c>
      <c r="J17" s="131">
        <v>246</v>
      </c>
      <c r="K17" s="133">
        <v>24118</v>
      </c>
      <c r="L17" s="131">
        <v>3376</v>
      </c>
      <c r="M17" s="133">
        <v>5493682</v>
      </c>
      <c r="N17" s="126">
        <v>3942</v>
      </c>
      <c r="O17" s="129">
        <v>85</v>
      </c>
      <c r="P17" s="129">
        <v>1</v>
      </c>
      <c r="Q17" s="130">
        <v>4028</v>
      </c>
      <c r="R17" s="77" t="s">
        <v>49</v>
      </c>
    </row>
    <row r="18" spans="1:18" ht="15.75" customHeight="1">
      <c r="A18" s="78"/>
      <c r="B18" s="131"/>
      <c r="C18" s="132"/>
      <c r="D18" s="131"/>
      <c r="E18" s="132"/>
      <c r="F18" s="131"/>
      <c r="G18" s="132"/>
      <c r="H18" s="131"/>
      <c r="I18" s="133"/>
      <c r="J18" s="131"/>
      <c r="K18" s="133"/>
      <c r="L18" s="131"/>
      <c r="M18" s="133"/>
      <c r="N18" s="126"/>
      <c r="O18" s="129"/>
      <c r="P18" s="129"/>
      <c r="Q18" s="130"/>
      <c r="R18" s="77" t="s">
        <v>39</v>
      </c>
    </row>
    <row r="19" spans="1:18" ht="15.75" customHeight="1">
      <c r="A19" s="78" t="s">
        <v>50</v>
      </c>
      <c r="B19" s="131">
        <f>_xlfn.COMPOUNDVALUE(713)</f>
        <v>2578</v>
      </c>
      <c r="C19" s="132">
        <v>8244211</v>
      </c>
      <c r="D19" s="131">
        <f>_xlfn.COMPOUNDVALUE(714)</f>
        <v>2149</v>
      </c>
      <c r="E19" s="132">
        <v>976672</v>
      </c>
      <c r="F19" s="131">
        <f>_xlfn.COMPOUNDVALUE(715)</f>
        <v>4727</v>
      </c>
      <c r="G19" s="132">
        <v>9220883</v>
      </c>
      <c r="H19" s="131">
        <f>_xlfn.COMPOUNDVALUE(716)</f>
        <v>196</v>
      </c>
      <c r="I19" s="133">
        <v>265632</v>
      </c>
      <c r="J19" s="131">
        <v>377</v>
      </c>
      <c r="K19" s="133">
        <v>56064</v>
      </c>
      <c r="L19" s="131">
        <v>5031</v>
      </c>
      <c r="M19" s="133">
        <v>9011315</v>
      </c>
      <c r="N19" s="126">
        <v>4961</v>
      </c>
      <c r="O19" s="129">
        <v>162</v>
      </c>
      <c r="P19" s="129">
        <v>10</v>
      </c>
      <c r="Q19" s="130">
        <v>5133</v>
      </c>
      <c r="R19" s="77" t="s">
        <v>50</v>
      </c>
    </row>
    <row r="20" spans="1:18" ht="15.75" customHeight="1">
      <c r="A20" s="78" t="s">
        <v>51</v>
      </c>
      <c r="B20" s="131">
        <f>_xlfn.COMPOUNDVALUE(717)</f>
        <v>6850</v>
      </c>
      <c r="C20" s="132">
        <v>25920658</v>
      </c>
      <c r="D20" s="131">
        <f>_xlfn.COMPOUNDVALUE(718)</f>
        <v>5394</v>
      </c>
      <c r="E20" s="132">
        <v>2586004</v>
      </c>
      <c r="F20" s="131">
        <f>_xlfn.COMPOUNDVALUE(719)</f>
        <v>12244</v>
      </c>
      <c r="G20" s="132">
        <v>28506662</v>
      </c>
      <c r="H20" s="131">
        <f>_xlfn.COMPOUNDVALUE(720)</f>
        <v>1161</v>
      </c>
      <c r="I20" s="133">
        <v>9031816</v>
      </c>
      <c r="J20" s="131">
        <v>1020</v>
      </c>
      <c r="K20" s="133">
        <v>50490</v>
      </c>
      <c r="L20" s="131">
        <v>13755</v>
      </c>
      <c r="M20" s="133">
        <v>19525337</v>
      </c>
      <c r="N20" s="126">
        <v>13565</v>
      </c>
      <c r="O20" s="129">
        <v>671</v>
      </c>
      <c r="P20" s="129">
        <v>38</v>
      </c>
      <c r="Q20" s="130">
        <v>14274</v>
      </c>
      <c r="R20" s="77" t="s">
        <v>51</v>
      </c>
    </row>
    <row r="21" spans="1:18" ht="15.75" customHeight="1">
      <c r="A21" s="78" t="s">
        <v>52</v>
      </c>
      <c r="B21" s="131">
        <f>_xlfn.COMPOUNDVALUE(721)</f>
        <v>2460</v>
      </c>
      <c r="C21" s="132">
        <v>7729608</v>
      </c>
      <c r="D21" s="131">
        <f>_xlfn.COMPOUNDVALUE(722)</f>
        <v>2373</v>
      </c>
      <c r="E21" s="132">
        <v>1006788</v>
      </c>
      <c r="F21" s="131">
        <f>_xlfn.COMPOUNDVALUE(723)</f>
        <v>4833</v>
      </c>
      <c r="G21" s="132">
        <v>8736396</v>
      </c>
      <c r="H21" s="131">
        <f>_xlfn.COMPOUNDVALUE(724)</f>
        <v>213</v>
      </c>
      <c r="I21" s="133">
        <v>417756</v>
      </c>
      <c r="J21" s="131">
        <v>359</v>
      </c>
      <c r="K21" s="133">
        <v>48542</v>
      </c>
      <c r="L21" s="131">
        <v>5180</v>
      </c>
      <c r="M21" s="133">
        <v>8367181</v>
      </c>
      <c r="N21" s="126">
        <v>5159</v>
      </c>
      <c r="O21" s="129">
        <v>185</v>
      </c>
      <c r="P21" s="129">
        <v>11</v>
      </c>
      <c r="Q21" s="130">
        <v>5355</v>
      </c>
      <c r="R21" s="77" t="s">
        <v>52</v>
      </c>
    </row>
    <row r="22" spans="1:18" ht="15.75" customHeight="1">
      <c r="A22" s="78" t="s">
        <v>171</v>
      </c>
      <c r="B22" s="131">
        <f>_xlfn.COMPOUNDVALUE(725)</f>
        <v>6670</v>
      </c>
      <c r="C22" s="132">
        <v>26786568</v>
      </c>
      <c r="D22" s="131">
        <f>_xlfn.COMPOUNDVALUE(726)</f>
        <v>5158</v>
      </c>
      <c r="E22" s="132">
        <v>2632981</v>
      </c>
      <c r="F22" s="131">
        <f>_xlfn.COMPOUNDVALUE(727)</f>
        <v>11828</v>
      </c>
      <c r="G22" s="132">
        <v>29419549</v>
      </c>
      <c r="H22" s="131">
        <f>_xlfn.COMPOUNDVALUE(728)</f>
        <v>679</v>
      </c>
      <c r="I22" s="133">
        <v>3040490</v>
      </c>
      <c r="J22" s="131">
        <v>825</v>
      </c>
      <c r="K22" s="133">
        <v>-4263</v>
      </c>
      <c r="L22" s="131">
        <v>12757</v>
      </c>
      <c r="M22" s="133">
        <v>26374796</v>
      </c>
      <c r="N22" s="126">
        <v>12642</v>
      </c>
      <c r="O22" s="129">
        <v>460</v>
      </c>
      <c r="P22" s="129">
        <v>36</v>
      </c>
      <c r="Q22" s="130">
        <v>13138</v>
      </c>
      <c r="R22" s="77" t="s">
        <v>53</v>
      </c>
    </row>
    <row r="23" spans="1:18" ht="15.75" customHeight="1">
      <c r="A23" s="165" t="s">
        <v>54</v>
      </c>
      <c r="B23" s="166">
        <v>61236</v>
      </c>
      <c r="C23" s="167">
        <v>319999342</v>
      </c>
      <c r="D23" s="166">
        <v>48804</v>
      </c>
      <c r="E23" s="167">
        <v>24323310</v>
      </c>
      <c r="F23" s="166">
        <v>110040</v>
      </c>
      <c r="G23" s="167">
        <v>344322652</v>
      </c>
      <c r="H23" s="166">
        <v>6238</v>
      </c>
      <c r="I23" s="168">
        <v>32140156</v>
      </c>
      <c r="J23" s="166">
        <v>8492</v>
      </c>
      <c r="K23" s="168">
        <v>1172737</v>
      </c>
      <c r="L23" s="166">
        <v>119062</v>
      </c>
      <c r="M23" s="168">
        <v>313355233</v>
      </c>
      <c r="N23" s="166">
        <v>120745</v>
      </c>
      <c r="O23" s="188">
        <v>4095</v>
      </c>
      <c r="P23" s="188">
        <v>349</v>
      </c>
      <c r="Q23" s="189">
        <v>125189</v>
      </c>
      <c r="R23" s="169" t="s">
        <v>55</v>
      </c>
    </row>
    <row r="24" spans="1:18" ht="15.75" customHeight="1">
      <c r="A24" s="170"/>
      <c r="B24" s="171"/>
      <c r="C24" s="172"/>
      <c r="D24" s="171"/>
      <c r="E24" s="172"/>
      <c r="F24" s="173"/>
      <c r="G24" s="172"/>
      <c r="H24" s="173"/>
      <c r="I24" s="172"/>
      <c r="J24" s="173"/>
      <c r="K24" s="172"/>
      <c r="L24" s="173"/>
      <c r="M24" s="172"/>
      <c r="N24" s="190"/>
      <c r="O24" s="191"/>
      <c r="P24" s="191"/>
      <c r="Q24" s="192"/>
      <c r="R24" s="174" t="s">
        <v>39</v>
      </c>
    </row>
    <row r="25" spans="1:18" ht="15.75" customHeight="1">
      <c r="A25" s="76" t="s">
        <v>56</v>
      </c>
      <c r="B25" s="126">
        <f>_xlfn.COMPOUNDVALUE(729)</f>
        <v>11074</v>
      </c>
      <c r="C25" s="127">
        <v>1024249032</v>
      </c>
      <c r="D25" s="126">
        <f>_xlfn.COMPOUNDVALUE(730)</f>
        <v>3305</v>
      </c>
      <c r="E25" s="127">
        <v>2698521</v>
      </c>
      <c r="F25" s="126">
        <f>_xlfn.COMPOUNDVALUE(731)</f>
        <v>14379</v>
      </c>
      <c r="G25" s="127">
        <v>1026947552</v>
      </c>
      <c r="H25" s="126">
        <f>_xlfn.COMPOUNDVALUE(732)</f>
        <v>3643</v>
      </c>
      <c r="I25" s="128">
        <v>475416404</v>
      </c>
      <c r="J25" s="126">
        <v>1256</v>
      </c>
      <c r="K25" s="128">
        <v>2101777</v>
      </c>
      <c r="L25" s="126">
        <v>18199</v>
      </c>
      <c r="M25" s="128">
        <v>553632925</v>
      </c>
      <c r="N25" s="126">
        <v>14217</v>
      </c>
      <c r="O25" s="129">
        <v>3259</v>
      </c>
      <c r="P25" s="129">
        <v>481</v>
      </c>
      <c r="Q25" s="130">
        <v>17957</v>
      </c>
      <c r="R25" s="86" t="s">
        <v>56</v>
      </c>
    </row>
    <row r="26" spans="1:18" ht="15.75" customHeight="1">
      <c r="A26" s="76" t="s">
        <v>57</v>
      </c>
      <c r="B26" s="126">
        <f>_xlfn.COMPOUNDVALUE(733)</f>
        <v>11666</v>
      </c>
      <c r="C26" s="127">
        <v>273890165</v>
      </c>
      <c r="D26" s="126">
        <f>_xlfn.COMPOUNDVALUE(734)</f>
        <v>3488</v>
      </c>
      <c r="E26" s="127">
        <v>2507805</v>
      </c>
      <c r="F26" s="126">
        <f>_xlfn.COMPOUNDVALUE(735)</f>
        <v>15154</v>
      </c>
      <c r="G26" s="127">
        <v>276397970</v>
      </c>
      <c r="H26" s="126">
        <f>_xlfn.COMPOUNDVALUE(736)</f>
        <v>2310</v>
      </c>
      <c r="I26" s="128">
        <v>62459761</v>
      </c>
      <c r="J26" s="126">
        <v>1222</v>
      </c>
      <c r="K26" s="128">
        <v>700427</v>
      </c>
      <c r="L26" s="126">
        <v>17659</v>
      </c>
      <c r="M26" s="128">
        <v>214638635</v>
      </c>
      <c r="N26" s="126">
        <v>16054</v>
      </c>
      <c r="O26" s="129">
        <v>1293</v>
      </c>
      <c r="P26" s="129">
        <v>305</v>
      </c>
      <c r="Q26" s="130">
        <v>17652</v>
      </c>
      <c r="R26" s="77" t="s">
        <v>57</v>
      </c>
    </row>
    <row r="27" spans="1:18" ht="15.75" customHeight="1">
      <c r="A27" s="76" t="s">
        <v>58</v>
      </c>
      <c r="B27" s="126">
        <f>_xlfn.COMPOUNDVALUE(737)</f>
        <v>9349</v>
      </c>
      <c r="C27" s="127">
        <v>319886410</v>
      </c>
      <c r="D27" s="126">
        <f>_xlfn.COMPOUNDVALUE(738)</f>
        <v>2701</v>
      </c>
      <c r="E27" s="127">
        <v>1944532</v>
      </c>
      <c r="F27" s="126">
        <f>_xlfn.COMPOUNDVALUE(739)</f>
        <v>12050</v>
      </c>
      <c r="G27" s="127">
        <v>321830942</v>
      </c>
      <c r="H27" s="126">
        <f>_xlfn.COMPOUNDVALUE(740)</f>
        <v>2266</v>
      </c>
      <c r="I27" s="128">
        <v>82611145</v>
      </c>
      <c r="J27" s="126">
        <v>1015</v>
      </c>
      <c r="K27" s="128">
        <v>627862</v>
      </c>
      <c r="L27" s="126">
        <v>14461</v>
      </c>
      <c r="M27" s="128">
        <v>239847659</v>
      </c>
      <c r="N27" s="126">
        <v>12532</v>
      </c>
      <c r="O27" s="129">
        <v>1449</v>
      </c>
      <c r="P27" s="129">
        <v>276</v>
      </c>
      <c r="Q27" s="130">
        <v>14257</v>
      </c>
      <c r="R27" s="77" t="s">
        <v>58</v>
      </c>
    </row>
    <row r="28" spans="1:18" ht="15.75" customHeight="1">
      <c r="A28" s="76" t="s">
        <v>59</v>
      </c>
      <c r="B28" s="126">
        <f>_xlfn.COMPOUNDVALUE(741)</f>
        <v>12546</v>
      </c>
      <c r="C28" s="127">
        <v>352541280</v>
      </c>
      <c r="D28" s="126">
        <f>_xlfn.COMPOUNDVALUE(742)</f>
        <v>3857</v>
      </c>
      <c r="E28" s="127">
        <v>2677010</v>
      </c>
      <c r="F28" s="126">
        <f>_xlfn.COMPOUNDVALUE(743)</f>
        <v>16403</v>
      </c>
      <c r="G28" s="127">
        <v>355218290</v>
      </c>
      <c r="H28" s="126">
        <f>_xlfn.COMPOUNDVALUE(744)</f>
        <v>2511</v>
      </c>
      <c r="I28" s="128">
        <v>173673508</v>
      </c>
      <c r="J28" s="126">
        <v>1505</v>
      </c>
      <c r="K28" s="128">
        <v>1230637</v>
      </c>
      <c r="L28" s="126">
        <v>19178</v>
      </c>
      <c r="M28" s="128">
        <v>182775419</v>
      </c>
      <c r="N28" s="126">
        <v>18452</v>
      </c>
      <c r="O28" s="129">
        <v>1172</v>
      </c>
      <c r="P28" s="129">
        <v>374</v>
      </c>
      <c r="Q28" s="130">
        <v>19998</v>
      </c>
      <c r="R28" s="77" t="s">
        <v>59</v>
      </c>
    </row>
    <row r="29" spans="1:18" ht="15.75" customHeight="1">
      <c r="A29" s="76" t="s">
        <v>172</v>
      </c>
      <c r="B29" s="126">
        <f>_xlfn.COMPOUNDVALUE(745)</f>
        <v>16111</v>
      </c>
      <c r="C29" s="127">
        <v>851942165</v>
      </c>
      <c r="D29" s="126">
        <f>_xlfn.COMPOUNDVALUE(746)</f>
        <v>5096</v>
      </c>
      <c r="E29" s="127">
        <v>4394726</v>
      </c>
      <c r="F29" s="126">
        <f>_xlfn.COMPOUNDVALUE(747)</f>
        <v>21207</v>
      </c>
      <c r="G29" s="127">
        <v>856336891</v>
      </c>
      <c r="H29" s="126">
        <f>_xlfn.COMPOUNDVALUE(748)</f>
        <v>4428</v>
      </c>
      <c r="I29" s="128">
        <v>386265564</v>
      </c>
      <c r="J29" s="126">
        <v>1885</v>
      </c>
      <c r="K29" s="128">
        <v>1234077</v>
      </c>
      <c r="L29" s="126">
        <v>25922</v>
      </c>
      <c r="M29" s="128">
        <v>471305404</v>
      </c>
      <c r="N29" s="126">
        <v>23174</v>
      </c>
      <c r="O29" s="129">
        <v>2996</v>
      </c>
      <c r="P29" s="129">
        <v>663</v>
      </c>
      <c r="Q29" s="130">
        <v>26833</v>
      </c>
      <c r="R29" s="77" t="s">
        <v>60</v>
      </c>
    </row>
    <row r="30" spans="1:18" ht="15.75" customHeight="1">
      <c r="A30" s="76"/>
      <c r="B30" s="126"/>
      <c r="C30" s="127"/>
      <c r="D30" s="126"/>
      <c r="E30" s="127"/>
      <c r="F30" s="126"/>
      <c r="G30" s="127"/>
      <c r="H30" s="126"/>
      <c r="I30" s="128"/>
      <c r="J30" s="126"/>
      <c r="K30" s="128"/>
      <c r="L30" s="126"/>
      <c r="M30" s="128"/>
      <c r="N30" s="126"/>
      <c r="O30" s="129"/>
      <c r="P30" s="129"/>
      <c r="Q30" s="130"/>
      <c r="R30" s="77" t="s">
        <v>39</v>
      </c>
    </row>
    <row r="31" spans="1:18" ht="15.75" customHeight="1">
      <c r="A31" s="76" t="s">
        <v>61</v>
      </c>
      <c r="B31" s="126">
        <f>_xlfn.COMPOUNDVALUE(749)</f>
        <v>14998</v>
      </c>
      <c r="C31" s="127">
        <v>324005704</v>
      </c>
      <c r="D31" s="126">
        <f>_xlfn.COMPOUNDVALUE(750)</f>
        <v>4774</v>
      </c>
      <c r="E31" s="127">
        <v>3464505</v>
      </c>
      <c r="F31" s="126">
        <f>_xlfn.COMPOUNDVALUE(751)</f>
        <v>19772</v>
      </c>
      <c r="G31" s="127">
        <v>327470209</v>
      </c>
      <c r="H31" s="126">
        <f>_xlfn.COMPOUNDVALUE(752)</f>
        <v>3097</v>
      </c>
      <c r="I31" s="128">
        <v>227295144</v>
      </c>
      <c r="J31" s="126">
        <v>1555</v>
      </c>
      <c r="K31" s="128">
        <v>-2516490</v>
      </c>
      <c r="L31" s="126">
        <v>23258</v>
      </c>
      <c r="M31" s="128">
        <v>97658574</v>
      </c>
      <c r="N31" s="126">
        <v>24381</v>
      </c>
      <c r="O31" s="129">
        <v>2430</v>
      </c>
      <c r="P31" s="129">
        <v>650</v>
      </c>
      <c r="Q31" s="130">
        <v>27461</v>
      </c>
      <c r="R31" s="77" t="s">
        <v>61</v>
      </c>
    </row>
    <row r="32" spans="1:18" ht="15.75" customHeight="1">
      <c r="A32" s="76" t="s">
        <v>62</v>
      </c>
      <c r="B32" s="126">
        <f>_xlfn.COMPOUNDVALUE(753)</f>
        <v>7449</v>
      </c>
      <c r="C32" s="127">
        <v>211890709</v>
      </c>
      <c r="D32" s="126">
        <f>_xlfn.COMPOUNDVALUE(754)</f>
        <v>3196</v>
      </c>
      <c r="E32" s="127">
        <v>2017296</v>
      </c>
      <c r="F32" s="126">
        <f>_xlfn.COMPOUNDVALUE(755)</f>
        <v>10645</v>
      </c>
      <c r="G32" s="127">
        <v>213908006</v>
      </c>
      <c r="H32" s="126">
        <f>_xlfn.COMPOUNDVALUE(756)</f>
        <v>1413</v>
      </c>
      <c r="I32" s="128">
        <v>64083201</v>
      </c>
      <c r="J32" s="126">
        <v>733</v>
      </c>
      <c r="K32" s="128">
        <v>325144</v>
      </c>
      <c r="L32" s="126">
        <v>12195</v>
      </c>
      <c r="M32" s="128">
        <v>150149949</v>
      </c>
      <c r="N32" s="126">
        <v>11725</v>
      </c>
      <c r="O32" s="129">
        <v>826</v>
      </c>
      <c r="P32" s="129">
        <v>147</v>
      </c>
      <c r="Q32" s="130">
        <v>12698</v>
      </c>
      <c r="R32" s="77" t="s">
        <v>62</v>
      </c>
    </row>
    <row r="33" spans="1:18" ht="15.75" customHeight="1">
      <c r="A33" s="76" t="s">
        <v>63</v>
      </c>
      <c r="B33" s="126">
        <f>_xlfn.COMPOUNDVALUE(757)</f>
        <v>8535</v>
      </c>
      <c r="C33" s="127">
        <v>121301243</v>
      </c>
      <c r="D33" s="126">
        <f>_xlfn.COMPOUNDVALUE(758)</f>
        <v>3914</v>
      </c>
      <c r="E33" s="127">
        <v>3311022</v>
      </c>
      <c r="F33" s="126">
        <f>_xlfn.COMPOUNDVALUE(759)</f>
        <v>12449</v>
      </c>
      <c r="G33" s="127">
        <v>124612265</v>
      </c>
      <c r="H33" s="126">
        <f>_xlfn.COMPOUNDVALUE(760)</f>
        <v>1061</v>
      </c>
      <c r="I33" s="128">
        <v>15070723</v>
      </c>
      <c r="J33" s="126">
        <v>963</v>
      </c>
      <c r="K33" s="128">
        <v>760173</v>
      </c>
      <c r="L33" s="126">
        <v>13732</v>
      </c>
      <c r="M33" s="128">
        <v>110301716</v>
      </c>
      <c r="N33" s="126">
        <v>14104</v>
      </c>
      <c r="O33" s="129">
        <v>620</v>
      </c>
      <c r="P33" s="129">
        <v>188</v>
      </c>
      <c r="Q33" s="130">
        <v>14912</v>
      </c>
      <c r="R33" s="77" t="s">
        <v>63</v>
      </c>
    </row>
    <row r="34" spans="1:18" ht="15.75" customHeight="1">
      <c r="A34" s="76" t="s">
        <v>64</v>
      </c>
      <c r="B34" s="126">
        <f>_xlfn.COMPOUNDVALUE(761)</f>
        <v>9719</v>
      </c>
      <c r="C34" s="127">
        <v>328542748</v>
      </c>
      <c r="D34" s="126">
        <f>_xlfn.COMPOUNDVALUE(762)</f>
        <v>3813</v>
      </c>
      <c r="E34" s="127">
        <v>2569865</v>
      </c>
      <c r="F34" s="126">
        <f>_xlfn.COMPOUNDVALUE(763)</f>
        <v>13532</v>
      </c>
      <c r="G34" s="127">
        <v>331112613</v>
      </c>
      <c r="H34" s="126">
        <f>_xlfn.COMPOUNDVALUE(764)</f>
        <v>1871</v>
      </c>
      <c r="I34" s="128">
        <v>28503971</v>
      </c>
      <c r="J34" s="126">
        <v>1185</v>
      </c>
      <c r="K34" s="128">
        <v>832414</v>
      </c>
      <c r="L34" s="126">
        <v>15698</v>
      </c>
      <c r="M34" s="128">
        <v>303441056</v>
      </c>
      <c r="N34" s="126">
        <v>15389</v>
      </c>
      <c r="O34" s="129">
        <v>1014</v>
      </c>
      <c r="P34" s="129">
        <v>305</v>
      </c>
      <c r="Q34" s="130">
        <v>16708</v>
      </c>
      <c r="R34" s="77" t="s">
        <v>64</v>
      </c>
    </row>
    <row r="35" spans="1:18" ht="15.75" customHeight="1">
      <c r="A35" s="76" t="s">
        <v>65</v>
      </c>
      <c r="B35" s="126">
        <f>_xlfn.COMPOUNDVALUE(765)</f>
        <v>2811</v>
      </c>
      <c r="C35" s="127">
        <v>49570900</v>
      </c>
      <c r="D35" s="126">
        <f>_xlfn.COMPOUNDVALUE(766)</f>
        <v>1880</v>
      </c>
      <c r="E35" s="127">
        <v>1030798</v>
      </c>
      <c r="F35" s="126">
        <f>_xlfn.COMPOUNDVALUE(767)</f>
        <v>4691</v>
      </c>
      <c r="G35" s="127">
        <v>50601698</v>
      </c>
      <c r="H35" s="126">
        <f>_xlfn.COMPOUNDVALUE(768)</f>
        <v>376</v>
      </c>
      <c r="I35" s="128">
        <v>8740705</v>
      </c>
      <c r="J35" s="126">
        <v>396</v>
      </c>
      <c r="K35" s="128">
        <v>-52898</v>
      </c>
      <c r="L35" s="126">
        <v>5133</v>
      </c>
      <c r="M35" s="128">
        <v>41808096</v>
      </c>
      <c r="N35" s="126">
        <v>5025</v>
      </c>
      <c r="O35" s="129">
        <v>281</v>
      </c>
      <c r="P35" s="129">
        <v>54</v>
      </c>
      <c r="Q35" s="130">
        <v>5360</v>
      </c>
      <c r="R35" s="77" t="s">
        <v>65</v>
      </c>
    </row>
    <row r="36" spans="1:18" ht="15.75" customHeight="1">
      <c r="A36" s="76"/>
      <c r="B36" s="126"/>
      <c r="C36" s="127"/>
      <c r="D36" s="126"/>
      <c r="E36" s="127"/>
      <c r="F36" s="126"/>
      <c r="G36" s="127"/>
      <c r="H36" s="126"/>
      <c r="I36" s="128"/>
      <c r="J36" s="126"/>
      <c r="K36" s="128"/>
      <c r="L36" s="126"/>
      <c r="M36" s="128"/>
      <c r="N36" s="126"/>
      <c r="O36" s="129"/>
      <c r="P36" s="129"/>
      <c r="Q36" s="130"/>
      <c r="R36" s="77" t="s">
        <v>39</v>
      </c>
    </row>
    <row r="37" spans="1:18" ht="15.75" customHeight="1">
      <c r="A37" s="76" t="s">
        <v>66</v>
      </c>
      <c r="B37" s="126">
        <f>_xlfn.COMPOUNDVALUE(769)</f>
        <v>3624</v>
      </c>
      <c r="C37" s="127">
        <v>42624595</v>
      </c>
      <c r="D37" s="126">
        <f>_xlfn.COMPOUNDVALUE(770)</f>
        <v>2001</v>
      </c>
      <c r="E37" s="127">
        <v>1183855</v>
      </c>
      <c r="F37" s="126">
        <f>_xlfn.COMPOUNDVALUE(771)</f>
        <v>5625</v>
      </c>
      <c r="G37" s="127">
        <v>43808450</v>
      </c>
      <c r="H37" s="126">
        <f>_xlfn.COMPOUNDVALUE(772)</f>
        <v>504</v>
      </c>
      <c r="I37" s="128">
        <v>2906850</v>
      </c>
      <c r="J37" s="126">
        <v>423</v>
      </c>
      <c r="K37" s="128">
        <v>33965</v>
      </c>
      <c r="L37" s="126">
        <v>6212</v>
      </c>
      <c r="M37" s="128">
        <v>40935565</v>
      </c>
      <c r="N37" s="126">
        <v>6167</v>
      </c>
      <c r="O37" s="129">
        <v>320</v>
      </c>
      <c r="P37" s="129">
        <v>73</v>
      </c>
      <c r="Q37" s="130">
        <v>6560</v>
      </c>
      <c r="R37" s="77" t="s">
        <v>66</v>
      </c>
    </row>
    <row r="38" spans="1:18" ht="15.75" customHeight="1">
      <c r="A38" s="76" t="s">
        <v>67</v>
      </c>
      <c r="B38" s="126">
        <f>_xlfn.COMPOUNDVALUE(773)</f>
        <v>5561</v>
      </c>
      <c r="C38" s="127">
        <v>81001185</v>
      </c>
      <c r="D38" s="126">
        <f>_xlfn.COMPOUNDVALUE(774)</f>
        <v>2443</v>
      </c>
      <c r="E38" s="127">
        <v>1369389</v>
      </c>
      <c r="F38" s="126">
        <f>_xlfn.COMPOUNDVALUE(775)</f>
        <v>8004</v>
      </c>
      <c r="G38" s="127">
        <v>82370574</v>
      </c>
      <c r="H38" s="126">
        <f>_xlfn.COMPOUNDVALUE(776)</f>
        <v>952</v>
      </c>
      <c r="I38" s="128">
        <v>11098500</v>
      </c>
      <c r="J38" s="126">
        <v>703</v>
      </c>
      <c r="K38" s="128">
        <v>443108</v>
      </c>
      <c r="L38" s="126">
        <v>9090</v>
      </c>
      <c r="M38" s="128">
        <v>71715182</v>
      </c>
      <c r="N38" s="126">
        <v>8839</v>
      </c>
      <c r="O38" s="129">
        <v>385</v>
      </c>
      <c r="P38" s="129">
        <v>104</v>
      </c>
      <c r="Q38" s="130">
        <v>9328</v>
      </c>
      <c r="R38" s="77" t="s">
        <v>67</v>
      </c>
    </row>
    <row r="39" spans="1:18" ht="15.75" customHeight="1">
      <c r="A39" s="76" t="s">
        <v>68</v>
      </c>
      <c r="B39" s="126">
        <f>_xlfn.COMPOUNDVALUE(777)</f>
        <v>5545</v>
      </c>
      <c r="C39" s="127">
        <v>69685868</v>
      </c>
      <c r="D39" s="126">
        <f>_xlfn.COMPOUNDVALUE(778)</f>
        <v>2861</v>
      </c>
      <c r="E39" s="127">
        <v>1403439</v>
      </c>
      <c r="F39" s="126">
        <f>_xlfn.COMPOUNDVALUE(779)</f>
        <v>8406</v>
      </c>
      <c r="G39" s="127">
        <v>71089307</v>
      </c>
      <c r="H39" s="126">
        <f>_xlfn.COMPOUNDVALUE(780)</f>
        <v>934</v>
      </c>
      <c r="I39" s="128">
        <v>7008414</v>
      </c>
      <c r="J39" s="126">
        <v>554</v>
      </c>
      <c r="K39" s="128">
        <v>214992</v>
      </c>
      <c r="L39" s="126">
        <v>9481</v>
      </c>
      <c r="M39" s="128">
        <v>64295885</v>
      </c>
      <c r="N39" s="126">
        <v>9265</v>
      </c>
      <c r="O39" s="129">
        <v>396</v>
      </c>
      <c r="P39" s="129">
        <v>74</v>
      </c>
      <c r="Q39" s="130">
        <v>9735</v>
      </c>
      <c r="R39" s="77" t="s">
        <v>68</v>
      </c>
    </row>
    <row r="40" spans="1:18" ht="15.75" customHeight="1">
      <c r="A40" s="76" t="s">
        <v>69</v>
      </c>
      <c r="B40" s="126">
        <f>_xlfn.COMPOUNDVALUE(781)</f>
        <v>4618</v>
      </c>
      <c r="C40" s="127">
        <v>93527881</v>
      </c>
      <c r="D40" s="126">
        <f>_xlfn.COMPOUNDVALUE(782)</f>
        <v>2304</v>
      </c>
      <c r="E40" s="127">
        <v>1172436</v>
      </c>
      <c r="F40" s="126">
        <f>_xlfn.COMPOUNDVALUE(783)</f>
        <v>6922</v>
      </c>
      <c r="G40" s="127">
        <v>94700317</v>
      </c>
      <c r="H40" s="126">
        <f>_xlfn.COMPOUNDVALUE(784)</f>
        <v>544</v>
      </c>
      <c r="I40" s="128">
        <v>6205848</v>
      </c>
      <c r="J40" s="126">
        <v>476</v>
      </c>
      <c r="K40" s="128">
        <v>206259</v>
      </c>
      <c r="L40" s="126">
        <v>7541</v>
      </c>
      <c r="M40" s="128">
        <v>88700728</v>
      </c>
      <c r="N40" s="126">
        <v>8120</v>
      </c>
      <c r="O40" s="129">
        <v>274</v>
      </c>
      <c r="P40" s="129">
        <v>70</v>
      </c>
      <c r="Q40" s="130">
        <v>8464</v>
      </c>
      <c r="R40" s="77" t="s">
        <v>69</v>
      </c>
    </row>
    <row r="41" spans="1:18" ht="15.75" customHeight="1">
      <c r="A41" s="76" t="s">
        <v>70</v>
      </c>
      <c r="B41" s="126">
        <f>_xlfn.COMPOUNDVALUE(785)</f>
        <v>1830</v>
      </c>
      <c r="C41" s="127">
        <v>9745052</v>
      </c>
      <c r="D41" s="126">
        <f>_xlfn.COMPOUNDVALUE(786)</f>
        <v>1373</v>
      </c>
      <c r="E41" s="127">
        <v>626107</v>
      </c>
      <c r="F41" s="126">
        <f>_xlfn.COMPOUNDVALUE(787)</f>
        <v>3203</v>
      </c>
      <c r="G41" s="127">
        <v>10371160</v>
      </c>
      <c r="H41" s="126">
        <f>_xlfn.COMPOUNDVALUE(788)</f>
        <v>125</v>
      </c>
      <c r="I41" s="128">
        <v>542624</v>
      </c>
      <c r="J41" s="126">
        <v>317</v>
      </c>
      <c r="K41" s="128">
        <v>26303</v>
      </c>
      <c r="L41" s="126">
        <v>3400</v>
      </c>
      <c r="M41" s="128">
        <v>9854838</v>
      </c>
      <c r="N41" s="126">
        <v>3424</v>
      </c>
      <c r="O41" s="129">
        <v>79</v>
      </c>
      <c r="P41" s="129">
        <v>8</v>
      </c>
      <c r="Q41" s="130">
        <v>3511</v>
      </c>
      <c r="R41" s="77" t="s">
        <v>70</v>
      </c>
    </row>
    <row r="42" spans="1:18" ht="15.75" customHeight="1">
      <c r="A42" s="103"/>
      <c r="B42" s="126"/>
      <c r="C42" s="127"/>
      <c r="D42" s="126"/>
      <c r="E42" s="127"/>
      <c r="F42" s="126"/>
      <c r="G42" s="127"/>
      <c r="H42" s="126"/>
      <c r="I42" s="128"/>
      <c r="J42" s="126"/>
      <c r="K42" s="128"/>
      <c r="L42" s="126"/>
      <c r="M42" s="128"/>
      <c r="N42" s="126"/>
      <c r="O42" s="129"/>
      <c r="P42" s="129"/>
      <c r="Q42" s="130"/>
      <c r="R42" s="105" t="s">
        <v>39</v>
      </c>
    </row>
    <row r="43" spans="1:18" ht="15.75" customHeight="1">
      <c r="A43" s="99" t="s">
        <v>71</v>
      </c>
      <c r="B43" s="126">
        <f>_xlfn.COMPOUNDVALUE(789)</f>
        <v>5294</v>
      </c>
      <c r="C43" s="127">
        <v>147241414</v>
      </c>
      <c r="D43" s="126">
        <f>_xlfn.COMPOUNDVALUE(790)</f>
        <v>2696</v>
      </c>
      <c r="E43" s="127">
        <v>1475389</v>
      </c>
      <c r="F43" s="126">
        <f>_xlfn.COMPOUNDVALUE(791)</f>
        <v>7990</v>
      </c>
      <c r="G43" s="127">
        <v>148716802</v>
      </c>
      <c r="H43" s="126">
        <f>_xlfn.COMPOUNDVALUE(792)</f>
        <v>733</v>
      </c>
      <c r="I43" s="128">
        <v>43666068</v>
      </c>
      <c r="J43" s="126">
        <v>559</v>
      </c>
      <c r="K43" s="128">
        <v>-64010</v>
      </c>
      <c r="L43" s="126">
        <v>8852</v>
      </c>
      <c r="M43" s="128">
        <v>104986724</v>
      </c>
      <c r="N43" s="126">
        <v>8928</v>
      </c>
      <c r="O43" s="129">
        <v>476</v>
      </c>
      <c r="P43" s="129">
        <v>86</v>
      </c>
      <c r="Q43" s="130">
        <v>9490</v>
      </c>
      <c r="R43" s="86" t="s">
        <v>71</v>
      </c>
    </row>
    <row r="44" spans="1:18" ht="15.75" customHeight="1">
      <c r="A44" s="76" t="s">
        <v>72</v>
      </c>
      <c r="B44" s="126">
        <f>_xlfn.COMPOUNDVALUE(793)</f>
        <v>3101</v>
      </c>
      <c r="C44" s="127">
        <v>60714017</v>
      </c>
      <c r="D44" s="126">
        <f>_xlfn.COMPOUNDVALUE(794)</f>
        <v>2011</v>
      </c>
      <c r="E44" s="127">
        <v>1027435</v>
      </c>
      <c r="F44" s="126">
        <f>_xlfn.COMPOUNDVALUE(795)</f>
        <v>5112</v>
      </c>
      <c r="G44" s="127">
        <v>61741452</v>
      </c>
      <c r="H44" s="126">
        <f>_xlfn.COMPOUNDVALUE(796)</f>
        <v>378</v>
      </c>
      <c r="I44" s="128">
        <v>3901163</v>
      </c>
      <c r="J44" s="126">
        <v>487</v>
      </c>
      <c r="K44" s="128">
        <v>124106</v>
      </c>
      <c r="L44" s="126">
        <v>5643</v>
      </c>
      <c r="M44" s="128">
        <v>57964395</v>
      </c>
      <c r="N44" s="126">
        <v>5524</v>
      </c>
      <c r="O44" s="129">
        <v>233</v>
      </c>
      <c r="P44" s="129">
        <v>29</v>
      </c>
      <c r="Q44" s="130">
        <v>5786</v>
      </c>
      <c r="R44" s="77" t="s">
        <v>72</v>
      </c>
    </row>
    <row r="45" spans="1:18" ht="15.75" customHeight="1">
      <c r="A45" s="76" t="s">
        <v>73</v>
      </c>
      <c r="B45" s="126">
        <f>_xlfn.COMPOUNDVALUE(797)</f>
        <v>2181</v>
      </c>
      <c r="C45" s="127">
        <v>13078749</v>
      </c>
      <c r="D45" s="126">
        <f>_xlfn.COMPOUNDVALUE(798)</f>
        <v>1735</v>
      </c>
      <c r="E45" s="127">
        <v>895379</v>
      </c>
      <c r="F45" s="126">
        <f>_xlfn.COMPOUNDVALUE(799)</f>
        <v>3916</v>
      </c>
      <c r="G45" s="127">
        <v>13974127</v>
      </c>
      <c r="H45" s="126">
        <f>_xlfn.COMPOUNDVALUE(800)</f>
        <v>214</v>
      </c>
      <c r="I45" s="128">
        <v>2211125</v>
      </c>
      <c r="J45" s="126">
        <v>274</v>
      </c>
      <c r="K45" s="128">
        <v>58698</v>
      </c>
      <c r="L45" s="126">
        <v>4244</v>
      </c>
      <c r="M45" s="128">
        <v>11821700</v>
      </c>
      <c r="N45" s="126">
        <v>4371</v>
      </c>
      <c r="O45" s="129">
        <v>113</v>
      </c>
      <c r="P45" s="129">
        <v>18</v>
      </c>
      <c r="Q45" s="130">
        <v>4502</v>
      </c>
      <c r="R45" s="77" t="s">
        <v>73</v>
      </c>
    </row>
    <row r="46" spans="1:18" ht="15.75" customHeight="1">
      <c r="A46" s="76" t="s">
        <v>74</v>
      </c>
      <c r="B46" s="126">
        <f>_xlfn.COMPOUNDVALUE(801)</f>
        <v>6927</v>
      </c>
      <c r="C46" s="127">
        <v>61010251</v>
      </c>
      <c r="D46" s="126">
        <f>_xlfn.COMPOUNDVALUE(802)</f>
        <v>4292</v>
      </c>
      <c r="E46" s="127">
        <v>2538012</v>
      </c>
      <c r="F46" s="126">
        <f>_xlfn.COMPOUNDVALUE(803)</f>
        <v>11219</v>
      </c>
      <c r="G46" s="127">
        <v>63548263</v>
      </c>
      <c r="H46" s="126">
        <f>_xlfn.COMPOUNDVALUE(804)</f>
        <v>735</v>
      </c>
      <c r="I46" s="128">
        <v>5955526</v>
      </c>
      <c r="J46" s="126">
        <v>799</v>
      </c>
      <c r="K46" s="128">
        <v>230621</v>
      </c>
      <c r="L46" s="126">
        <v>12158</v>
      </c>
      <c r="M46" s="128">
        <v>57823358</v>
      </c>
      <c r="N46" s="126">
        <v>12457</v>
      </c>
      <c r="O46" s="129">
        <v>576</v>
      </c>
      <c r="P46" s="129">
        <v>138</v>
      </c>
      <c r="Q46" s="130">
        <v>13171</v>
      </c>
      <c r="R46" s="77" t="s">
        <v>74</v>
      </c>
    </row>
    <row r="47" spans="1:18" ht="15.75" customHeight="1">
      <c r="A47" s="76" t="s">
        <v>75</v>
      </c>
      <c r="B47" s="126">
        <f>_xlfn.COMPOUNDVALUE(805)</f>
        <v>4242</v>
      </c>
      <c r="C47" s="127">
        <v>44889498</v>
      </c>
      <c r="D47" s="126">
        <f>_xlfn.COMPOUNDVALUE(806)</f>
        <v>2755</v>
      </c>
      <c r="E47" s="127">
        <v>1403470</v>
      </c>
      <c r="F47" s="126">
        <f>_xlfn.COMPOUNDVALUE(807)</f>
        <v>6997</v>
      </c>
      <c r="G47" s="127">
        <v>46292968</v>
      </c>
      <c r="H47" s="126">
        <f>_xlfn.COMPOUNDVALUE(808)</f>
        <v>415</v>
      </c>
      <c r="I47" s="128">
        <v>11930877</v>
      </c>
      <c r="J47" s="126">
        <v>457</v>
      </c>
      <c r="K47" s="128">
        <v>49447</v>
      </c>
      <c r="L47" s="126">
        <v>7504</v>
      </c>
      <c r="M47" s="128">
        <v>34411538</v>
      </c>
      <c r="N47" s="126">
        <v>7763</v>
      </c>
      <c r="O47" s="129">
        <v>274</v>
      </c>
      <c r="P47" s="129">
        <v>25</v>
      </c>
      <c r="Q47" s="130">
        <v>8062</v>
      </c>
      <c r="R47" s="77" t="s">
        <v>75</v>
      </c>
    </row>
    <row r="48" spans="1:18" ht="15.75" customHeight="1">
      <c r="A48" s="76"/>
      <c r="B48" s="126"/>
      <c r="C48" s="127"/>
      <c r="D48" s="126"/>
      <c r="E48" s="127"/>
      <c r="F48" s="126"/>
      <c r="G48" s="127"/>
      <c r="H48" s="126"/>
      <c r="I48" s="128"/>
      <c r="J48" s="126"/>
      <c r="K48" s="128"/>
      <c r="L48" s="126"/>
      <c r="M48" s="128"/>
      <c r="N48" s="126"/>
      <c r="O48" s="129"/>
      <c r="P48" s="129"/>
      <c r="Q48" s="130"/>
      <c r="R48" s="77" t="s">
        <v>39</v>
      </c>
    </row>
    <row r="49" spans="1:18" ht="15.75" customHeight="1">
      <c r="A49" s="76" t="s">
        <v>76</v>
      </c>
      <c r="B49" s="126">
        <f>_xlfn.COMPOUNDVALUE(809)</f>
        <v>2460</v>
      </c>
      <c r="C49" s="127">
        <v>11532914</v>
      </c>
      <c r="D49" s="126">
        <f>_xlfn.COMPOUNDVALUE(810)</f>
        <v>2001</v>
      </c>
      <c r="E49" s="127">
        <v>1070192</v>
      </c>
      <c r="F49" s="126">
        <f>_xlfn.COMPOUNDVALUE(811)</f>
        <v>4461</v>
      </c>
      <c r="G49" s="127">
        <v>12603106</v>
      </c>
      <c r="H49" s="126">
        <f>_xlfn.COMPOUNDVALUE(812)</f>
        <v>279</v>
      </c>
      <c r="I49" s="128">
        <v>6955580</v>
      </c>
      <c r="J49" s="126">
        <v>429</v>
      </c>
      <c r="K49" s="128">
        <v>51830</v>
      </c>
      <c r="L49" s="126">
        <v>4848</v>
      </c>
      <c r="M49" s="128">
        <v>5699355</v>
      </c>
      <c r="N49" s="126">
        <v>4996</v>
      </c>
      <c r="O49" s="129">
        <v>220</v>
      </c>
      <c r="P49" s="129">
        <v>20</v>
      </c>
      <c r="Q49" s="130">
        <v>5236</v>
      </c>
      <c r="R49" s="77" t="s">
        <v>76</v>
      </c>
    </row>
    <row r="50" spans="1:18" ht="15.75" customHeight="1">
      <c r="A50" s="76" t="s">
        <v>77</v>
      </c>
      <c r="B50" s="126">
        <f>_xlfn.COMPOUNDVALUE(813)</f>
        <v>4620</v>
      </c>
      <c r="C50" s="127">
        <v>59822629</v>
      </c>
      <c r="D50" s="126">
        <f>_xlfn.COMPOUNDVALUE(814)</f>
        <v>3292</v>
      </c>
      <c r="E50" s="127">
        <v>1702555</v>
      </c>
      <c r="F50" s="126">
        <f>_xlfn.COMPOUNDVALUE(815)</f>
        <v>7912</v>
      </c>
      <c r="G50" s="127">
        <v>61525183</v>
      </c>
      <c r="H50" s="126">
        <f>_xlfn.COMPOUNDVALUE(816)</f>
        <v>366</v>
      </c>
      <c r="I50" s="128">
        <v>51690056</v>
      </c>
      <c r="J50" s="126">
        <v>762</v>
      </c>
      <c r="K50" s="128">
        <v>29420</v>
      </c>
      <c r="L50" s="126">
        <v>8492</v>
      </c>
      <c r="M50" s="128">
        <v>9864548</v>
      </c>
      <c r="N50" s="126">
        <v>8907</v>
      </c>
      <c r="O50" s="129">
        <v>241</v>
      </c>
      <c r="P50" s="129">
        <v>26</v>
      </c>
      <c r="Q50" s="130">
        <v>9174</v>
      </c>
      <c r="R50" s="77" t="s">
        <v>77</v>
      </c>
    </row>
    <row r="51" spans="1:18" ht="15.75" customHeight="1">
      <c r="A51" s="76" t="s">
        <v>78</v>
      </c>
      <c r="B51" s="126">
        <f>_xlfn.COMPOUNDVALUE(817)</f>
        <v>4932</v>
      </c>
      <c r="C51" s="127">
        <v>21286647</v>
      </c>
      <c r="D51" s="126">
        <f>_xlfn.COMPOUNDVALUE(818)</f>
        <v>3911</v>
      </c>
      <c r="E51" s="127">
        <v>2223532</v>
      </c>
      <c r="F51" s="126">
        <f>_xlfn.COMPOUNDVALUE(819)</f>
        <v>8843</v>
      </c>
      <c r="G51" s="127">
        <v>23510178</v>
      </c>
      <c r="H51" s="126">
        <f>_xlfn.COMPOUNDVALUE(820)</f>
        <v>559</v>
      </c>
      <c r="I51" s="128">
        <v>1966939</v>
      </c>
      <c r="J51" s="126">
        <v>601</v>
      </c>
      <c r="K51" s="128">
        <v>27278</v>
      </c>
      <c r="L51" s="126">
        <v>9622</v>
      </c>
      <c r="M51" s="128">
        <v>21570518</v>
      </c>
      <c r="N51" s="126">
        <v>10461</v>
      </c>
      <c r="O51" s="129">
        <v>412</v>
      </c>
      <c r="P51" s="129">
        <v>48</v>
      </c>
      <c r="Q51" s="130">
        <v>10921</v>
      </c>
      <c r="R51" s="77" t="s">
        <v>78</v>
      </c>
    </row>
    <row r="52" spans="1:18" ht="15.75" customHeight="1">
      <c r="A52" s="76" t="s">
        <v>79</v>
      </c>
      <c r="B52" s="126">
        <f>_xlfn.COMPOUNDVALUE(821)</f>
        <v>4305</v>
      </c>
      <c r="C52" s="127">
        <v>20642874</v>
      </c>
      <c r="D52" s="126">
        <f>_xlfn.COMPOUNDVALUE(822)</f>
        <v>3743</v>
      </c>
      <c r="E52" s="127">
        <v>2051583</v>
      </c>
      <c r="F52" s="126">
        <f>_xlfn.COMPOUNDVALUE(823)</f>
        <v>8048</v>
      </c>
      <c r="G52" s="127">
        <v>22694457</v>
      </c>
      <c r="H52" s="126">
        <f>_xlfn.COMPOUNDVALUE(824)</f>
        <v>363</v>
      </c>
      <c r="I52" s="128">
        <v>621977</v>
      </c>
      <c r="J52" s="126">
        <v>563</v>
      </c>
      <c r="K52" s="128">
        <v>136810</v>
      </c>
      <c r="L52" s="126">
        <v>8637</v>
      </c>
      <c r="M52" s="128">
        <v>22209290</v>
      </c>
      <c r="N52" s="126">
        <v>9468</v>
      </c>
      <c r="O52" s="129">
        <v>311</v>
      </c>
      <c r="P52" s="129">
        <v>39</v>
      </c>
      <c r="Q52" s="130">
        <v>9818</v>
      </c>
      <c r="R52" s="77" t="s">
        <v>79</v>
      </c>
    </row>
    <row r="53" spans="1:18" ht="15.75" customHeight="1">
      <c r="A53" s="76" t="s">
        <v>80</v>
      </c>
      <c r="B53" s="126">
        <f>_xlfn.COMPOUNDVALUE(825)</f>
        <v>4282</v>
      </c>
      <c r="C53" s="127">
        <v>38482703</v>
      </c>
      <c r="D53" s="126">
        <f>_xlfn.COMPOUNDVALUE(826)</f>
        <v>3370</v>
      </c>
      <c r="E53" s="127">
        <v>1886513</v>
      </c>
      <c r="F53" s="126">
        <f>_xlfn.COMPOUNDVALUE(827)</f>
        <v>7652</v>
      </c>
      <c r="G53" s="127">
        <v>40369215</v>
      </c>
      <c r="H53" s="126">
        <f>_xlfn.COMPOUNDVALUE(828)</f>
        <v>552</v>
      </c>
      <c r="I53" s="128">
        <v>3687009</v>
      </c>
      <c r="J53" s="126">
        <v>580</v>
      </c>
      <c r="K53" s="128">
        <v>-33669</v>
      </c>
      <c r="L53" s="126">
        <v>8356</v>
      </c>
      <c r="M53" s="128">
        <v>36648537</v>
      </c>
      <c r="N53" s="126">
        <v>8830</v>
      </c>
      <c r="O53" s="129">
        <v>399</v>
      </c>
      <c r="P53" s="129">
        <v>53</v>
      </c>
      <c r="Q53" s="130">
        <v>9282</v>
      </c>
      <c r="R53" s="77" t="s">
        <v>80</v>
      </c>
    </row>
    <row r="54" spans="1:18" ht="15.75" customHeight="1">
      <c r="A54" s="76"/>
      <c r="B54" s="126"/>
      <c r="C54" s="127"/>
      <c r="D54" s="126"/>
      <c r="E54" s="127"/>
      <c r="F54" s="126"/>
      <c r="G54" s="127"/>
      <c r="H54" s="126"/>
      <c r="I54" s="128"/>
      <c r="J54" s="126"/>
      <c r="K54" s="128"/>
      <c r="L54" s="126"/>
      <c r="M54" s="128"/>
      <c r="N54" s="126"/>
      <c r="O54" s="129"/>
      <c r="P54" s="129"/>
      <c r="Q54" s="130"/>
      <c r="R54" s="77" t="s">
        <v>39</v>
      </c>
    </row>
    <row r="55" spans="1:18" ht="15.75" customHeight="1">
      <c r="A55" s="76" t="s">
        <v>81</v>
      </c>
      <c r="B55" s="126">
        <f>_xlfn.COMPOUNDVALUE(829)</f>
        <v>21408</v>
      </c>
      <c r="C55" s="127">
        <v>452656294</v>
      </c>
      <c r="D55" s="126">
        <f>_xlfn.COMPOUNDVALUE(830)</f>
        <v>8136</v>
      </c>
      <c r="E55" s="127">
        <v>5594026</v>
      </c>
      <c r="F55" s="126">
        <f>_xlfn.COMPOUNDVALUE(831)</f>
        <v>29544</v>
      </c>
      <c r="G55" s="127">
        <v>458250319</v>
      </c>
      <c r="H55" s="126">
        <f>_xlfn.COMPOUNDVALUE(832)</f>
        <v>2827</v>
      </c>
      <c r="I55" s="128">
        <v>87032303</v>
      </c>
      <c r="J55" s="126">
        <v>2226</v>
      </c>
      <c r="K55" s="128">
        <v>1408202</v>
      </c>
      <c r="L55" s="126">
        <v>32908</v>
      </c>
      <c r="M55" s="128">
        <v>372626218</v>
      </c>
      <c r="N55" s="126">
        <v>33800</v>
      </c>
      <c r="O55" s="129">
        <v>1600</v>
      </c>
      <c r="P55" s="129">
        <v>671</v>
      </c>
      <c r="Q55" s="130">
        <v>36071</v>
      </c>
      <c r="R55" s="77" t="s">
        <v>81</v>
      </c>
    </row>
    <row r="56" spans="1:18" ht="15.75" customHeight="1">
      <c r="A56" s="76" t="s">
        <v>82</v>
      </c>
      <c r="B56" s="126">
        <f>_xlfn.COMPOUNDVALUE(833)</f>
        <v>5044</v>
      </c>
      <c r="C56" s="127">
        <v>69812719</v>
      </c>
      <c r="D56" s="126">
        <f>_xlfn.COMPOUNDVALUE(834)</f>
        <v>3488</v>
      </c>
      <c r="E56" s="127">
        <v>1929853</v>
      </c>
      <c r="F56" s="126">
        <f>_xlfn.COMPOUNDVALUE(835)</f>
        <v>8532</v>
      </c>
      <c r="G56" s="127">
        <v>71742572</v>
      </c>
      <c r="H56" s="126">
        <f>_xlfn.COMPOUNDVALUE(836)</f>
        <v>599</v>
      </c>
      <c r="I56" s="128">
        <v>2655934</v>
      </c>
      <c r="J56" s="126">
        <v>769</v>
      </c>
      <c r="K56" s="128">
        <v>54668</v>
      </c>
      <c r="L56" s="126">
        <v>9337</v>
      </c>
      <c r="M56" s="128">
        <v>69141306</v>
      </c>
      <c r="N56" s="126">
        <v>9909</v>
      </c>
      <c r="O56" s="129">
        <v>374</v>
      </c>
      <c r="P56" s="129">
        <v>69</v>
      </c>
      <c r="Q56" s="130">
        <v>10352</v>
      </c>
      <c r="R56" s="77" t="s">
        <v>82</v>
      </c>
    </row>
    <row r="57" spans="1:18" ht="15.75" customHeight="1">
      <c r="A57" s="76" t="s">
        <v>83</v>
      </c>
      <c r="B57" s="126">
        <f>_xlfn.COMPOUNDVALUE(837)</f>
        <v>4150</v>
      </c>
      <c r="C57" s="127">
        <v>22380092</v>
      </c>
      <c r="D57" s="126">
        <f>_xlfn.COMPOUNDVALUE(838)</f>
        <v>3249</v>
      </c>
      <c r="E57" s="127">
        <v>1760180</v>
      </c>
      <c r="F57" s="126">
        <f>_xlfn.COMPOUNDVALUE(839)</f>
        <v>7399</v>
      </c>
      <c r="G57" s="127">
        <v>24140272</v>
      </c>
      <c r="H57" s="126">
        <f>_xlfn.COMPOUNDVALUE(840)</f>
        <v>444</v>
      </c>
      <c r="I57" s="128">
        <v>2482161</v>
      </c>
      <c r="J57" s="126">
        <v>488</v>
      </c>
      <c r="K57" s="128">
        <v>98357</v>
      </c>
      <c r="L57" s="126">
        <v>8024</v>
      </c>
      <c r="M57" s="128">
        <v>21756468</v>
      </c>
      <c r="N57" s="126">
        <v>8351</v>
      </c>
      <c r="O57" s="129">
        <v>347</v>
      </c>
      <c r="P57" s="129">
        <v>27</v>
      </c>
      <c r="Q57" s="130">
        <v>8725</v>
      </c>
      <c r="R57" s="77" t="s">
        <v>83</v>
      </c>
    </row>
    <row r="58" spans="1:18" ht="15.75" customHeight="1">
      <c r="A58" s="76" t="s">
        <v>84</v>
      </c>
      <c r="B58" s="126">
        <f>_xlfn.COMPOUNDVALUE(841)</f>
        <v>2985</v>
      </c>
      <c r="C58" s="127">
        <v>15093174</v>
      </c>
      <c r="D58" s="126">
        <f>_xlfn.COMPOUNDVALUE(842)</f>
        <v>2575</v>
      </c>
      <c r="E58" s="127">
        <v>1452969</v>
      </c>
      <c r="F58" s="126">
        <f>_xlfn.COMPOUNDVALUE(843)</f>
        <v>5560</v>
      </c>
      <c r="G58" s="127">
        <v>16546143</v>
      </c>
      <c r="H58" s="126">
        <f>_xlfn.COMPOUNDVALUE(844)</f>
        <v>387</v>
      </c>
      <c r="I58" s="128">
        <v>995011</v>
      </c>
      <c r="J58" s="126">
        <v>366</v>
      </c>
      <c r="K58" s="128">
        <v>87378</v>
      </c>
      <c r="L58" s="126">
        <v>6051</v>
      </c>
      <c r="M58" s="128">
        <v>15638509</v>
      </c>
      <c r="N58" s="126">
        <v>6328</v>
      </c>
      <c r="O58" s="129">
        <v>287</v>
      </c>
      <c r="P58" s="129">
        <v>30</v>
      </c>
      <c r="Q58" s="130">
        <v>6645</v>
      </c>
      <c r="R58" s="77" t="s">
        <v>84</v>
      </c>
    </row>
    <row r="59" spans="1:18" ht="15.75" customHeight="1">
      <c r="A59" s="76" t="s">
        <v>85</v>
      </c>
      <c r="B59" s="126">
        <f>_xlfn.COMPOUNDVALUE(845)</f>
        <v>9118</v>
      </c>
      <c r="C59" s="127">
        <v>115947506</v>
      </c>
      <c r="D59" s="126">
        <f>_xlfn.COMPOUNDVALUE(846)</f>
        <v>4604</v>
      </c>
      <c r="E59" s="127">
        <v>2763274</v>
      </c>
      <c r="F59" s="126">
        <f>_xlfn.COMPOUNDVALUE(847)</f>
        <v>13722</v>
      </c>
      <c r="G59" s="127">
        <v>118710780</v>
      </c>
      <c r="H59" s="126">
        <f>_xlfn.COMPOUNDVALUE(848)</f>
        <v>1372</v>
      </c>
      <c r="I59" s="128">
        <v>9174236</v>
      </c>
      <c r="J59" s="126">
        <v>1055</v>
      </c>
      <c r="K59" s="128">
        <v>516292</v>
      </c>
      <c r="L59" s="126">
        <v>15349</v>
      </c>
      <c r="M59" s="128">
        <v>110052835</v>
      </c>
      <c r="N59" s="126">
        <v>15376</v>
      </c>
      <c r="O59" s="129">
        <v>714</v>
      </c>
      <c r="P59" s="129">
        <v>181</v>
      </c>
      <c r="Q59" s="130">
        <v>16271</v>
      </c>
      <c r="R59" s="77" t="s">
        <v>85</v>
      </c>
    </row>
    <row r="60" spans="1:18" ht="15.75" customHeight="1">
      <c r="A60" s="76"/>
      <c r="B60" s="126"/>
      <c r="C60" s="127"/>
      <c r="D60" s="126"/>
      <c r="E60" s="127"/>
      <c r="F60" s="126"/>
      <c r="G60" s="127"/>
      <c r="H60" s="126"/>
      <c r="I60" s="128"/>
      <c r="J60" s="126"/>
      <c r="K60" s="128"/>
      <c r="L60" s="126"/>
      <c r="M60" s="128"/>
      <c r="N60" s="126"/>
      <c r="O60" s="129"/>
      <c r="P60" s="129"/>
      <c r="Q60" s="130"/>
      <c r="R60" s="77" t="s">
        <v>39</v>
      </c>
    </row>
    <row r="61" spans="1:18" ht="15.75" customHeight="1">
      <c r="A61" s="76" t="s">
        <v>86</v>
      </c>
      <c r="B61" s="126">
        <f>_xlfn.COMPOUNDVALUE(849)</f>
        <v>4563</v>
      </c>
      <c r="C61" s="127">
        <v>49064329</v>
      </c>
      <c r="D61" s="126">
        <f>_xlfn.COMPOUNDVALUE(850)</f>
        <v>3170</v>
      </c>
      <c r="E61" s="127">
        <v>1639113</v>
      </c>
      <c r="F61" s="126">
        <f>_xlfn.COMPOUNDVALUE(851)</f>
        <v>7733</v>
      </c>
      <c r="G61" s="127">
        <v>50703441</v>
      </c>
      <c r="H61" s="126">
        <f>_xlfn.COMPOUNDVALUE(852)</f>
        <v>485</v>
      </c>
      <c r="I61" s="128">
        <v>2783460</v>
      </c>
      <c r="J61" s="126">
        <v>551</v>
      </c>
      <c r="K61" s="128">
        <v>67585</v>
      </c>
      <c r="L61" s="126">
        <v>8377</v>
      </c>
      <c r="M61" s="128">
        <v>47987566</v>
      </c>
      <c r="N61" s="126">
        <v>8575</v>
      </c>
      <c r="O61" s="129">
        <v>249</v>
      </c>
      <c r="P61" s="129">
        <v>30</v>
      </c>
      <c r="Q61" s="130">
        <v>8854</v>
      </c>
      <c r="R61" s="77" t="s">
        <v>86</v>
      </c>
    </row>
    <row r="62" spans="1:18" ht="15.75" customHeight="1">
      <c r="A62" s="76" t="s">
        <v>87</v>
      </c>
      <c r="B62" s="126">
        <f>_xlfn.COMPOUNDVALUE(853)</f>
        <v>3935</v>
      </c>
      <c r="C62" s="127">
        <v>26861228</v>
      </c>
      <c r="D62" s="126">
        <f>_xlfn.COMPOUNDVALUE(854)</f>
        <v>2551</v>
      </c>
      <c r="E62" s="127">
        <v>1241233</v>
      </c>
      <c r="F62" s="126">
        <f>_xlfn.COMPOUNDVALUE(855)</f>
        <v>6486</v>
      </c>
      <c r="G62" s="127">
        <v>28102460</v>
      </c>
      <c r="H62" s="126">
        <f>_xlfn.COMPOUNDVALUE(856)</f>
        <v>428</v>
      </c>
      <c r="I62" s="128">
        <v>1397678</v>
      </c>
      <c r="J62" s="126">
        <v>448</v>
      </c>
      <c r="K62" s="128">
        <v>148218</v>
      </c>
      <c r="L62" s="126">
        <v>7049</v>
      </c>
      <c r="M62" s="128">
        <v>26853001</v>
      </c>
      <c r="N62" s="126">
        <v>6993</v>
      </c>
      <c r="O62" s="129">
        <v>252</v>
      </c>
      <c r="P62" s="129">
        <v>22</v>
      </c>
      <c r="Q62" s="130">
        <v>7267</v>
      </c>
      <c r="R62" s="77" t="s">
        <v>87</v>
      </c>
    </row>
    <row r="63" spans="1:18" ht="15.75" customHeight="1">
      <c r="A63" s="76" t="s">
        <v>88</v>
      </c>
      <c r="B63" s="126">
        <f>_xlfn.COMPOUNDVALUE(857)</f>
        <v>7442</v>
      </c>
      <c r="C63" s="127">
        <v>47284100</v>
      </c>
      <c r="D63" s="126">
        <f>_xlfn.COMPOUNDVALUE(858)</f>
        <v>5005</v>
      </c>
      <c r="E63" s="127">
        <v>2576469</v>
      </c>
      <c r="F63" s="126">
        <f>_xlfn.COMPOUNDVALUE(859)</f>
        <v>12447</v>
      </c>
      <c r="G63" s="127">
        <v>49860570</v>
      </c>
      <c r="H63" s="126">
        <f>_xlfn.COMPOUNDVALUE(860)</f>
        <v>644</v>
      </c>
      <c r="I63" s="128">
        <v>5899524</v>
      </c>
      <c r="J63" s="126">
        <v>998</v>
      </c>
      <c r="K63" s="128">
        <v>142889</v>
      </c>
      <c r="L63" s="126">
        <v>13356</v>
      </c>
      <c r="M63" s="128">
        <v>44103935</v>
      </c>
      <c r="N63" s="126">
        <v>13749</v>
      </c>
      <c r="O63" s="129">
        <v>415</v>
      </c>
      <c r="P63" s="129">
        <v>56</v>
      </c>
      <c r="Q63" s="130">
        <v>14220</v>
      </c>
      <c r="R63" s="77" t="s">
        <v>88</v>
      </c>
    </row>
    <row r="64" spans="1:18" ht="15.75" customHeight="1">
      <c r="A64" s="76" t="s">
        <v>89</v>
      </c>
      <c r="B64" s="126">
        <f>_xlfn.COMPOUNDVALUE(861)</f>
        <v>5211</v>
      </c>
      <c r="C64" s="127">
        <v>19449356</v>
      </c>
      <c r="D64" s="126">
        <f>_xlfn.COMPOUNDVALUE(862)</f>
        <v>4124</v>
      </c>
      <c r="E64" s="127">
        <v>2148752</v>
      </c>
      <c r="F64" s="126">
        <f>_xlfn.COMPOUNDVALUE(863)</f>
        <v>9335</v>
      </c>
      <c r="G64" s="127">
        <v>21598109</v>
      </c>
      <c r="H64" s="126">
        <f>_xlfn.COMPOUNDVALUE(864)</f>
        <v>531</v>
      </c>
      <c r="I64" s="128">
        <v>3984159</v>
      </c>
      <c r="J64" s="126">
        <v>695</v>
      </c>
      <c r="K64" s="128">
        <v>88056</v>
      </c>
      <c r="L64" s="126">
        <v>10070</v>
      </c>
      <c r="M64" s="128">
        <v>17702005</v>
      </c>
      <c r="N64" s="126">
        <v>10373</v>
      </c>
      <c r="O64" s="129">
        <v>369</v>
      </c>
      <c r="P64" s="129">
        <v>35</v>
      </c>
      <c r="Q64" s="130">
        <v>10777</v>
      </c>
      <c r="R64" s="77" t="s">
        <v>89</v>
      </c>
    </row>
    <row r="65" spans="1:18" ht="15.75" customHeight="1">
      <c r="A65" s="78" t="s">
        <v>90</v>
      </c>
      <c r="B65" s="131">
        <f>_xlfn.COMPOUNDVALUE(865)</f>
        <v>3128</v>
      </c>
      <c r="C65" s="132">
        <v>9811970</v>
      </c>
      <c r="D65" s="131">
        <f>_xlfn.COMPOUNDVALUE(866)</f>
        <v>2759</v>
      </c>
      <c r="E65" s="132">
        <v>1427952</v>
      </c>
      <c r="F65" s="131">
        <f>_xlfn.COMPOUNDVALUE(867)</f>
        <v>5887</v>
      </c>
      <c r="G65" s="132">
        <v>11239921</v>
      </c>
      <c r="H65" s="131">
        <f>_xlfn.COMPOUNDVALUE(868)</f>
        <v>262</v>
      </c>
      <c r="I65" s="133">
        <v>553576</v>
      </c>
      <c r="J65" s="131">
        <v>406</v>
      </c>
      <c r="K65" s="133">
        <v>9841</v>
      </c>
      <c r="L65" s="131">
        <v>6288</v>
      </c>
      <c r="M65" s="133">
        <v>10696186</v>
      </c>
      <c r="N65" s="126">
        <v>6545</v>
      </c>
      <c r="O65" s="129">
        <v>176</v>
      </c>
      <c r="P65" s="129">
        <v>17</v>
      </c>
      <c r="Q65" s="130">
        <v>6738</v>
      </c>
      <c r="R65" s="77" t="s">
        <v>90</v>
      </c>
    </row>
    <row r="66" spans="1:18" ht="15.75" customHeight="1">
      <c r="A66" s="78"/>
      <c r="B66" s="131"/>
      <c r="C66" s="132"/>
      <c r="D66" s="131"/>
      <c r="E66" s="132"/>
      <c r="F66" s="131"/>
      <c r="G66" s="132"/>
      <c r="H66" s="131"/>
      <c r="I66" s="133"/>
      <c r="J66" s="131"/>
      <c r="K66" s="133"/>
      <c r="L66" s="131"/>
      <c r="M66" s="133"/>
      <c r="N66" s="126"/>
      <c r="O66" s="129"/>
      <c r="P66" s="129"/>
      <c r="Q66" s="130"/>
      <c r="R66" s="77" t="s">
        <v>39</v>
      </c>
    </row>
    <row r="67" spans="1:18" ht="15.75" customHeight="1">
      <c r="A67" s="78" t="s">
        <v>91</v>
      </c>
      <c r="B67" s="131">
        <f>_xlfn.COMPOUNDVALUE(869)</f>
        <v>5662</v>
      </c>
      <c r="C67" s="132">
        <v>24667218</v>
      </c>
      <c r="D67" s="131">
        <f>_xlfn.COMPOUNDVALUE(870)</f>
        <v>3774</v>
      </c>
      <c r="E67" s="132">
        <v>1991297</v>
      </c>
      <c r="F67" s="131">
        <f>_xlfn.COMPOUNDVALUE(871)</f>
        <v>9436</v>
      </c>
      <c r="G67" s="132">
        <v>26658515</v>
      </c>
      <c r="H67" s="131">
        <f>_xlfn.COMPOUNDVALUE(872)</f>
        <v>449</v>
      </c>
      <c r="I67" s="133">
        <v>2954358</v>
      </c>
      <c r="J67" s="131">
        <v>673</v>
      </c>
      <c r="K67" s="133">
        <v>118482</v>
      </c>
      <c r="L67" s="131">
        <v>10053</v>
      </c>
      <c r="M67" s="133">
        <v>23822639</v>
      </c>
      <c r="N67" s="126">
        <v>10319</v>
      </c>
      <c r="O67" s="129">
        <v>267</v>
      </c>
      <c r="P67" s="129">
        <v>39</v>
      </c>
      <c r="Q67" s="130">
        <v>10625</v>
      </c>
      <c r="R67" s="77" t="s">
        <v>91</v>
      </c>
    </row>
    <row r="68" spans="1:18" ht="15.75" customHeight="1">
      <c r="A68" s="78" t="s">
        <v>92</v>
      </c>
      <c r="B68" s="131">
        <f>_xlfn.COMPOUNDVALUE(873)</f>
        <v>4525</v>
      </c>
      <c r="C68" s="132">
        <v>18907638</v>
      </c>
      <c r="D68" s="131">
        <f>_xlfn.COMPOUNDVALUE(874)</f>
        <v>3193</v>
      </c>
      <c r="E68" s="132">
        <v>1597258</v>
      </c>
      <c r="F68" s="131">
        <f>_xlfn.COMPOUNDVALUE(875)</f>
        <v>7718</v>
      </c>
      <c r="G68" s="132">
        <v>20504897</v>
      </c>
      <c r="H68" s="131">
        <f>_xlfn.COMPOUNDVALUE(876)</f>
        <v>326</v>
      </c>
      <c r="I68" s="133">
        <v>1604516</v>
      </c>
      <c r="J68" s="131">
        <v>529</v>
      </c>
      <c r="K68" s="133">
        <v>41689</v>
      </c>
      <c r="L68" s="131">
        <v>8211</v>
      </c>
      <c r="M68" s="133">
        <v>18942069</v>
      </c>
      <c r="N68" s="126">
        <v>8520</v>
      </c>
      <c r="O68" s="129">
        <v>174</v>
      </c>
      <c r="P68" s="129">
        <v>25</v>
      </c>
      <c r="Q68" s="130">
        <v>8719</v>
      </c>
      <c r="R68" s="77" t="s">
        <v>92</v>
      </c>
    </row>
    <row r="69" spans="1:18" ht="15.75" customHeight="1">
      <c r="A69" s="78" t="s">
        <v>93</v>
      </c>
      <c r="B69" s="131">
        <f>_xlfn.COMPOUNDVALUE(877)</f>
        <v>5909</v>
      </c>
      <c r="C69" s="132">
        <v>22473836</v>
      </c>
      <c r="D69" s="131">
        <f>_xlfn.COMPOUNDVALUE(878)</f>
        <v>4660</v>
      </c>
      <c r="E69" s="132">
        <v>2324064</v>
      </c>
      <c r="F69" s="131">
        <f>_xlfn.COMPOUNDVALUE(879)</f>
        <v>10569</v>
      </c>
      <c r="G69" s="132">
        <v>24797900</v>
      </c>
      <c r="H69" s="131">
        <f>_xlfn.COMPOUNDVALUE(880)</f>
        <v>548</v>
      </c>
      <c r="I69" s="133">
        <v>2204605</v>
      </c>
      <c r="J69" s="131">
        <v>922</v>
      </c>
      <c r="K69" s="133">
        <v>38103</v>
      </c>
      <c r="L69" s="131">
        <v>11366</v>
      </c>
      <c r="M69" s="133">
        <v>22631398</v>
      </c>
      <c r="N69" s="126">
        <v>11520</v>
      </c>
      <c r="O69" s="129">
        <v>292</v>
      </c>
      <c r="P69" s="129">
        <v>33</v>
      </c>
      <c r="Q69" s="130">
        <v>11845</v>
      </c>
      <c r="R69" s="77" t="s">
        <v>93</v>
      </c>
    </row>
    <row r="70" spans="1:18" ht="15.75" customHeight="1">
      <c r="A70" s="78" t="s">
        <v>94</v>
      </c>
      <c r="B70" s="131">
        <f>_xlfn.COMPOUNDVALUE(881)</f>
        <v>6645</v>
      </c>
      <c r="C70" s="132">
        <v>25898328</v>
      </c>
      <c r="D70" s="131">
        <f>_xlfn.COMPOUNDVALUE(882)</f>
        <v>4636</v>
      </c>
      <c r="E70" s="132">
        <v>2369171</v>
      </c>
      <c r="F70" s="131">
        <f>_xlfn.COMPOUNDVALUE(883)</f>
        <v>11281</v>
      </c>
      <c r="G70" s="132">
        <v>28267499</v>
      </c>
      <c r="H70" s="131">
        <f>_xlfn.COMPOUNDVALUE(884)</f>
        <v>567</v>
      </c>
      <c r="I70" s="133">
        <v>2238165</v>
      </c>
      <c r="J70" s="131">
        <v>694</v>
      </c>
      <c r="K70" s="133">
        <v>224639</v>
      </c>
      <c r="L70" s="131">
        <v>12076</v>
      </c>
      <c r="M70" s="133">
        <v>26253974</v>
      </c>
      <c r="N70" s="126">
        <v>12438</v>
      </c>
      <c r="O70" s="129">
        <v>278</v>
      </c>
      <c r="P70" s="129">
        <v>31</v>
      </c>
      <c r="Q70" s="130">
        <v>12747</v>
      </c>
      <c r="R70" s="77" t="s">
        <v>94</v>
      </c>
    </row>
    <row r="71" spans="1:18" ht="15.75" customHeight="1">
      <c r="A71" s="78" t="s">
        <v>95</v>
      </c>
      <c r="B71" s="131">
        <f>_xlfn.COMPOUNDVALUE(885)</f>
        <v>3167</v>
      </c>
      <c r="C71" s="132">
        <v>17540897</v>
      </c>
      <c r="D71" s="131">
        <f>_xlfn.COMPOUNDVALUE(886)</f>
        <v>1964</v>
      </c>
      <c r="E71" s="132">
        <v>1148902</v>
      </c>
      <c r="F71" s="131">
        <f>_xlfn.COMPOUNDVALUE(887)</f>
        <v>5131</v>
      </c>
      <c r="G71" s="132">
        <v>18689798</v>
      </c>
      <c r="H71" s="131">
        <f>_xlfn.COMPOUNDVALUE(888)</f>
        <v>254</v>
      </c>
      <c r="I71" s="133">
        <v>1319745</v>
      </c>
      <c r="J71" s="131">
        <v>388</v>
      </c>
      <c r="K71" s="133">
        <v>52516</v>
      </c>
      <c r="L71" s="131">
        <v>5485</v>
      </c>
      <c r="M71" s="133">
        <v>17422570</v>
      </c>
      <c r="N71" s="126">
        <v>5744</v>
      </c>
      <c r="O71" s="129">
        <v>204</v>
      </c>
      <c r="P71" s="129">
        <v>23</v>
      </c>
      <c r="Q71" s="130">
        <v>5971</v>
      </c>
      <c r="R71" s="77" t="s">
        <v>95</v>
      </c>
    </row>
    <row r="72" spans="1:18" ht="15.75" customHeight="1">
      <c r="A72" s="165" t="s">
        <v>96</v>
      </c>
      <c r="B72" s="166">
        <v>260672</v>
      </c>
      <c r="C72" s="167">
        <v>5570955318</v>
      </c>
      <c r="D72" s="166">
        <v>134700</v>
      </c>
      <c r="E72" s="167">
        <v>80609879</v>
      </c>
      <c r="F72" s="166">
        <v>395372</v>
      </c>
      <c r="G72" s="167">
        <v>5651565191</v>
      </c>
      <c r="H72" s="166">
        <v>40752</v>
      </c>
      <c r="I72" s="168">
        <v>1811748113</v>
      </c>
      <c r="J72" s="166">
        <v>30907</v>
      </c>
      <c r="K72" s="168">
        <v>9875196</v>
      </c>
      <c r="L72" s="166">
        <v>443515</v>
      </c>
      <c r="M72" s="168">
        <v>3849692273</v>
      </c>
      <c r="N72" s="166">
        <v>441113</v>
      </c>
      <c r="O72" s="188">
        <v>26047</v>
      </c>
      <c r="P72" s="188">
        <v>5543</v>
      </c>
      <c r="Q72" s="189">
        <v>472703</v>
      </c>
      <c r="R72" s="169" t="s">
        <v>97</v>
      </c>
    </row>
    <row r="73" spans="1:18" ht="15.75" customHeight="1">
      <c r="A73" s="180"/>
      <c r="B73" s="181"/>
      <c r="C73" s="182"/>
      <c r="D73" s="181"/>
      <c r="E73" s="182"/>
      <c r="F73" s="181"/>
      <c r="G73" s="182"/>
      <c r="H73" s="181"/>
      <c r="I73" s="183"/>
      <c r="J73" s="181"/>
      <c r="K73" s="183"/>
      <c r="L73" s="181"/>
      <c r="M73" s="183"/>
      <c r="N73" s="193"/>
      <c r="O73" s="194"/>
      <c r="P73" s="194"/>
      <c r="Q73" s="195"/>
      <c r="R73" s="184" t="s">
        <v>39</v>
      </c>
    </row>
    <row r="74" spans="1:18" ht="15.75" customHeight="1">
      <c r="A74" s="76" t="s">
        <v>98</v>
      </c>
      <c r="B74" s="126">
        <f>_xlfn.COMPOUNDVALUE(889)</f>
        <v>5853</v>
      </c>
      <c r="C74" s="127">
        <v>28225201</v>
      </c>
      <c r="D74" s="126">
        <f>_xlfn.COMPOUNDVALUE(890)</f>
        <v>4584</v>
      </c>
      <c r="E74" s="127">
        <v>2357880</v>
      </c>
      <c r="F74" s="126">
        <f>_xlfn.COMPOUNDVALUE(891)</f>
        <v>10437</v>
      </c>
      <c r="G74" s="127">
        <v>30583082</v>
      </c>
      <c r="H74" s="126">
        <f>_xlfn.COMPOUNDVALUE(892)</f>
        <v>443</v>
      </c>
      <c r="I74" s="128">
        <v>6697846</v>
      </c>
      <c r="J74" s="126">
        <v>687</v>
      </c>
      <c r="K74" s="128">
        <v>81488</v>
      </c>
      <c r="L74" s="126">
        <v>11065</v>
      </c>
      <c r="M74" s="128">
        <v>23966724</v>
      </c>
      <c r="N74" s="126">
        <v>11285</v>
      </c>
      <c r="O74" s="129">
        <v>318</v>
      </c>
      <c r="P74" s="129">
        <v>19</v>
      </c>
      <c r="Q74" s="130">
        <v>11622</v>
      </c>
      <c r="R74" s="86" t="s">
        <v>98</v>
      </c>
    </row>
    <row r="75" spans="1:18" ht="15.75" customHeight="1">
      <c r="A75" s="78" t="s">
        <v>99</v>
      </c>
      <c r="B75" s="131">
        <f>_xlfn.COMPOUNDVALUE(893)</f>
        <v>7299</v>
      </c>
      <c r="C75" s="132">
        <v>40468321</v>
      </c>
      <c r="D75" s="131">
        <f>_xlfn.COMPOUNDVALUE(894)</f>
        <v>5789</v>
      </c>
      <c r="E75" s="132">
        <v>3063555</v>
      </c>
      <c r="F75" s="131">
        <f>_xlfn.COMPOUNDVALUE(895)</f>
        <v>13088</v>
      </c>
      <c r="G75" s="132">
        <v>43531876</v>
      </c>
      <c r="H75" s="131">
        <f>_xlfn.COMPOUNDVALUE(896)</f>
        <v>582</v>
      </c>
      <c r="I75" s="133">
        <v>5786020</v>
      </c>
      <c r="J75" s="131">
        <v>975</v>
      </c>
      <c r="K75" s="133">
        <v>226364</v>
      </c>
      <c r="L75" s="131">
        <v>14023</v>
      </c>
      <c r="M75" s="133">
        <v>37972220</v>
      </c>
      <c r="N75" s="126">
        <v>14022</v>
      </c>
      <c r="O75" s="129">
        <v>411</v>
      </c>
      <c r="P75" s="129">
        <v>44</v>
      </c>
      <c r="Q75" s="130">
        <v>14477</v>
      </c>
      <c r="R75" s="77" t="s">
        <v>99</v>
      </c>
    </row>
    <row r="76" spans="1:18" ht="15.75" customHeight="1">
      <c r="A76" s="78" t="s">
        <v>100</v>
      </c>
      <c r="B76" s="131">
        <f>_xlfn.COMPOUNDVALUE(897)</f>
        <v>4956</v>
      </c>
      <c r="C76" s="132">
        <v>35405600</v>
      </c>
      <c r="D76" s="131">
        <f>_xlfn.COMPOUNDVALUE(898)</f>
        <v>4498</v>
      </c>
      <c r="E76" s="132">
        <v>2455097</v>
      </c>
      <c r="F76" s="131">
        <f>_xlfn.COMPOUNDVALUE(899)</f>
        <v>9454</v>
      </c>
      <c r="G76" s="132">
        <v>37860696</v>
      </c>
      <c r="H76" s="131">
        <f>_xlfn.COMPOUNDVALUE(900)</f>
        <v>580</v>
      </c>
      <c r="I76" s="133">
        <v>7147731</v>
      </c>
      <c r="J76" s="131">
        <v>525</v>
      </c>
      <c r="K76" s="133">
        <v>191127</v>
      </c>
      <c r="L76" s="131">
        <v>10168</v>
      </c>
      <c r="M76" s="133">
        <v>30904092</v>
      </c>
      <c r="N76" s="126">
        <v>10469</v>
      </c>
      <c r="O76" s="129">
        <v>364</v>
      </c>
      <c r="P76" s="129">
        <v>32</v>
      </c>
      <c r="Q76" s="130">
        <v>10865</v>
      </c>
      <c r="R76" s="77" t="s">
        <v>100</v>
      </c>
    </row>
    <row r="77" spans="1:18" ht="15.75" customHeight="1">
      <c r="A77" s="78" t="s">
        <v>101</v>
      </c>
      <c r="B77" s="131">
        <f>_xlfn.COMPOUNDVALUE(901)</f>
        <v>4390</v>
      </c>
      <c r="C77" s="132">
        <v>20575786</v>
      </c>
      <c r="D77" s="131">
        <f>_xlfn.COMPOUNDVALUE(902)</f>
        <v>3646</v>
      </c>
      <c r="E77" s="132">
        <v>1826160</v>
      </c>
      <c r="F77" s="131">
        <f>_xlfn.COMPOUNDVALUE(903)</f>
        <v>8036</v>
      </c>
      <c r="G77" s="132">
        <v>22401946</v>
      </c>
      <c r="H77" s="131">
        <f>_xlfn.COMPOUNDVALUE(904)</f>
        <v>308</v>
      </c>
      <c r="I77" s="133">
        <v>3943897</v>
      </c>
      <c r="J77" s="131">
        <v>503</v>
      </c>
      <c r="K77" s="133">
        <v>82406</v>
      </c>
      <c r="L77" s="131">
        <v>8507</v>
      </c>
      <c r="M77" s="133">
        <v>18540455</v>
      </c>
      <c r="N77" s="126">
        <v>8832</v>
      </c>
      <c r="O77" s="129">
        <v>184</v>
      </c>
      <c r="P77" s="129">
        <v>23</v>
      </c>
      <c r="Q77" s="130">
        <v>9039</v>
      </c>
      <c r="R77" s="77" t="s">
        <v>101</v>
      </c>
    </row>
    <row r="78" spans="1:18" ht="15.75" customHeight="1">
      <c r="A78" s="78" t="s">
        <v>102</v>
      </c>
      <c r="B78" s="131">
        <f>_xlfn.COMPOUNDVALUE(905)</f>
        <v>5812</v>
      </c>
      <c r="C78" s="132">
        <v>38871688</v>
      </c>
      <c r="D78" s="131">
        <f>_xlfn.COMPOUNDVALUE(906)</f>
        <v>4766</v>
      </c>
      <c r="E78" s="132">
        <v>2453799</v>
      </c>
      <c r="F78" s="131">
        <f>_xlfn.COMPOUNDVALUE(907)</f>
        <v>10578</v>
      </c>
      <c r="G78" s="132">
        <v>41325487</v>
      </c>
      <c r="H78" s="131">
        <f>_xlfn.COMPOUNDVALUE(908)</f>
        <v>446</v>
      </c>
      <c r="I78" s="133">
        <v>3025663</v>
      </c>
      <c r="J78" s="131">
        <v>686</v>
      </c>
      <c r="K78" s="133">
        <v>106965</v>
      </c>
      <c r="L78" s="131">
        <v>11257</v>
      </c>
      <c r="M78" s="133">
        <v>38406788</v>
      </c>
      <c r="N78" s="126">
        <v>11849</v>
      </c>
      <c r="O78" s="129">
        <v>338</v>
      </c>
      <c r="P78" s="129">
        <v>38</v>
      </c>
      <c r="Q78" s="130">
        <v>12225</v>
      </c>
      <c r="R78" s="77" t="s">
        <v>102</v>
      </c>
    </row>
    <row r="79" spans="1:18" ht="15.75" customHeight="1">
      <c r="A79" s="103"/>
      <c r="B79" s="139"/>
      <c r="C79" s="140"/>
      <c r="D79" s="139"/>
      <c r="E79" s="140"/>
      <c r="F79" s="139"/>
      <c r="G79" s="140"/>
      <c r="H79" s="139"/>
      <c r="I79" s="141"/>
      <c r="J79" s="139"/>
      <c r="K79" s="141"/>
      <c r="L79" s="139"/>
      <c r="M79" s="140"/>
      <c r="N79" s="126"/>
      <c r="O79" s="129"/>
      <c r="P79" s="129"/>
      <c r="Q79" s="130"/>
      <c r="R79" s="105" t="s">
        <v>39</v>
      </c>
    </row>
    <row r="80" spans="1:18" ht="15.75" customHeight="1">
      <c r="A80" s="76" t="s">
        <v>103</v>
      </c>
      <c r="B80" s="126">
        <f>_xlfn.COMPOUNDVALUE(909)</f>
        <v>3934</v>
      </c>
      <c r="C80" s="127">
        <v>15560612</v>
      </c>
      <c r="D80" s="126">
        <f>_xlfn.COMPOUNDVALUE(910)</f>
        <v>3424</v>
      </c>
      <c r="E80" s="127">
        <v>1838652</v>
      </c>
      <c r="F80" s="126">
        <f>_xlfn.COMPOUNDVALUE(911)</f>
        <v>7358</v>
      </c>
      <c r="G80" s="127">
        <v>17399264</v>
      </c>
      <c r="H80" s="126">
        <f>_xlfn.COMPOUNDVALUE(912)</f>
        <v>361</v>
      </c>
      <c r="I80" s="128">
        <v>1191849</v>
      </c>
      <c r="J80" s="126">
        <v>558</v>
      </c>
      <c r="K80" s="128">
        <v>58332</v>
      </c>
      <c r="L80" s="126">
        <v>7882</v>
      </c>
      <c r="M80" s="127">
        <v>16265747</v>
      </c>
      <c r="N80" s="126">
        <v>8280</v>
      </c>
      <c r="O80" s="129">
        <v>255</v>
      </c>
      <c r="P80" s="129">
        <v>27</v>
      </c>
      <c r="Q80" s="130">
        <v>8562</v>
      </c>
      <c r="R80" s="86" t="s">
        <v>103</v>
      </c>
    </row>
    <row r="81" spans="1:18" ht="15.75" customHeight="1">
      <c r="A81" s="78" t="s">
        <v>104</v>
      </c>
      <c r="B81" s="131">
        <f>_xlfn.COMPOUNDVALUE(913)</f>
        <v>3096</v>
      </c>
      <c r="C81" s="132">
        <v>19408080</v>
      </c>
      <c r="D81" s="131">
        <f>_xlfn.COMPOUNDVALUE(914)</f>
        <v>2585</v>
      </c>
      <c r="E81" s="132">
        <v>1343732</v>
      </c>
      <c r="F81" s="131">
        <f>_xlfn.COMPOUNDVALUE(915)</f>
        <v>5681</v>
      </c>
      <c r="G81" s="132">
        <v>20751811</v>
      </c>
      <c r="H81" s="131">
        <f>_xlfn.COMPOUNDVALUE(916)</f>
        <v>272</v>
      </c>
      <c r="I81" s="133">
        <v>8726229</v>
      </c>
      <c r="J81" s="131">
        <v>522</v>
      </c>
      <c r="K81" s="133">
        <v>64489</v>
      </c>
      <c r="L81" s="131">
        <v>6141</v>
      </c>
      <c r="M81" s="133">
        <v>12090072</v>
      </c>
      <c r="N81" s="126">
        <v>6544</v>
      </c>
      <c r="O81" s="129">
        <v>180</v>
      </c>
      <c r="P81" s="129">
        <v>21</v>
      </c>
      <c r="Q81" s="130">
        <v>6745</v>
      </c>
      <c r="R81" s="77" t="s">
        <v>104</v>
      </c>
    </row>
    <row r="82" spans="1:18" ht="15.75" customHeight="1">
      <c r="A82" s="78" t="s">
        <v>105</v>
      </c>
      <c r="B82" s="131">
        <f>_xlfn.COMPOUNDVALUE(917)</f>
        <v>6281</v>
      </c>
      <c r="C82" s="132">
        <v>26404798</v>
      </c>
      <c r="D82" s="131">
        <f>_xlfn.COMPOUNDVALUE(918)</f>
        <v>5513</v>
      </c>
      <c r="E82" s="132">
        <v>2696941</v>
      </c>
      <c r="F82" s="131">
        <f>_xlfn.COMPOUNDVALUE(919)</f>
        <v>11794</v>
      </c>
      <c r="G82" s="132">
        <v>29101739</v>
      </c>
      <c r="H82" s="131">
        <f>_xlfn.COMPOUNDVALUE(920)</f>
        <v>428</v>
      </c>
      <c r="I82" s="133">
        <v>3692304</v>
      </c>
      <c r="J82" s="131">
        <v>771</v>
      </c>
      <c r="K82" s="133">
        <v>92773</v>
      </c>
      <c r="L82" s="131">
        <v>12513</v>
      </c>
      <c r="M82" s="133">
        <v>25502208</v>
      </c>
      <c r="N82" s="126">
        <v>12373</v>
      </c>
      <c r="O82" s="129">
        <v>329</v>
      </c>
      <c r="P82" s="129">
        <v>22</v>
      </c>
      <c r="Q82" s="130">
        <v>12724</v>
      </c>
      <c r="R82" s="77" t="s">
        <v>105</v>
      </c>
    </row>
    <row r="83" spans="1:18" ht="15.75" customHeight="1">
      <c r="A83" s="165" t="s">
        <v>106</v>
      </c>
      <c r="B83" s="166">
        <v>41621</v>
      </c>
      <c r="C83" s="167">
        <v>224920086</v>
      </c>
      <c r="D83" s="166">
        <v>34805</v>
      </c>
      <c r="E83" s="167">
        <v>18035816</v>
      </c>
      <c r="F83" s="166">
        <v>76426</v>
      </c>
      <c r="G83" s="167">
        <v>242955901</v>
      </c>
      <c r="H83" s="166">
        <v>3420</v>
      </c>
      <c r="I83" s="168">
        <v>40211539</v>
      </c>
      <c r="J83" s="166">
        <v>5227</v>
      </c>
      <c r="K83" s="168">
        <v>903944</v>
      </c>
      <c r="L83" s="166">
        <v>81556</v>
      </c>
      <c r="M83" s="168">
        <v>203648306</v>
      </c>
      <c r="N83" s="166">
        <v>83654</v>
      </c>
      <c r="O83" s="188">
        <v>2379</v>
      </c>
      <c r="P83" s="188">
        <v>226</v>
      </c>
      <c r="Q83" s="189">
        <v>86259</v>
      </c>
      <c r="R83" s="169" t="s">
        <v>107</v>
      </c>
    </row>
    <row r="84" spans="1:18" ht="15.75" customHeight="1">
      <c r="A84" s="180"/>
      <c r="B84" s="181"/>
      <c r="C84" s="182"/>
      <c r="D84" s="181"/>
      <c r="E84" s="182"/>
      <c r="F84" s="181"/>
      <c r="G84" s="182"/>
      <c r="H84" s="181"/>
      <c r="I84" s="183"/>
      <c r="J84" s="181"/>
      <c r="K84" s="183"/>
      <c r="L84" s="181"/>
      <c r="M84" s="183"/>
      <c r="N84" s="193"/>
      <c r="O84" s="194"/>
      <c r="P84" s="194"/>
      <c r="Q84" s="195"/>
      <c r="R84" s="184" t="s">
        <v>39</v>
      </c>
    </row>
    <row r="85" spans="1:18" ht="15.75" customHeight="1">
      <c r="A85" s="175" t="s">
        <v>108</v>
      </c>
      <c r="B85" s="176">
        <v>302293</v>
      </c>
      <c r="C85" s="177">
        <v>5795875399</v>
      </c>
      <c r="D85" s="176">
        <v>169505</v>
      </c>
      <c r="E85" s="177">
        <v>98645693</v>
      </c>
      <c r="F85" s="176">
        <v>471798</v>
      </c>
      <c r="G85" s="177">
        <v>5894521093</v>
      </c>
      <c r="H85" s="176">
        <v>44172</v>
      </c>
      <c r="I85" s="178">
        <v>1851959653</v>
      </c>
      <c r="J85" s="176">
        <v>36134</v>
      </c>
      <c r="K85" s="178">
        <v>10779141</v>
      </c>
      <c r="L85" s="176">
        <v>525071</v>
      </c>
      <c r="M85" s="178">
        <v>4053340581</v>
      </c>
      <c r="N85" s="176">
        <v>524767</v>
      </c>
      <c r="O85" s="196">
        <v>28426</v>
      </c>
      <c r="P85" s="196">
        <v>5769</v>
      </c>
      <c r="Q85" s="197">
        <v>558962</v>
      </c>
      <c r="R85" s="179" t="s">
        <v>109</v>
      </c>
    </row>
    <row r="86" spans="1:18" ht="15.75" customHeight="1">
      <c r="A86" s="170"/>
      <c r="B86" s="171"/>
      <c r="C86" s="172"/>
      <c r="D86" s="171"/>
      <c r="E86" s="172"/>
      <c r="F86" s="173"/>
      <c r="G86" s="172"/>
      <c r="H86" s="173"/>
      <c r="I86" s="172"/>
      <c r="J86" s="173"/>
      <c r="K86" s="172"/>
      <c r="L86" s="173"/>
      <c r="M86" s="172"/>
      <c r="N86" s="190"/>
      <c r="O86" s="191"/>
      <c r="P86" s="191"/>
      <c r="Q86" s="192"/>
      <c r="R86" s="174" t="s">
        <v>39</v>
      </c>
    </row>
    <row r="87" spans="1:18" ht="15.75" customHeight="1">
      <c r="A87" s="76" t="s">
        <v>110</v>
      </c>
      <c r="B87" s="126">
        <f>_xlfn.COMPOUNDVALUE(921)</f>
        <v>3492</v>
      </c>
      <c r="C87" s="127">
        <v>25801281</v>
      </c>
      <c r="D87" s="126">
        <f>_xlfn.COMPOUNDVALUE(922)</f>
        <v>2441</v>
      </c>
      <c r="E87" s="127">
        <v>1257018</v>
      </c>
      <c r="F87" s="126">
        <f>_xlfn.COMPOUNDVALUE(923)</f>
        <v>5933</v>
      </c>
      <c r="G87" s="127">
        <v>27058299</v>
      </c>
      <c r="H87" s="126">
        <f>_xlfn.COMPOUNDVALUE(924)</f>
        <v>289</v>
      </c>
      <c r="I87" s="128">
        <v>3733264</v>
      </c>
      <c r="J87" s="126">
        <v>461</v>
      </c>
      <c r="K87" s="128">
        <v>47986</v>
      </c>
      <c r="L87" s="126">
        <v>6343</v>
      </c>
      <c r="M87" s="128">
        <v>23373021</v>
      </c>
      <c r="N87" s="126">
        <v>6380</v>
      </c>
      <c r="O87" s="129">
        <v>224</v>
      </c>
      <c r="P87" s="129">
        <v>15</v>
      </c>
      <c r="Q87" s="130">
        <v>6619</v>
      </c>
      <c r="R87" s="86" t="s">
        <v>110</v>
      </c>
    </row>
    <row r="88" spans="1:18" ht="15.75" customHeight="1">
      <c r="A88" s="76" t="s">
        <v>111</v>
      </c>
      <c r="B88" s="126">
        <f>_xlfn.COMPOUNDVALUE(925)</f>
        <v>7763</v>
      </c>
      <c r="C88" s="127">
        <v>182115488</v>
      </c>
      <c r="D88" s="126">
        <f>_xlfn.COMPOUNDVALUE(926)</f>
        <v>3904</v>
      </c>
      <c r="E88" s="127">
        <v>2383592</v>
      </c>
      <c r="F88" s="126">
        <f>_xlfn.COMPOUNDVALUE(927)</f>
        <v>11667</v>
      </c>
      <c r="G88" s="127">
        <v>184499080</v>
      </c>
      <c r="H88" s="126">
        <f>_xlfn.COMPOUNDVALUE(928)</f>
        <v>1519</v>
      </c>
      <c r="I88" s="128">
        <v>24091046</v>
      </c>
      <c r="J88" s="126">
        <v>917</v>
      </c>
      <c r="K88" s="128">
        <v>1259912</v>
      </c>
      <c r="L88" s="126">
        <v>13394</v>
      </c>
      <c r="M88" s="128">
        <v>161667946</v>
      </c>
      <c r="N88" s="126">
        <v>13060</v>
      </c>
      <c r="O88" s="129">
        <v>749</v>
      </c>
      <c r="P88" s="129">
        <v>124</v>
      </c>
      <c r="Q88" s="130">
        <v>13933</v>
      </c>
      <c r="R88" s="77" t="s">
        <v>111</v>
      </c>
    </row>
    <row r="89" spans="1:18" ht="15.75" customHeight="1">
      <c r="A89" s="76" t="s">
        <v>112</v>
      </c>
      <c r="B89" s="126">
        <f>_xlfn.COMPOUNDVALUE(929)</f>
        <v>4959</v>
      </c>
      <c r="C89" s="127">
        <v>24628323</v>
      </c>
      <c r="D89" s="126">
        <f>_xlfn.COMPOUNDVALUE(930)</f>
        <v>4001</v>
      </c>
      <c r="E89" s="127">
        <v>2001935</v>
      </c>
      <c r="F89" s="126">
        <f>_xlfn.COMPOUNDVALUE(931)</f>
        <v>8960</v>
      </c>
      <c r="G89" s="127">
        <v>26630258</v>
      </c>
      <c r="H89" s="126">
        <f>_xlfn.COMPOUNDVALUE(932)</f>
        <v>375</v>
      </c>
      <c r="I89" s="128">
        <v>4223152</v>
      </c>
      <c r="J89" s="126">
        <v>675</v>
      </c>
      <c r="K89" s="128">
        <v>78221</v>
      </c>
      <c r="L89" s="126">
        <v>9562</v>
      </c>
      <c r="M89" s="128">
        <v>22485327</v>
      </c>
      <c r="N89" s="126">
        <v>9880</v>
      </c>
      <c r="O89" s="129">
        <v>256</v>
      </c>
      <c r="P89" s="129">
        <v>21</v>
      </c>
      <c r="Q89" s="130">
        <v>10157</v>
      </c>
      <c r="R89" s="77" t="s">
        <v>112</v>
      </c>
    </row>
    <row r="90" spans="1:18" ht="15.75" customHeight="1">
      <c r="A90" s="76" t="s">
        <v>113</v>
      </c>
      <c r="B90" s="126">
        <f>_xlfn.COMPOUNDVALUE(933)</f>
        <v>6918</v>
      </c>
      <c r="C90" s="127">
        <v>31664715</v>
      </c>
      <c r="D90" s="126">
        <f>_xlfn.COMPOUNDVALUE(934)</f>
        <v>5292</v>
      </c>
      <c r="E90" s="127">
        <v>2691444</v>
      </c>
      <c r="F90" s="126">
        <f>_xlfn.COMPOUNDVALUE(935)</f>
        <v>12210</v>
      </c>
      <c r="G90" s="127">
        <v>34356159</v>
      </c>
      <c r="H90" s="126">
        <f>_xlfn.COMPOUNDVALUE(936)</f>
        <v>763</v>
      </c>
      <c r="I90" s="128">
        <v>3681850</v>
      </c>
      <c r="J90" s="126">
        <v>1043</v>
      </c>
      <c r="K90" s="128">
        <v>300196</v>
      </c>
      <c r="L90" s="126">
        <v>13281</v>
      </c>
      <c r="M90" s="128">
        <v>30974504</v>
      </c>
      <c r="N90" s="126">
        <v>13348</v>
      </c>
      <c r="O90" s="129">
        <v>403</v>
      </c>
      <c r="P90" s="129">
        <v>22</v>
      </c>
      <c r="Q90" s="130">
        <v>13773</v>
      </c>
      <c r="R90" s="77" t="s">
        <v>113</v>
      </c>
    </row>
    <row r="91" spans="1:18" ht="15.75" customHeight="1">
      <c r="A91" s="76" t="s">
        <v>114</v>
      </c>
      <c r="B91" s="126">
        <f>_xlfn.COMPOUNDVALUE(937)</f>
        <v>7371</v>
      </c>
      <c r="C91" s="127">
        <v>76373864</v>
      </c>
      <c r="D91" s="126">
        <f>_xlfn.COMPOUNDVALUE(938)</f>
        <v>5268</v>
      </c>
      <c r="E91" s="127">
        <v>2938567</v>
      </c>
      <c r="F91" s="126">
        <f>_xlfn.COMPOUNDVALUE(939)</f>
        <v>12639</v>
      </c>
      <c r="G91" s="127">
        <v>79312431</v>
      </c>
      <c r="H91" s="126">
        <f>_xlfn.COMPOUNDVALUE(940)</f>
        <v>1045</v>
      </c>
      <c r="I91" s="128">
        <v>141574616</v>
      </c>
      <c r="J91" s="126">
        <v>880</v>
      </c>
      <c r="K91" s="128">
        <v>129621</v>
      </c>
      <c r="L91" s="126">
        <v>13928</v>
      </c>
      <c r="M91" s="128">
        <v>-62132563</v>
      </c>
      <c r="N91" s="126">
        <v>13408</v>
      </c>
      <c r="O91" s="129">
        <v>553</v>
      </c>
      <c r="P91" s="129">
        <v>82</v>
      </c>
      <c r="Q91" s="130">
        <v>14043</v>
      </c>
      <c r="R91" s="77" t="s">
        <v>114</v>
      </c>
    </row>
    <row r="92" spans="1:18" ht="15.75" customHeight="1">
      <c r="A92" s="76"/>
      <c r="B92" s="126"/>
      <c r="C92" s="127"/>
      <c r="D92" s="126"/>
      <c r="E92" s="127"/>
      <c r="F92" s="126"/>
      <c r="G92" s="127"/>
      <c r="H92" s="126"/>
      <c r="I92" s="128"/>
      <c r="J92" s="126"/>
      <c r="K92" s="128"/>
      <c r="L92" s="126"/>
      <c r="M92" s="128"/>
      <c r="N92" s="126"/>
      <c r="O92" s="129"/>
      <c r="P92" s="129"/>
      <c r="Q92" s="130"/>
      <c r="R92" s="77" t="s">
        <v>39</v>
      </c>
    </row>
    <row r="93" spans="1:18" ht="15.75" customHeight="1">
      <c r="A93" s="76" t="s">
        <v>115</v>
      </c>
      <c r="B93" s="126">
        <f>_xlfn.COMPOUNDVALUE(941)</f>
        <v>4130</v>
      </c>
      <c r="C93" s="127">
        <v>19999745</v>
      </c>
      <c r="D93" s="126">
        <f>_xlfn.COMPOUNDVALUE(942)</f>
        <v>3488</v>
      </c>
      <c r="E93" s="127">
        <v>1811403</v>
      </c>
      <c r="F93" s="126">
        <f>_xlfn.COMPOUNDVALUE(943)</f>
        <v>7618</v>
      </c>
      <c r="G93" s="127">
        <v>21811147</v>
      </c>
      <c r="H93" s="126">
        <f>_xlfn.COMPOUNDVALUE(944)</f>
        <v>363</v>
      </c>
      <c r="I93" s="128">
        <v>5361787</v>
      </c>
      <c r="J93" s="126">
        <v>540</v>
      </c>
      <c r="K93" s="128">
        <v>98408</v>
      </c>
      <c r="L93" s="126">
        <v>8172</v>
      </c>
      <c r="M93" s="128">
        <v>16547768</v>
      </c>
      <c r="N93" s="126">
        <v>8192</v>
      </c>
      <c r="O93" s="129">
        <v>293</v>
      </c>
      <c r="P93" s="129">
        <v>19</v>
      </c>
      <c r="Q93" s="130">
        <v>8504</v>
      </c>
      <c r="R93" s="77" t="s">
        <v>115</v>
      </c>
    </row>
    <row r="94" spans="1:18" ht="15.75" customHeight="1">
      <c r="A94" s="76" t="s">
        <v>173</v>
      </c>
      <c r="B94" s="126">
        <f>_xlfn.COMPOUNDVALUE(945)</f>
        <v>7010</v>
      </c>
      <c r="C94" s="127">
        <v>32035516</v>
      </c>
      <c r="D94" s="126">
        <f>_xlfn.COMPOUNDVALUE(946)</f>
        <v>5825</v>
      </c>
      <c r="E94" s="127">
        <v>3245546</v>
      </c>
      <c r="F94" s="126">
        <f>_xlfn.COMPOUNDVALUE(947)</f>
        <v>12835</v>
      </c>
      <c r="G94" s="127">
        <v>35281061</v>
      </c>
      <c r="H94" s="126">
        <f>_xlfn.COMPOUNDVALUE(948)</f>
        <v>815</v>
      </c>
      <c r="I94" s="128">
        <v>4292894</v>
      </c>
      <c r="J94" s="126">
        <v>787</v>
      </c>
      <c r="K94" s="128">
        <v>88548</v>
      </c>
      <c r="L94" s="126">
        <v>13921</v>
      </c>
      <c r="M94" s="128">
        <v>31076716</v>
      </c>
      <c r="N94" s="126">
        <v>14144</v>
      </c>
      <c r="O94" s="129">
        <v>543</v>
      </c>
      <c r="P94" s="129">
        <v>49</v>
      </c>
      <c r="Q94" s="130">
        <v>14736</v>
      </c>
      <c r="R94" s="77" t="s">
        <v>116</v>
      </c>
    </row>
    <row r="95" spans="1:18" ht="15.75" customHeight="1">
      <c r="A95" s="76" t="s">
        <v>117</v>
      </c>
      <c r="B95" s="126">
        <f>_xlfn.COMPOUNDVALUE(949)</f>
        <v>5262</v>
      </c>
      <c r="C95" s="127">
        <v>87887135</v>
      </c>
      <c r="D95" s="126">
        <f>_xlfn.COMPOUNDVALUE(950)</f>
        <v>3390</v>
      </c>
      <c r="E95" s="127">
        <v>1865018</v>
      </c>
      <c r="F95" s="126">
        <f>_xlfn.COMPOUNDVALUE(951)</f>
        <v>8652</v>
      </c>
      <c r="G95" s="127">
        <v>89752152</v>
      </c>
      <c r="H95" s="126">
        <f>_xlfn.COMPOUNDVALUE(952)</f>
        <v>496</v>
      </c>
      <c r="I95" s="128">
        <v>27430256</v>
      </c>
      <c r="J95" s="126">
        <v>763</v>
      </c>
      <c r="K95" s="128">
        <v>86073</v>
      </c>
      <c r="L95" s="126">
        <v>9349</v>
      </c>
      <c r="M95" s="128">
        <v>62407969</v>
      </c>
      <c r="N95" s="126">
        <v>9745</v>
      </c>
      <c r="O95" s="129">
        <v>257</v>
      </c>
      <c r="P95" s="129">
        <v>32</v>
      </c>
      <c r="Q95" s="130">
        <v>10034</v>
      </c>
      <c r="R95" s="77" t="s">
        <v>117</v>
      </c>
    </row>
    <row r="96" spans="1:18" ht="15.75" customHeight="1">
      <c r="A96" s="76" t="s">
        <v>118</v>
      </c>
      <c r="B96" s="126">
        <f>_xlfn.COMPOUNDVALUE(953)</f>
        <v>6492</v>
      </c>
      <c r="C96" s="127">
        <v>59963119</v>
      </c>
      <c r="D96" s="126">
        <f>_xlfn.COMPOUNDVALUE(954)</f>
        <v>5390</v>
      </c>
      <c r="E96" s="127">
        <v>2917974</v>
      </c>
      <c r="F96" s="126">
        <f>_xlfn.COMPOUNDVALUE(955)</f>
        <v>11882</v>
      </c>
      <c r="G96" s="127">
        <v>62881093</v>
      </c>
      <c r="H96" s="126">
        <f>_xlfn.COMPOUNDVALUE(956)</f>
        <v>573</v>
      </c>
      <c r="I96" s="128">
        <v>5358760</v>
      </c>
      <c r="J96" s="126">
        <v>700</v>
      </c>
      <c r="K96" s="128">
        <v>129230</v>
      </c>
      <c r="L96" s="126">
        <v>12665</v>
      </c>
      <c r="M96" s="128">
        <v>57651563</v>
      </c>
      <c r="N96" s="126">
        <v>13310</v>
      </c>
      <c r="O96" s="129">
        <v>449</v>
      </c>
      <c r="P96" s="129">
        <v>42</v>
      </c>
      <c r="Q96" s="130">
        <v>13801</v>
      </c>
      <c r="R96" s="77" t="s">
        <v>118</v>
      </c>
    </row>
    <row r="97" spans="1:18" ht="15.75" customHeight="1">
      <c r="A97" s="76" t="s">
        <v>119</v>
      </c>
      <c r="B97" s="126">
        <f>_xlfn.COMPOUNDVALUE(957)</f>
        <v>3044</v>
      </c>
      <c r="C97" s="127">
        <v>8178010</v>
      </c>
      <c r="D97" s="126">
        <f>_xlfn.COMPOUNDVALUE(958)</f>
        <v>2658</v>
      </c>
      <c r="E97" s="127">
        <v>1380276</v>
      </c>
      <c r="F97" s="126">
        <f>_xlfn.COMPOUNDVALUE(959)</f>
        <v>5702</v>
      </c>
      <c r="G97" s="127">
        <v>9558286</v>
      </c>
      <c r="H97" s="126">
        <f>_xlfn.COMPOUNDVALUE(960)</f>
        <v>316</v>
      </c>
      <c r="I97" s="128">
        <v>2000298</v>
      </c>
      <c r="J97" s="126">
        <v>385</v>
      </c>
      <c r="K97" s="128">
        <v>32721</v>
      </c>
      <c r="L97" s="126">
        <v>6146</v>
      </c>
      <c r="M97" s="128">
        <v>7590709</v>
      </c>
      <c r="N97" s="126">
        <v>6290</v>
      </c>
      <c r="O97" s="129">
        <v>236</v>
      </c>
      <c r="P97" s="129">
        <v>17</v>
      </c>
      <c r="Q97" s="130">
        <v>6543</v>
      </c>
      <c r="R97" s="77" t="s">
        <v>119</v>
      </c>
    </row>
    <row r="98" spans="1:18" ht="15.75" customHeight="1">
      <c r="A98" s="76"/>
      <c r="B98" s="126"/>
      <c r="C98" s="127"/>
      <c r="D98" s="126"/>
      <c r="E98" s="127"/>
      <c r="F98" s="126"/>
      <c r="G98" s="127"/>
      <c r="H98" s="126"/>
      <c r="I98" s="128"/>
      <c r="J98" s="126"/>
      <c r="K98" s="128"/>
      <c r="L98" s="126"/>
      <c r="M98" s="128"/>
      <c r="N98" s="126"/>
      <c r="O98" s="129"/>
      <c r="P98" s="129"/>
      <c r="Q98" s="130"/>
      <c r="R98" s="77" t="s">
        <v>39</v>
      </c>
    </row>
    <row r="99" spans="1:18" ht="15.75" customHeight="1">
      <c r="A99" s="76" t="s">
        <v>120</v>
      </c>
      <c r="B99" s="126">
        <f>_xlfn.COMPOUNDVALUE(961)</f>
        <v>3985</v>
      </c>
      <c r="C99" s="127">
        <v>15843888</v>
      </c>
      <c r="D99" s="126">
        <f>_xlfn.COMPOUNDVALUE(962)</f>
        <v>4168</v>
      </c>
      <c r="E99" s="127">
        <v>1971421</v>
      </c>
      <c r="F99" s="126">
        <f>_xlfn.COMPOUNDVALUE(963)</f>
        <v>8153</v>
      </c>
      <c r="G99" s="127">
        <v>17815309</v>
      </c>
      <c r="H99" s="126">
        <f>_xlfn.COMPOUNDVALUE(964)</f>
        <v>288</v>
      </c>
      <c r="I99" s="128">
        <v>1180172</v>
      </c>
      <c r="J99" s="126">
        <v>688</v>
      </c>
      <c r="K99" s="128">
        <v>87769</v>
      </c>
      <c r="L99" s="126">
        <v>8710</v>
      </c>
      <c r="M99" s="128">
        <v>16722906</v>
      </c>
      <c r="N99" s="126">
        <v>8937</v>
      </c>
      <c r="O99" s="129">
        <v>178</v>
      </c>
      <c r="P99" s="129">
        <v>17</v>
      </c>
      <c r="Q99" s="130">
        <v>9132</v>
      </c>
      <c r="R99" s="77" t="s">
        <v>120</v>
      </c>
    </row>
    <row r="100" spans="1:18" ht="15.75" customHeight="1">
      <c r="A100" s="76" t="s">
        <v>121</v>
      </c>
      <c r="B100" s="126">
        <f>_xlfn.COMPOUNDVALUE(965)</f>
        <v>5273</v>
      </c>
      <c r="C100" s="127">
        <v>32292629</v>
      </c>
      <c r="D100" s="126">
        <f>_xlfn.COMPOUNDVALUE(966)</f>
        <v>4751</v>
      </c>
      <c r="E100" s="127">
        <v>2243534</v>
      </c>
      <c r="F100" s="126">
        <f>_xlfn.COMPOUNDVALUE(967)</f>
        <v>10024</v>
      </c>
      <c r="G100" s="127">
        <v>34536162</v>
      </c>
      <c r="H100" s="126">
        <f>_xlfn.COMPOUNDVALUE(968)</f>
        <v>374</v>
      </c>
      <c r="I100" s="128">
        <v>2819264</v>
      </c>
      <c r="J100" s="126">
        <v>602</v>
      </c>
      <c r="K100" s="128">
        <v>98226</v>
      </c>
      <c r="L100" s="126">
        <v>10613</v>
      </c>
      <c r="M100" s="128">
        <v>31815124</v>
      </c>
      <c r="N100" s="126">
        <v>10588</v>
      </c>
      <c r="O100" s="129">
        <v>251</v>
      </c>
      <c r="P100" s="129">
        <v>28</v>
      </c>
      <c r="Q100" s="130">
        <v>10867</v>
      </c>
      <c r="R100" s="77" t="s">
        <v>121</v>
      </c>
    </row>
    <row r="101" spans="1:18" ht="15.75" customHeight="1">
      <c r="A101" s="78" t="s">
        <v>122</v>
      </c>
      <c r="B101" s="131">
        <f>_xlfn.COMPOUNDVALUE(969)</f>
        <v>2752</v>
      </c>
      <c r="C101" s="132">
        <v>9843456</v>
      </c>
      <c r="D101" s="131">
        <f>_xlfn.COMPOUNDVALUE(970)</f>
        <v>2825</v>
      </c>
      <c r="E101" s="132">
        <v>1493764</v>
      </c>
      <c r="F101" s="131">
        <f>_xlfn.COMPOUNDVALUE(971)</f>
        <v>5577</v>
      </c>
      <c r="G101" s="132">
        <v>11337220</v>
      </c>
      <c r="H101" s="131">
        <f>_xlfn.COMPOUNDVALUE(972)</f>
        <v>291</v>
      </c>
      <c r="I101" s="133">
        <v>496238</v>
      </c>
      <c r="J101" s="131">
        <v>339</v>
      </c>
      <c r="K101" s="133">
        <v>51402</v>
      </c>
      <c r="L101" s="131">
        <v>6013</v>
      </c>
      <c r="M101" s="133">
        <v>10892383</v>
      </c>
      <c r="N101" s="126">
        <v>6147</v>
      </c>
      <c r="O101" s="129">
        <v>225</v>
      </c>
      <c r="P101" s="129">
        <v>16</v>
      </c>
      <c r="Q101" s="130">
        <v>6388</v>
      </c>
      <c r="R101" s="77" t="s">
        <v>122</v>
      </c>
    </row>
    <row r="102" spans="1:18" ht="15.75" customHeight="1">
      <c r="A102" s="78" t="s">
        <v>123</v>
      </c>
      <c r="B102" s="131">
        <f>_xlfn.COMPOUNDVALUE(973)</f>
        <v>6607</v>
      </c>
      <c r="C102" s="132">
        <v>29680572</v>
      </c>
      <c r="D102" s="131">
        <f>_xlfn.COMPOUNDVALUE(974)</f>
        <v>5781</v>
      </c>
      <c r="E102" s="132">
        <v>2986194</v>
      </c>
      <c r="F102" s="131">
        <f>_xlfn.COMPOUNDVALUE(975)</f>
        <v>12388</v>
      </c>
      <c r="G102" s="132">
        <v>32666765</v>
      </c>
      <c r="H102" s="131">
        <f>_xlfn.COMPOUNDVALUE(976)</f>
        <v>557</v>
      </c>
      <c r="I102" s="133">
        <v>3590335</v>
      </c>
      <c r="J102" s="131">
        <v>801</v>
      </c>
      <c r="K102" s="133">
        <v>163729</v>
      </c>
      <c r="L102" s="131">
        <v>13221</v>
      </c>
      <c r="M102" s="133">
        <v>29240159</v>
      </c>
      <c r="N102" s="126">
        <v>13775</v>
      </c>
      <c r="O102" s="129">
        <v>421</v>
      </c>
      <c r="P102" s="129">
        <v>26</v>
      </c>
      <c r="Q102" s="130">
        <v>14222</v>
      </c>
      <c r="R102" s="77" t="s">
        <v>123</v>
      </c>
    </row>
    <row r="103" spans="1:18" ht="15.75" customHeight="1">
      <c r="A103" s="78" t="s">
        <v>124</v>
      </c>
      <c r="B103" s="131">
        <f>_xlfn.COMPOUNDVALUE(977)</f>
        <v>4291</v>
      </c>
      <c r="C103" s="132">
        <v>19178979</v>
      </c>
      <c r="D103" s="131">
        <f>_xlfn.COMPOUNDVALUE(978)</f>
        <v>3353</v>
      </c>
      <c r="E103" s="132">
        <v>1587418</v>
      </c>
      <c r="F103" s="131">
        <f>_xlfn.COMPOUNDVALUE(979)</f>
        <v>7644</v>
      </c>
      <c r="G103" s="132">
        <v>20766398</v>
      </c>
      <c r="H103" s="131">
        <f>_xlfn.COMPOUNDVALUE(980)</f>
        <v>237</v>
      </c>
      <c r="I103" s="133">
        <v>1984326</v>
      </c>
      <c r="J103" s="131">
        <v>449</v>
      </c>
      <c r="K103" s="133">
        <v>48299</v>
      </c>
      <c r="L103" s="131">
        <v>7999</v>
      </c>
      <c r="M103" s="133">
        <v>18830371</v>
      </c>
      <c r="N103" s="126">
        <v>8122</v>
      </c>
      <c r="O103" s="129">
        <v>193</v>
      </c>
      <c r="P103" s="129">
        <v>16</v>
      </c>
      <c r="Q103" s="130">
        <v>8331</v>
      </c>
      <c r="R103" s="77" t="s">
        <v>124</v>
      </c>
    </row>
    <row r="104" spans="1:18" ht="15.75" customHeight="1">
      <c r="A104" s="78"/>
      <c r="B104" s="131"/>
      <c r="C104" s="132"/>
      <c r="D104" s="131"/>
      <c r="E104" s="132"/>
      <c r="F104" s="131"/>
      <c r="G104" s="132"/>
      <c r="H104" s="131"/>
      <c r="I104" s="133"/>
      <c r="J104" s="131"/>
      <c r="K104" s="133"/>
      <c r="L104" s="131"/>
      <c r="M104" s="133"/>
      <c r="N104" s="126"/>
      <c r="O104" s="129"/>
      <c r="P104" s="129"/>
      <c r="Q104" s="130"/>
      <c r="R104" s="77" t="s">
        <v>39</v>
      </c>
    </row>
    <row r="105" spans="1:18" ht="15.75" customHeight="1">
      <c r="A105" s="78" t="s">
        <v>125</v>
      </c>
      <c r="B105" s="131">
        <f>_xlfn.COMPOUNDVALUE(981)</f>
        <v>6926</v>
      </c>
      <c r="C105" s="132">
        <v>32203428</v>
      </c>
      <c r="D105" s="131">
        <f>_xlfn.COMPOUNDVALUE(982)</f>
        <v>5626</v>
      </c>
      <c r="E105" s="132">
        <v>3005096</v>
      </c>
      <c r="F105" s="131">
        <f>_xlfn.COMPOUNDVALUE(983)</f>
        <v>12552</v>
      </c>
      <c r="G105" s="132">
        <v>35208524</v>
      </c>
      <c r="H105" s="131">
        <f>_xlfn.COMPOUNDVALUE(984)</f>
        <v>566</v>
      </c>
      <c r="I105" s="133">
        <v>10709639</v>
      </c>
      <c r="J105" s="131">
        <v>797</v>
      </c>
      <c r="K105" s="133">
        <v>106138</v>
      </c>
      <c r="L105" s="131">
        <v>13374</v>
      </c>
      <c r="M105" s="133">
        <v>24605023</v>
      </c>
      <c r="N105" s="126">
        <v>13832</v>
      </c>
      <c r="O105" s="129">
        <v>403</v>
      </c>
      <c r="P105" s="129">
        <v>27</v>
      </c>
      <c r="Q105" s="130">
        <v>14262</v>
      </c>
      <c r="R105" s="77" t="s">
        <v>125</v>
      </c>
    </row>
    <row r="106" spans="1:18" ht="15.75" customHeight="1">
      <c r="A106" s="78" t="s">
        <v>126</v>
      </c>
      <c r="B106" s="131">
        <f>_xlfn.COMPOUNDVALUE(985)</f>
        <v>3303</v>
      </c>
      <c r="C106" s="132">
        <v>22303426</v>
      </c>
      <c r="D106" s="131">
        <f>_xlfn.COMPOUNDVALUE(986)</f>
        <v>2538</v>
      </c>
      <c r="E106" s="132">
        <v>1337141</v>
      </c>
      <c r="F106" s="131">
        <f>_xlfn.COMPOUNDVALUE(987)</f>
        <v>5841</v>
      </c>
      <c r="G106" s="132">
        <v>23640567</v>
      </c>
      <c r="H106" s="131">
        <f>_xlfn.COMPOUNDVALUE(988)</f>
        <v>264</v>
      </c>
      <c r="I106" s="133">
        <v>3356324</v>
      </c>
      <c r="J106" s="131">
        <v>438</v>
      </c>
      <c r="K106" s="133">
        <v>45182</v>
      </c>
      <c r="L106" s="131">
        <v>6220</v>
      </c>
      <c r="M106" s="133">
        <v>20329424</v>
      </c>
      <c r="N106" s="126">
        <v>6023</v>
      </c>
      <c r="O106" s="129">
        <v>210</v>
      </c>
      <c r="P106" s="129">
        <v>19</v>
      </c>
      <c r="Q106" s="130">
        <v>6252</v>
      </c>
      <c r="R106" s="77" t="s">
        <v>126</v>
      </c>
    </row>
    <row r="107" spans="1:18" ht="15.75" customHeight="1">
      <c r="A107" s="78" t="s">
        <v>127</v>
      </c>
      <c r="B107" s="131">
        <f>_xlfn.COMPOUNDVALUE(989)</f>
        <v>5418</v>
      </c>
      <c r="C107" s="132">
        <v>25334322</v>
      </c>
      <c r="D107" s="131">
        <f>_xlfn.COMPOUNDVALUE(990)</f>
        <v>4457</v>
      </c>
      <c r="E107" s="132">
        <v>2327932</v>
      </c>
      <c r="F107" s="131">
        <f>_xlfn.COMPOUNDVALUE(991)</f>
        <v>9875</v>
      </c>
      <c r="G107" s="132">
        <v>27662254</v>
      </c>
      <c r="H107" s="131">
        <f>_xlfn.COMPOUNDVALUE(992)</f>
        <v>470</v>
      </c>
      <c r="I107" s="133">
        <v>5164765</v>
      </c>
      <c r="J107" s="131">
        <v>805</v>
      </c>
      <c r="K107" s="133">
        <v>-349593</v>
      </c>
      <c r="L107" s="131">
        <v>10639</v>
      </c>
      <c r="M107" s="133">
        <v>22147896</v>
      </c>
      <c r="N107" s="126">
        <v>10840</v>
      </c>
      <c r="O107" s="129">
        <v>348</v>
      </c>
      <c r="P107" s="129">
        <v>26</v>
      </c>
      <c r="Q107" s="130">
        <v>11214</v>
      </c>
      <c r="R107" s="77" t="s">
        <v>127</v>
      </c>
    </row>
    <row r="108" spans="1:18" ht="15.75" customHeight="1">
      <c r="A108" s="165" t="s">
        <v>128</v>
      </c>
      <c r="B108" s="166">
        <v>94996</v>
      </c>
      <c r="C108" s="167">
        <v>735327893</v>
      </c>
      <c r="D108" s="166">
        <v>75156</v>
      </c>
      <c r="E108" s="167">
        <v>39445271</v>
      </c>
      <c r="F108" s="166">
        <v>170152</v>
      </c>
      <c r="G108" s="167">
        <v>774773165</v>
      </c>
      <c r="H108" s="166">
        <v>9601</v>
      </c>
      <c r="I108" s="168">
        <v>251048984</v>
      </c>
      <c r="J108" s="166">
        <v>12070</v>
      </c>
      <c r="K108" s="168">
        <v>2502068</v>
      </c>
      <c r="L108" s="166">
        <v>183550</v>
      </c>
      <c r="M108" s="168">
        <v>526226248</v>
      </c>
      <c r="N108" s="166">
        <v>186021</v>
      </c>
      <c r="O108" s="188">
        <v>6192</v>
      </c>
      <c r="P108" s="188">
        <v>598</v>
      </c>
      <c r="Q108" s="189">
        <v>192811</v>
      </c>
      <c r="R108" s="169" t="s">
        <v>129</v>
      </c>
    </row>
    <row r="109" spans="1:18" ht="15.75" customHeight="1">
      <c r="A109" s="170"/>
      <c r="B109" s="171"/>
      <c r="C109" s="172"/>
      <c r="D109" s="171"/>
      <c r="E109" s="172"/>
      <c r="F109" s="173"/>
      <c r="G109" s="172"/>
      <c r="H109" s="173"/>
      <c r="I109" s="172"/>
      <c r="J109" s="173"/>
      <c r="K109" s="172"/>
      <c r="L109" s="173"/>
      <c r="M109" s="172"/>
      <c r="N109" s="190"/>
      <c r="O109" s="191"/>
      <c r="P109" s="191"/>
      <c r="Q109" s="192"/>
      <c r="R109" s="174" t="s">
        <v>39</v>
      </c>
    </row>
    <row r="110" spans="1:18" ht="15.75" customHeight="1">
      <c r="A110" s="76" t="s">
        <v>130</v>
      </c>
      <c r="B110" s="126">
        <f>_xlfn.COMPOUNDVALUE(993)</f>
        <v>6498</v>
      </c>
      <c r="C110" s="127">
        <v>30469930</v>
      </c>
      <c r="D110" s="126">
        <f>_xlfn.COMPOUNDVALUE(994)</f>
        <v>4805</v>
      </c>
      <c r="E110" s="127">
        <v>2339355</v>
      </c>
      <c r="F110" s="126">
        <f>_xlfn.COMPOUNDVALUE(995)</f>
        <v>11303</v>
      </c>
      <c r="G110" s="127">
        <v>32809285</v>
      </c>
      <c r="H110" s="126">
        <f>_xlfn.COMPOUNDVALUE(996)</f>
        <v>470</v>
      </c>
      <c r="I110" s="128">
        <v>2642109</v>
      </c>
      <c r="J110" s="126">
        <v>796</v>
      </c>
      <c r="K110" s="128">
        <v>105962</v>
      </c>
      <c r="L110" s="126">
        <v>12060</v>
      </c>
      <c r="M110" s="128">
        <v>30273137</v>
      </c>
      <c r="N110" s="126">
        <v>12096</v>
      </c>
      <c r="O110" s="129">
        <v>338</v>
      </c>
      <c r="P110" s="129">
        <v>25</v>
      </c>
      <c r="Q110" s="130">
        <v>12459</v>
      </c>
      <c r="R110" s="86" t="s">
        <v>130</v>
      </c>
    </row>
    <row r="111" spans="1:18" ht="15.75" customHeight="1">
      <c r="A111" s="78" t="s">
        <v>131</v>
      </c>
      <c r="B111" s="131">
        <f>_xlfn.COMPOUNDVALUE(997)</f>
        <v>1696</v>
      </c>
      <c r="C111" s="132">
        <v>5794003</v>
      </c>
      <c r="D111" s="131">
        <f>_xlfn.COMPOUNDVALUE(998)</f>
        <v>1757</v>
      </c>
      <c r="E111" s="132">
        <v>683744</v>
      </c>
      <c r="F111" s="131">
        <f>_xlfn.COMPOUNDVALUE(999)</f>
        <v>3453</v>
      </c>
      <c r="G111" s="132">
        <v>6477746</v>
      </c>
      <c r="H111" s="131">
        <f>_xlfn.COMPOUNDVALUE(1000)</f>
        <v>129</v>
      </c>
      <c r="I111" s="133">
        <v>434134</v>
      </c>
      <c r="J111" s="131">
        <v>185</v>
      </c>
      <c r="K111" s="133">
        <v>27665</v>
      </c>
      <c r="L111" s="131">
        <v>3627</v>
      </c>
      <c r="M111" s="133">
        <v>6071277</v>
      </c>
      <c r="N111" s="126">
        <v>3922</v>
      </c>
      <c r="O111" s="129">
        <v>98</v>
      </c>
      <c r="P111" s="129">
        <v>6</v>
      </c>
      <c r="Q111" s="130">
        <v>4026</v>
      </c>
      <c r="R111" s="77" t="s">
        <v>131</v>
      </c>
    </row>
    <row r="112" spans="1:18" ht="15.75" customHeight="1">
      <c r="A112" s="78" t="s">
        <v>132</v>
      </c>
      <c r="B112" s="131">
        <f>_xlfn.COMPOUNDVALUE(1001)</f>
        <v>2936</v>
      </c>
      <c r="C112" s="132">
        <v>10629676</v>
      </c>
      <c r="D112" s="131">
        <f>_xlfn.COMPOUNDVALUE(1002)</f>
        <v>2295</v>
      </c>
      <c r="E112" s="132">
        <v>1122367</v>
      </c>
      <c r="F112" s="131">
        <f>_xlfn.COMPOUNDVALUE(1003)</f>
        <v>5231</v>
      </c>
      <c r="G112" s="132">
        <v>11752043</v>
      </c>
      <c r="H112" s="131">
        <f>_xlfn.COMPOUNDVALUE(1004)</f>
        <v>182</v>
      </c>
      <c r="I112" s="133">
        <v>7137373</v>
      </c>
      <c r="J112" s="131">
        <v>365</v>
      </c>
      <c r="K112" s="133">
        <v>45114</v>
      </c>
      <c r="L112" s="131">
        <v>5487</v>
      </c>
      <c r="M112" s="133">
        <v>4659784</v>
      </c>
      <c r="N112" s="126">
        <v>5460</v>
      </c>
      <c r="O112" s="129">
        <v>135</v>
      </c>
      <c r="P112" s="129">
        <v>14</v>
      </c>
      <c r="Q112" s="130">
        <v>5609</v>
      </c>
      <c r="R112" s="77" t="s">
        <v>132</v>
      </c>
    </row>
    <row r="113" spans="1:18" ht="15.75" customHeight="1">
      <c r="A113" s="78" t="s">
        <v>133</v>
      </c>
      <c r="B113" s="131">
        <f>_xlfn.COMPOUNDVALUE(1005)</f>
        <v>669</v>
      </c>
      <c r="C113" s="132">
        <v>2260327</v>
      </c>
      <c r="D113" s="131">
        <f>_xlfn.COMPOUNDVALUE(1006)</f>
        <v>668</v>
      </c>
      <c r="E113" s="132">
        <v>280777</v>
      </c>
      <c r="F113" s="131">
        <f>_xlfn.COMPOUNDVALUE(1007)</f>
        <v>1337</v>
      </c>
      <c r="G113" s="132">
        <v>2541103</v>
      </c>
      <c r="H113" s="131">
        <f>_xlfn.COMPOUNDVALUE(1008)</f>
        <v>21</v>
      </c>
      <c r="I113" s="133">
        <v>29383</v>
      </c>
      <c r="J113" s="131">
        <v>119</v>
      </c>
      <c r="K113" s="133">
        <v>8047</v>
      </c>
      <c r="L113" s="131">
        <v>1368</v>
      </c>
      <c r="M113" s="133">
        <v>2519768</v>
      </c>
      <c r="N113" s="126">
        <v>1448</v>
      </c>
      <c r="O113" s="129">
        <v>28</v>
      </c>
      <c r="P113" s="129">
        <v>1</v>
      </c>
      <c r="Q113" s="130">
        <v>1477</v>
      </c>
      <c r="R113" s="77" t="s">
        <v>133</v>
      </c>
    </row>
    <row r="114" spans="1:18" ht="15.75" customHeight="1">
      <c r="A114" s="79" t="s">
        <v>134</v>
      </c>
      <c r="B114" s="134">
        <v>11799</v>
      </c>
      <c r="C114" s="135">
        <v>49153935</v>
      </c>
      <c r="D114" s="134">
        <v>9525</v>
      </c>
      <c r="E114" s="135">
        <v>4426242</v>
      </c>
      <c r="F114" s="134">
        <v>21324</v>
      </c>
      <c r="G114" s="135">
        <v>53580177</v>
      </c>
      <c r="H114" s="134">
        <v>802</v>
      </c>
      <c r="I114" s="136">
        <v>10243000</v>
      </c>
      <c r="J114" s="134">
        <v>1465</v>
      </c>
      <c r="K114" s="136">
        <v>186787</v>
      </c>
      <c r="L114" s="134">
        <v>22542</v>
      </c>
      <c r="M114" s="136">
        <v>43523965</v>
      </c>
      <c r="N114" s="134">
        <v>22926</v>
      </c>
      <c r="O114" s="137">
        <v>599</v>
      </c>
      <c r="P114" s="137">
        <v>46</v>
      </c>
      <c r="Q114" s="138">
        <v>23571</v>
      </c>
      <c r="R114" s="84" t="s">
        <v>135</v>
      </c>
    </row>
    <row r="115" spans="1:18" ht="15.75" customHeight="1" thickBot="1">
      <c r="A115" s="80"/>
      <c r="B115" s="142"/>
      <c r="C115" s="143"/>
      <c r="D115" s="142"/>
      <c r="E115" s="143"/>
      <c r="F115" s="144"/>
      <c r="G115" s="143"/>
      <c r="H115" s="144"/>
      <c r="I115" s="143"/>
      <c r="J115" s="144"/>
      <c r="K115" s="143"/>
      <c r="L115" s="144"/>
      <c r="M115" s="143"/>
      <c r="N115" s="145"/>
      <c r="O115" s="146"/>
      <c r="P115" s="146"/>
      <c r="Q115" s="147"/>
      <c r="R115" s="81" t="s">
        <v>39</v>
      </c>
    </row>
    <row r="116" spans="1:18" ht="15.75" customHeight="1" thickBot="1" thickTop="1">
      <c r="A116" s="82" t="s">
        <v>38</v>
      </c>
      <c r="B116" s="148">
        <v>470324</v>
      </c>
      <c r="C116" s="149">
        <v>6900356570</v>
      </c>
      <c r="D116" s="148">
        <v>302990</v>
      </c>
      <c r="E116" s="149">
        <v>166840517</v>
      </c>
      <c r="F116" s="148">
        <v>773314</v>
      </c>
      <c r="G116" s="149">
        <v>7067197087</v>
      </c>
      <c r="H116" s="148">
        <v>60813</v>
      </c>
      <c r="I116" s="150">
        <v>2145391793</v>
      </c>
      <c r="J116" s="148">
        <v>58161</v>
      </c>
      <c r="K116" s="150">
        <v>14640734</v>
      </c>
      <c r="L116" s="148">
        <v>850225</v>
      </c>
      <c r="M116" s="150">
        <v>4936446027</v>
      </c>
      <c r="N116" s="151">
        <v>854459</v>
      </c>
      <c r="O116" s="152">
        <v>39312</v>
      </c>
      <c r="P116" s="152">
        <v>6762</v>
      </c>
      <c r="Q116" s="153">
        <v>900533</v>
      </c>
      <c r="R116" s="83" t="s">
        <v>38</v>
      </c>
    </row>
    <row r="117" spans="1:10" ht="13.5">
      <c r="A117" s="237" t="s">
        <v>187</v>
      </c>
      <c r="B117" s="237"/>
      <c r="C117" s="237"/>
      <c r="D117" s="237"/>
      <c r="E117" s="237"/>
      <c r="F117" s="237"/>
      <c r="G117" s="237"/>
      <c r="H117" s="237"/>
      <c r="I117" s="237"/>
      <c r="J117" s="237"/>
    </row>
  </sheetData>
  <sheetProtection/>
  <mergeCells count="16">
    <mergeCell ref="L3:M4"/>
    <mergeCell ref="N3:Q3"/>
    <mergeCell ref="R3:R5"/>
    <mergeCell ref="B4:C4"/>
    <mergeCell ref="D4:E4"/>
    <mergeCell ref="F4:G4"/>
    <mergeCell ref="N4:N5"/>
    <mergeCell ref="O4:O5"/>
    <mergeCell ref="P4:P5"/>
    <mergeCell ref="Q4:Q5"/>
    <mergeCell ref="A117:J117"/>
    <mergeCell ref="A2:I2"/>
    <mergeCell ref="A3:A5"/>
    <mergeCell ref="B3:G3"/>
    <mergeCell ref="H3:I4"/>
    <mergeCell ref="J3:K4"/>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scale="64" r:id="rId1"/>
  <headerFooter alignWithMargins="0">
    <oddFooter>&amp;R東京国税局
消費税
(H27)</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2017-05-26T14:06:27Z</cp:lastPrinted>
  <dcterms:created xsi:type="dcterms:W3CDTF">2003-07-09T01:05:10Z</dcterms:created>
  <dcterms:modified xsi:type="dcterms:W3CDTF">2017-06-01T11:35:29Z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