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<sst xmlns="http://schemas.openxmlformats.org/spreadsheetml/2006/main" count="793" uniqueCount="190">
  <si>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</si>
  <si>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</si>
  <si>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</si>
  <si>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</si>
  <si>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</si>
  <si>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</si>
  <si>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</si>
  <si>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</si>
  <si>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</si>
  <si>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</si>
  <si>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</si>
  <si>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</si>
  <si>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</si>
  <si>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</si>
  <si>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</si>
  <si>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</si>
  <si>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</si>
  <si>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合　　　　　　　　　計</t>
  </si>
  <si>
    <t>法　　　　　　　人</t>
  </si>
  <si>
    <t>合　　　　　　　計</t>
  </si>
  <si>
    <t>件　　数</t>
  </si>
  <si>
    <t>税　　額</t>
  </si>
  <si>
    <t>(3)　課税事業者等届出件数</t>
  </si>
  <si>
    <t>千円</t>
  </si>
  <si>
    <t>件</t>
  </si>
  <si>
    <t>(2)　課税状況の累年比較</t>
  </si>
  <si>
    <t>平成22年度</t>
  </si>
  <si>
    <t>平成23年度</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</si>
  <si>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</si>
  <si>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</si>
  <si>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</si>
  <si>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</si>
  <si>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</si>
  <si>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</si>
  <si>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</si>
  <si>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</si>
  <si>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</si>
  <si>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</si>
  <si>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</si>
  <si>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</si>
  <si>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</si>
  <si>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</si>
  <si>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</si>
  <si>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</si>
  <si>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</si>
  <si>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</si>
  <si>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</si>
  <si>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</si>
  <si>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</si>
  <si>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</si>
  <si>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</si>
  <si>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</si>
  <si>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</si>
  <si>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</si>
  <si>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</si>
  <si>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</si>
  <si>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</si>
  <si>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</si>
  <si>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</si>
  <si>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</si>
  <si>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</si>
  <si>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</si>
  <si>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</si>
  <si>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</si>
  <si>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</si>
  <si>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</si>
  <si>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</si>
  <si>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</si>
  <si>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</si>
  <si>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</si>
  <si>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</si>
  <si>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</si>
  <si>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</si>
  <si>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</si>
  <si>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</si>
  <si>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</si>
  <si>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</si>
  <si>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</si>
  <si>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</si>
  <si>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</si>
  <si>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</si>
  <si>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</si>
  <si>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</si>
  <si>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</si>
  <si>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</si>
  <si>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</si>
  <si>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</si>
  <si>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</si>
  <si>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</si>
  <si>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</si>
  <si>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</si>
  <si>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</si>
  <si>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</si>
  <si>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</si>
  <si>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</si>
  <si>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</si>
  <si>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</si>
  <si>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</si>
  <si>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</si>
  <si>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</si>
  <si>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</si>
  <si>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</si>
  <si>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</si>
  <si>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</si>
  <si>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</si>
  <si>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</si>
  <si>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</si>
  <si>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</si>
  <si>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</si>
  <si>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</si>
  <si>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</si>
  <si>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</si>
  <si>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</si>
  <si>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</si>
  <si>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</si>
  <si>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</si>
  <si>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</si>
  <si>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</si>
  <si>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</si>
  <si>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</si>
  <si>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</si>
  <si>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</si>
  <si>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</si>
  <si>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</si>
  <si>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</si>
  <si>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</si>
  <si>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</si>
  <si>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</si>
  <si>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</si>
  <si>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</si>
  <si>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</si>
  <si>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</si>
  <si>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</si>
  <si>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</si>
  <si>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</si>
  <si>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</si>
  <si>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</si>
  <si>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</si>
  <si>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(4)　税務署別課税状況</t>
  </si>
  <si>
    <t>　イ　個人事業者</t>
  </si>
  <si>
    <t>税務署名</t>
  </si>
  <si>
    <t>税額</t>
  </si>
  <si>
    <t>税　額　①</t>
  </si>
  <si>
    <t>税　額　②</t>
  </si>
  <si>
    <t>税　額　③</t>
  </si>
  <si>
    <t>税　　　額
(①－②＋③)</t>
  </si>
  <si>
    <t>都区内計</t>
  </si>
  <si>
    <t>東京都計</t>
  </si>
  <si>
    <t>神奈川県計</t>
  </si>
  <si>
    <t>総　計</t>
  </si>
  <si>
    <t>(4)　税務署別課税状況（続）</t>
  </si>
  <si>
    <t>課　税　事　業　者　等　届　出　件　数</t>
  </si>
  <si>
    <t>課税事業者
選択届出</t>
  </si>
  <si>
    <t>新設法人に
該当する旨
の届出</t>
  </si>
  <si>
    <t>税　　額
(①－②＋③)</t>
  </si>
  <si>
    <t>（注）この表は「(1)　課税状況」の現年分を税務署別に示したものである（加算税を除く。）。</t>
  </si>
  <si>
    <t>（注）この表は「(1)　課税状況」の現年分及び「(3)　課税事業者等届出件数」を税務署別に示したものである（加算税を除く。）。</t>
  </si>
  <si>
    <t>平成24年度</t>
  </si>
  <si>
    <t>平成25年度</t>
  </si>
  <si>
    <t>調査対象等：</t>
  </si>
  <si>
    <t>（注）１</t>
  </si>
  <si>
    <t>税関分は含まない。</t>
  </si>
  <si>
    <t>　　　２</t>
  </si>
  <si>
    <t>「件数欄」の「実」は、実件数を示す。</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</si>
  <si>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</si>
  <si>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</si>
  <si>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</si>
  <si>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</si>
  <si>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</si>
  <si>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</si>
  <si>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</si>
  <si>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</si>
  <si>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</si>
  <si>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</si>
  <si>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</si>
  <si>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</si>
  <si>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</si>
  <si>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</si>
  <si>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</si>
  <si>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</si>
  <si>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</si>
  <si>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</si>
  <si>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</si>
  <si>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</si>
  <si>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</si>
  <si>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</si>
  <si>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　「現年分」は、平成26年４月１日から平成27年３月31日までに終了した課税期間について、平成27年６月30日現在の申告（国・地方公共団体等については平成27年９月30日までの申告を含む。）及び処理（更正、決定等）による課税事績を「申告書及び決議書」に基づいて作成した。</t>
  </si>
  <si>
    <t>　「既往年分」は、平成26年３月31日以前に終了した課税期間について、平成26年７月１日から平成27年６月30日までの間の申告（平成26年７月１日から同年９月30日までの間の国・地方公共団体等に係る申告を除く。）及び処理（更正、決定等）による課税事績を「申告書及び決議書」に基づいて作成した。</t>
  </si>
  <si>
    <t>平成26年度</t>
  </si>
  <si>
    <t>調査対象等：平成26年度末（平成27年３月31日現在）の届出件数を示している。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</si>
</sst>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5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0" fontId="6" fillId="0" borderId="25" xfId="0" applyFont="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3" fontId="2" fillId="34" borderId="30"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2"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xf>
    <xf numFmtId="0" fontId="2" fillId="0" borderId="33"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6" xfId="0" applyNumberFormat="1" applyFont="1" applyFill="1" applyBorder="1" applyAlignment="1">
      <alignment horizontal="right" vertical="center"/>
    </xf>
    <xf numFmtId="0" fontId="2" fillId="0" borderId="35"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7" fillId="34" borderId="40" xfId="0" applyFont="1" applyFill="1" applyBorder="1" applyAlignment="1">
      <alignment horizontal="right"/>
    </xf>
    <xf numFmtId="0" fontId="2" fillId="0" borderId="41"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2" xfId="61" applyFont="1" applyBorder="1" applyAlignment="1">
      <alignment horizontal="distributed" vertical="center" indent="1"/>
      <protection/>
    </xf>
    <xf numFmtId="0" fontId="2" fillId="0" borderId="43" xfId="61" applyFont="1" applyBorder="1" applyAlignment="1">
      <alignment horizontal="distributed" vertical="center" indent="1"/>
      <protection/>
    </xf>
    <xf numFmtId="0" fontId="2" fillId="0" borderId="43" xfId="61" applyFont="1" applyBorder="1" applyAlignment="1">
      <alignment horizontal="center" vertical="center" wrapText="1"/>
      <protection/>
    </xf>
    <xf numFmtId="0" fontId="7" fillId="35" borderId="35"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2"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7" fillId="35" borderId="40" xfId="61" applyFont="1" applyFill="1" applyBorder="1" applyAlignment="1">
      <alignment horizontal="distributed"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6" fillId="36" borderId="53" xfId="61" applyFont="1" applyFill="1" applyBorder="1" applyAlignment="1">
      <alignment horizontal="distributed" vertical="center"/>
      <protection/>
    </xf>
    <xf numFmtId="0" fontId="2" fillId="36" borderId="54" xfId="61" applyFont="1" applyFill="1" applyBorder="1" applyAlignment="1">
      <alignment horizontal="distributed" vertical="center"/>
      <protection/>
    </xf>
    <xf numFmtId="0" fontId="2" fillId="36" borderId="55" xfId="61" applyFont="1" applyFill="1" applyBorder="1" applyAlignment="1">
      <alignment horizontal="distributed" vertical="center"/>
      <protection/>
    </xf>
    <xf numFmtId="0" fontId="2" fillId="0" borderId="56" xfId="61" applyFont="1" applyBorder="1" applyAlignment="1">
      <alignment horizontal="distributed" vertical="center" indent="1"/>
      <protection/>
    </xf>
    <xf numFmtId="0" fontId="2" fillId="0" borderId="56" xfId="61" applyFont="1" applyBorder="1" applyAlignment="1">
      <alignment horizontal="centerContinuous" vertical="center" wrapText="1"/>
      <protection/>
    </xf>
    <xf numFmtId="0" fontId="7" fillId="33" borderId="44" xfId="61" applyFont="1" applyFill="1" applyBorder="1" applyAlignment="1">
      <alignment horizontal="right" vertical="top"/>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9" xfId="61" applyFont="1" applyFill="1" applyBorder="1" applyAlignment="1">
      <alignment horizontal="distributed"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0" fontId="2" fillId="36" borderId="62" xfId="61" applyFont="1" applyFill="1" applyBorder="1" applyAlignment="1">
      <alignment horizontal="distributed" vertical="center"/>
      <protection/>
    </xf>
    <xf numFmtId="0" fontId="12" fillId="37" borderId="60" xfId="61" applyFont="1" applyFill="1" applyBorder="1" applyAlignment="1">
      <alignment horizontal="distributed" vertical="center"/>
      <protection/>
    </xf>
    <xf numFmtId="0" fontId="7" fillId="35" borderId="63"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3" xfId="0" applyNumberFormat="1" applyFont="1" applyFill="1" applyBorder="1" applyAlignment="1">
      <alignment vertical="center"/>
    </xf>
    <xf numFmtId="3" fontId="2" fillId="34" borderId="68" xfId="0" applyNumberFormat="1" applyFont="1" applyFill="1" applyBorder="1" applyAlignment="1">
      <alignment vertical="center"/>
    </xf>
    <xf numFmtId="3" fontId="6" fillId="34" borderId="74" xfId="0" applyNumberFormat="1" applyFont="1" applyFill="1" applyBorder="1" applyAlignment="1">
      <alignment horizontal="right" vertical="center"/>
    </xf>
    <xf numFmtId="3" fontId="6" fillId="33" borderId="75"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2" fillId="34"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0" fillId="0" borderId="0" xfId="61" applyFont="1">
      <alignment/>
      <protection/>
    </xf>
    <xf numFmtId="177" fontId="2" fillId="34" borderId="36" xfId="61" applyNumberFormat="1" applyFont="1" applyFill="1" applyBorder="1" applyAlignment="1">
      <alignment horizontal="right" vertical="center"/>
      <protection/>
    </xf>
    <xf numFmtId="177" fontId="2" fillId="33" borderId="33" xfId="61" applyNumberFormat="1" applyFont="1" applyFill="1" applyBorder="1" applyAlignment="1">
      <alignment horizontal="right" vertical="center"/>
      <protection/>
    </xf>
    <xf numFmtId="177" fontId="2" fillId="33" borderId="80"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4" borderId="80" xfId="61" applyNumberFormat="1" applyFont="1" applyFill="1" applyBorder="1" applyAlignment="1">
      <alignment horizontal="right" vertical="center"/>
      <protection/>
    </xf>
    <xf numFmtId="177" fontId="2" fillId="34" borderId="81"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82" xfId="61" applyNumberFormat="1" applyFont="1" applyFill="1" applyBorder="1" applyAlignment="1">
      <alignment horizontal="right" vertical="center"/>
      <protection/>
    </xf>
    <xf numFmtId="177" fontId="6" fillId="34" borderId="83" xfId="61" applyNumberFormat="1" applyFont="1" applyFill="1" applyBorder="1" applyAlignment="1">
      <alignment horizontal="right" vertical="center"/>
      <protection/>
    </xf>
    <xf numFmtId="177" fontId="6" fillId="33" borderId="84" xfId="61" applyNumberFormat="1" applyFont="1" applyFill="1" applyBorder="1" applyAlignment="1">
      <alignment horizontal="right" vertical="center"/>
      <protection/>
    </xf>
    <xf numFmtId="177" fontId="6" fillId="33" borderId="85"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177" fontId="6" fillId="34" borderId="85"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3" borderId="88"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3" borderId="96" xfId="61" applyNumberFormat="1" applyFont="1" applyFill="1" applyBorder="1" applyAlignment="1">
      <alignment horizontal="right" vertical="center"/>
      <protection/>
    </xf>
    <xf numFmtId="177" fontId="6" fillId="34" borderId="97" xfId="61" applyNumberFormat="1" applyFont="1" applyFill="1" applyBorder="1" applyAlignment="1">
      <alignment horizontal="right" vertical="center"/>
      <protection/>
    </xf>
    <xf numFmtId="177" fontId="6" fillId="34" borderId="98" xfId="61" applyNumberFormat="1" applyFont="1" applyFill="1" applyBorder="1" applyAlignment="1">
      <alignment horizontal="right" vertical="center"/>
      <protection/>
    </xf>
    <xf numFmtId="177" fontId="6" fillId="34" borderId="9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3" fontId="2" fillId="34" borderId="100" xfId="0" applyNumberFormat="1" applyFont="1" applyFill="1" applyBorder="1" applyAlignment="1">
      <alignment horizontal="right" vertical="center" indent="1"/>
    </xf>
    <xf numFmtId="3" fontId="2" fillId="34" borderId="101" xfId="0" applyNumberFormat="1" applyFont="1" applyFill="1" applyBorder="1" applyAlignment="1">
      <alignment horizontal="right" vertical="center" indent="1"/>
    </xf>
    <xf numFmtId="3" fontId="2" fillId="34" borderId="102" xfId="0" applyNumberFormat="1" applyFont="1" applyFill="1" applyBorder="1" applyAlignment="1">
      <alignment horizontal="right" vertical="center" indent="1"/>
    </xf>
    <xf numFmtId="3" fontId="2" fillId="34" borderId="58" xfId="0" applyNumberFormat="1" applyFont="1" applyFill="1" applyBorder="1" applyAlignment="1">
      <alignment horizontal="right" vertical="center" indent="1"/>
    </xf>
    <xf numFmtId="0" fontId="8" fillId="37" borderId="103" xfId="61" applyFont="1" applyFill="1" applyBorder="1" applyAlignment="1">
      <alignment horizontal="distributed" vertical="center"/>
      <protection/>
    </xf>
    <xf numFmtId="0" fontId="8" fillId="37" borderId="104" xfId="61" applyFont="1" applyFill="1" applyBorder="1" applyAlignment="1">
      <alignment horizontal="center" vertical="center"/>
      <protection/>
    </xf>
    <xf numFmtId="177" fontId="8" fillId="28" borderId="105" xfId="61" applyNumberFormat="1" applyFont="1" applyFill="1" applyBorder="1" applyAlignment="1">
      <alignment horizontal="right" vertical="center"/>
      <protection/>
    </xf>
    <xf numFmtId="177" fontId="8" fillId="38" borderId="106" xfId="61" applyNumberFormat="1" applyFont="1" applyFill="1" applyBorder="1" applyAlignment="1">
      <alignment horizontal="right" vertical="center"/>
      <protection/>
    </xf>
    <xf numFmtId="177" fontId="8" fillId="38" borderId="107" xfId="61" applyNumberFormat="1" applyFont="1" applyFill="1" applyBorder="1" applyAlignment="1">
      <alignment horizontal="right" vertical="center"/>
      <protection/>
    </xf>
    <xf numFmtId="0" fontId="6" fillId="36" borderId="108" xfId="61" applyFont="1" applyFill="1" applyBorder="1" applyAlignment="1">
      <alignment horizontal="distributed" vertical="center"/>
      <protection/>
    </xf>
    <xf numFmtId="177" fontId="6" fillId="34" borderId="10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110" xfId="61" applyNumberFormat="1" applyFont="1" applyFill="1" applyBorder="1" applyAlignment="1">
      <alignment horizontal="right" vertical="center"/>
      <protection/>
    </xf>
    <xf numFmtId="0" fontId="6" fillId="36" borderId="111" xfId="61" applyFont="1" applyFill="1" applyBorder="1" applyAlignment="1">
      <alignment horizontal="distributed" vertical="center"/>
      <protection/>
    </xf>
    <xf numFmtId="0" fontId="8" fillId="0" borderId="112" xfId="61" applyFont="1" applyFill="1" applyBorder="1" applyAlignment="1">
      <alignment horizontal="distributed" vertical="center"/>
      <protection/>
    </xf>
    <xf numFmtId="177" fontId="8" fillId="0" borderId="113" xfId="61" applyNumberFormat="1" applyFont="1" applyFill="1" applyBorder="1" applyAlignment="1">
      <alignment horizontal="right" vertical="center"/>
      <protection/>
    </xf>
    <xf numFmtId="177" fontId="8" fillId="0" borderId="114" xfId="61" applyNumberFormat="1" applyFont="1" applyFill="1" applyBorder="1" applyAlignment="1">
      <alignment horizontal="right" vertical="center"/>
      <protection/>
    </xf>
    <xf numFmtId="177" fontId="8" fillId="0" borderId="115" xfId="61" applyNumberFormat="1" applyFont="1" applyFill="1" applyBorder="1" applyAlignment="1">
      <alignment horizontal="right" vertical="center"/>
      <protection/>
    </xf>
    <xf numFmtId="0" fontId="8" fillId="0" borderId="116" xfId="61" applyFont="1" applyFill="1" applyBorder="1" applyAlignment="1">
      <alignment horizontal="center" vertical="center"/>
      <protection/>
    </xf>
    <xf numFmtId="0" fontId="6" fillId="36" borderId="117" xfId="61" applyFont="1" applyFill="1" applyBorder="1" applyAlignment="1">
      <alignment horizontal="distributed" vertical="center"/>
      <protection/>
    </xf>
    <xf numFmtId="177" fontId="6" fillId="34" borderId="19" xfId="61" applyNumberFormat="1" applyFont="1" applyFill="1" applyBorder="1" applyAlignment="1">
      <alignment horizontal="right" vertical="center"/>
      <protection/>
    </xf>
    <xf numFmtId="177" fontId="6" fillId="33" borderId="118" xfId="61" applyNumberFormat="1" applyFont="1" applyFill="1" applyBorder="1" applyAlignment="1">
      <alignment horizontal="right" vertical="center"/>
      <protection/>
    </xf>
    <xf numFmtId="177" fontId="6" fillId="33" borderId="119" xfId="61" applyNumberFormat="1" applyFont="1" applyFill="1" applyBorder="1" applyAlignment="1">
      <alignment horizontal="right" vertical="center"/>
      <protection/>
    </xf>
    <xf numFmtId="0" fontId="6" fillId="36" borderId="120" xfId="61" applyFont="1" applyFill="1" applyBorder="1" applyAlignment="1">
      <alignment horizontal="distributed" vertical="center"/>
      <protection/>
    </xf>
    <xf numFmtId="0" fontId="8" fillId="37" borderId="112" xfId="61" applyFont="1" applyFill="1" applyBorder="1" applyAlignment="1">
      <alignment horizontal="distributed" vertical="center"/>
      <protection/>
    </xf>
    <xf numFmtId="177" fontId="8" fillId="28" borderId="115" xfId="61" applyNumberFormat="1" applyFont="1" applyFill="1" applyBorder="1" applyAlignment="1">
      <alignment horizontal="right" vertical="center"/>
      <protection/>
    </xf>
    <xf numFmtId="177" fontId="8" fillId="38" borderId="114" xfId="61" applyNumberFormat="1" applyFont="1" applyFill="1" applyBorder="1" applyAlignment="1">
      <alignment horizontal="right" vertical="center"/>
      <protection/>
    </xf>
    <xf numFmtId="177" fontId="8" fillId="38" borderId="121" xfId="61" applyNumberFormat="1" applyFont="1" applyFill="1" applyBorder="1" applyAlignment="1">
      <alignment horizontal="right" vertical="center"/>
      <protection/>
    </xf>
    <xf numFmtId="0" fontId="8" fillId="37" borderId="116" xfId="61" applyFont="1" applyFill="1" applyBorder="1" applyAlignment="1">
      <alignment horizontal="center" vertical="center"/>
      <protection/>
    </xf>
    <xf numFmtId="0" fontId="6" fillId="37" borderId="108" xfId="61" applyFont="1" applyFill="1" applyBorder="1" applyAlignment="1">
      <alignment horizontal="distributed" vertical="center"/>
      <protection/>
    </xf>
    <xf numFmtId="177" fontId="6" fillId="28" borderId="109" xfId="61" applyNumberFormat="1" applyFont="1" applyFill="1" applyBorder="1" applyAlignment="1">
      <alignment horizontal="right" vertical="center"/>
      <protection/>
    </xf>
    <xf numFmtId="177" fontId="6" fillId="38" borderId="71"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4" borderId="110" xfId="61" applyNumberFormat="1" applyFont="1" applyFill="1" applyBorder="1" applyAlignment="1">
      <alignment horizontal="right" vertical="center"/>
      <protection/>
    </xf>
    <xf numFmtId="177" fontId="2" fillId="0" borderId="115" xfId="61" applyNumberFormat="1" applyFont="1" applyFill="1" applyBorder="1" applyAlignment="1">
      <alignment horizontal="right" vertical="center"/>
      <protection/>
    </xf>
    <xf numFmtId="177" fontId="2" fillId="0" borderId="122" xfId="61" applyNumberFormat="1" applyFont="1" applyFill="1" applyBorder="1" applyAlignment="1">
      <alignment horizontal="right" vertical="center"/>
      <protection/>
    </xf>
    <xf numFmtId="177" fontId="2" fillId="0" borderId="121" xfId="61" applyNumberFormat="1" applyFont="1" applyFill="1" applyBorder="1" applyAlignment="1">
      <alignment horizontal="right" vertical="center"/>
      <protection/>
    </xf>
    <xf numFmtId="177" fontId="2" fillId="28" borderId="115" xfId="61" applyNumberFormat="1" applyFont="1" applyFill="1" applyBorder="1" applyAlignment="1">
      <alignment horizontal="right" vertical="center"/>
      <protection/>
    </xf>
    <xf numFmtId="177" fontId="2" fillId="28" borderId="122" xfId="61" applyNumberFormat="1" applyFont="1" applyFill="1" applyBorder="1" applyAlignment="1">
      <alignment horizontal="right" vertical="center"/>
      <protection/>
    </xf>
    <xf numFmtId="177" fontId="2" fillId="28" borderId="121" xfId="61" applyNumberFormat="1" applyFont="1" applyFill="1" applyBorder="1" applyAlignment="1">
      <alignment horizontal="right" vertical="center"/>
      <protection/>
    </xf>
    <xf numFmtId="177" fontId="6" fillId="34" borderId="123" xfId="61" applyNumberFormat="1" applyFont="1" applyFill="1" applyBorder="1" applyAlignment="1">
      <alignment horizontal="right" vertical="center"/>
      <protection/>
    </xf>
    <xf numFmtId="177" fontId="6" fillId="34" borderId="119" xfId="61" applyNumberFormat="1" applyFont="1" applyFill="1" applyBorder="1" applyAlignment="1">
      <alignment horizontal="right" vertical="center"/>
      <protection/>
    </xf>
    <xf numFmtId="0" fontId="2" fillId="0" borderId="41"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4" xfId="0" applyFont="1" applyBorder="1" applyAlignment="1">
      <alignment horizontal="distributed" vertical="center"/>
    </xf>
    <xf numFmtId="0" fontId="6" fillId="0" borderId="125" xfId="0" applyFont="1" applyBorder="1" applyAlignment="1">
      <alignment horizontal="distributed" vertical="center"/>
    </xf>
    <xf numFmtId="0" fontId="2" fillId="0" borderId="51"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distributed" vertical="center" wrapText="1"/>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0" xfId="0" applyFont="1" applyAlignment="1">
      <alignment horizontal="left" vertical="top"/>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17"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41" xfId="0" applyFont="1" applyBorder="1" applyAlignment="1">
      <alignment horizontal="center" vertical="center"/>
    </xf>
    <xf numFmtId="0" fontId="2" fillId="0" borderId="139" xfId="0" applyFont="1" applyBorder="1" applyAlignment="1">
      <alignment horizontal="center" vertical="center"/>
    </xf>
    <xf numFmtId="0" fontId="2" fillId="0" borderId="127"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33"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35" xfId="61" applyFont="1" applyBorder="1" applyAlignment="1">
      <alignment horizontal="distributed" vertical="center"/>
      <protection/>
    </xf>
    <xf numFmtId="0" fontId="2" fillId="0" borderId="117" xfId="61" applyFont="1" applyBorder="1" applyAlignment="1">
      <alignment horizontal="distributed" vertical="center"/>
      <protection/>
    </xf>
    <xf numFmtId="0" fontId="2" fillId="0" borderId="144" xfId="61" applyFont="1" applyBorder="1" applyAlignment="1">
      <alignment horizontal="distributed" vertical="center"/>
      <protection/>
    </xf>
    <xf numFmtId="0" fontId="2" fillId="0" borderId="145" xfId="61" applyFont="1" applyBorder="1" applyAlignment="1">
      <alignment horizontal="center" vertical="center"/>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49" xfId="61" applyFont="1" applyBorder="1" applyAlignment="1">
      <alignment horizontal="center" vertical="center"/>
      <protection/>
    </xf>
    <xf numFmtId="0" fontId="2" fillId="0" borderId="146" xfId="61" applyFont="1" applyBorder="1" applyAlignment="1">
      <alignment horizontal="center" vertical="center" wrapText="1"/>
      <protection/>
    </xf>
    <xf numFmtId="0" fontId="2" fillId="0" borderId="16" xfId="61" applyFont="1" applyBorder="1" applyAlignment="1">
      <alignment horizontal="distributed" vertical="center" wrapText="1"/>
      <protection/>
    </xf>
    <xf numFmtId="0" fontId="2" fillId="0" borderId="120" xfId="61" applyFont="1" applyBorder="1" applyAlignment="1">
      <alignment horizontal="distributed" vertical="center" wrapText="1"/>
      <protection/>
    </xf>
    <xf numFmtId="0" fontId="2" fillId="0" borderId="150" xfId="61" applyFont="1" applyBorder="1" applyAlignment="1">
      <alignment horizontal="distributed" vertical="center" wrapText="1"/>
      <protection/>
    </xf>
    <xf numFmtId="0" fontId="2" fillId="0" borderId="151" xfId="61" applyFont="1" applyBorder="1" applyAlignment="1">
      <alignment horizontal="center" vertical="center"/>
      <protection/>
    </xf>
    <xf numFmtId="0" fontId="2" fillId="0" borderId="152" xfId="61" applyFont="1" applyBorder="1" applyAlignment="1">
      <alignment horizontal="center" vertical="center"/>
      <protection/>
    </xf>
    <xf numFmtId="0" fontId="2" fillId="0" borderId="41" xfId="61" applyFont="1" applyBorder="1" applyAlignment="1">
      <alignment horizontal="left" vertical="center"/>
      <protection/>
    </xf>
    <xf numFmtId="0" fontId="2" fillId="0" borderId="153" xfId="61" applyFont="1" applyBorder="1" applyAlignment="1">
      <alignment horizontal="left" vertical="center"/>
      <protection/>
    </xf>
    <xf numFmtId="0" fontId="2" fillId="0" borderId="145" xfId="61" applyFont="1" applyBorder="1" applyAlignment="1">
      <alignment horizontal="center" vertical="center" wrapText="1"/>
      <protection/>
    </xf>
    <xf numFmtId="0" fontId="2" fillId="0" borderId="154" xfId="61" applyFont="1" applyBorder="1" applyAlignment="1">
      <alignment horizontal="center" vertical="center"/>
      <protection/>
    </xf>
    <xf numFmtId="0" fontId="2" fillId="0" borderId="155" xfId="61" applyFont="1" applyBorder="1" applyAlignment="1">
      <alignment horizontal="center" vertical="center"/>
      <protection/>
    </xf>
    <xf numFmtId="0" fontId="2" fillId="0" borderId="156" xfId="61" applyFont="1" applyBorder="1" applyAlignment="1">
      <alignment horizontal="distributed" vertical="center" wrapText="1"/>
      <protection/>
    </xf>
    <xf numFmtId="0" fontId="2" fillId="0" borderId="157" xfId="61" applyFont="1" applyBorder="1" applyAlignment="1">
      <alignment horizontal="distributed" vertical="center"/>
      <protection/>
    </xf>
    <xf numFmtId="0" fontId="2" fillId="0" borderId="158" xfId="61" applyFont="1" applyBorder="1" applyAlignment="1">
      <alignment horizontal="distributed" vertical="center" wrapText="1"/>
      <protection/>
    </xf>
    <xf numFmtId="0" fontId="2" fillId="0" borderId="159" xfId="61" applyFont="1" applyBorder="1" applyAlignment="1">
      <alignment horizontal="distributed" vertical="center"/>
      <protection/>
    </xf>
    <xf numFmtId="0" fontId="2" fillId="0" borderId="160" xfId="61" applyFont="1" applyBorder="1" applyAlignment="1">
      <alignment horizontal="distributed" vertical="center" wrapText="1"/>
      <protection/>
    </xf>
    <xf numFmtId="0" fontId="2" fillId="0" borderId="161" xfId="61" applyFont="1" applyBorder="1" applyAlignment="1">
      <alignment horizontal="distributed" vertical="center" wrapText="1"/>
      <protection/>
    </xf>
    <xf numFmtId="0" fontId="2" fillId="0" borderId="5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1.5039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3.125" style="1" customWidth="1"/>
    <col min="9" max="9" width="3.00390625" style="1" customWidth="1"/>
    <col min="10" max="10" width="6.75390625" style="1" customWidth="1"/>
    <col min="11" max="11" width="13.625" style="1" customWidth="1"/>
    <col min="12" max="16384" width="5.875" style="1" customWidth="1"/>
  </cols>
  <sheetData>
    <row r="1" spans="1:11" ht="15">
      <c r="A1" s="200" t="s">
        <v>0</v>
      </c>
      <c r="B1" s="200"/>
      <c r="C1" s="200"/>
      <c r="D1" s="200"/>
      <c r="E1" s="200"/>
      <c r="F1" s="200"/>
      <c r="G1" s="200"/>
      <c r="H1" s="200"/>
      <c r="I1" s="200"/>
      <c r="J1" s="200"/>
      <c r="K1" s="200"/>
    </row>
    <row r="2" spans="1:11" ht="15">
      <c r="A2" s="58"/>
      <c r="B2" s="58"/>
      <c r="C2" s="58"/>
      <c r="D2" s="58"/>
      <c r="E2" s="58"/>
      <c r="F2" s="58"/>
      <c r="G2" s="58"/>
      <c r="H2" s="58"/>
      <c r="I2" s="58"/>
      <c r="J2" s="58"/>
      <c r="K2" s="58"/>
    </row>
    <row r="3" spans="1:11" ht="12" thickBot="1">
      <c r="A3" s="213" t="s">
        <v>164</v>
      </c>
      <c r="B3" s="213"/>
      <c r="C3" s="213"/>
      <c r="D3" s="213"/>
      <c r="E3" s="213"/>
      <c r="F3" s="213"/>
      <c r="G3" s="213"/>
      <c r="H3" s="213"/>
      <c r="I3" s="213"/>
      <c r="J3" s="213"/>
      <c r="K3" s="213"/>
    </row>
    <row r="4" spans="1:11" ht="24" customHeight="1">
      <c r="A4" s="217" t="s">
        <v>1</v>
      </c>
      <c r="B4" s="218"/>
      <c r="C4" s="207" t="s">
        <v>165</v>
      </c>
      <c r="D4" s="208"/>
      <c r="E4" s="216"/>
      <c r="F4" s="207" t="s">
        <v>166</v>
      </c>
      <c r="G4" s="208"/>
      <c r="H4" s="216"/>
      <c r="I4" s="207" t="s">
        <v>167</v>
      </c>
      <c r="J4" s="208"/>
      <c r="K4" s="209"/>
    </row>
    <row r="5" spans="1:11" ht="24" customHeight="1">
      <c r="A5" s="219"/>
      <c r="B5" s="220"/>
      <c r="C5" s="214" t="s">
        <v>2</v>
      </c>
      <c r="D5" s="215"/>
      <c r="E5" s="6" t="s">
        <v>3</v>
      </c>
      <c r="F5" s="214" t="s">
        <v>2</v>
      </c>
      <c r="G5" s="215"/>
      <c r="H5" s="6" t="s">
        <v>3</v>
      </c>
      <c r="I5" s="214" t="s">
        <v>2</v>
      </c>
      <c r="J5" s="215"/>
      <c r="K5" s="15" t="s">
        <v>3</v>
      </c>
    </row>
    <row r="6" spans="1:11" ht="12" customHeight="1">
      <c r="A6" s="44"/>
      <c r="B6" s="47"/>
      <c r="C6" s="45"/>
      <c r="D6" s="37" t="s">
        <v>24</v>
      </c>
      <c r="E6" s="36" t="s">
        <v>23</v>
      </c>
      <c r="F6" s="45"/>
      <c r="G6" s="37" t="s">
        <v>24</v>
      </c>
      <c r="H6" s="36" t="s">
        <v>23</v>
      </c>
      <c r="I6" s="45"/>
      <c r="J6" s="37" t="s">
        <v>24</v>
      </c>
      <c r="K6" s="46" t="s">
        <v>23</v>
      </c>
    </row>
    <row r="7" spans="1:11" ht="30" customHeight="1">
      <c r="A7" s="210" t="s">
        <v>168</v>
      </c>
      <c r="B7" s="41" t="s">
        <v>169</v>
      </c>
      <c r="C7" s="16"/>
      <c r="D7" s="106">
        <v>81686</v>
      </c>
      <c r="E7" s="42">
        <v>68424973</v>
      </c>
      <c r="F7" s="19"/>
      <c r="G7" s="106">
        <v>380778</v>
      </c>
      <c r="H7" s="42">
        <v>6178234219</v>
      </c>
      <c r="I7" s="19"/>
      <c r="J7" s="106">
        <v>462464</v>
      </c>
      <c r="K7" s="43">
        <v>6246659192</v>
      </c>
    </row>
    <row r="8" spans="1:11" ht="30" customHeight="1">
      <c r="A8" s="211"/>
      <c r="B8" s="24" t="s">
        <v>170</v>
      </c>
      <c r="C8" s="16"/>
      <c r="D8" s="107">
        <v>148687</v>
      </c>
      <c r="E8" s="108">
        <v>63144927</v>
      </c>
      <c r="F8" s="19"/>
      <c r="G8" s="107">
        <v>157285</v>
      </c>
      <c r="H8" s="108">
        <v>81572397</v>
      </c>
      <c r="I8" s="19"/>
      <c r="J8" s="107">
        <v>305972</v>
      </c>
      <c r="K8" s="109">
        <v>144717324</v>
      </c>
    </row>
    <row r="9" spans="1:11" s="3" customFormat="1" ht="30" customHeight="1">
      <c r="A9" s="211"/>
      <c r="B9" s="25" t="s">
        <v>171</v>
      </c>
      <c r="C9" s="17"/>
      <c r="D9" s="110">
        <v>230373</v>
      </c>
      <c r="E9" s="111">
        <v>131569900</v>
      </c>
      <c r="F9" s="17"/>
      <c r="G9" s="110">
        <v>538063</v>
      </c>
      <c r="H9" s="111">
        <v>6259806616</v>
      </c>
      <c r="I9" s="17"/>
      <c r="J9" s="110">
        <v>768436</v>
      </c>
      <c r="K9" s="112">
        <v>6391376516</v>
      </c>
    </row>
    <row r="10" spans="1:11" ht="30" customHeight="1">
      <c r="A10" s="212"/>
      <c r="B10" s="26" t="s">
        <v>172</v>
      </c>
      <c r="C10" s="16"/>
      <c r="D10" s="113">
        <v>6715</v>
      </c>
      <c r="E10" s="114">
        <v>8743154</v>
      </c>
      <c r="F10" s="16"/>
      <c r="G10" s="113">
        <v>50053</v>
      </c>
      <c r="H10" s="114">
        <v>2160825496</v>
      </c>
      <c r="I10" s="16"/>
      <c r="J10" s="113">
        <v>56768</v>
      </c>
      <c r="K10" s="115">
        <v>2169568650</v>
      </c>
    </row>
    <row r="11" spans="1:11" ht="30" customHeight="1">
      <c r="A11" s="205" t="s">
        <v>173</v>
      </c>
      <c r="B11" s="59" t="s">
        <v>174</v>
      </c>
      <c r="C11" s="9"/>
      <c r="D11" s="116">
        <v>17082</v>
      </c>
      <c r="E11" s="21">
        <v>3257668</v>
      </c>
      <c r="F11" s="38"/>
      <c r="G11" s="117">
        <v>27456</v>
      </c>
      <c r="H11" s="21">
        <v>19971724</v>
      </c>
      <c r="I11" s="38"/>
      <c r="J11" s="117">
        <v>44538</v>
      </c>
      <c r="K11" s="22">
        <v>23229393</v>
      </c>
    </row>
    <row r="12" spans="1:11" ht="30" customHeight="1">
      <c r="A12" s="206"/>
      <c r="B12" s="60" t="s">
        <v>175</v>
      </c>
      <c r="C12" s="39"/>
      <c r="D12" s="107">
        <v>3177</v>
      </c>
      <c r="E12" s="108">
        <v>632045</v>
      </c>
      <c r="F12" s="40"/>
      <c r="G12" s="118">
        <v>5715</v>
      </c>
      <c r="H12" s="108">
        <v>16040020</v>
      </c>
      <c r="I12" s="40"/>
      <c r="J12" s="118">
        <v>8892</v>
      </c>
      <c r="K12" s="109">
        <v>16672065</v>
      </c>
    </row>
    <row r="13" spans="1:11" s="3" customFormat="1" ht="30" customHeight="1">
      <c r="A13" s="201" t="s">
        <v>6</v>
      </c>
      <c r="B13" s="202"/>
      <c r="C13" s="27" t="s">
        <v>14</v>
      </c>
      <c r="D13" s="119">
        <v>246193</v>
      </c>
      <c r="E13" s="120">
        <v>125452369</v>
      </c>
      <c r="F13" s="27" t="s">
        <v>14</v>
      </c>
      <c r="G13" s="119">
        <v>594284</v>
      </c>
      <c r="H13" s="120">
        <v>4102912824</v>
      </c>
      <c r="I13" s="27" t="s">
        <v>14</v>
      </c>
      <c r="J13" s="119">
        <v>840477</v>
      </c>
      <c r="K13" s="121">
        <v>4228365193</v>
      </c>
    </row>
    <row r="14" spans="1:11" ht="30" customHeight="1" thickBot="1">
      <c r="A14" s="203" t="s">
        <v>7</v>
      </c>
      <c r="B14" s="204"/>
      <c r="C14" s="18"/>
      <c r="D14" s="122">
        <v>16532</v>
      </c>
      <c r="E14" s="123">
        <v>568872</v>
      </c>
      <c r="F14" s="20"/>
      <c r="G14" s="122">
        <v>22878</v>
      </c>
      <c r="H14" s="123">
        <v>2327791</v>
      </c>
      <c r="I14" s="20"/>
      <c r="J14" s="122">
        <v>39410</v>
      </c>
      <c r="K14" s="124">
        <v>2896663</v>
      </c>
    </row>
    <row r="15" spans="1:11" s="4" customFormat="1" ht="37.5" customHeight="1">
      <c r="A15" s="57" t="s">
        <v>159</v>
      </c>
      <c r="B15" s="198" t="s">
        <v>186</v>
      </c>
      <c r="C15" s="198"/>
      <c r="D15" s="198"/>
      <c r="E15" s="198"/>
      <c r="F15" s="198"/>
      <c r="G15" s="198"/>
      <c r="H15" s="198"/>
      <c r="I15" s="198"/>
      <c r="J15" s="198"/>
      <c r="K15" s="198"/>
    </row>
    <row r="16" spans="2:11" ht="45" customHeight="1">
      <c r="B16" s="199" t="s">
        <v>187</v>
      </c>
      <c r="C16" s="199"/>
      <c r="D16" s="199"/>
      <c r="E16" s="199"/>
      <c r="F16" s="199"/>
      <c r="G16" s="199"/>
      <c r="H16" s="199"/>
      <c r="I16" s="199"/>
      <c r="J16" s="199"/>
      <c r="K16" s="199"/>
    </row>
    <row r="17" spans="1:2" ht="14.25" customHeight="1">
      <c r="A17" s="1" t="s">
        <v>160</v>
      </c>
      <c r="B17" s="1" t="s">
        <v>161</v>
      </c>
    </row>
    <row r="18" spans="1:2" ht="11.25">
      <c r="A18" s="63" t="s">
        <v>162</v>
      </c>
      <c r="B18" s="1" t="s">
        <v>163</v>
      </c>
    </row>
  </sheetData>
  <sheetProtection/>
  <mergeCells count="15">
    <mergeCell ref="C4:E4"/>
    <mergeCell ref="F4:H4"/>
    <mergeCell ref="C5:D5"/>
    <mergeCell ref="F5:G5"/>
    <mergeCell ref="A4:B5"/>
    <mergeCell ref="B15:K15"/>
    <mergeCell ref="B16:K16"/>
    <mergeCell ref="A1:K1"/>
    <mergeCell ref="A13:B13"/>
    <mergeCell ref="A14:B14"/>
    <mergeCell ref="A11:A12"/>
    <mergeCell ref="I4:K4"/>
    <mergeCell ref="A7:A10"/>
    <mergeCell ref="A3:K3"/>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&amp;R東京国税局
消費税
(H26)</oddFooter>
  </headerFooter>
  <ignoredErrors>
    <ignoredError sqref="A1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2" customWidth="1"/>
    <col min="2" max="2" width="15.625" style="62" customWidth="1"/>
    <col min="3" max="3" width="8.625" style="62" customWidth="1"/>
    <col min="4" max="4" width="10.625" style="62" customWidth="1"/>
    <col min="5" max="5" width="8.625" style="62" customWidth="1"/>
    <col min="6" max="6" width="12.875" style="62" bestFit="1" customWidth="1"/>
    <col min="7" max="7" width="8.625" style="62" customWidth="1"/>
    <col min="8" max="8" width="12.875" style="62" bestFit="1" customWidth="1"/>
    <col min="9" max="16384" width="9.00390625" style="62" customWidth="1"/>
  </cols>
  <sheetData>
    <row r="1" s="1" customFormat="1" ht="12" thickBot="1">
      <c r="A1" s="1" t="s">
        <v>25</v>
      </c>
    </row>
    <row r="2" spans="1:8" s="1" customFormat="1" ht="15" customHeight="1">
      <c r="A2" s="217" t="s">
        <v>1</v>
      </c>
      <c r="B2" s="218"/>
      <c r="C2" s="221" t="s">
        <v>15</v>
      </c>
      <c r="D2" s="221"/>
      <c r="E2" s="221" t="s">
        <v>18</v>
      </c>
      <c r="F2" s="221"/>
      <c r="G2" s="222" t="s">
        <v>19</v>
      </c>
      <c r="H2" s="223"/>
    </row>
    <row r="3" spans="1:8" s="1" customFormat="1" ht="15" customHeight="1">
      <c r="A3" s="219"/>
      <c r="B3" s="220"/>
      <c r="C3" s="9" t="s">
        <v>20</v>
      </c>
      <c r="D3" s="6" t="s">
        <v>21</v>
      </c>
      <c r="E3" s="9" t="s">
        <v>20</v>
      </c>
      <c r="F3" s="7" t="s">
        <v>21</v>
      </c>
      <c r="G3" s="9" t="s">
        <v>20</v>
      </c>
      <c r="H3" s="8" t="s">
        <v>21</v>
      </c>
    </row>
    <row r="4" spans="1:8" s="10" customFormat="1" ht="15" customHeight="1">
      <c r="A4" s="49"/>
      <c r="B4" s="6"/>
      <c r="C4" s="50" t="s">
        <v>4</v>
      </c>
      <c r="D4" s="51" t="s">
        <v>5</v>
      </c>
      <c r="E4" s="50" t="s">
        <v>4</v>
      </c>
      <c r="F4" s="51" t="s">
        <v>5</v>
      </c>
      <c r="G4" s="50" t="s">
        <v>4</v>
      </c>
      <c r="H4" s="52" t="s">
        <v>5</v>
      </c>
    </row>
    <row r="5" spans="1:8" s="61" customFormat="1" ht="30" customHeight="1">
      <c r="A5" s="226" t="s">
        <v>26</v>
      </c>
      <c r="B5" s="41" t="s">
        <v>12</v>
      </c>
      <c r="C5" s="48">
        <v>275049</v>
      </c>
      <c r="D5" s="42">
        <v>100206355</v>
      </c>
      <c r="E5" s="48">
        <v>561368</v>
      </c>
      <c r="F5" s="42">
        <v>4325010620</v>
      </c>
      <c r="G5" s="48">
        <v>836417</v>
      </c>
      <c r="H5" s="43">
        <v>4425216975</v>
      </c>
    </row>
    <row r="6" spans="1:8" s="61" customFormat="1" ht="30" customHeight="1">
      <c r="A6" s="227"/>
      <c r="B6" s="26" t="s">
        <v>13</v>
      </c>
      <c r="C6" s="29">
        <v>7043</v>
      </c>
      <c r="D6" s="30">
        <v>6785860</v>
      </c>
      <c r="E6" s="29">
        <v>48688</v>
      </c>
      <c r="F6" s="30">
        <v>1214221252</v>
      </c>
      <c r="G6" s="29">
        <v>55731</v>
      </c>
      <c r="H6" s="31">
        <v>1221007112</v>
      </c>
    </row>
    <row r="7" spans="1:8" s="61" customFormat="1" ht="30" customHeight="1">
      <c r="A7" s="228" t="s">
        <v>27</v>
      </c>
      <c r="B7" s="23" t="s">
        <v>12</v>
      </c>
      <c r="C7" s="28">
        <v>248682</v>
      </c>
      <c r="D7" s="21">
        <v>95315802</v>
      </c>
      <c r="E7" s="28">
        <v>545806</v>
      </c>
      <c r="F7" s="21">
        <v>4195113592</v>
      </c>
      <c r="G7" s="28">
        <v>794488</v>
      </c>
      <c r="H7" s="22">
        <v>4290429394</v>
      </c>
    </row>
    <row r="8" spans="1:8" s="61" customFormat="1" ht="30" customHeight="1">
      <c r="A8" s="229"/>
      <c r="B8" s="26" t="s">
        <v>13</v>
      </c>
      <c r="C8" s="29">
        <v>6013</v>
      </c>
      <c r="D8" s="30">
        <v>4441122</v>
      </c>
      <c r="E8" s="29">
        <v>46170</v>
      </c>
      <c r="F8" s="30">
        <v>1204316116</v>
      </c>
      <c r="G8" s="29">
        <v>52183</v>
      </c>
      <c r="H8" s="31">
        <v>1208757237</v>
      </c>
    </row>
    <row r="9" spans="1:8" s="61" customFormat="1" ht="30" customHeight="1">
      <c r="A9" s="224" t="s">
        <v>157</v>
      </c>
      <c r="B9" s="23" t="s">
        <v>12</v>
      </c>
      <c r="C9" s="28">
        <v>235575</v>
      </c>
      <c r="D9" s="21">
        <v>94392719</v>
      </c>
      <c r="E9" s="28">
        <v>538562</v>
      </c>
      <c r="F9" s="21">
        <v>4196439370</v>
      </c>
      <c r="G9" s="28">
        <v>774137</v>
      </c>
      <c r="H9" s="22">
        <v>4290832089</v>
      </c>
    </row>
    <row r="10" spans="1:8" s="61" customFormat="1" ht="30" customHeight="1">
      <c r="A10" s="227"/>
      <c r="B10" s="26" t="s">
        <v>13</v>
      </c>
      <c r="C10" s="29">
        <v>5557</v>
      </c>
      <c r="D10" s="30">
        <v>4342149</v>
      </c>
      <c r="E10" s="29">
        <v>44769</v>
      </c>
      <c r="F10" s="30">
        <v>1128974442</v>
      </c>
      <c r="G10" s="29">
        <v>50326</v>
      </c>
      <c r="H10" s="31">
        <v>1133316591</v>
      </c>
    </row>
    <row r="11" spans="1:8" s="61" customFormat="1" ht="30" customHeight="1">
      <c r="A11" s="224" t="s">
        <v>158</v>
      </c>
      <c r="B11" s="23" t="s">
        <v>12</v>
      </c>
      <c r="C11" s="28">
        <v>230025</v>
      </c>
      <c r="D11" s="21">
        <v>94061605</v>
      </c>
      <c r="E11" s="28">
        <v>536099</v>
      </c>
      <c r="F11" s="21">
        <v>4275817752</v>
      </c>
      <c r="G11" s="28">
        <v>766124</v>
      </c>
      <c r="H11" s="22">
        <v>4369879357</v>
      </c>
    </row>
    <row r="12" spans="1:8" s="61" customFormat="1" ht="30" customHeight="1">
      <c r="A12" s="227"/>
      <c r="B12" s="26" t="s">
        <v>13</v>
      </c>
      <c r="C12" s="29">
        <v>5893</v>
      </c>
      <c r="D12" s="30">
        <v>5439994</v>
      </c>
      <c r="E12" s="29">
        <v>46112</v>
      </c>
      <c r="F12" s="30">
        <v>1229022101</v>
      </c>
      <c r="G12" s="29">
        <v>52005</v>
      </c>
      <c r="H12" s="31">
        <v>1234462095</v>
      </c>
    </row>
    <row r="13" spans="1:8" s="1" customFormat="1" ht="30" customHeight="1">
      <c r="A13" s="224" t="s">
        <v>188</v>
      </c>
      <c r="B13" s="23" t="s">
        <v>12</v>
      </c>
      <c r="C13" s="28">
        <v>230373</v>
      </c>
      <c r="D13" s="21">
        <v>131569900</v>
      </c>
      <c r="E13" s="28">
        <v>538063</v>
      </c>
      <c r="F13" s="21">
        <v>6259806616</v>
      </c>
      <c r="G13" s="28">
        <v>768436</v>
      </c>
      <c r="H13" s="22">
        <v>6391376516</v>
      </c>
    </row>
    <row r="14" spans="1:8" s="1" customFormat="1" ht="30" customHeight="1" thickBot="1">
      <c r="A14" s="225"/>
      <c r="B14" s="32" t="s">
        <v>13</v>
      </c>
      <c r="C14" s="33">
        <v>6715</v>
      </c>
      <c r="D14" s="34">
        <v>8743154</v>
      </c>
      <c r="E14" s="33">
        <v>50053</v>
      </c>
      <c r="F14" s="34">
        <v>2160825496</v>
      </c>
      <c r="G14" s="33">
        <v>56768</v>
      </c>
      <c r="H14" s="35">
        <v>2169568650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62" customWidth="1"/>
    <col min="3" max="3" width="23.625" style="62" customWidth="1"/>
    <col min="4" max="4" width="18.625" style="62" customWidth="1"/>
    <col min="5" max="16384" width="9.00390625" style="62" customWidth="1"/>
  </cols>
  <sheetData>
    <row r="1" s="1" customFormat="1" ht="20.25" customHeight="1" thickBot="1">
      <c r="A1" s="1" t="s">
        <v>22</v>
      </c>
    </row>
    <row r="2" spans="1:4" s="4" customFormat="1" ht="19.5" customHeight="1">
      <c r="A2" s="11" t="s">
        <v>8</v>
      </c>
      <c r="B2" s="12" t="s">
        <v>9</v>
      </c>
      <c r="C2" s="14" t="s">
        <v>10</v>
      </c>
      <c r="D2" s="13" t="s">
        <v>17</v>
      </c>
    </row>
    <row r="3" spans="1:4" s="10" customFormat="1" ht="15" customHeight="1">
      <c r="A3" s="53" t="s">
        <v>4</v>
      </c>
      <c r="B3" s="54" t="s">
        <v>4</v>
      </c>
      <c r="C3" s="55" t="s">
        <v>4</v>
      </c>
      <c r="D3" s="56" t="s">
        <v>4</v>
      </c>
    </row>
    <row r="4" spans="1:9" s="4" customFormat="1" ht="30" customHeight="1" thickBot="1">
      <c r="A4" s="156">
        <v>833892</v>
      </c>
      <c r="B4" s="157">
        <v>34836</v>
      </c>
      <c r="C4" s="158">
        <v>6434</v>
      </c>
      <c r="D4" s="159">
        <v>875162</v>
      </c>
      <c r="E4" s="5"/>
      <c r="G4" s="5"/>
      <c r="I4" s="5"/>
    </row>
    <row r="5" spans="1:4" s="4" customFormat="1" ht="15" customHeight="1">
      <c r="A5" s="230" t="s">
        <v>189</v>
      </c>
      <c r="B5" s="230"/>
      <c r="C5" s="230"/>
      <c r="D5" s="230"/>
    </row>
    <row r="6" spans="1:4" s="4" customFormat="1" ht="15" customHeight="1">
      <c r="A6" s="231" t="s">
        <v>11</v>
      </c>
      <c r="B6" s="231"/>
      <c r="C6" s="231"/>
      <c r="D6" s="231"/>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(H26)</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zoomScalePageLayoutView="0" workbookViewId="0" topLeftCell="A1">
      <selection activeCell="A1" sqref="A1"/>
    </sheetView>
  </sheetViews>
  <sheetFormatPr defaultColWidth="9.00390625" defaultRowHeight="13.5"/>
  <cols>
    <col min="1" max="1" width="11.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4" ht="13.5">
      <c r="A1" s="64" t="s">
        <v>138</v>
      </c>
      <c r="B1" s="64"/>
      <c r="C1" s="64"/>
      <c r="D1" s="64"/>
      <c r="E1" s="64"/>
      <c r="F1" s="64"/>
      <c r="G1" s="64"/>
      <c r="H1" s="65"/>
      <c r="I1" s="65"/>
      <c r="J1" s="65"/>
      <c r="K1" s="65"/>
      <c r="L1" s="65"/>
      <c r="M1" s="65"/>
      <c r="N1" s="65"/>
    </row>
    <row r="2" spans="1:14" ht="14.25" thickBot="1">
      <c r="A2" s="232" t="s">
        <v>139</v>
      </c>
      <c r="B2" s="232"/>
      <c r="C2" s="232"/>
      <c r="D2" s="232"/>
      <c r="E2" s="232"/>
      <c r="F2" s="232"/>
      <c r="G2" s="232"/>
      <c r="H2" s="65"/>
      <c r="I2" s="65"/>
      <c r="J2" s="65"/>
      <c r="K2" s="65"/>
      <c r="L2" s="65"/>
      <c r="M2" s="65"/>
      <c r="N2" s="65"/>
    </row>
    <row r="3" spans="1:14" ht="19.5" customHeight="1">
      <c r="A3" s="233" t="s">
        <v>29</v>
      </c>
      <c r="B3" s="236" t="s">
        <v>30</v>
      </c>
      <c r="C3" s="236"/>
      <c r="D3" s="236"/>
      <c r="E3" s="236"/>
      <c r="F3" s="236"/>
      <c r="G3" s="236"/>
      <c r="H3" s="237" t="s">
        <v>13</v>
      </c>
      <c r="I3" s="238"/>
      <c r="J3" s="241" t="s">
        <v>31</v>
      </c>
      <c r="K3" s="238"/>
      <c r="L3" s="237" t="s">
        <v>32</v>
      </c>
      <c r="M3" s="238"/>
      <c r="N3" s="242" t="s">
        <v>140</v>
      </c>
    </row>
    <row r="4" spans="1:14" ht="17.25" customHeight="1">
      <c r="A4" s="234"/>
      <c r="B4" s="245" t="s">
        <v>16</v>
      </c>
      <c r="C4" s="245"/>
      <c r="D4" s="239" t="s">
        <v>34</v>
      </c>
      <c r="E4" s="246"/>
      <c r="F4" s="239" t="s">
        <v>35</v>
      </c>
      <c r="G4" s="246"/>
      <c r="H4" s="239"/>
      <c r="I4" s="240"/>
      <c r="J4" s="239"/>
      <c r="K4" s="240"/>
      <c r="L4" s="239"/>
      <c r="M4" s="240"/>
      <c r="N4" s="243"/>
    </row>
    <row r="5" spans="1:14" s="154" customFormat="1" ht="28.5" customHeight="1">
      <c r="A5" s="235"/>
      <c r="B5" s="67" t="s">
        <v>38</v>
      </c>
      <c r="C5" s="68" t="s">
        <v>141</v>
      </c>
      <c r="D5" s="67" t="s">
        <v>38</v>
      </c>
      <c r="E5" s="68" t="s">
        <v>141</v>
      </c>
      <c r="F5" s="67" t="s">
        <v>38</v>
      </c>
      <c r="G5" s="68" t="s">
        <v>142</v>
      </c>
      <c r="H5" s="67" t="s">
        <v>38</v>
      </c>
      <c r="I5" s="87" t="s">
        <v>143</v>
      </c>
      <c r="J5" s="67" t="s">
        <v>38</v>
      </c>
      <c r="K5" s="87" t="s">
        <v>144</v>
      </c>
      <c r="L5" s="67" t="s">
        <v>38</v>
      </c>
      <c r="M5" s="88" t="s">
        <v>145</v>
      </c>
      <c r="N5" s="244"/>
    </row>
    <row r="6" spans="1:14" s="92" customFormat="1" ht="10.5">
      <c r="A6" s="101"/>
      <c r="B6" s="102" t="s">
        <v>4</v>
      </c>
      <c r="C6" s="72" t="s">
        <v>5</v>
      </c>
      <c r="D6" s="102" t="s">
        <v>4</v>
      </c>
      <c r="E6" s="72" t="s">
        <v>5</v>
      </c>
      <c r="F6" s="102" t="s">
        <v>4</v>
      </c>
      <c r="G6" s="72" t="s">
        <v>5</v>
      </c>
      <c r="H6" s="102" t="s">
        <v>4</v>
      </c>
      <c r="I6" s="89" t="s">
        <v>5</v>
      </c>
      <c r="J6" s="102" t="s">
        <v>4</v>
      </c>
      <c r="K6" s="89" t="s">
        <v>5</v>
      </c>
      <c r="L6" s="102" t="s">
        <v>4</v>
      </c>
      <c r="M6" s="89" t="s">
        <v>5</v>
      </c>
      <c r="N6" s="96"/>
    </row>
    <row r="7" spans="1:14" s="93" customFormat="1" ht="15.75" customHeight="1">
      <c r="A7" s="98" t="s">
        <v>41</v>
      </c>
      <c r="B7" s="126">
        <f>_xlfn.COMPOUNDVALUE(1)</f>
        <v>979</v>
      </c>
      <c r="C7" s="127">
        <v>608856</v>
      </c>
      <c r="D7" s="126">
        <f>_xlfn.COMPOUNDVALUE(2)</f>
        <v>1563</v>
      </c>
      <c r="E7" s="127">
        <v>681042</v>
      </c>
      <c r="F7" s="126">
        <f>_xlfn.COMPOUNDVALUE(3)</f>
        <v>2542</v>
      </c>
      <c r="G7" s="127">
        <v>1289898</v>
      </c>
      <c r="H7" s="126">
        <f>_xlfn.COMPOUNDVALUE(4)</f>
        <v>75</v>
      </c>
      <c r="I7" s="128">
        <v>116772</v>
      </c>
      <c r="J7" s="126">
        <v>190</v>
      </c>
      <c r="K7" s="128">
        <v>41098</v>
      </c>
      <c r="L7" s="126">
        <f>_xlfn.COMPOUNDVALUE(4)</f>
        <v>2693</v>
      </c>
      <c r="M7" s="128">
        <v>1214223</v>
      </c>
      <c r="N7" s="100" t="s">
        <v>41</v>
      </c>
    </row>
    <row r="8" spans="1:14" s="93" customFormat="1" ht="15.75" customHeight="1">
      <c r="A8" s="76" t="s">
        <v>42</v>
      </c>
      <c r="B8" s="126">
        <f>_xlfn.COMPOUNDVALUE(5)</f>
        <v>907</v>
      </c>
      <c r="C8" s="127">
        <v>459999</v>
      </c>
      <c r="D8" s="126">
        <f>_xlfn.COMPOUNDVALUE(6)</f>
        <v>1571</v>
      </c>
      <c r="E8" s="127">
        <v>601160</v>
      </c>
      <c r="F8" s="126">
        <f>_xlfn.COMPOUNDVALUE(7)</f>
        <v>2478</v>
      </c>
      <c r="G8" s="127">
        <v>1061159</v>
      </c>
      <c r="H8" s="126">
        <f>_xlfn.COMPOUNDVALUE(8)</f>
        <v>81</v>
      </c>
      <c r="I8" s="128">
        <v>75072</v>
      </c>
      <c r="J8" s="126">
        <v>272</v>
      </c>
      <c r="K8" s="128">
        <v>47062</v>
      </c>
      <c r="L8" s="126">
        <f>_xlfn.COMPOUNDVALUE(8)</f>
        <v>2738</v>
      </c>
      <c r="M8" s="128">
        <v>1033149</v>
      </c>
      <c r="N8" s="86" t="s">
        <v>42</v>
      </c>
    </row>
    <row r="9" spans="1:14" s="93" customFormat="1" ht="15.75" customHeight="1">
      <c r="A9" s="76" t="s">
        <v>43</v>
      </c>
      <c r="B9" s="126">
        <f>_xlfn.COMPOUNDVALUE(9)</f>
        <v>1040</v>
      </c>
      <c r="C9" s="127">
        <v>654429</v>
      </c>
      <c r="D9" s="126">
        <f>_xlfn.COMPOUNDVALUE(10)</f>
        <v>1849</v>
      </c>
      <c r="E9" s="127">
        <v>735483</v>
      </c>
      <c r="F9" s="126">
        <f>_xlfn.COMPOUNDVALUE(11)</f>
        <v>2889</v>
      </c>
      <c r="G9" s="127">
        <v>1389912</v>
      </c>
      <c r="H9" s="126">
        <f>_xlfn.COMPOUNDVALUE(12)</f>
        <v>103</v>
      </c>
      <c r="I9" s="128">
        <v>84500</v>
      </c>
      <c r="J9" s="126">
        <v>274</v>
      </c>
      <c r="K9" s="128">
        <v>31417</v>
      </c>
      <c r="L9" s="126">
        <f>_xlfn.COMPOUNDVALUE(12)</f>
        <v>3135</v>
      </c>
      <c r="M9" s="128">
        <v>1336829</v>
      </c>
      <c r="N9" s="86" t="s">
        <v>43</v>
      </c>
    </row>
    <row r="10" spans="1:14" s="93" customFormat="1" ht="15.75" customHeight="1">
      <c r="A10" s="76" t="s">
        <v>44</v>
      </c>
      <c r="B10" s="126">
        <f>_xlfn.COMPOUNDVALUE(13)</f>
        <v>825</v>
      </c>
      <c r="C10" s="127">
        <v>524862</v>
      </c>
      <c r="D10" s="126">
        <f>_xlfn.COMPOUNDVALUE(14)</f>
        <v>2641</v>
      </c>
      <c r="E10" s="127">
        <v>850272</v>
      </c>
      <c r="F10" s="126">
        <f>_xlfn.COMPOUNDVALUE(15)</f>
        <v>3466</v>
      </c>
      <c r="G10" s="127">
        <v>1375134</v>
      </c>
      <c r="H10" s="126">
        <f>_xlfn.COMPOUNDVALUE(16)</f>
        <v>40</v>
      </c>
      <c r="I10" s="128">
        <v>28460</v>
      </c>
      <c r="J10" s="126">
        <v>144</v>
      </c>
      <c r="K10" s="128">
        <v>6442</v>
      </c>
      <c r="L10" s="126">
        <f>_xlfn.COMPOUNDVALUE(16)</f>
        <v>3534</v>
      </c>
      <c r="M10" s="128">
        <v>1353115</v>
      </c>
      <c r="N10" s="86" t="s">
        <v>44</v>
      </c>
    </row>
    <row r="11" spans="1:14" s="93" customFormat="1" ht="15.75" customHeight="1">
      <c r="A11" s="76" t="s">
        <v>45</v>
      </c>
      <c r="B11" s="126">
        <f>_xlfn.COMPOUNDVALUE(17)</f>
        <v>1327</v>
      </c>
      <c r="C11" s="127">
        <v>1035571</v>
      </c>
      <c r="D11" s="126">
        <f>_xlfn.COMPOUNDVALUE(18)</f>
        <v>2293</v>
      </c>
      <c r="E11" s="127">
        <v>996409</v>
      </c>
      <c r="F11" s="126">
        <f>_xlfn.COMPOUNDVALUE(19)</f>
        <v>3620</v>
      </c>
      <c r="G11" s="127">
        <v>2031980</v>
      </c>
      <c r="H11" s="126">
        <f>_xlfn.COMPOUNDVALUE(20)</f>
        <v>117</v>
      </c>
      <c r="I11" s="128">
        <v>165158</v>
      </c>
      <c r="J11" s="126">
        <v>316</v>
      </c>
      <c r="K11" s="128">
        <v>40957</v>
      </c>
      <c r="L11" s="126">
        <f>_xlfn.COMPOUNDVALUE(20)</f>
        <v>3860</v>
      </c>
      <c r="M11" s="128">
        <v>1907779</v>
      </c>
      <c r="N11" s="86" t="s">
        <v>45</v>
      </c>
    </row>
    <row r="12" spans="1:14" s="93" customFormat="1" ht="15.75" customHeight="1">
      <c r="A12" s="76"/>
      <c r="B12" s="126"/>
      <c r="C12" s="127"/>
      <c r="D12" s="126"/>
      <c r="E12" s="127"/>
      <c r="F12" s="126"/>
      <c r="G12" s="127"/>
      <c r="H12" s="126"/>
      <c r="I12" s="128"/>
      <c r="J12" s="126"/>
      <c r="K12" s="128"/>
      <c r="L12" s="126"/>
      <c r="M12" s="128"/>
      <c r="N12" s="86" t="s">
        <v>40</v>
      </c>
    </row>
    <row r="13" spans="1:14" s="93" customFormat="1" ht="15.75" customHeight="1">
      <c r="A13" s="76" t="s">
        <v>46</v>
      </c>
      <c r="B13" s="126">
        <f>_xlfn.COMPOUNDVALUE(21)</f>
        <v>1067</v>
      </c>
      <c r="C13" s="127">
        <v>680364</v>
      </c>
      <c r="D13" s="126">
        <f>_xlfn.COMPOUNDVALUE(22)</f>
        <v>2177</v>
      </c>
      <c r="E13" s="127">
        <v>868067</v>
      </c>
      <c r="F13" s="126">
        <f>_xlfn.COMPOUNDVALUE(23)</f>
        <v>3244</v>
      </c>
      <c r="G13" s="127">
        <v>1548431</v>
      </c>
      <c r="H13" s="126">
        <f>_xlfn.COMPOUNDVALUE(24)</f>
        <v>92</v>
      </c>
      <c r="I13" s="128">
        <v>95100</v>
      </c>
      <c r="J13" s="126">
        <v>315</v>
      </c>
      <c r="K13" s="128">
        <v>44734</v>
      </c>
      <c r="L13" s="126">
        <f>_xlfn.COMPOUNDVALUE(24)</f>
        <v>3539</v>
      </c>
      <c r="M13" s="128">
        <v>1498065</v>
      </c>
      <c r="N13" s="86" t="s">
        <v>46</v>
      </c>
    </row>
    <row r="14" spans="1:14" s="93" customFormat="1" ht="15.75" customHeight="1">
      <c r="A14" s="76" t="s">
        <v>47</v>
      </c>
      <c r="B14" s="126">
        <f>_xlfn.COMPOUNDVALUE(25)</f>
        <v>566</v>
      </c>
      <c r="C14" s="127">
        <v>297657</v>
      </c>
      <c r="D14" s="126">
        <f>_xlfn.COMPOUNDVALUE(26)</f>
        <v>1005</v>
      </c>
      <c r="E14" s="127">
        <v>342756</v>
      </c>
      <c r="F14" s="126">
        <f>_xlfn.COMPOUNDVALUE(27)</f>
        <v>1571</v>
      </c>
      <c r="G14" s="127">
        <v>640413</v>
      </c>
      <c r="H14" s="126">
        <f>_xlfn.COMPOUNDVALUE(28)</f>
        <v>29</v>
      </c>
      <c r="I14" s="128">
        <v>9202</v>
      </c>
      <c r="J14" s="126">
        <v>104</v>
      </c>
      <c r="K14" s="128">
        <v>9848</v>
      </c>
      <c r="L14" s="126">
        <f>_xlfn.COMPOUNDVALUE(28)</f>
        <v>1641</v>
      </c>
      <c r="M14" s="128">
        <v>641059</v>
      </c>
      <c r="N14" s="86" t="s">
        <v>47</v>
      </c>
    </row>
    <row r="15" spans="1:14" s="93" customFormat="1" ht="15.75" customHeight="1">
      <c r="A15" s="76" t="s">
        <v>48</v>
      </c>
      <c r="B15" s="126">
        <f>_xlfn.COMPOUNDVALUE(29)</f>
        <v>824</v>
      </c>
      <c r="C15" s="127">
        <v>430413</v>
      </c>
      <c r="D15" s="126">
        <f>_xlfn.COMPOUNDVALUE(30)</f>
        <v>1610</v>
      </c>
      <c r="E15" s="127">
        <v>568633</v>
      </c>
      <c r="F15" s="126">
        <f>_xlfn.COMPOUNDVALUE(31)</f>
        <v>2434</v>
      </c>
      <c r="G15" s="127">
        <v>999046</v>
      </c>
      <c r="H15" s="126">
        <f>_xlfn.COMPOUNDVALUE(32)</f>
        <v>60</v>
      </c>
      <c r="I15" s="128">
        <v>29808</v>
      </c>
      <c r="J15" s="126">
        <v>324</v>
      </c>
      <c r="K15" s="128">
        <v>51470</v>
      </c>
      <c r="L15" s="126">
        <f>_xlfn.COMPOUNDVALUE(32)</f>
        <v>2648</v>
      </c>
      <c r="M15" s="128">
        <v>1020708</v>
      </c>
      <c r="N15" s="86" t="s">
        <v>48</v>
      </c>
    </row>
    <row r="16" spans="1:14" s="93" customFormat="1" ht="15.75" customHeight="1">
      <c r="A16" s="78" t="s">
        <v>49</v>
      </c>
      <c r="B16" s="131">
        <f>_xlfn.COMPOUNDVALUE(33)</f>
        <v>1470</v>
      </c>
      <c r="C16" s="132">
        <v>996013</v>
      </c>
      <c r="D16" s="131">
        <f>_xlfn.COMPOUNDVALUE(34)</f>
        <v>2828</v>
      </c>
      <c r="E16" s="132">
        <v>1126340</v>
      </c>
      <c r="F16" s="131">
        <f>_xlfn.COMPOUNDVALUE(35)</f>
        <v>4298</v>
      </c>
      <c r="G16" s="132">
        <v>2122353</v>
      </c>
      <c r="H16" s="131">
        <f>_xlfn.COMPOUNDVALUE(36)</f>
        <v>131</v>
      </c>
      <c r="I16" s="133">
        <v>208676</v>
      </c>
      <c r="J16" s="131">
        <v>308</v>
      </c>
      <c r="K16" s="133">
        <v>25964</v>
      </c>
      <c r="L16" s="131">
        <f>_xlfn.COMPOUNDVALUE(36)</f>
        <v>4581</v>
      </c>
      <c r="M16" s="133">
        <v>1939640</v>
      </c>
      <c r="N16" s="77" t="s">
        <v>49</v>
      </c>
    </row>
    <row r="17" spans="1:14" s="93" customFormat="1" ht="15.75" customHeight="1">
      <c r="A17" s="78" t="s">
        <v>50</v>
      </c>
      <c r="B17" s="131">
        <f>_xlfn.COMPOUNDVALUE(37)</f>
        <v>535</v>
      </c>
      <c r="C17" s="132">
        <v>353208</v>
      </c>
      <c r="D17" s="131">
        <f>_xlfn.COMPOUNDVALUE(38)</f>
        <v>1189</v>
      </c>
      <c r="E17" s="132">
        <v>382667</v>
      </c>
      <c r="F17" s="131">
        <f>_xlfn.COMPOUNDVALUE(39)</f>
        <v>1724</v>
      </c>
      <c r="G17" s="132">
        <v>735874</v>
      </c>
      <c r="H17" s="131">
        <f>_xlfn.COMPOUNDVALUE(40)</f>
        <v>38</v>
      </c>
      <c r="I17" s="133">
        <v>21793</v>
      </c>
      <c r="J17" s="131">
        <v>126</v>
      </c>
      <c r="K17" s="133">
        <v>18792</v>
      </c>
      <c r="L17" s="131">
        <f>_xlfn.COMPOUNDVALUE(40)</f>
        <v>1791</v>
      </c>
      <c r="M17" s="133">
        <v>732873</v>
      </c>
      <c r="N17" s="77" t="s">
        <v>50</v>
      </c>
    </row>
    <row r="18" spans="1:14" s="93" customFormat="1" ht="15.75" customHeight="1">
      <c r="A18" s="78"/>
      <c r="B18" s="131"/>
      <c r="C18" s="132"/>
      <c r="D18" s="131"/>
      <c r="E18" s="132"/>
      <c r="F18" s="131"/>
      <c r="G18" s="132"/>
      <c r="H18" s="131"/>
      <c r="I18" s="133"/>
      <c r="J18" s="131"/>
      <c r="K18" s="133"/>
      <c r="L18" s="131"/>
      <c r="M18" s="133"/>
      <c r="N18" s="77" t="s">
        <v>40</v>
      </c>
    </row>
    <row r="19" spans="1:14" s="93" customFormat="1" ht="15.75" customHeight="1">
      <c r="A19" s="78" t="s">
        <v>51</v>
      </c>
      <c r="B19" s="131">
        <f>_xlfn.COMPOUNDVALUE(41)</f>
        <v>686</v>
      </c>
      <c r="C19" s="132">
        <v>302040</v>
      </c>
      <c r="D19" s="131">
        <f>_xlfn.COMPOUNDVALUE(42)</f>
        <v>1301</v>
      </c>
      <c r="E19" s="132">
        <v>458577</v>
      </c>
      <c r="F19" s="131">
        <f>_xlfn.COMPOUNDVALUE(43)</f>
        <v>1987</v>
      </c>
      <c r="G19" s="132">
        <v>760618</v>
      </c>
      <c r="H19" s="131">
        <f>_xlfn.COMPOUNDVALUE(44)</f>
        <v>78</v>
      </c>
      <c r="I19" s="133">
        <v>38165</v>
      </c>
      <c r="J19" s="131">
        <v>155</v>
      </c>
      <c r="K19" s="133">
        <v>22335</v>
      </c>
      <c r="L19" s="131">
        <f>_xlfn.COMPOUNDVALUE(44)</f>
        <v>2143</v>
      </c>
      <c r="M19" s="133">
        <v>744788</v>
      </c>
      <c r="N19" s="77" t="s">
        <v>51</v>
      </c>
    </row>
    <row r="20" spans="1:14" s="93" customFormat="1" ht="15.75" customHeight="1">
      <c r="A20" s="78" t="s">
        <v>52</v>
      </c>
      <c r="B20" s="131">
        <f>_xlfn.COMPOUNDVALUE(45)</f>
        <v>1563</v>
      </c>
      <c r="C20" s="132">
        <v>751126</v>
      </c>
      <c r="D20" s="131">
        <f>_xlfn.COMPOUNDVALUE(46)</f>
        <v>3083</v>
      </c>
      <c r="E20" s="132">
        <v>1091056</v>
      </c>
      <c r="F20" s="131">
        <f>_xlfn.COMPOUNDVALUE(47)</f>
        <v>4646</v>
      </c>
      <c r="G20" s="132">
        <v>1842182</v>
      </c>
      <c r="H20" s="131">
        <f>_xlfn.COMPOUNDVALUE(48)</f>
        <v>154</v>
      </c>
      <c r="I20" s="133">
        <v>161009</v>
      </c>
      <c r="J20" s="131">
        <v>611</v>
      </c>
      <c r="K20" s="133">
        <v>64031</v>
      </c>
      <c r="L20" s="131">
        <f>_xlfn.COMPOUNDVALUE(48)</f>
        <v>5064</v>
      </c>
      <c r="M20" s="133">
        <v>1745203</v>
      </c>
      <c r="N20" s="77" t="s">
        <v>52</v>
      </c>
    </row>
    <row r="21" spans="1:14" s="93" customFormat="1" ht="15.75" customHeight="1">
      <c r="A21" s="78" t="s">
        <v>53</v>
      </c>
      <c r="B21" s="131">
        <f>_xlfn.COMPOUNDVALUE(49)</f>
        <v>646</v>
      </c>
      <c r="C21" s="132">
        <v>333687</v>
      </c>
      <c r="D21" s="131">
        <f>_xlfn.COMPOUNDVALUE(50)</f>
        <v>1629</v>
      </c>
      <c r="E21" s="132">
        <v>529925</v>
      </c>
      <c r="F21" s="131">
        <f>_xlfn.COMPOUNDVALUE(51)</f>
        <v>2275</v>
      </c>
      <c r="G21" s="132">
        <v>863612</v>
      </c>
      <c r="H21" s="131">
        <f>_xlfn.COMPOUNDVALUE(52)</f>
        <v>59</v>
      </c>
      <c r="I21" s="133">
        <v>33155</v>
      </c>
      <c r="J21" s="131">
        <v>157</v>
      </c>
      <c r="K21" s="133">
        <v>14033</v>
      </c>
      <c r="L21" s="131">
        <f>_xlfn.COMPOUNDVALUE(52)</f>
        <v>2383</v>
      </c>
      <c r="M21" s="133">
        <v>844490</v>
      </c>
      <c r="N21" s="77" t="s">
        <v>53</v>
      </c>
    </row>
    <row r="22" spans="1:14" s="93" customFormat="1" ht="15.75" customHeight="1">
      <c r="A22" s="78" t="s">
        <v>176</v>
      </c>
      <c r="B22" s="131">
        <f>_xlfn.COMPOUNDVALUE(53)</f>
        <v>1535</v>
      </c>
      <c r="C22" s="132">
        <v>1015326</v>
      </c>
      <c r="D22" s="131">
        <f>_xlfn.COMPOUNDVALUE(54)</f>
        <v>2846</v>
      </c>
      <c r="E22" s="132">
        <v>1168094</v>
      </c>
      <c r="F22" s="131">
        <f>_xlfn.COMPOUNDVALUE(55)</f>
        <v>4381</v>
      </c>
      <c r="G22" s="132">
        <v>2183421</v>
      </c>
      <c r="H22" s="131">
        <f>_xlfn.COMPOUNDVALUE(56)</f>
        <v>130</v>
      </c>
      <c r="I22" s="133">
        <v>125962</v>
      </c>
      <c r="J22" s="131">
        <v>365</v>
      </c>
      <c r="K22" s="133">
        <v>33393</v>
      </c>
      <c r="L22" s="131">
        <f>_xlfn.COMPOUNDVALUE(56)</f>
        <v>4681</v>
      </c>
      <c r="M22" s="133">
        <v>2090852</v>
      </c>
      <c r="N22" s="77" t="s">
        <v>54</v>
      </c>
    </row>
    <row r="23" spans="1:14" s="93" customFormat="1" ht="15.75" customHeight="1">
      <c r="A23" s="165" t="s">
        <v>55</v>
      </c>
      <c r="B23" s="166">
        <v>13970</v>
      </c>
      <c r="C23" s="167">
        <v>8443551</v>
      </c>
      <c r="D23" s="166">
        <v>27585</v>
      </c>
      <c r="E23" s="167">
        <v>10400480</v>
      </c>
      <c r="F23" s="166">
        <v>41555</v>
      </c>
      <c r="G23" s="167">
        <v>18844030</v>
      </c>
      <c r="H23" s="166">
        <v>1187</v>
      </c>
      <c r="I23" s="168">
        <v>1192831</v>
      </c>
      <c r="J23" s="166">
        <v>3661</v>
      </c>
      <c r="K23" s="168">
        <v>451575</v>
      </c>
      <c r="L23" s="166">
        <v>44431</v>
      </c>
      <c r="M23" s="168">
        <v>18102773</v>
      </c>
      <c r="N23" s="169" t="s">
        <v>56</v>
      </c>
    </row>
    <row r="24" spans="1:14" s="93" customFormat="1" ht="15.75" customHeight="1">
      <c r="A24" s="170"/>
      <c r="B24" s="171"/>
      <c r="C24" s="172"/>
      <c r="D24" s="171"/>
      <c r="E24" s="172"/>
      <c r="F24" s="173"/>
      <c r="G24" s="172"/>
      <c r="H24" s="173"/>
      <c r="I24" s="172"/>
      <c r="J24" s="173"/>
      <c r="K24" s="172"/>
      <c r="L24" s="173"/>
      <c r="M24" s="172"/>
      <c r="N24" s="174"/>
    </row>
    <row r="25" spans="1:14" s="93" customFormat="1" ht="15.75" customHeight="1">
      <c r="A25" s="76" t="s">
        <v>57</v>
      </c>
      <c r="B25" s="126">
        <f>_xlfn.COMPOUNDVALUE(57)</f>
        <v>1042</v>
      </c>
      <c r="C25" s="127">
        <v>2627112</v>
      </c>
      <c r="D25" s="126">
        <f>_xlfn.COMPOUNDVALUE(58)</f>
        <v>1599</v>
      </c>
      <c r="E25" s="127">
        <v>1001010</v>
      </c>
      <c r="F25" s="126">
        <f>_xlfn.COMPOUNDVALUE(59)</f>
        <v>2641</v>
      </c>
      <c r="G25" s="127">
        <v>3628122</v>
      </c>
      <c r="H25" s="126">
        <f>_xlfn.COMPOUNDVALUE(60)</f>
        <v>65</v>
      </c>
      <c r="I25" s="128">
        <v>240031</v>
      </c>
      <c r="J25" s="126">
        <v>188</v>
      </c>
      <c r="K25" s="128">
        <v>-2986</v>
      </c>
      <c r="L25" s="126">
        <f>_xlfn.COMPOUNDVALUE(60)</f>
        <v>2735</v>
      </c>
      <c r="M25" s="128">
        <v>3385105</v>
      </c>
      <c r="N25" s="86" t="s">
        <v>57</v>
      </c>
    </row>
    <row r="26" spans="1:14" s="93" customFormat="1" ht="15.75" customHeight="1">
      <c r="A26" s="76" t="s">
        <v>58</v>
      </c>
      <c r="B26" s="126">
        <f>_xlfn.COMPOUNDVALUE(61)</f>
        <v>501</v>
      </c>
      <c r="C26" s="127">
        <v>686380</v>
      </c>
      <c r="D26" s="126">
        <f>_xlfn.COMPOUNDVALUE(62)</f>
        <v>1099</v>
      </c>
      <c r="E26" s="127">
        <v>608071</v>
      </c>
      <c r="F26" s="126">
        <f>_xlfn.COMPOUNDVALUE(63)</f>
        <v>1600</v>
      </c>
      <c r="G26" s="127">
        <v>1294452</v>
      </c>
      <c r="H26" s="126">
        <f>_xlfn.COMPOUNDVALUE(64)</f>
        <v>35</v>
      </c>
      <c r="I26" s="128">
        <v>40601</v>
      </c>
      <c r="J26" s="126">
        <v>127</v>
      </c>
      <c r="K26" s="128">
        <v>9318</v>
      </c>
      <c r="L26" s="126">
        <f>_xlfn.COMPOUNDVALUE(64)</f>
        <v>1672</v>
      </c>
      <c r="M26" s="128">
        <v>1263169</v>
      </c>
      <c r="N26" s="86" t="s">
        <v>58</v>
      </c>
    </row>
    <row r="27" spans="1:14" s="93" customFormat="1" ht="15.75" customHeight="1">
      <c r="A27" s="76" t="s">
        <v>59</v>
      </c>
      <c r="B27" s="126">
        <f>_xlfn.COMPOUNDVALUE(65)</f>
        <v>474</v>
      </c>
      <c r="C27" s="127">
        <v>632662</v>
      </c>
      <c r="D27" s="126">
        <f>_xlfn.COMPOUNDVALUE(66)</f>
        <v>795</v>
      </c>
      <c r="E27" s="127">
        <v>415890</v>
      </c>
      <c r="F27" s="126">
        <f>_xlfn.COMPOUNDVALUE(67)</f>
        <v>1269</v>
      </c>
      <c r="G27" s="127">
        <v>1048552</v>
      </c>
      <c r="H27" s="126">
        <f>_xlfn.COMPOUNDVALUE(68)</f>
        <v>48</v>
      </c>
      <c r="I27" s="128">
        <v>62319</v>
      </c>
      <c r="J27" s="126">
        <v>94</v>
      </c>
      <c r="K27" s="128">
        <v>5873</v>
      </c>
      <c r="L27" s="126">
        <f>_xlfn.COMPOUNDVALUE(68)</f>
        <v>1343</v>
      </c>
      <c r="M27" s="128">
        <v>992106</v>
      </c>
      <c r="N27" s="86" t="s">
        <v>59</v>
      </c>
    </row>
    <row r="28" spans="1:14" s="93" customFormat="1" ht="15.75" customHeight="1">
      <c r="A28" s="76" t="s">
        <v>60</v>
      </c>
      <c r="B28" s="126">
        <f>_xlfn.COMPOUNDVALUE(69)</f>
        <v>1082</v>
      </c>
      <c r="C28" s="127">
        <v>1336810</v>
      </c>
      <c r="D28" s="126">
        <f>_xlfn.COMPOUNDVALUE(70)</f>
        <v>1380</v>
      </c>
      <c r="E28" s="127">
        <v>731111</v>
      </c>
      <c r="F28" s="126">
        <f>_xlfn.COMPOUNDVALUE(71)</f>
        <v>2462</v>
      </c>
      <c r="G28" s="127">
        <v>2067921</v>
      </c>
      <c r="H28" s="126">
        <f>_xlfn.COMPOUNDVALUE(72)</f>
        <v>99</v>
      </c>
      <c r="I28" s="128">
        <v>84063</v>
      </c>
      <c r="J28" s="126">
        <v>211</v>
      </c>
      <c r="K28" s="128">
        <v>28865</v>
      </c>
      <c r="L28" s="126">
        <f>_xlfn.COMPOUNDVALUE(72)</f>
        <v>2638</v>
      </c>
      <c r="M28" s="128">
        <v>2012724</v>
      </c>
      <c r="N28" s="86" t="s">
        <v>60</v>
      </c>
    </row>
    <row r="29" spans="1:14" s="93" customFormat="1" ht="15.75" customHeight="1">
      <c r="A29" s="76" t="s">
        <v>177</v>
      </c>
      <c r="B29" s="126">
        <f>_xlfn.COMPOUNDVALUE(73)</f>
        <v>1702</v>
      </c>
      <c r="C29" s="127">
        <v>2178654</v>
      </c>
      <c r="D29" s="126">
        <f>_xlfn.COMPOUNDVALUE(74)</f>
        <v>2135</v>
      </c>
      <c r="E29" s="127">
        <v>1105753</v>
      </c>
      <c r="F29" s="126">
        <f>_xlfn.COMPOUNDVALUE(75)</f>
        <v>3837</v>
      </c>
      <c r="G29" s="127">
        <v>3284407</v>
      </c>
      <c r="H29" s="126">
        <f>_xlfn.COMPOUNDVALUE(76)</f>
        <v>166</v>
      </c>
      <c r="I29" s="128">
        <v>244391</v>
      </c>
      <c r="J29" s="126">
        <v>294</v>
      </c>
      <c r="K29" s="128">
        <v>40729</v>
      </c>
      <c r="L29" s="126">
        <f>_xlfn.COMPOUNDVALUE(76)</f>
        <v>4104</v>
      </c>
      <c r="M29" s="128">
        <v>3080746</v>
      </c>
      <c r="N29" s="86" t="s">
        <v>61</v>
      </c>
    </row>
    <row r="30" spans="1:14" s="93" customFormat="1" ht="15.75" customHeight="1">
      <c r="A30" s="76"/>
      <c r="B30" s="126"/>
      <c r="C30" s="127"/>
      <c r="D30" s="126"/>
      <c r="E30" s="127"/>
      <c r="F30" s="126"/>
      <c r="G30" s="127"/>
      <c r="H30" s="126"/>
      <c r="I30" s="128"/>
      <c r="J30" s="126"/>
      <c r="K30" s="128"/>
      <c r="L30" s="126"/>
      <c r="M30" s="128"/>
      <c r="N30" s="86" t="s">
        <v>40</v>
      </c>
    </row>
    <row r="31" spans="1:14" s="93" customFormat="1" ht="15.75" customHeight="1">
      <c r="A31" s="76" t="s">
        <v>62</v>
      </c>
      <c r="B31" s="126">
        <f>_xlfn.COMPOUNDVALUE(77)</f>
        <v>1587</v>
      </c>
      <c r="C31" s="127">
        <v>4054346</v>
      </c>
      <c r="D31" s="126">
        <f>_xlfn.COMPOUNDVALUE(78)</f>
        <v>1825</v>
      </c>
      <c r="E31" s="127">
        <v>1004680</v>
      </c>
      <c r="F31" s="126">
        <f>_xlfn.COMPOUNDVALUE(79)</f>
        <v>3412</v>
      </c>
      <c r="G31" s="127">
        <v>5059026</v>
      </c>
      <c r="H31" s="126">
        <f>_xlfn.COMPOUNDVALUE(80)</f>
        <v>159</v>
      </c>
      <c r="I31" s="128">
        <v>596785</v>
      </c>
      <c r="J31" s="126">
        <v>239</v>
      </c>
      <c r="K31" s="128">
        <v>34543</v>
      </c>
      <c r="L31" s="126">
        <f>_xlfn.COMPOUNDVALUE(80)</f>
        <v>3685</v>
      </c>
      <c r="M31" s="128">
        <v>4496784</v>
      </c>
      <c r="N31" s="86" t="s">
        <v>62</v>
      </c>
    </row>
    <row r="32" spans="1:14" s="93" customFormat="1" ht="15.75" customHeight="1">
      <c r="A32" s="76" t="s">
        <v>63</v>
      </c>
      <c r="B32" s="126">
        <f>_xlfn.COMPOUNDVALUE(81)</f>
        <v>835</v>
      </c>
      <c r="C32" s="127">
        <v>821323</v>
      </c>
      <c r="D32" s="126">
        <f>_xlfn.COMPOUNDVALUE(82)</f>
        <v>1352</v>
      </c>
      <c r="E32" s="127">
        <v>671678</v>
      </c>
      <c r="F32" s="126">
        <f>_xlfn.COMPOUNDVALUE(83)</f>
        <v>2187</v>
      </c>
      <c r="G32" s="127">
        <v>1493001</v>
      </c>
      <c r="H32" s="126">
        <f>_xlfn.COMPOUNDVALUE(84)</f>
        <v>87</v>
      </c>
      <c r="I32" s="128">
        <v>104117</v>
      </c>
      <c r="J32" s="126">
        <v>213</v>
      </c>
      <c r="K32" s="128">
        <v>13392</v>
      </c>
      <c r="L32" s="126">
        <f>_xlfn.COMPOUNDVALUE(84)</f>
        <v>2341</v>
      </c>
      <c r="M32" s="128">
        <v>1402276</v>
      </c>
      <c r="N32" s="86" t="s">
        <v>63</v>
      </c>
    </row>
    <row r="33" spans="1:14" s="93" customFormat="1" ht="15.75" customHeight="1">
      <c r="A33" s="76" t="s">
        <v>64</v>
      </c>
      <c r="B33" s="126">
        <f>_xlfn.COMPOUNDVALUE(85)</f>
        <v>862</v>
      </c>
      <c r="C33" s="127">
        <v>1114444</v>
      </c>
      <c r="D33" s="126">
        <f>_xlfn.COMPOUNDVALUE(86)</f>
        <v>1618</v>
      </c>
      <c r="E33" s="127">
        <v>836999</v>
      </c>
      <c r="F33" s="126">
        <f>_xlfn.COMPOUNDVALUE(87)</f>
        <v>2480</v>
      </c>
      <c r="G33" s="127">
        <v>1951443</v>
      </c>
      <c r="H33" s="126">
        <f>_xlfn.COMPOUNDVALUE(88)</f>
        <v>55</v>
      </c>
      <c r="I33" s="128">
        <v>37566</v>
      </c>
      <c r="J33" s="126">
        <v>192</v>
      </c>
      <c r="K33" s="128">
        <v>38002</v>
      </c>
      <c r="L33" s="126">
        <f>_xlfn.COMPOUNDVALUE(88)</f>
        <v>2624</v>
      </c>
      <c r="M33" s="128">
        <v>1951879</v>
      </c>
      <c r="N33" s="86" t="s">
        <v>64</v>
      </c>
    </row>
    <row r="34" spans="1:14" s="93" customFormat="1" ht="15.75" customHeight="1">
      <c r="A34" s="76" t="s">
        <v>65</v>
      </c>
      <c r="B34" s="126">
        <f>_xlfn.COMPOUNDVALUE(89)</f>
        <v>976</v>
      </c>
      <c r="C34" s="127">
        <v>1222066</v>
      </c>
      <c r="D34" s="126">
        <f>_xlfn.COMPOUNDVALUE(90)</f>
        <v>1503</v>
      </c>
      <c r="E34" s="127">
        <v>751516</v>
      </c>
      <c r="F34" s="126">
        <f>_xlfn.COMPOUNDVALUE(91)</f>
        <v>2479</v>
      </c>
      <c r="G34" s="127">
        <v>1973582</v>
      </c>
      <c r="H34" s="126">
        <f>_xlfn.COMPOUNDVALUE(92)</f>
        <v>86</v>
      </c>
      <c r="I34" s="128">
        <v>85720</v>
      </c>
      <c r="J34" s="126">
        <v>224</v>
      </c>
      <c r="K34" s="128">
        <v>52995</v>
      </c>
      <c r="L34" s="126">
        <f>_xlfn.COMPOUNDVALUE(92)</f>
        <v>2660</v>
      </c>
      <c r="M34" s="128">
        <v>1940857</v>
      </c>
      <c r="N34" s="86" t="s">
        <v>65</v>
      </c>
    </row>
    <row r="35" spans="1:14" s="93" customFormat="1" ht="15.75" customHeight="1">
      <c r="A35" s="76" t="s">
        <v>66</v>
      </c>
      <c r="B35" s="126">
        <f>_xlfn.COMPOUNDVALUE(93)</f>
        <v>403</v>
      </c>
      <c r="C35" s="127">
        <v>513626</v>
      </c>
      <c r="D35" s="126">
        <f>_xlfn.COMPOUNDVALUE(94)</f>
        <v>875</v>
      </c>
      <c r="E35" s="127">
        <v>400643</v>
      </c>
      <c r="F35" s="126">
        <f>_xlfn.COMPOUNDVALUE(95)</f>
        <v>1278</v>
      </c>
      <c r="G35" s="127">
        <v>914270</v>
      </c>
      <c r="H35" s="126">
        <f>_xlfn.COMPOUNDVALUE(96)</f>
        <v>28</v>
      </c>
      <c r="I35" s="128">
        <v>15798</v>
      </c>
      <c r="J35" s="126">
        <v>78</v>
      </c>
      <c r="K35" s="128">
        <v>3773</v>
      </c>
      <c r="L35" s="126">
        <f>_xlfn.COMPOUNDVALUE(96)</f>
        <v>1331</v>
      </c>
      <c r="M35" s="128">
        <v>902246</v>
      </c>
      <c r="N35" s="86" t="s">
        <v>66</v>
      </c>
    </row>
    <row r="36" spans="1:14" s="93" customFormat="1" ht="15.75" customHeight="1">
      <c r="A36" s="76"/>
      <c r="B36" s="126"/>
      <c r="C36" s="127"/>
      <c r="D36" s="126"/>
      <c r="E36" s="127"/>
      <c r="F36" s="126"/>
      <c r="G36" s="127"/>
      <c r="H36" s="126"/>
      <c r="I36" s="128"/>
      <c r="J36" s="126"/>
      <c r="K36" s="128"/>
      <c r="L36" s="126"/>
      <c r="M36" s="128"/>
      <c r="N36" s="86" t="s">
        <v>40</v>
      </c>
    </row>
    <row r="37" spans="1:14" s="93" customFormat="1" ht="15.75" customHeight="1">
      <c r="A37" s="76" t="s">
        <v>67</v>
      </c>
      <c r="B37" s="126">
        <f>_xlfn.COMPOUNDVALUE(97)</f>
        <v>411</v>
      </c>
      <c r="C37" s="127">
        <v>382991</v>
      </c>
      <c r="D37" s="126">
        <f>_xlfn.COMPOUNDVALUE(98)</f>
        <v>876</v>
      </c>
      <c r="E37" s="127">
        <v>420710</v>
      </c>
      <c r="F37" s="126">
        <f>_xlfn.COMPOUNDVALUE(99)</f>
        <v>1287</v>
      </c>
      <c r="G37" s="127">
        <v>803701</v>
      </c>
      <c r="H37" s="126">
        <f>_xlfn.COMPOUNDVALUE(100)</f>
        <v>50</v>
      </c>
      <c r="I37" s="128">
        <v>28759</v>
      </c>
      <c r="J37" s="126">
        <v>117</v>
      </c>
      <c r="K37" s="128">
        <v>23489</v>
      </c>
      <c r="L37" s="126">
        <f>_xlfn.COMPOUNDVALUE(100)</f>
        <v>1378</v>
      </c>
      <c r="M37" s="128">
        <v>798431</v>
      </c>
      <c r="N37" s="86" t="s">
        <v>67</v>
      </c>
    </row>
    <row r="38" spans="1:14" s="93" customFormat="1" ht="15.75" customHeight="1">
      <c r="A38" s="76" t="s">
        <v>68</v>
      </c>
      <c r="B38" s="126">
        <f>_xlfn.COMPOUNDVALUE(101)</f>
        <v>512</v>
      </c>
      <c r="C38" s="127">
        <v>537535</v>
      </c>
      <c r="D38" s="126">
        <f>_xlfn.COMPOUNDVALUE(102)</f>
        <v>911</v>
      </c>
      <c r="E38" s="127">
        <v>401698</v>
      </c>
      <c r="F38" s="126">
        <f>_xlfn.COMPOUNDVALUE(103)</f>
        <v>1423</v>
      </c>
      <c r="G38" s="127">
        <v>939234</v>
      </c>
      <c r="H38" s="126">
        <f>_xlfn.COMPOUNDVALUE(104)</f>
        <v>42</v>
      </c>
      <c r="I38" s="128">
        <v>923863</v>
      </c>
      <c r="J38" s="126">
        <v>135</v>
      </c>
      <c r="K38" s="128">
        <v>22168</v>
      </c>
      <c r="L38" s="126">
        <f>_xlfn.COMPOUNDVALUE(104)</f>
        <v>1523</v>
      </c>
      <c r="M38" s="128">
        <v>37540</v>
      </c>
      <c r="N38" s="86" t="s">
        <v>68</v>
      </c>
    </row>
    <row r="39" spans="1:14" s="93" customFormat="1" ht="15.75" customHeight="1">
      <c r="A39" s="76" t="s">
        <v>69</v>
      </c>
      <c r="B39" s="126">
        <f>_xlfn.COMPOUNDVALUE(105)</f>
        <v>503</v>
      </c>
      <c r="C39" s="127">
        <v>351690</v>
      </c>
      <c r="D39" s="126">
        <f>_xlfn.COMPOUNDVALUE(106)</f>
        <v>1016</v>
      </c>
      <c r="E39" s="127">
        <v>403257</v>
      </c>
      <c r="F39" s="126">
        <f>_xlfn.COMPOUNDVALUE(107)</f>
        <v>1519</v>
      </c>
      <c r="G39" s="127">
        <v>754947</v>
      </c>
      <c r="H39" s="126">
        <f>_xlfn.COMPOUNDVALUE(108)</f>
        <v>88</v>
      </c>
      <c r="I39" s="128">
        <v>38832</v>
      </c>
      <c r="J39" s="126">
        <v>86</v>
      </c>
      <c r="K39" s="128">
        <v>12097</v>
      </c>
      <c r="L39" s="126">
        <f>_xlfn.COMPOUNDVALUE(108)</f>
        <v>1628</v>
      </c>
      <c r="M39" s="128">
        <v>728212</v>
      </c>
      <c r="N39" s="86" t="s">
        <v>69</v>
      </c>
    </row>
    <row r="40" spans="1:14" s="93" customFormat="1" ht="15.75" customHeight="1">
      <c r="A40" s="76" t="s">
        <v>70</v>
      </c>
      <c r="B40" s="126">
        <f>_xlfn.COMPOUNDVALUE(109)</f>
        <v>556</v>
      </c>
      <c r="C40" s="127">
        <v>373113</v>
      </c>
      <c r="D40" s="126">
        <f>_xlfn.COMPOUNDVALUE(110)</f>
        <v>879</v>
      </c>
      <c r="E40" s="127">
        <v>374331</v>
      </c>
      <c r="F40" s="126">
        <f>_xlfn.COMPOUNDVALUE(111)</f>
        <v>1435</v>
      </c>
      <c r="G40" s="127">
        <v>747444</v>
      </c>
      <c r="H40" s="126">
        <f>_xlfn.COMPOUNDVALUE(112)</f>
        <v>76</v>
      </c>
      <c r="I40" s="128">
        <v>249384</v>
      </c>
      <c r="J40" s="126">
        <v>97</v>
      </c>
      <c r="K40" s="128">
        <v>14235</v>
      </c>
      <c r="L40" s="126">
        <f>_xlfn.COMPOUNDVALUE(112)</f>
        <v>1559</v>
      </c>
      <c r="M40" s="128">
        <v>512295</v>
      </c>
      <c r="N40" s="86" t="s">
        <v>70</v>
      </c>
    </row>
    <row r="41" spans="1:14" s="93" customFormat="1" ht="15.75" customHeight="1">
      <c r="A41" s="76" t="s">
        <v>71</v>
      </c>
      <c r="B41" s="126">
        <f>_xlfn.COMPOUNDVALUE(113)</f>
        <v>361</v>
      </c>
      <c r="C41" s="127">
        <v>159044</v>
      </c>
      <c r="D41" s="126">
        <f>_xlfn.COMPOUNDVALUE(114)</f>
        <v>572</v>
      </c>
      <c r="E41" s="127">
        <v>207981</v>
      </c>
      <c r="F41" s="126">
        <f>_xlfn.COMPOUNDVALUE(115)</f>
        <v>933</v>
      </c>
      <c r="G41" s="127">
        <v>367025</v>
      </c>
      <c r="H41" s="126">
        <f>_xlfn.COMPOUNDVALUE(116)</f>
        <v>17</v>
      </c>
      <c r="I41" s="128">
        <v>6724</v>
      </c>
      <c r="J41" s="126">
        <v>67</v>
      </c>
      <c r="K41" s="128">
        <v>9194</v>
      </c>
      <c r="L41" s="126">
        <f>_xlfn.COMPOUNDVALUE(116)</f>
        <v>987</v>
      </c>
      <c r="M41" s="128">
        <v>369495</v>
      </c>
      <c r="N41" s="86" t="s">
        <v>71</v>
      </c>
    </row>
    <row r="42" spans="1:14" s="93" customFormat="1" ht="15.75" customHeight="1">
      <c r="A42" s="103"/>
      <c r="B42" s="126"/>
      <c r="C42" s="127"/>
      <c r="D42" s="126"/>
      <c r="E42" s="127"/>
      <c r="F42" s="126"/>
      <c r="G42" s="127"/>
      <c r="H42" s="126"/>
      <c r="I42" s="128"/>
      <c r="J42" s="126"/>
      <c r="K42" s="128"/>
      <c r="L42" s="126"/>
      <c r="M42" s="128"/>
      <c r="N42" s="105" t="s">
        <v>40</v>
      </c>
    </row>
    <row r="43" spans="1:14" s="93" customFormat="1" ht="15.75" customHeight="1">
      <c r="A43" s="99" t="s">
        <v>72</v>
      </c>
      <c r="B43" s="126">
        <f>_xlfn.COMPOUNDVALUE(117)</f>
        <v>736</v>
      </c>
      <c r="C43" s="127">
        <v>490301</v>
      </c>
      <c r="D43" s="126">
        <f>_xlfn.COMPOUNDVALUE(118)</f>
        <v>1167</v>
      </c>
      <c r="E43" s="127">
        <v>512668</v>
      </c>
      <c r="F43" s="126">
        <f>_xlfn.COMPOUNDVALUE(119)</f>
        <v>1903</v>
      </c>
      <c r="G43" s="127">
        <v>1002969</v>
      </c>
      <c r="H43" s="126">
        <f>_xlfn.COMPOUNDVALUE(120)</f>
        <v>80</v>
      </c>
      <c r="I43" s="128">
        <v>118225</v>
      </c>
      <c r="J43" s="126">
        <v>147</v>
      </c>
      <c r="K43" s="128">
        <v>15180</v>
      </c>
      <c r="L43" s="126">
        <f>_xlfn.COMPOUNDVALUE(120)</f>
        <v>2060</v>
      </c>
      <c r="M43" s="128">
        <v>899924</v>
      </c>
      <c r="N43" s="86" t="s">
        <v>72</v>
      </c>
    </row>
    <row r="44" spans="1:14" s="93" customFormat="1" ht="15.75" customHeight="1">
      <c r="A44" s="76" t="s">
        <v>73</v>
      </c>
      <c r="B44" s="126">
        <f>_xlfn.COMPOUNDVALUE(121)</f>
        <v>529</v>
      </c>
      <c r="C44" s="127">
        <v>304622</v>
      </c>
      <c r="D44" s="126">
        <f>_xlfn.COMPOUNDVALUE(122)</f>
        <v>899</v>
      </c>
      <c r="E44" s="127">
        <v>342390</v>
      </c>
      <c r="F44" s="126">
        <f>_xlfn.COMPOUNDVALUE(123)</f>
        <v>1428</v>
      </c>
      <c r="G44" s="127">
        <v>647012</v>
      </c>
      <c r="H44" s="126">
        <f>_xlfn.COMPOUNDVALUE(124)</f>
        <v>34</v>
      </c>
      <c r="I44" s="128">
        <v>34597</v>
      </c>
      <c r="J44" s="126">
        <v>121</v>
      </c>
      <c r="K44" s="128">
        <v>26509</v>
      </c>
      <c r="L44" s="126">
        <f>_xlfn.COMPOUNDVALUE(124)</f>
        <v>1537</v>
      </c>
      <c r="M44" s="128">
        <v>638924</v>
      </c>
      <c r="N44" s="86" t="s">
        <v>73</v>
      </c>
    </row>
    <row r="45" spans="1:14" s="93" customFormat="1" ht="15.75" customHeight="1">
      <c r="A45" s="76" t="s">
        <v>74</v>
      </c>
      <c r="B45" s="126">
        <f>_xlfn.COMPOUNDVALUE(125)</f>
        <v>393</v>
      </c>
      <c r="C45" s="127">
        <v>188872</v>
      </c>
      <c r="D45" s="126">
        <f>_xlfn.COMPOUNDVALUE(126)</f>
        <v>741</v>
      </c>
      <c r="E45" s="127">
        <v>298365</v>
      </c>
      <c r="F45" s="126">
        <f>_xlfn.COMPOUNDVALUE(127)</f>
        <v>1134</v>
      </c>
      <c r="G45" s="127">
        <v>487238</v>
      </c>
      <c r="H45" s="126">
        <f>_xlfn.COMPOUNDVALUE(128)</f>
        <v>27</v>
      </c>
      <c r="I45" s="128">
        <v>38362</v>
      </c>
      <c r="J45" s="126">
        <v>100</v>
      </c>
      <c r="K45" s="128">
        <v>15607</v>
      </c>
      <c r="L45" s="126">
        <f>_xlfn.COMPOUNDVALUE(128)</f>
        <v>1221</v>
      </c>
      <c r="M45" s="128">
        <v>464483</v>
      </c>
      <c r="N45" s="86" t="s">
        <v>74</v>
      </c>
    </row>
    <row r="46" spans="1:14" s="93" customFormat="1" ht="15.75" customHeight="1">
      <c r="A46" s="76" t="s">
        <v>75</v>
      </c>
      <c r="B46" s="126">
        <f>_xlfn.COMPOUNDVALUE(129)</f>
        <v>1255</v>
      </c>
      <c r="C46" s="127">
        <v>1504422</v>
      </c>
      <c r="D46" s="126">
        <f>_xlfn.COMPOUNDVALUE(130)</f>
        <v>2079</v>
      </c>
      <c r="E46" s="127">
        <v>1029992</v>
      </c>
      <c r="F46" s="126">
        <f>_xlfn.COMPOUNDVALUE(131)</f>
        <v>3334</v>
      </c>
      <c r="G46" s="127">
        <v>2534414</v>
      </c>
      <c r="H46" s="126">
        <f>_xlfn.COMPOUNDVALUE(132)</f>
        <v>111</v>
      </c>
      <c r="I46" s="128">
        <v>167418</v>
      </c>
      <c r="J46" s="126">
        <v>304</v>
      </c>
      <c r="K46" s="128">
        <v>42376</v>
      </c>
      <c r="L46" s="126">
        <f>_xlfn.COMPOUNDVALUE(132)</f>
        <v>3569</v>
      </c>
      <c r="M46" s="128">
        <v>2409372</v>
      </c>
      <c r="N46" s="86" t="s">
        <v>75</v>
      </c>
    </row>
    <row r="47" spans="1:14" s="93" customFormat="1" ht="15.75" customHeight="1">
      <c r="A47" s="76" t="s">
        <v>76</v>
      </c>
      <c r="B47" s="126">
        <f>_xlfn.COMPOUNDVALUE(133)</f>
        <v>589</v>
      </c>
      <c r="C47" s="127">
        <v>391489</v>
      </c>
      <c r="D47" s="126">
        <f>_xlfn.COMPOUNDVALUE(134)</f>
        <v>1177</v>
      </c>
      <c r="E47" s="127">
        <v>477286</v>
      </c>
      <c r="F47" s="126">
        <f>_xlfn.COMPOUNDVALUE(135)</f>
        <v>1766</v>
      </c>
      <c r="G47" s="127">
        <v>868775</v>
      </c>
      <c r="H47" s="126">
        <f>_xlfn.COMPOUNDVALUE(136)</f>
        <v>48</v>
      </c>
      <c r="I47" s="128">
        <v>30392</v>
      </c>
      <c r="J47" s="126">
        <v>204</v>
      </c>
      <c r="K47" s="128">
        <v>24503</v>
      </c>
      <c r="L47" s="126">
        <f>_xlfn.COMPOUNDVALUE(136)</f>
        <v>1896</v>
      </c>
      <c r="M47" s="128">
        <v>862886</v>
      </c>
      <c r="N47" s="86" t="s">
        <v>76</v>
      </c>
    </row>
    <row r="48" spans="1:14" s="93" customFormat="1" ht="15.75" customHeight="1">
      <c r="A48" s="76"/>
      <c r="B48" s="126"/>
      <c r="C48" s="127"/>
      <c r="D48" s="126"/>
      <c r="E48" s="127"/>
      <c r="F48" s="126"/>
      <c r="G48" s="127"/>
      <c r="H48" s="126"/>
      <c r="I48" s="128"/>
      <c r="J48" s="126"/>
      <c r="K48" s="128"/>
      <c r="L48" s="126"/>
      <c r="M48" s="128"/>
      <c r="N48" s="86" t="s">
        <v>40</v>
      </c>
    </row>
    <row r="49" spans="1:14" s="93" customFormat="1" ht="15.75" customHeight="1">
      <c r="A49" s="76" t="s">
        <v>77</v>
      </c>
      <c r="B49" s="126">
        <f>_xlfn.COMPOUNDVALUE(137)</f>
        <v>576</v>
      </c>
      <c r="C49" s="127">
        <v>716666</v>
      </c>
      <c r="D49" s="126">
        <f>_xlfn.COMPOUNDVALUE(138)</f>
        <v>979</v>
      </c>
      <c r="E49" s="127">
        <v>450112</v>
      </c>
      <c r="F49" s="126">
        <f>_xlfn.COMPOUNDVALUE(139)</f>
        <v>1555</v>
      </c>
      <c r="G49" s="127">
        <v>1166777</v>
      </c>
      <c r="H49" s="126">
        <f>_xlfn.COMPOUNDVALUE(140)</f>
        <v>60</v>
      </c>
      <c r="I49" s="128">
        <v>106789</v>
      </c>
      <c r="J49" s="126">
        <v>138</v>
      </c>
      <c r="K49" s="128">
        <v>3362</v>
      </c>
      <c r="L49" s="126">
        <f>_xlfn.COMPOUNDVALUE(140)</f>
        <v>1652</v>
      </c>
      <c r="M49" s="128">
        <v>1063350</v>
      </c>
      <c r="N49" s="86" t="s">
        <v>77</v>
      </c>
    </row>
    <row r="50" spans="1:14" s="93" customFormat="1" ht="15.75" customHeight="1">
      <c r="A50" s="76" t="s">
        <v>78</v>
      </c>
      <c r="B50" s="126">
        <f>_xlfn.COMPOUNDVALUE(141)</f>
        <v>712</v>
      </c>
      <c r="C50" s="127">
        <v>441338</v>
      </c>
      <c r="D50" s="126">
        <f>_xlfn.COMPOUNDVALUE(142)</f>
        <v>1248</v>
      </c>
      <c r="E50" s="127">
        <v>510714</v>
      </c>
      <c r="F50" s="126">
        <f>_xlfn.COMPOUNDVALUE(143)</f>
        <v>1960</v>
      </c>
      <c r="G50" s="127">
        <v>952052</v>
      </c>
      <c r="H50" s="126">
        <f>_xlfn.COMPOUNDVALUE(144)</f>
        <v>52</v>
      </c>
      <c r="I50" s="128">
        <v>64691</v>
      </c>
      <c r="J50" s="126">
        <v>183</v>
      </c>
      <c r="K50" s="128">
        <v>24451</v>
      </c>
      <c r="L50" s="126">
        <f>_xlfn.COMPOUNDVALUE(144)</f>
        <v>2105</v>
      </c>
      <c r="M50" s="128">
        <v>911812</v>
      </c>
      <c r="N50" s="86" t="s">
        <v>78</v>
      </c>
    </row>
    <row r="51" spans="1:14" s="93" customFormat="1" ht="15.75" customHeight="1">
      <c r="A51" s="76" t="s">
        <v>79</v>
      </c>
      <c r="B51" s="126">
        <f>_xlfn.COMPOUNDVALUE(145)</f>
        <v>1164</v>
      </c>
      <c r="C51" s="127">
        <v>1127841</v>
      </c>
      <c r="D51" s="126">
        <f>_xlfn.COMPOUNDVALUE(146)</f>
        <v>2084</v>
      </c>
      <c r="E51" s="127">
        <v>991525</v>
      </c>
      <c r="F51" s="126">
        <f>_xlfn.COMPOUNDVALUE(147)</f>
        <v>3248</v>
      </c>
      <c r="G51" s="127">
        <v>2119366</v>
      </c>
      <c r="H51" s="126">
        <f>_xlfn.COMPOUNDVALUE(148)</f>
        <v>101</v>
      </c>
      <c r="I51" s="128">
        <v>124778</v>
      </c>
      <c r="J51" s="126">
        <v>255</v>
      </c>
      <c r="K51" s="128">
        <v>29808</v>
      </c>
      <c r="L51" s="126">
        <f>_xlfn.COMPOUNDVALUE(148)</f>
        <v>3455</v>
      </c>
      <c r="M51" s="128">
        <v>2024396</v>
      </c>
      <c r="N51" s="86" t="s">
        <v>79</v>
      </c>
    </row>
    <row r="52" spans="1:14" s="93" customFormat="1" ht="15.75" customHeight="1">
      <c r="A52" s="76" t="s">
        <v>80</v>
      </c>
      <c r="B52" s="126">
        <f>_xlfn.COMPOUNDVALUE(149)</f>
        <v>1036</v>
      </c>
      <c r="C52" s="127">
        <v>1019446</v>
      </c>
      <c r="D52" s="126">
        <f>_xlfn.COMPOUNDVALUE(150)</f>
        <v>2014</v>
      </c>
      <c r="E52" s="127">
        <v>950508</v>
      </c>
      <c r="F52" s="126">
        <f>_xlfn.COMPOUNDVALUE(151)</f>
        <v>3050</v>
      </c>
      <c r="G52" s="127">
        <v>1969954</v>
      </c>
      <c r="H52" s="126">
        <f>_xlfn.COMPOUNDVALUE(152)</f>
        <v>81</v>
      </c>
      <c r="I52" s="128">
        <v>58681</v>
      </c>
      <c r="J52" s="126">
        <v>257</v>
      </c>
      <c r="K52" s="128">
        <v>52418</v>
      </c>
      <c r="L52" s="126">
        <f>_xlfn.COMPOUNDVALUE(152)</f>
        <v>3233</v>
      </c>
      <c r="M52" s="128">
        <v>1963691</v>
      </c>
      <c r="N52" s="86" t="s">
        <v>80</v>
      </c>
    </row>
    <row r="53" spans="1:14" s="93" customFormat="1" ht="15.75" customHeight="1">
      <c r="A53" s="76" t="s">
        <v>81</v>
      </c>
      <c r="B53" s="126">
        <f>_xlfn.COMPOUNDVALUE(153)</f>
        <v>1023</v>
      </c>
      <c r="C53" s="127">
        <v>1311304</v>
      </c>
      <c r="D53" s="126">
        <f>_xlfn.COMPOUNDVALUE(154)</f>
        <v>1795</v>
      </c>
      <c r="E53" s="127">
        <v>864161</v>
      </c>
      <c r="F53" s="126">
        <f>_xlfn.COMPOUNDVALUE(155)</f>
        <v>2818</v>
      </c>
      <c r="G53" s="127">
        <v>2175465</v>
      </c>
      <c r="H53" s="126">
        <f>_xlfn.COMPOUNDVALUE(156)</f>
        <v>87</v>
      </c>
      <c r="I53" s="128">
        <v>92959</v>
      </c>
      <c r="J53" s="126">
        <v>181</v>
      </c>
      <c r="K53" s="128">
        <v>39695</v>
      </c>
      <c r="L53" s="126">
        <f>_xlfn.COMPOUNDVALUE(156)</f>
        <v>2978</v>
      </c>
      <c r="M53" s="128">
        <v>2122202</v>
      </c>
      <c r="N53" s="86" t="s">
        <v>81</v>
      </c>
    </row>
    <row r="54" spans="1:14" s="93" customFormat="1" ht="15.75" customHeight="1">
      <c r="A54" s="76"/>
      <c r="B54" s="126"/>
      <c r="C54" s="127"/>
      <c r="D54" s="126"/>
      <c r="E54" s="127"/>
      <c r="F54" s="126"/>
      <c r="G54" s="127"/>
      <c r="H54" s="126"/>
      <c r="I54" s="128"/>
      <c r="J54" s="126"/>
      <c r="K54" s="128"/>
      <c r="L54" s="126"/>
      <c r="M54" s="128"/>
      <c r="N54" s="86" t="s">
        <v>40</v>
      </c>
    </row>
    <row r="55" spans="1:14" s="93" customFormat="1" ht="15.75" customHeight="1">
      <c r="A55" s="76" t="s">
        <v>82</v>
      </c>
      <c r="B55" s="126">
        <f>_xlfn.COMPOUNDVALUE(157)</f>
        <v>1937</v>
      </c>
      <c r="C55" s="127">
        <v>3181463</v>
      </c>
      <c r="D55" s="126">
        <f>_xlfn.COMPOUNDVALUE(158)</f>
        <v>3141</v>
      </c>
      <c r="E55" s="127">
        <v>1657482</v>
      </c>
      <c r="F55" s="126">
        <f>_xlfn.COMPOUNDVALUE(159)</f>
        <v>5078</v>
      </c>
      <c r="G55" s="127">
        <v>4838945</v>
      </c>
      <c r="H55" s="126">
        <f>_xlfn.COMPOUNDVALUE(160)</f>
        <v>164</v>
      </c>
      <c r="I55" s="128">
        <v>288912</v>
      </c>
      <c r="J55" s="126">
        <v>444</v>
      </c>
      <c r="K55" s="128">
        <v>84884</v>
      </c>
      <c r="L55" s="126">
        <f>_xlfn.COMPOUNDVALUE(160)</f>
        <v>5429</v>
      </c>
      <c r="M55" s="128">
        <v>4634917</v>
      </c>
      <c r="N55" s="86" t="s">
        <v>82</v>
      </c>
    </row>
    <row r="56" spans="1:14" s="93" customFormat="1" ht="15.75" customHeight="1">
      <c r="A56" s="76" t="s">
        <v>83</v>
      </c>
      <c r="B56" s="126">
        <f>_xlfn.COMPOUNDVALUE(161)</f>
        <v>980</v>
      </c>
      <c r="C56" s="127">
        <v>1004583</v>
      </c>
      <c r="D56" s="126">
        <f>_xlfn.COMPOUNDVALUE(162)</f>
        <v>1672</v>
      </c>
      <c r="E56" s="127">
        <v>745033</v>
      </c>
      <c r="F56" s="126">
        <f>_xlfn.COMPOUNDVALUE(163)</f>
        <v>2652</v>
      </c>
      <c r="G56" s="127">
        <v>1749617</v>
      </c>
      <c r="H56" s="126">
        <f>_xlfn.COMPOUNDVALUE(164)</f>
        <v>85</v>
      </c>
      <c r="I56" s="128">
        <v>63259</v>
      </c>
      <c r="J56" s="126">
        <v>262</v>
      </c>
      <c r="K56" s="128">
        <v>28992</v>
      </c>
      <c r="L56" s="126">
        <f>_xlfn.COMPOUNDVALUE(164)</f>
        <v>2855</v>
      </c>
      <c r="M56" s="128">
        <v>1715350</v>
      </c>
      <c r="N56" s="86" t="s">
        <v>83</v>
      </c>
    </row>
    <row r="57" spans="1:14" s="93" customFormat="1" ht="15.75" customHeight="1">
      <c r="A57" s="76" t="s">
        <v>84</v>
      </c>
      <c r="B57" s="126">
        <f>_xlfn.COMPOUNDVALUE(165)</f>
        <v>983</v>
      </c>
      <c r="C57" s="127">
        <v>807952</v>
      </c>
      <c r="D57" s="126">
        <f>_xlfn.COMPOUNDVALUE(166)</f>
        <v>1705</v>
      </c>
      <c r="E57" s="127">
        <v>758032</v>
      </c>
      <c r="F57" s="126">
        <f>_xlfn.COMPOUNDVALUE(167)</f>
        <v>2688</v>
      </c>
      <c r="G57" s="127">
        <v>1565984</v>
      </c>
      <c r="H57" s="126">
        <f>_xlfn.COMPOUNDVALUE(168)</f>
        <v>108</v>
      </c>
      <c r="I57" s="128">
        <v>102050</v>
      </c>
      <c r="J57" s="126">
        <v>280</v>
      </c>
      <c r="K57" s="128">
        <v>13883</v>
      </c>
      <c r="L57" s="126">
        <f>_xlfn.COMPOUNDVALUE(168)</f>
        <v>2892</v>
      </c>
      <c r="M57" s="128">
        <v>1477817</v>
      </c>
      <c r="N57" s="86" t="s">
        <v>84</v>
      </c>
    </row>
    <row r="58" spans="1:14" s="93" customFormat="1" ht="15.75" customHeight="1">
      <c r="A58" s="76" t="s">
        <v>85</v>
      </c>
      <c r="B58" s="126">
        <f>_xlfn.COMPOUNDVALUE(169)</f>
        <v>701</v>
      </c>
      <c r="C58" s="127">
        <v>705443</v>
      </c>
      <c r="D58" s="126">
        <f>_xlfn.COMPOUNDVALUE(170)</f>
        <v>1380</v>
      </c>
      <c r="E58" s="127">
        <v>646752</v>
      </c>
      <c r="F58" s="126">
        <f>_xlfn.COMPOUNDVALUE(171)</f>
        <v>2081</v>
      </c>
      <c r="G58" s="127">
        <v>1352194</v>
      </c>
      <c r="H58" s="126">
        <f>_xlfn.COMPOUNDVALUE(172)</f>
        <v>64</v>
      </c>
      <c r="I58" s="128">
        <v>33929</v>
      </c>
      <c r="J58" s="126">
        <v>160</v>
      </c>
      <c r="K58" s="128">
        <v>3535</v>
      </c>
      <c r="L58" s="126">
        <f>_xlfn.COMPOUNDVALUE(172)</f>
        <v>2190</v>
      </c>
      <c r="M58" s="128">
        <v>1321800</v>
      </c>
      <c r="N58" s="86" t="s">
        <v>85</v>
      </c>
    </row>
    <row r="59" spans="1:14" s="93" customFormat="1" ht="15.75" customHeight="1">
      <c r="A59" s="76" t="s">
        <v>86</v>
      </c>
      <c r="B59" s="126">
        <f>_xlfn.COMPOUNDVALUE(173)</f>
        <v>1216</v>
      </c>
      <c r="C59" s="127">
        <v>1243720</v>
      </c>
      <c r="D59" s="126">
        <f>_xlfn.COMPOUNDVALUE(174)</f>
        <v>1933</v>
      </c>
      <c r="E59" s="127">
        <v>940137</v>
      </c>
      <c r="F59" s="126">
        <f>_xlfn.COMPOUNDVALUE(175)</f>
        <v>3149</v>
      </c>
      <c r="G59" s="127">
        <v>2183857</v>
      </c>
      <c r="H59" s="126">
        <f>_xlfn.COMPOUNDVALUE(176)</f>
        <v>84</v>
      </c>
      <c r="I59" s="128">
        <v>75879</v>
      </c>
      <c r="J59" s="126">
        <v>215</v>
      </c>
      <c r="K59" s="128">
        <v>46384</v>
      </c>
      <c r="L59" s="126">
        <f>_xlfn.COMPOUNDVALUE(176)</f>
        <v>3331</v>
      </c>
      <c r="M59" s="128">
        <v>2154362</v>
      </c>
      <c r="N59" s="86" t="s">
        <v>86</v>
      </c>
    </row>
    <row r="60" spans="1:14" s="93" customFormat="1" ht="15.75" customHeight="1">
      <c r="A60" s="76"/>
      <c r="B60" s="126"/>
      <c r="C60" s="127"/>
      <c r="D60" s="126"/>
      <c r="E60" s="127"/>
      <c r="F60" s="126"/>
      <c r="G60" s="127"/>
      <c r="H60" s="126"/>
      <c r="I60" s="128"/>
      <c r="J60" s="126"/>
      <c r="K60" s="128"/>
      <c r="L60" s="126"/>
      <c r="M60" s="128"/>
      <c r="N60" s="86" t="s">
        <v>40</v>
      </c>
    </row>
    <row r="61" spans="1:14" s="93" customFormat="1" ht="15.75" customHeight="1">
      <c r="A61" s="76" t="s">
        <v>87</v>
      </c>
      <c r="B61" s="126">
        <f>_xlfn.COMPOUNDVALUE(177)</f>
        <v>863</v>
      </c>
      <c r="C61" s="127">
        <v>552533</v>
      </c>
      <c r="D61" s="126">
        <f>_xlfn.COMPOUNDVALUE(178)</f>
        <v>1378</v>
      </c>
      <c r="E61" s="127">
        <v>549425</v>
      </c>
      <c r="F61" s="126">
        <f>_xlfn.COMPOUNDVALUE(179)</f>
        <v>2241</v>
      </c>
      <c r="G61" s="127">
        <v>1101958</v>
      </c>
      <c r="H61" s="126">
        <f>_xlfn.COMPOUNDVALUE(180)</f>
        <v>67</v>
      </c>
      <c r="I61" s="128">
        <v>51253</v>
      </c>
      <c r="J61" s="126">
        <v>172</v>
      </c>
      <c r="K61" s="128">
        <v>25390</v>
      </c>
      <c r="L61" s="126">
        <f>_xlfn.COMPOUNDVALUE(180)</f>
        <v>2411</v>
      </c>
      <c r="M61" s="128">
        <v>1076095</v>
      </c>
      <c r="N61" s="86" t="s">
        <v>87</v>
      </c>
    </row>
    <row r="62" spans="1:14" s="93" customFormat="1" ht="15.75" customHeight="1">
      <c r="A62" s="76" t="s">
        <v>88</v>
      </c>
      <c r="B62" s="126">
        <f>_xlfn.COMPOUNDVALUE(181)</f>
        <v>653</v>
      </c>
      <c r="C62" s="127">
        <v>362601</v>
      </c>
      <c r="D62" s="126">
        <f>_xlfn.COMPOUNDVALUE(182)</f>
        <v>1051</v>
      </c>
      <c r="E62" s="127">
        <v>405090</v>
      </c>
      <c r="F62" s="126">
        <f>_xlfn.COMPOUNDVALUE(183)</f>
        <v>1704</v>
      </c>
      <c r="G62" s="127">
        <v>767692</v>
      </c>
      <c r="H62" s="126">
        <f>_xlfn.COMPOUNDVALUE(184)</f>
        <v>61</v>
      </c>
      <c r="I62" s="128">
        <v>51767</v>
      </c>
      <c r="J62" s="126">
        <v>169</v>
      </c>
      <c r="K62" s="128">
        <v>30463</v>
      </c>
      <c r="L62" s="126">
        <f>_xlfn.COMPOUNDVALUE(184)</f>
        <v>1865</v>
      </c>
      <c r="M62" s="128">
        <v>746388</v>
      </c>
      <c r="N62" s="86" t="s">
        <v>88</v>
      </c>
    </row>
    <row r="63" spans="1:14" s="93" customFormat="1" ht="15.75" customHeight="1">
      <c r="A63" s="76" t="s">
        <v>89</v>
      </c>
      <c r="B63" s="126">
        <f>_xlfn.COMPOUNDVALUE(185)</f>
        <v>1541</v>
      </c>
      <c r="C63" s="127">
        <v>924180</v>
      </c>
      <c r="D63" s="126">
        <f>_xlfn.COMPOUNDVALUE(186)</f>
        <v>2376</v>
      </c>
      <c r="E63" s="127">
        <v>983501</v>
      </c>
      <c r="F63" s="126">
        <f>_xlfn.COMPOUNDVALUE(187)</f>
        <v>3917</v>
      </c>
      <c r="G63" s="127">
        <v>1907681</v>
      </c>
      <c r="H63" s="126">
        <f>_xlfn.COMPOUNDVALUE(188)</f>
        <v>92</v>
      </c>
      <c r="I63" s="128">
        <v>197787</v>
      </c>
      <c r="J63" s="126">
        <v>320</v>
      </c>
      <c r="K63" s="128">
        <v>33683</v>
      </c>
      <c r="L63" s="126">
        <f>_xlfn.COMPOUNDVALUE(188)</f>
        <v>4123</v>
      </c>
      <c r="M63" s="128">
        <v>1743577</v>
      </c>
      <c r="N63" s="86" t="s">
        <v>89</v>
      </c>
    </row>
    <row r="64" spans="1:14" s="93" customFormat="1" ht="15.75" customHeight="1">
      <c r="A64" s="76" t="s">
        <v>90</v>
      </c>
      <c r="B64" s="126">
        <f>_xlfn.COMPOUNDVALUE(189)</f>
        <v>1145</v>
      </c>
      <c r="C64" s="127">
        <v>843495</v>
      </c>
      <c r="D64" s="126">
        <f>_xlfn.COMPOUNDVALUE(190)</f>
        <v>2205</v>
      </c>
      <c r="E64" s="127">
        <v>936890</v>
      </c>
      <c r="F64" s="126">
        <f>_xlfn.COMPOUNDVALUE(191)</f>
        <v>3350</v>
      </c>
      <c r="G64" s="127">
        <v>1780385</v>
      </c>
      <c r="H64" s="126">
        <f>_xlfn.COMPOUNDVALUE(192)</f>
        <v>100</v>
      </c>
      <c r="I64" s="128">
        <v>178734</v>
      </c>
      <c r="J64" s="126">
        <v>316</v>
      </c>
      <c r="K64" s="128">
        <v>29302</v>
      </c>
      <c r="L64" s="126">
        <f>_xlfn.COMPOUNDVALUE(192)</f>
        <v>3557</v>
      </c>
      <c r="M64" s="128">
        <v>1630954</v>
      </c>
      <c r="N64" s="86" t="s">
        <v>90</v>
      </c>
    </row>
    <row r="65" spans="1:14" s="93" customFormat="1" ht="15.75" customHeight="1">
      <c r="A65" s="78" t="s">
        <v>91</v>
      </c>
      <c r="B65" s="131">
        <f>_xlfn.COMPOUNDVALUE(193)</f>
        <v>791</v>
      </c>
      <c r="C65" s="132">
        <v>593945</v>
      </c>
      <c r="D65" s="131">
        <f>_xlfn.COMPOUNDVALUE(194)</f>
        <v>1552</v>
      </c>
      <c r="E65" s="132">
        <v>626834</v>
      </c>
      <c r="F65" s="131">
        <f>_xlfn.COMPOUNDVALUE(195)</f>
        <v>2343</v>
      </c>
      <c r="G65" s="132">
        <v>1220778</v>
      </c>
      <c r="H65" s="131">
        <f>_xlfn.COMPOUNDVALUE(196)</f>
        <v>63</v>
      </c>
      <c r="I65" s="133">
        <v>37824</v>
      </c>
      <c r="J65" s="131">
        <v>211</v>
      </c>
      <c r="K65" s="133">
        <v>31298</v>
      </c>
      <c r="L65" s="131">
        <f>_xlfn.COMPOUNDVALUE(196)</f>
        <v>2512</v>
      </c>
      <c r="M65" s="133">
        <v>1214252</v>
      </c>
      <c r="N65" s="77" t="s">
        <v>91</v>
      </c>
    </row>
    <row r="66" spans="1:14" s="93" customFormat="1" ht="15.75" customHeight="1">
      <c r="A66" s="78"/>
      <c r="B66" s="131"/>
      <c r="C66" s="132"/>
      <c r="D66" s="131"/>
      <c r="E66" s="132"/>
      <c r="F66" s="131"/>
      <c r="G66" s="132"/>
      <c r="H66" s="131"/>
      <c r="I66" s="133"/>
      <c r="J66" s="131"/>
      <c r="K66" s="133"/>
      <c r="L66" s="131"/>
      <c r="M66" s="133"/>
      <c r="N66" s="77" t="s">
        <v>40</v>
      </c>
    </row>
    <row r="67" spans="1:14" s="93" customFormat="1" ht="15.75" customHeight="1">
      <c r="A67" s="78" t="s">
        <v>92</v>
      </c>
      <c r="B67" s="131">
        <f>_xlfn.COMPOUNDVALUE(197)</f>
        <v>1273</v>
      </c>
      <c r="C67" s="132">
        <v>773869</v>
      </c>
      <c r="D67" s="131">
        <f>_xlfn.COMPOUNDVALUE(198)</f>
        <v>1911</v>
      </c>
      <c r="E67" s="132">
        <v>785023</v>
      </c>
      <c r="F67" s="131">
        <f>_xlfn.COMPOUNDVALUE(199)</f>
        <v>3184</v>
      </c>
      <c r="G67" s="132">
        <v>1558892</v>
      </c>
      <c r="H67" s="131">
        <f>_xlfn.COMPOUNDVALUE(200)</f>
        <v>77</v>
      </c>
      <c r="I67" s="133">
        <v>103592</v>
      </c>
      <c r="J67" s="131">
        <v>228</v>
      </c>
      <c r="K67" s="133">
        <v>38907</v>
      </c>
      <c r="L67" s="131">
        <f>_xlfn.COMPOUNDVALUE(200)</f>
        <v>3376</v>
      </c>
      <c r="M67" s="133">
        <v>1494207</v>
      </c>
      <c r="N67" s="77" t="s">
        <v>92</v>
      </c>
    </row>
    <row r="68" spans="1:14" s="93" customFormat="1" ht="15.75" customHeight="1">
      <c r="A68" s="78" t="s">
        <v>93</v>
      </c>
      <c r="B68" s="131">
        <f>_xlfn.COMPOUNDVALUE(201)</f>
        <v>939</v>
      </c>
      <c r="C68" s="132">
        <v>544846</v>
      </c>
      <c r="D68" s="131">
        <f>_xlfn.COMPOUNDVALUE(202)</f>
        <v>1626</v>
      </c>
      <c r="E68" s="132">
        <v>631698</v>
      </c>
      <c r="F68" s="131">
        <f>_xlfn.COMPOUNDVALUE(203)</f>
        <v>2565</v>
      </c>
      <c r="G68" s="132">
        <v>1176544</v>
      </c>
      <c r="H68" s="131">
        <f>_xlfn.COMPOUNDVALUE(204)</f>
        <v>50</v>
      </c>
      <c r="I68" s="133">
        <v>122740</v>
      </c>
      <c r="J68" s="131">
        <v>208</v>
      </c>
      <c r="K68" s="133">
        <v>28236</v>
      </c>
      <c r="L68" s="131">
        <f>_xlfn.COMPOUNDVALUE(204)</f>
        <v>2723</v>
      </c>
      <c r="M68" s="133">
        <v>1082039</v>
      </c>
      <c r="N68" s="77" t="s">
        <v>93</v>
      </c>
    </row>
    <row r="69" spans="1:14" s="93" customFormat="1" ht="15.75" customHeight="1">
      <c r="A69" s="78" t="s">
        <v>94</v>
      </c>
      <c r="B69" s="131">
        <f>_xlfn.COMPOUNDVALUE(205)</f>
        <v>1180</v>
      </c>
      <c r="C69" s="132">
        <v>730033</v>
      </c>
      <c r="D69" s="131">
        <f>_xlfn.COMPOUNDVALUE(206)</f>
        <v>2260</v>
      </c>
      <c r="E69" s="132">
        <v>890487</v>
      </c>
      <c r="F69" s="131">
        <f>_xlfn.COMPOUNDVALUE(207)</f>
        <v>3440</v>
      </c>
      <c r="G69" s="132">
        <v>1620520</v>
      </c>
      <c r="H69" s="131">
        <f>_xlfn.COMPOUNDVALUE(208)</f>
        <v>79</v>
      </c>
      <c r="I69" s="133">
        <v>53583</v>
      </c>
      <c r="J69" s="131">
        <v>357</v>
      </c>
      <c r="K69" s="133">
        <v>57068</v>
      </c>
      <c r="L69" s="131">
        <f>_xlfn.COMPOUNDVALUE(208)</f>
        <v>3698</v>
      </c>
      <c r="M69" s="133">
        <v>1624006</v>
      </c>
      <c r="N69" s="77" t="s">
        <v>94</v>
      </c>
    </row>
    <row r="70" spans="1:14" s="93" customFormat="1" ht="15.75" customHeight="1">
      <c r="A70" s="78" t="s">
        <v>95</v>
      </c>
      <c r="B70" s="131">
        <f>_xlfn.COMPOUNDVALUE(209)</f>
        <v>1312</v>
      </c>
      <c r="C70" s="132">
        <v>952155</v>
      </c>
      <c r="D70" s="131">
        <f>_xlfn.COMPOUNDVALUE(210)</f>
        <v>2188</v>
      </c>
      <c r="E70" s="132">
        <v>883559</v>
      </c>
      <c r="F70" s="131">
        <f>_xlfn.COMPOUNDVALUE(211)</f>
        <v>3500</v>
      </c>
      <c r="G70" s="132">
        <v>1835713</v>
      </c>
      <c r="H70" s="131">
        <f>_xlfn.COMPOUNDVALUE(212)</f>
        <v>78</v>
      </c>
      <c r="I70" s="133">
        <v>71623</v>
      </c>
      <c r="J70" s="131">
        <v>318</v>
      </c>
      <c r="K70" s="133">
        <v>43088</v>
      </c>
      <c r="L70" s="131">
        <f>_xlfn.COMPOUNDVALUE(212)</f>
        <v>3720</v>
      </c>
      <c r="M70" s="133">
        <v>1807178</v>
      </c>
      <c r="N70" s="77" t="s">
        <v>95</v>
      </c>
    </row>
    <row r="71" spans="1:14" s="93" customFormat="1" ht="15.75" customHeight="1">
      <c r="A71" s="78" t="s">
        <v>96</v>
      </c>
      <c r="B71" s="131">
        <f>_xlfn.COMPOUNDVALUE(213)</f>
        <v>599</v>
      </c>
      <c r="C71" s="132">
        <v>615559</v>
      </c>
      <c r="D71" s="131">
        <f>_xlfn.COMPOUNDVALUE(214)</f>
        <v>935</v>
      </c>
      <c r="E71" s="132">
        <v>409383</v>
      </c>
      <c r="F71" s="131">
        <f>_xlfn.COMPOUNDVALUE(215)</f>
        <v>1534</v>
      </c>
      <c r="G71" s="132">
        <v>1024942</v>
      </c>
      <c r="H71" s="131">
        <f>_xlfn.COMPOUNDVALUE(216)</f>
        <v>46</v>
      </c>
      <c r="I71" s="133">
        <v>63576</v>
      </c>
      <c r="J71" s="131">
        <v>153</v>
      </c>
      <c r="K71" s="133">
        <v>9561</v>
      </c>
      <c r="L71" s="131">
        <f>_xlfn.COMPOUNDVALUE(216)</f>
        <v>1635</v>
      </c>
      <c r="M71" s="133">
        <v>970927</v>
      </c>
      <c r="N71" s="77" t="s">
        <v>96</v>
      </c>
    </row>
    <row r="72" spans="1:14" s="93" customFormat="1" ht="15.75" customHeight="1">
      <c r="A72" s="79" t="s">
        <v>146</v>
      </c>
      <c r="B72" s="134">
        <v>35933</v>
      </c>
      <c r="C72" s="135">
        <v>38324474</v>
      </c>
      <c r="D72" s="134">
        <v>59931</v>
      </c>
      <c r="E72" s="135">
        <v>27612375</v>
      </c>
      <c r="F72" s="134">
        <v>95864</v>
      </c>
      <c r="G72" s="135">
        <v>65936851</v>
      </c>
      <c r="H72" s="134">
        <v>3000</v>
      </c>
      <c r="I72" s="136">
        <v>5092353</v>
      </c>
      <c r="J72" s="134">
        <v>8065</v>
      </c>
      <c r="K72" s="136">
        <v>1084270</v>
      </c>
      <c r="L72" s="134">
        <v>102231</v>
      </c>
      <c r="M72" s="136">
        <v>61928774</v>
      </c>
      <c r="N72" s="84" t="s">
        <v>98</v>
      </c>
    </row>
    <row r="73" spans="1:14" s="93" customFormat="1" ht="15.75" customHeight="1">
      <c r="A73" s="160"/>
      <c r="B73" s="162"/>
      <c r="C73" s="163"/>
      <c r="D73" s="162"/>
      <c r="E73" s="163"/>
      <c r="F73" s="162"/>
      <c r="G73" s="163"/>
      <c r="H73" s="162"/>
      <c r="I73" s="164"/>
      <c r="J73" s="162"/>
      <c r="K73" s="164"/>
      <c r="L73" s="162"/>
      <c r="M73" s="164"/>
      <c r="N73" s="161" t="s">
        <v>40</v>
      </c>
    </row>
    <row r="74" spans="1:14" s="93" customFormat="1" ht="15.75" customHeight="1">
      <c r="A74" s="76" t="s">
        <v>99</v>
      </c>
      <c r="B74" s="126">
        <f>_xlfn.COMPOUNDVALUE(217)</f>
        <v>1225</v>
      </c>
      <c r="C74" s="127">
        <v>712433</v>
      </c>
      <c r="D74" s="126">
        <f>_xlfn.COMPOUNDVALUE(218)</f>
        <v>2347</v>
      </c>
      <c r="E74" s="127">
        <v>971628</v>
      </c>
      <c r="F74" s="126">
        <f>_xlfn.COMPOUNDVALUE(219)</f>
        <v>3572</v>
      </c>
      <c r="G74" s="127">
        <v>1684061</v>
      </c>
      <c r="H74" s="126">
        <f>_xlfn.COMPOUNDVALUE(220)</f>
        <v>78</v>
      </c>
      <c r="I74" s="128">
        <v>79651</v>
      </c>
      <c r="J74" s="126">
        <v>260</v>
      </c>
      <c r="K74" s="128">
        <v>27751</v>
      </c>
      <c r="L74" s="126">
        <f>_xlfn.COMPOUNDVALUE(220)</f>
        <v>3738</v>
      </c>
      <c r="M74" s="128">
        <v>1632161</v>
      </c>
      <c r="N74" s="85" t="s">
        <v>99</v>
      </c>
    </row>
    <row r="75" spans="1:14" s="93" customFormat="1" ht="15.75" customHeight="1">
      <c r="A75" s="78" t="s">
        <v>100</v>
      </c>
      <c r="B75" s="131">
        <f>_xlfn.COMPOUNDVALUE(221)</f>
        <v>1527</v>
      </c>
      <c r="C75" s="132">
        <v>1032267</v>
      </c>
      <c r="D75" s="131">
        <f>_xlfn.COMPOUNDVALUE(222)</f>
        <v>3058</v>
      </c>
      <c r="E75" s="132">
        <v>1311426</v>
      </c>
      <c r="F75" s="131">
        <f>_xlfn.COMPOUNDVALUE(223)</f>
        <v>4585</v>
      </c>
      <c r="G75" s="132">
        <v>2343693</v>
      </c>
      <c r="H75" s="131">
        <f>_xlfn.COMPOUNDVALUE(224)</f>
        <v>99</v>
      </c>
      <c r="I75" s="133">
        <v>115531</v>
      </c>
      <c r="J75" s="131">
        <v>584</v>
      </c>
      <c r="K75" s="133">
        <v>90747</v>
      </c>
      <c r="L75" s="131">
        <f>_xlfn.COMPOUNDVALUE(224)</f>
        <v>4991</v>
      </c>
      <c r="M75" s="133">
        <v>2318909</v>
      </c>
      <c r="N75" s="77" t="s">
        <v>100</v>
      </c>
    </row>
    <row r="76" spans="1:14" s="93" customFormat="1" ht="15.75" customHeight="1">
      <c r="A76" s="78" t="s">
        <v>101</v>
      </c>
      <c r="B76" s="131">
        <f>_xlfn.COMPOUNDVALUE(225)</f>
        <v>1169</v>
      </c>
      <c r="C76" s="132">
        <v>1299053</v>
      </c>
      <c r="D76" s="131">
        <f>_xlfn.COMPOUNDVALUE(226)</f>
        <v>2474</v>
      </c>
      <c r="E76" s="132">
        <v>1150863</v>
      </c>
      <c r="F76" s="131">
        <f>_xlfn.COMPOUNDVALUE(227)</f>
        <v>3643</v>
      </c>
      <c r="G76" s="132">
        <v>2449917</v>
      </c>
      <c r="H76" s="131">
        <f>_xlfn.COMPOUNDVALUE(228)</f>
        <v>104</v>
      </c>
      <c r="I76" s="133">
        <v>133324</v>
      </c>
      <c r="J76" s="131">
        <v>282</v>
      </c>
      <c r="K76" s="133">
        <v>38049</v>
      </c>
      <c r="L76" s="131">
        <f>_xlfn.COMPOUNDVALUE(228)</f>
        <v>3851</v>
      </c>
      <c r="M76" s="133">
        <v>2354642</v>
      </c>
      <c r="N76" s="77" t="s">
        <v>101</v>
      </c>
    </row>
    <row r="77" spans="1:14" s="93" customFormat="1" ht="15.75" customHeight="1">
      <c r="A77" s="78" t="s">
        <v>102</v>
      </c>
      <c r="B77" s="131">
        <f>_xlfn.COMPOUNDVALUE(229)</f>
        <v>1056</v>
      </c>
      <c r="C77" s="132">
        <v>645961</v>
      </c>
      <c r="D77" s="131">
        <f>_xlfn.COMPOUNDVALUE(230)</f>
        <v>2051</v>
      </c>
      <c r="E77" s="132">
        <v>803886</v>
      </c>
      <c r="F77" s="131">
        <f>_xlfn.COMPOUNDVALUE(231)</f>
        <v>3107</v>
      </c>
      <c r="G77" s="132">
        <v>1449847</v>
      </c>
      <c r="H77" s="131">
        <f>_xlfn.COMPOUNDVALUE(232)</f>
        <v>63</v>
      </c>
      <c r="I77" s="133">
        <v>21187</v>
      </c>
      <c r="J77" s="131">
        <v>261</v>
      </c>
      <c r="K77" s="133">
        <v>35479</v>
      </c>
      <c r="L77" s="131">
        <f>_xlfn.COMPOUNDVALUE(232)</f>
        <v>3316</v>
      </c>
      <c r="M77" s="133">
        <v>1464139</v>
      </c>
      <c r="N77" s="77" t="s">
        <v>102</v>
      </c>
    </row>
    <row r="78" spans="1:14" s="93" customFormat="1" ht="15.75" customHeight="1">
      <c r="A78" s="78" t="s">
        <v>103</v>
      </c>
      <c r="B78" s="131">
        <f>_xlfn.COMPOUNDVALUE(233)</f>
        <v>1376</v>
      </c>
      <c r="C78" s="132">
        <v>914044</v>
      </c>
      <c r="D78" s="131">
        <f>_xlfn.COMPOUNDVALUE(234)</f>
        <v>2438</v>
      </c>
      <c r="E78" s="132">
        <v>1015383</v>
      </c>
      <c r="F78" s="131">
        <f>_xlfn.COMPOUNDVALUE(235)</f>
        <v>3814</v>
      </c>
      <c r="G78" s="132">
        <v>1929427</v>
      </c>
      <c r="H78" s="131">
        <f>_xlfn.COMPOUNDVALUE(236)</f>
        <v>105</v>
      </c>
      <c r="I78" s="133">
        <v>104506</v>
      </c>
      <c r="J78" s="131">
        <v>352</v>
      </c>
      <c r="K78" s="133">
        <v>41659</v>
      </c>
      <c r="L78" s="131">
        <f>_xlfn.COMPOUNDVALUE(236)</f>
        <v>4089</v>
      </c>
      <c r="M78" s="133">
        <v>1866581</v>
      </c>
      <c r="N78" s="77" t="s">
        <v>103</v>
      </c>
    </row>
    <row r="79" spans="1:14" s="93" customFormat="1" ht="15.75" customHeight="1">
      <c r="A79" s="103"/>
      <c r="B79" s="139"/>
      <c r="C79" s="140"/>
      <c r="D79" s="139"/>
      <c r="E79" s="140"/>
      <c r="F79" s="139"/>
      <c r="G79" s="140"/>
      <c r="H79" s="139"/>
      <c r="I79" s="141"/>
      <c r="J79" s="139"/>
      <c r="K79" s="141"/>
      <c r="L79" s="139"/>
      <c r="M79" s="140"/>
      <c r="N79" s="105" t="s">
        <v>40</v>
      </c>
    </row>
    <row r="80" spans="1:14" s="93" customFormat="1" ht="15.75" customHeight="1">
      <c r="A80" s="99" t="s">
        <v>104</v>
      </c>
      <c r="B80" s="126">
        <f>_xlfn.COMPOUNDVALUE(237)</f>
        <v>927</v>
      </c>
      <c r="C80" s="127">
        <v>739309</v>
      </c>
      <c r="D80" s="126">
        <f>_xlfn.COMPOUNDVALUE(238)</f>
        <v>1764</v>
      </c>
      <c r="E80" s="127">
        <v>750242</v>
      </c>
      <c r="F80" s="126">
        <f>_xlfn.COMPOUNDVALUE(239)</f>
        <v>2691</v>
      </c>
      <c r="G80" s="127">
        <v>1489551</v>
      </c>
      <c r="H80" s="126">
        <f>_xlfn.COMPOUNDVALUE(240)</f>
        <v>61</v>
      </c>
      <c r="I80" s="128">
        <v>82787</v>
      </c>
      <c r="J80" s="126">
        <v>209</v>
      </c>
      <c r="K80" s="128">
        <v>23944</v>
      </c>
      <c r="L80" s="126">
        <f>_xlfn.COMPOUNDVALUE(240)</f>
        <v>2848</v>
      </c>
      <c r="M80" s="127">
        <v>1430708</v>
      </c>
      <c r="N80" s="86" t="s">
        <v>104</v>
      </c>
    </row>
    <row r="81" spans="1:14" s="93" customFormat="1" ht="15.75" customHeight="1">
      <c r="A81" s="78" t="s">
        <v>105</v>
      </c>
      <c r="B81" s="131">
        <f>_xlfn.COMPOUNDVALUE(241)</f>
        <v>677</v>
      </c>
      <c r="C81" s="132">
        <v>458259</v>
      </c>
      <c r="D81" s="131">
        <f>_xlfn.COMPOUNDVALUE(242)</f>
        <v>1497</v>
      </c>
      <c r="E81" s="132">
        <v>626306</v>
      </c>
      <c r="F81" s="131">
        <f>_xlfn.COMPOUNDVALUE(243)</f>
        <v>2174</v>
      </c>
      <c r="G81" s="132">
        <v>1084565</v>
      </c>
      <c r="H81" s="131">
        <f>_xlfn.COMPOUNDVALUE(244)</f>
        <v>68</v>
      </c>
      <c r="I81" s="133">
        <v>99688</v>
      </c>
      <c r="J81" s="131">
        <v>266</v>
      </c>
      <c r="K81" s="133">
        <v>32248</v>
      </c>
      <c r="L81" s="131">
        <f>_xlfn.COMPOUNDVALUE(244)</f>
        <v>2387</v>
      </c>
      <c r="M81" s="133">
        <v>1017125</v>
      </c>
      <c r="N81" s="77" t="s">
        <v>105</v>
      </c>
    </row>
    <row r="82" spans="1:14" s="93" customFormat="1" ht="15.75" customHeight="1">
      <c r="A82" s="78" t="s">
        <v>106</v>
      </c>
      <c r="B82" s="131">
        <f>_xlfn.COMPOUNDVALUE(245)</f>
        <v>1593</v>
      </c>
      <c r="C82" s="132">
        <v>985246</v>
      </c>
      <c r="D82" s="131">
        <f>_xlfn.COMPOUNDVALUE(246)</f>
        <v>3034</v>
      </c>
      <c r="E82" s="132">
        <v>1220884</v>
      </c>
      <c r="F82" s="131">
        <f>_xlfn.COMPOUNDVALUE(247)</f>
        <v>4627</v>
      </c>
      <c r="G82" s="132">
        <v>2206130</v>
      </c>
      <c r="H82" s="131">
        <f>_xlfn.COMPOUNDVALUE(248)</f>
        <v>109</v>
      </c>
      <c r="I82" s="133">
        <v>163837</v>
      </c>
      <c r="J82" s="131">
        <v>391</v>
      </c>
      <c r="K82" s="133">
        <v>57574</v>
      </c>
      <c r="L82" s="131">
        <f>_xlfn.COMPOUNDVALUE(248)</f>
        <v>4982</v>
      </c>
      <c r="M82" s="133">
        <v>2099867</v>
      </c>
      <c r="N82" s="77" t="s">
        <v>106</v>
      </c>
    </row>
    <row r="83" spans="1:14" s="93" customFormat="1" ht="15.75" customHeight="1">
      <c r="A83" s="165" t="s">
        <v>107</v>
      </c>
      <c r="B83" s="166">
        <v>9550</v>
      </c>
      <c r="C83" s="167">
        <v>6786572</v>
      </c>
      <c r="D83" s="166">
        <v>18663</v>
      </c>
      <c r="E83" s="167">
        <v>7850618</v>
      </c>
      <c r="F83" s="166">
        <v>28213</v>
      </c>
      <c r="G83" s="167">
        <v>14637191</v>
      </c>
      <c r="H83" s="166">
        <v>687</v>
      </c>
      <c r="I83" s="168">
        <v>800511</v>
      </c>
      <c r="J83" s="166">
        <v>2605</v>
      </c>
      <c r="K83" s="168">
        <v>347451</v>
      </c>
      <c r="L83" s="166">
        <v>30202</v>
      </c>
      <c r="M83" s="168">
        <v>14184132</v>
      </c>
      <c r="N83" s="169" t="s">
        <v>108</v>
      </c>
    </row>
    <row r="84" spans="1:14" s="93" customFormat="1" ht="15.75" customHeight="1">
      <c r="A84" s="180"/>
      <c r="B84" s="181"/>
      <c r="C84" s="182"/>
      <c r="D84" s="181"/>
      <c r="E84" s="182"/>
      <c r="F84" s="181"/>
      <c r="G84" s="182"/>
      <c r="H84" s="181"/>
      <c r="I84" s="183"/>
      <c r="J84" s="181"/>
      <c r="K84" s="183"/>
      <c r="L84" s="181"/>
      <c r="M84" s="183"/>
      <c r="N84" s="184" t="s">
        <v>40</v>
      </c>
    </row>
    <row r="85" spans="1:14" s="93" customFormat="1" ht="15.75" customHeight="1">
      <c r="A85" s="175" t="s">
        <v>147</v>
      </c>
      <c r="B85" s="176">
        <v>45483</v>
      </c>
      <c r="C85" s="177">
        <v>45111045</v>
      </c>
      <c r="D85" s="176">
        <v>78594</v>
      </c>
      <c r="E85" s="177">
        <v>35462992</v>
      </c>
      <c r="F85" s="176">
        <v>124077</v>
      </c>
      <c r="G85" s="177">
        <v>80574037</v>
      </c>
      <c r="H85" s="176">
        <v>3687</v>
      </c>
      <c r="I85" s="178">
        <v>5892865</v>
      </c>
      <c r="J85" s="176">
        <v>10670</v>
      </c>
      <c r="K85" s="178">
        <v>1431720</v>
      </c>
      <c r="L85" s="176">
        <v>132433</v>
      </c>
      <c r="M85" s="178">
        <v>76112892</v>
      </c>
      <c r="N85" s="179" t="s">
        <v>110</v>
      </c>
    </row>
    <row r="86" spans="1:14" s="93" customFormat="1" ht="15.75" customHeight="1">
      <c r="A86" s="170"/>
      <c r="B86" s="171"/>
      <c r="C86" s="172"/>
      <c r="D86" s="171"/>
      <c r="E86" s="172"/>
      <c r="F86" s="173"/>
      <c r="G86" s="172"/>
      <c r="H86" s="173"/>
      <c r="I86" s="172"/>
      <c r="J86" s="173"/>
      <c r="K86" s="172"/>
      <c r="L86" s="173"/>
      <c r="M86" s="172"/>
      <c r="N86" s="174"/>
    </row>
    <row r="87" spans="1:14" s="93" customFormat="1" ht="15.75" customHeight="1">
      <c r="A87" s="76" t="s">
        <v>111</v>
      </c>
      <c r="B87" s="126">
        <f>_xlfn.COMPOUNDVALUE(249)</f>
        <v>641</v>
      </c>
      <c r="C87" s="127">
        <v>329499</v>
      </c>
      <c r="D87" s="126">
        <f>_xlfn.COMPOUNDVALUE(250)</f>
        <v>1031</v>
      </c>
      <c r="E87" s="127">
        <v>395003</v>
      </c>
      <c r="F87" s="126">
        <f>_xlfn.COMPOUNDVALUE(251)</f>
        <v>1672</v>
      </c>
      <c r="G87" s="127">
        <v>724501</v>
      </c>
      <c r="H87" s="126">
        <f>_xlfn.COMPOUNDVALUE(252)</f>
        <v>50</v>
      </c>
      <c r="I87" s="128">
        <v>63048</v>
      </c>
      <c r="J87" s="126">
        <v>160</v>
      </c>
      <c r="K87" s="128">
        <v>18738</v>
      </c>
      <c r="L87" s="126">
        <f>_xlfn.COMPOUNDVALUE(252)</f>
        <v>1802</v>
      </c>
      <c r="M87" s="128">
        <v>680192</v>
      </c>
      <c r="N87" s="86" t="s">
        <v>111</v>
      </c>
    </row>
    <row r="88" spans="1:14" s="93" customFormat="1" ht="15.75" customHeight="1">
      <c r="A88" s="76" t="s">
        <v>112</v>
      </c>
      <c r="B88" s="126">
        <f>_xlfn.COMPOUNDVALUE(253)</f>
        <v>896</v>
      </c>
      <c r="C88" s="127">
        <v>853367</v>
      </c>
      <c r="D88" s="126">
        <f>_xlfn.COMPOUNDVALUE(254)</f>
        <v>1428</v>
      </c>
      <c r="E88" s="127">
        <v>694981</v>
      </c>
      <c r="F88" s="126">
        <f>_xlfn.COMPOUNDVALUE(255)</f>
        <v>2324</v>
      </c>
      <c r="G88" s="127">
        <v>1548348</v>
      </c>
      <c r="H88" s="126">
        <f>_xlfn.COMPOUNDVALUE(256)</f>
        <v>163</v>
      </c>
      <c r="I88" s="128">
        <v>151997</v>
      </c>
      <c r="J88" s="126">
        <v>307</v>
      </c>
      <c r="K88" s="128">
        <v>32629</v>
      </c>
      <c r="L88" s="126">
        <f>_xlfn.COMPOUNDVALUE(256)</f>
        <v>2620</v>
      </c>
      <c r="M88" s="128">
        <v>1428980</v>
      </c>
      <c r="N88" s="86" t="s">
        <v>112</v>
      </c>
    </row>
    <row r="89" spans="1:14" s="93" customFormat="1" ht="15.75" customHeight="1">
      <c r="A89" s="76" t="s">
        <v>113</v>
      </c>
      <c r="B89" s="126">
        <f>_xlfn.COMPOUNDVALUE(257)</f>
        <v>992</v>
      </c>
      <c r="C89" s="127">
        <v>534307</v>
      </c>
      <c r="D89" s="126">
        <f>_xlfn.COMPOUNDVALUE(258)</f>
        <v>1965</v>
      </c>
      <c r="E89" s="127">
        <v>813995</v>
      </c>
      <c r="F89" s="126">
        <f>_xlfn.COMPOUNDVALUE(259)</f>
        <v>2957</v>
      </c>
      <c r="G89" s="127">
        <v>1348301</v>
      </c>
      <c r="H89" s="126">
        <f>_xlfn.COMPOUNDVALUE(260)</f>
        <v>80</v>
      </c>
      <c r="I89" s="128">
        <v>84523</v>
      </c>
      <c r="J89" s="126">
        <v>309</v>
      </c>
      <c r="K89" s="128">
        <v>46789</v>
      </c>
      <c r="L89" s="126">
        <f>_xlfn.COMPOUNDVALUE(260)</f>
        <v>3191</v>
      </c>
      <c r="M89" s="128">
        <v>1310567</v>
      </c>
      <c r="N89" s="86" t="s">
        <v>113</v>
      </c>
    </row>
    <row r="90" spans="1:14" s="93" customFormat="1" ht="15.75" customHeight="1">
      <c r="A90" s="76" t="s">
        <v>114</v>
      </c>
      <c r="B90" s="126">
        <f>_xlfn.COMPOUNDVALUE(261)</f>
        <v>1381</v>
      </c>
      <c r="C90" s="127">
        <v>963540</v>
      </c>
      <c r="D90" s="126">
        <f>_xlfn.COMPOUNDVALUE(262)</f>
        <v>2379</v>
      </c>
      <c r="E90" s="127">
        <v>1035546</v>
      </c>
      <c r="F90" s="126">
        <f>_xlfn.COMPOUNDVALUE(263)</f>
        <v>3760</v>
      </c>
      <c r="G90" s="127">
        <v>1999086</v>
      </c>
      <c r="H90" s="126">
        <f>_xlfn.COMPOUNDVALUE(264)</f>
        <v>136</v>
      </c>
      <c r="I90" s="128">
        <v>88712</v>
      </c>
      <c r="J90" s="126">
        <v>463</v>
      </c>
      <c r="K90" s="128">
        <v>50047</v>
      </c>
      <c r="L90" s="126">
        <f>_xlfn.COMPOUNDVALUE(264)</f>
        <v>4106</v>
      </c>
      <c r="M90" s="128">
        <v>1960421</v>
      </c>
      <c r="N90" s="86" t="s">
        <v>114</v>
      </c>
    </row>
    <row r="91" spans="1:14" s="93" customFormat="1" ht="15.75" customHeight="1">
      <c r="A91" s="76" t="s">
        <v>115</v>
      </c>
      <c r="B91" s="126">
        <f>_xlfn.COMPOUNDVALUE(265)</f>
        <v>1131</v>
      </c>
      <c r="C91" s="127">
        <v>1033302</v>
      </c>
      <c r="D91" s="126">
        <f>_xlfn.COMPOUNDVALUE(266)</f>
        <v>2307</v>
      </c>
      <c r="E91" s="127">
        <v>1030595</v>
      </c>
      <c r="F91" s="126">
        <f>_xlfn.COMPOUNDVALUE(267)</f>
        <v>3438</v>
      </c>
      <c r="G91" s="127">
        <v>2063897</v>
      </c>
      <c r="H91" s="126">
        <f>_xlfn.COMPOUNDVALUE(268)</f>
        <v>124</v>
      </c>
      <c r="I91" s="128">
        <v>147184</v>
      </c>
      <c r="J91" s="126">
        <v>308</v>
      </c>
      <c r="K91" s="128">
        <v>36946</v>
      </c>
      <c r="L91" s="126">
        <f>_xlfn.COMPOUNDVALUE(268)</f>
        <v>3692</v>
      </c>
      <c r="M91" s="128">
        <v>1953659</v>
      </c>
      <c r="N91" s="86" t="s">
        <v>115</v>
      </c>
    </row>
    <row r="92" spans="1:14" s="93" customFormat="1" ht="15.75" customHeight="1">
      <c r="A92" s="76"/>
      <c r="B92" s="126"/>
      <c r="C92" s="127"/>
      <c r="D92" s="126"/>
      <c r="E92" s="127"/>
      <c r="F92" s="126"/>
      <c r="G92" s="127"/>
      <c r="H92" s="126"/>
      <c r="I92" s="128"/>
      <c r="J92" s="126"/>
      <c r="K92" s="128"/>
      <c r="L92" s="126"/>
      <c r="M92" s="128"/>
      <c r="N92" s="86" t="s">
        <v>40</v>
      </c>
    </row>
    <row r="93" spans="1:14" s="93" customFormat="1" ht="15.75" customHeight="1">
      <c r="A93" s="76" t="s">
        <v>116</v>
      </c>
      <c r="B93" s="126">
        <f>_xlfn.COMPOUNDVALUE(269)</f>
        <v>907</v>
      </c>
      <c r="C93" s="127">
        <v>702871</v>
      </c>
      <c r="D93" s="126">
        <f>_xlfn.COMPOUNDVALUE(270)</f>
        <v>1813</v>
      </c>
      <c r="E93" s="127">
        <v>756495</v>
      </c>
      <c r="F93" s="126">
        <f>_xlfn.COMPOUNDVALUE(271)</f>
        <v>2720</v>
      </c>
      <c r="G93" s="127">
        <v>1459366</v>
      </c>
      <c r="H93" s="126">
        <f>_xlfn.COMPOUNDVALUE(272)</f>
        <v>89</v>
      </c>
      <c r="I93" s="128">
        <v>79471</v>
      </c>
      <c r="J93" s="126">
        <v>325</v>
      </c>
      <c r="K93" s="128">
        <v>23314</v>
      </c>
      <c r="L93" s="126">
        <f>_xlfn.COMPOUNDVALUE(272)</f>
        <v>2993</v>
      </c>
      <c r="M93" s="128">
        <v>1403209</v>
      </c>
      <c r="N93" s="86" t="s">
        <v>116</v>
      </c>
    </row>
    <row r="94" spans="1:14" s="93" customFormat="1" ht="15.75" customHeight="1">
      <c r="A94" s="76" t="s">
        <v>178</v>
      </c>
      <c r="B94" s="126">
        <f>_xlfn.COMPOUNDVALUE(273)</f>
        <v>1508</v>
      </c>
      <c r="C94" s="127">
        <v>1474866</v>
      </c>
      <c r="D94" s="126">
        <f>_xlfn.COMPOUNDVALUE(274)</f>
        <v>3059</v>
      </c>
      <c r="E94" s="127">
        <v>1401530</v>
      </c>
      <c r="F94" s="126">
        <f>_xlfn.COMPOUNDVALUE(275)</f>
        <v>4567</v>
      </c>
      <c r="G94" s="127">
        <v>2876396</v>
      </c>
      <c r="H94" s="126">
        <f>_xlfn.COMPOUNDVALUE(276)</f>
        <v>116</v>
      </c>
      <c r="I94" s="128">
        <v>131525</v>
      </c>
      <c r="J94" s="126">
        <v>390</v>
      </c>
      <c r="K94" s="128">
        <v>41319</v>
      </c>
      <c r="L94" s="126">
        <f>_xlfn.COMPOUNDVALUE(276)</f>
        <v>4825</v>
      </c>
      <c r="M94" s="128">
        <v>2786190</v>
      </c>
      <c r="N94" s="86" t="s">
        <v>117</v>
      </c>
    </row>
    <row r="95" spans="1:14" s="93" customFormat="1" ht="15.75" customHeight="1">
      <c r="A95" s="76" t="s">
        <v>118</v>
      </c>
      <c r="B95" s="126">
        <f>_xlfn.COMPOUNDVALUE(277)</f>
        <v>850</v>
      </c>
      <c r="C95" s="127">
        <v>435730</v>
      </c>
      <c r="D95" s="126">
        <f>_xlfn.COMPOUNDVALUE(278)</f>
        <v>1428</v>
      </c>
      <c r="E95" s="127">
        <v>582273</v>
      </c>
      <c r="F95" s="126">
        <f>_xlfn.COMPOUNDVALUE(279)</f>
        <v>2278</v>
      </c>
      <c r="G95" s="127">
        <v>1018003</v>
      </c>
      <c r="H95" s="126">
        <f>_xlfn.COMPOUNDVALUE(280)</f>
        <v>69</v>
      </c>
      <c r="I95" s="128">
        <v>46674</v>
      </c>
      <c r="J95" s="126">
        <v>139</v>
      </c>
      <c r="K95" s="128">
        <v>4635</v>
      </c>
      <c r="L95" s="126">
        <f>_xlfn.COMPOUNDVALUE(280)</f>
        <v>2422</v>
      </c>
      <c r="M95" s="128">
        <v>975964</v>
      </c>
      <c r="N95" s="86" t="s">
        <v>118</v>
      </c>
    </row>
    <row r="96" spans="1:14" s="93" customFormat="1" ht="15.75" customHeight="1">
      <c r="A96" s="76" t="s">
        <v>119</v>
      </c>
      <c r="B96" s="126">
        <f>_xlfn.COMPOUNDVALUE(281)</f>
        <v>1364</v>
      </c>
      <c r="C96" s="127">
        <v>980039</v>
      </c>
      <c r="D96" s="126">
        <f>_xlfn.COMPOUNDVALUE(282)</f>
        <v>2645</v>
      </c>
      <c r="E96" s="127">
        <v>1165690</v>
      </c>
      <c r="F96" s="126">
        <f>_xlfn.COMPOUNDVALUE(283)</f>
        <v>4009</v>
      </c>
      <c r="G96" s="127">
        <v>2145729</v>
      </c>
      <c r="H96" s="126">
        <f>_xlfn.COMPOUNDVALUE(284)</f>
        <v>113</v>
      </c>
      <c r="I96" s="128">
        <v>170740</v>
      </c>
      <c r="J96" s="126">
        <v>301</v>
      </c>
      <c r="K96" s="128">
        <v>35644</v>
      </c>
      <c r="L96" s="126">
        <f>_xlfn.COMPOUNDVALUE(284)</f>
        <v>4245</v>
      </c>
      <c r="M96" s="128">
        <v>2010633</v>
      </c>
      <c r="N96" s="86" t="s">
        <v>119</v>
      </c>
    </row>
    <row r="97" spans="1:14" s="93" customFormat="1" ht="15.75" customHeight="1">
      <c r="A97" s="76" t="s">
        <v>120</v>
      </c>
      <c r="B97" s="126">
        <f>_xlfn.COMPOUNDVALUE(285)</f>
        <v>842</v>
      </c>
      <c r="C97" s="127">
        <v>649604</v>
      </c>
      <c r="D97" s="126">
        <f>_xlfn.COMPOUNDVALUE(286)</f>
        <v>1452</v>
      </c>
      <c r="E97" s="127">
        <v>605401</v>
      </c>
      <c r="F97" s="126">
        <f>_xlfn.COMPOUNDVALUE(287)</f>
        <v>2294</v>
      </c>
      <c r="G97" s="127">
        <v>1255006</v>
      </c>
      <c r="H97" s="126">
        <f>_xlfn.COMPOUNDVALUE(288)</f>
        <v>75</v>
      </c>
      <c r="I97" s="128">
        <v>46884</v>
      </c>
      <c r="J97" s="126">
        <v>247</v>
      </c>
      <c r="K97" s="128">
        <v>21451</v>
      </c>
      <c r="L97" s="126">
        <f>_xlfn.COMPOUNDVALUE(288)</f>
        <v>2458</v>
      </c>
      <c r="M97" s="128">
        <v>1229573</v>
      </c>
      <c r="N97" s="86" t="s">
        <v>120</v>
      </c>
    </row>
    <row r="98" spans="1:14" s="93" customFormat="1" ht="15.75" customHeight="1">
      <c r="A98" s="76"/>
      <c r="B98" s="126"/>
      <c r="C98" s="127"/>
      <c r="D98" s="126"/>
      <c r="E98" s="127"/>
      <c r="F98" s="126"/>
      <c r="G98" s="127"/>
      <c r="H98" s="126"/>
      <c r="I98" s="128"/>
      <c r="J98" s="126"/>
      <c r="K98" s="128"/>
      <c r="L98" s="126"/>
      <c r="M98" s="128"/>
      <c r="N98" s="86" t="s">
        <v>40</v>
      </c>
    </row>
    <row r="99" spans="1:14" s="93" customFormat="1" ht="15.75" customHeight="1">
      <c r="A99" s="76" t="s">
        <v>121</v>
      </c>
      <c r="B99" s="126">
        <f>_xlfn.COMPOUNDVALUE(289)</f>
        <v>858</v>
      </c>
      <c r="C99" s="127">
        <v>420434</v>
      </c>
      <c r="D99" s="126">
        <f>_xlfn.COMPOUNDVALUE(290)</f>
        <v>2390</v>
      </c>
      <c r="E99" s="127">
        <v>837106</v>
      </c>
      <c r="F99" s="126">
        <f>_xlfn.COMPOUNDVALUE(291)</f>
        <v>3248</v>
      </c>
      <c r="G99" s="127">
        <v>1257539</v>
      </c>
      <c r="H99" s="126">
        <f>_xlfn.COMPOUNDVALUE(292)</f>
        <v>63</v>
      </c>
      <c r="I99" s="128">
        <v>36074</v>
      </c>
      <c r="J99" s="126">
        <v>226</v>
      </c>
      <c r="K99" s="128">
        <v>36368</v>
      </c>
      <c r="L99" s="126">
        <f>_xlfn.COMPOUNDVALUE(292)</f>
        <v>3441</v>
      </c>
      <c r="M99" s="128">
        <v>1257833</v>
      </c>
      <c r="N99" s="86" t="s">
        <v>121</v>
      </c>
    </row>
    <row r="100" spans="1:14" s="93" customFormat="1" ht="15.75" customHeight="1">
      <c r="A100" s="76" t="s">
        <v>122</v>
      </c>
      <c r="B100" s="126">
        <f>_xlfn.COMPOUNDVALUE(293)</f>
        <v>1035</v>
      </c>
      <c r="C100" s="127">
        <v>527801</v>
      </c>
      <c r="D100" s="126">
        <f>_xlfn.COMPOUNDVALUE(294)</f>
        <v>2315</v>
      </c>
      <c r="E100" s="127">
        <v>860821</v>
      </c>
      <c r="F100" s="126">
        <f>_xlfn.COMPOUNDVALUE(295)</f>
        <v>3350</v>
      </c>
      <c r="G100" s="127">
        <v>1388622</v>
      </c>
      <c r="H100" s="126">
        <f>_xlfn.COMPOUNDVALUE(296)</f>
        <v>50</v>
      </c>
      <c r="I100" s="128">
        <v>41456</v>
      </c>
      <c r="J100" s="126">
        <v>292</v>
      </c>
      <c r="K100" s="128">
        <v>47750</v>
      </c>
      <c r="L100" s="126">
        <f>_xlfn.COMPOUNDVALUE(296)</f>
        <v>3600</v>
      </c>
      <c r="M100" s="128">
        <v>1394917</v>
      </c>
      <c r="N100" s="86" t="s">
        <v>122</v>
      </c>
    </row>
    <row r="101" spans="1:14" s="93" customFormat="1" ht="15.75" customHeight="1">
      <c r="A101" s="78" t="s">
        <v>123</v>
      </c>
      <c r="B101" s="131">
        <f>_xlfn.COMPOUNDVALUE(297)</f>
        <v>694</v>
      </c>
      <c r="C101" s="132">
        <v>538954</v>
      </c>
      <c r="D101" s="131">
        <f>_xlfn.COMPOUNDVALUE(298)</f>
        <v>1406</v>
      </c>
      <c r="E101" s="132">
        <v>582546</v>
      </c>
      <c r="F101" s="131">
        <f>_xlfn.COMPOUNDVALUE(299)</f>
        <v>2100</v>
      </c>
      <c r="G101" s="132">
        <v>1121500</v>
      </c>
      <c r="H101" s="131">
        <f>_xlfn.COMPOUNDVALUE(300)</f>
        <v>75</v>
      </c>
      <c r="I101" s="133">
        <v>80145</v>
      </c>
      <c r="J101" s="131">
        <v>206</v>
      </c>
      <c r="K101" s="133">
        <v>28278</v>
      </c>
      <c r="L101" s="131">
        <f>_xlfn.COMPOUNDVALUE(300)</f>
        <v>2256</v>
      </c>
      <c r="M101" s="133">
        <v>1069634</v>
      </c>
      <c r="N101" s="77" t="s">
        <v>123</v>
      </c>
    </row>
    <row r="102" spans="1:14" s="93" customFormat="1" ht="15.75" customHeight="1">
      <c r="A102" s="78" t="s">
        <v>124</v>
      </c>
      <c r="B102" s="131">
        <f>_xlfn.COMPOUNDVALUE(301)</f>
        <v>1552</v>
      </c>
      <c r="C102" s="132">
        <v>1120481</v>
      </c>
      <c r="D102" s="131">
        <f>_xlfn.COMPOUNDVALUE(302)</f>
        <v>2924</v>
      </c>
      <c r="E102" s="132">
        <v>1217560</v>
      </c>
      <c r="F102" s="131">
        <f>_xlfn.COMPOUNDVALUE(303)</f>
        <v>4476</v>
      </c>
      <c r="G102" s="132">
        <v>2338041</v>
      </c>
      <c r="H102" s="131">
        <f>_xlfn.COMPOUNDVALUE(304)</f>
        <v>121</v>
      </c>
      <c r="I102" s="133">
        <v>70573</v>
      </c>
      <c r="J102" s="131">
        <v>408</v>
      </c>
      <c r="K102" s="133">
        <v>55582</v>
      </c>
      <c r="L102" s="131">
        <f>_xlfn.COMPOUNDVALUE(304)</f>
        <v>4788</v>
      </c>
      <c r="M102" s="133">
        <v>2323050</v>
      </c>
      <c r="N102" s="77" t="s">
        <v>124</v>
      </c>
    </row>
    <row r="103" spans="1:14" s="93" customFormat="1" ht="15.75" customHeight="1">
      <c r="A103" s="78" t="s">
        <v>125</v>
      </c>
      <c r="B103" s="131">
        <f>_xlfn.COMPOUNDVALUE(305)</f>
        <v>892</v>
      </c>
      <c r="C103" s="132">
        <v>441295</v>
      </c>
      <c r="D103" s="131">
        <f>_xlfn.COMPOUNDVALUE(306)</f>
        <v>1673</v>
      </c>
      <c r="E103" s="132">
        <v>601950</v>
      </c>
      <c r="F103" s="131">
        <f>_xlfn.COMPOUNDVALUE(307)</f>
        <v>2565</v>
      </c>
      <c r="G103" s="132">
        <v>1043245</v>
      </c>
      <c r="H103" s="131">
        <f>_xlfn.COMPOUNDVALUE(308)</f>
        <v>59</v>
      </c>
      <c r="I103" s="133">
        <v>41820</v>
      </c>
      <c r="J103" s="131">
        <v>171</v>
      </c>
      <c r="K103" s="133">
        <v>33597</v>
      </c>
      <c r="L103" s="131">
        <f>_xlfn.COMPOUNDVALUE(308)</f>
        <v>2688</v>
      </c>
      <c r="M103" s="133">
        <v>1035022</v>
      </c>
      <c r="N103" s="77" t="s">
        <v>125</v>
      </c>
    </row>
    <row r="104" spans="1:14" s="93" customFormat="1" ht="15.75" customHeight="1">
      <c r="A104" s="78"/>
      <c r="B104" s="131"/>
      <c r="C104" s="132"/>
      <c r="D104" s="131"/>
      <c r="E104" s="132"/>
      <c r="F104" s="131"/>
      <c r="G104" s="132"/>
      <c r="H104" s="131"/>
      <c r="I104" s="133"/>
      <c r="J104" s="131"/>
      <c r="K104" s="133"/>
      <c r="L104" s="131"/>
      <c r="M104" s="133"/>
      <c r="N104" s="77" t="s">
        <v>40</v>
      </c>
    </row>
    <row r="105" spans="1:14" s="93" customFormat="1" ht="15.75" customHeight="1">
      <c r="A105" s="78" t="s">
        <v>126</v>
      </c>
      <c r="B105" s="131">
        <f>_xlfn.COMPOUNDVALUE(309)</f>
        <v>1353</v>
      </c>
      <c r="C105" s="132">
        <v>835289</v>
      </c>
      <c r="D105" s="131">
        <f>_xlfn.COMPOUNDVALUE(310)</f>
        <v>2686</v>
      </c>
      <c r="E105" s="132">
        <v>1092729</v>
      </c>
      <c r="F105" s="131">
        <f>_xlfn.COMPOUNDVALUE(311)</f>
        <v>4039</v>
      </c>
      <c r="G105" s="132">
        <v>1928018</v>
      </c>
      <c r="H105" s="131">
        <f>_xlfn.COMPOUNDVALUE(312)</f>
        <v>105</v>
      </c>
      <c r="I105" s="133">
        <v>67947</v>
      </c>
      <c r="J105" s="131">
        <v>338</v>
      </c>
      <c r="K105" s="133">
        <v>81125</v>
      </c>
      <c r="L105" s="131">
        <f>_xlfn.COMPOUNDVALUE(312)</f>
        <v>4368</v>
      </c>
      <c r="M105" s="133">
        <v>1941196</v>
      </c>
      <c r="N105" s="77" t="s">
        <v>126</v>
      </c>
    </row>
    <row r="106" spans="1:14" s="93" customFormat="1" ht="15.75" customHeight="1">
      <c r="A106" s="78" t="s">
        <v>127</v>
      </c>
      <c r="B106" s="131">
        <f>_xlfn.COMPOUNDVALUE(313)</f>
        <v>653</v>
      </c>
      <c r="C106" s="132">
        <v>391809</v>
      </c>
      <c r="D106" s="131">
        <f>_xlfn.COMPOUNDVALUE(314)</f>
        <v>1254</v>
      </c>
      <c r="E106" s="132">
        <v>488733</v>
      </c>
      <c r="F106" s="131">
        <f>_xlfn.COMPOUNDVALUE(315)</f>
        <v>1907</v>
      </c>
      <c r="G106" s="132">
        <v>880542</v>
      </c>
      <c r="H106" s="131">
        <f>_xlfn.COMPOUNDVALUE(316)</f>
        <v>35</v>
      </c>
      <c r="I106" s="133">
        <v>37124</v>
      </c>
      <c r="J106" s="131">
        <v>305</v>
      </c>
      <c r="K106" s="133">
        <v>37496</v>
      </c>
      <c r="L106" s="131">
        <f>_xlfn.COMPOUNDVALUE(316)</f>
        <v>2107</v>
      </c>
      <c r="M106" s="133">
        <v>880915</v>
      </c>
      <c r="N106" s="77" t="s">
        <v>127</v>
      </c>
    </row>
    <row r="107" spans="1:14" s="93" customFormat="1" ht="15.75" customHeight="1">
      <c r="A107" s="78" t="s">
        <v>128</v>
      </c>
      <c r="B107" s="131">
        <f>_xlfn.COMPOUNDVALUE(317)</f>
        <v>1054</v>
      </c>
      <c r="C107" s="132">
        <v>591459</v>
      </c>
      <c r="D107" s="131">
        <f>_xlfn.COMPOUNDVALUE(318)</f>
        <v>2202</v>
      </c>
      <c r="E107" s="132">
        <v>890709</v>
      </c>
      <c r="F107" s="131">
        <f>_xlfn.COMPOUNDVALUE(319)</f>
        <v>3256</v>
      </c>
      <c r="G107" s="132">
        <v>1482168</v>
      </c>
      <c r="H107" s="131">
        <f>_xlfn.COMPOUNDVALUE(320)</f>
        <v>102</v>
      </c>
      <c r="I107" s="133">
        <v>128329</v>
      </c>
      <c r="J107" s="131">
        <v>323</v>
      </c>
      <c r="K107" s="133">
        <v>37080</v>
      </c>
      <c r="L107" s="131">
        <f>_xlfn.COMPOUNDVALUE(320)</f>
        <v>3512</v>
      </c>
      <c r="M107" s="133">
        <v>1390920</v>
      </c>
      <c r="N107" s="77" t="s">
        <v>128</v>
      </c>
    </row>
    <row r="108" spans="1:14" s="93" customFormat="1" ht="15.75" customHeight="1">
      <c r="A108" s="165" t="s">
        <v>148</v>
      </c>
      <c r="B108" s="166">
        <v>18603</v>
      </c>
      <c r="C108" s="167">
        <v>12824645</v>
      </c>
      <c r="D108" s="166">
        <v>36357</v>
      </c>
      <c r="E108" s="167">
        <v>15053661</v>
      </c>
      <c r="F108" s="166">
        <v>54960</v>
      </c>
      <c r="G108" s="167">
        <v>27878305</v>
      </c>
      <c r="H108" s="166">
        <v>1625</v>
      </c>
      <c r="I108" s="168">
        <v>1514227</v>
      </c>
      <c r="J108" s="166">
        <v>5218</v>
      </c>
      <c r="K108" s="168">
        <v>668790</v>
      </c>
      <c r="L108" s="166">
        <v>59114</v>
      </c>
      <c r="M108" s="168">
        <v>27032868</v>
      </c>
      <c r="N108" s="169" t="s">
        <v>130</v>
      </c>
    </row>
    <row r="109" spans="1:14" s="93" customFormat="1" ht="15.75" customHeight="1">
      <c r="A109" s="170"/>
      <c r="B109" s="171"/>
      <c r="C109" s="172"/>
      <c r="D109" s="171"/>
      <c r="E109" s="172"/>
      <c r="F109" s="173"/>
      <c r="G109" s="172"/>
      <c r="H109" s="173"/>
      <c r="I109" s="172"/>
      <c r="J109" s="173"/>
      <c r="K109" s="172"/>
      <c r="L109" s="173"/>
      <c r="M109" s="172"/>
      <c r="N109" s="174"/>
    </row>
    <row r="110" spans="1:14" s="93" customFormat="1" ht="15.75" customHeight="1">
      <c r="A110" s="76" t="s">
        <v>131</v>
      </c>
      <c r="B110" s="126">
        <f>_xlfn.COMPOUNDVALUE(321)</f>
        <v>1848</v>
      </c>
      <c r="C110" s="127">
        <v>1109234</v>
      </c>
      <c r="D110" s="126">
        <f>_xlfn.COMPOUNDVALUE(322)</f>
        <v>2989</v>
      </c>
      <c r="E110" s="127">
        <v>1120372</v>
      </c>
      <c r="F110" s="126">
        <f>_xlfn.COMPOUNDVALUE(323)</f>
        <v>4837</v>
      </c>
      <c r="G110" s="127">
        <v>2229606</v>
      </c>
      <c r="H110" s="126">
        <f>_xlfn.COMPOUNDVALUE(324)</f>
        <v>121</v>
      </c>
      <c r="I110" s="128">
        <v>99606</v>
      </c>
      <c r="J110" s="126">
        <v>351</v>
      </c>
      <c r="K110" s="128">
        <v>38289</v>
      </c>
      <c r="L110" s="126">
        <f>_xlfn.COMPOUNDVALUE(324)</f>
        <v>5089</v>
      </c>
      <c r="M110" s="128">
        <v>2168289</v>
      </c>
      <c r="N110" s="86" t="s">
        <v>131</v>
      </c>
    </row>
    <row r="111" spans="1:14" s="93" customFormat="1" ht="15.75" customHeight="1">
      <c r="A111" s="78" t="s">
        <v>132</v>
      </c>
      <c r="B111" s="131">
        <f>_xlfn.COMPOUNDVALUE(325)</f>
        <v>599</v>
      </c>
      <c r="C111" s="132">
        <v>300755</v>
      </c>
      <c r="D111" s="131">
        <f>_xlfn.COMPOUNDVALUE(326)</f>
        <v>1305</v>
      </c>
      <c r="E111" s="132">
        <v>422261</v>
      </c>
      <c r="F111" s="131">
        <f>_xlfn.COMPOUNDVALUE(327)</f>
        <v>1904</v>
      </c>
      <c r="G111" s="132">
        <v>723016</v>
      </c>
      <c r="H111" s="131">
        <f>_xlfn.COMPOUNDVALUE(328)</f>
        <v>30</v>
      </c>
      <c r="I111" s="133">
        <v>13027</v>
      </c>
      <c r="J111" s="131">
        <v>84</v>
      </c>
      <c r="K111" s="133">
        <v>10562</v>
      </c>
      <c r="L111" s="131">
        <f>_xlfn.COMPOUNDVALUE(328)</f>
        <v>1958</v>
      </c>
      <c r="M111" s="133">
        <v>720551</v>
      </c>
      <c r="N111" s="77" t="s">
        <v>132</v>
      </c>
    </row>
    <row r="112" spans="1:14" s="93" customFormat="1" ht="15.75" customHeight="1">
      <c r="A112" s="78" t="s">
        <v>133</v>
      </c>
      <c r="B112" s="131">
        <f>_xlfn.COMPOUNDVALUE(329)</f>
        <v>994</v>
      </c>
      <c r="C112" s="132">
        <v>531045</v>
      </c>
      <c r="D112" s="131">
        <f>_xlfn.COMPOUNDVALUE(330)</f>
        <v>1412</v>
      </c>
      <c r="E112" s="132">
        <v>534353</v>
      </c>
      <c r="F112" s="131">
        <f>_xlfn.COMPOUNDVALUE(331)</f>
        <v>2406</v>
      </c>
      <c r="G112" s="132">
        <v>1065398</v>
      </c>
      <c r="H112" s="131">
        <f>_xlfn.COMPOUNDVALUE(332)</f>
        <v>52</v>
      </c>
      <c r="I112" s="133">
        <v>25977</v>
      </c>
      <c r="J112" s="131">
        <v>207</v>
      </c>
      <c r="K112" s="133">
        <v>20618</v>
      </c>
      <c r="L112" s="131">
        <f>_xlfn.COMPOUNDVALUE(332)</f>
        <v>2510</v>
      </c>
      <c r="M112" s="133">
        <v>1060039</v>
      </c>
      <c r="N112" s="77" t="s">
        <v>133</v>
      </c>
    </row>
    <row r="113" spans="1:14" s="93" customFormat="1" ht="15.75" customHeight="1">
      <c r="A113" s="78" t="s">
        <v>134</v>
      </c>
      <c r="B113" s="131">
        <f>_xlfn.COMPOUNDVALUE(333)</f>
        <v>189</v>
      </c>
      <c r="C113" s="132">
        <v>104697</v>
      </c>
      <c r="D113" s="131">
        <f>_xlfn.COMPOUNDVALUE(334)</f>
        <v>445</v>
      </c>
      <c r="E113" s="132">
        <v>150810</v>
      </c>
      <c r="F113" s="131">
        <f>_xlfn.COMPOUNDVALUE(335)</f>
        <v>634</v>
      </c>
      <c r="G113" s="132">
        <v>255508</v>
      </c>
      <c r="H113" s="131">
        <f>_xlfn.COMPOUNDVALUE(336)</f>
        <v>13</v>
      </c>
      <c r="I113" s="133">
        <v>4620</v>
      </c>
      <c r="J113" s="131">
        <v>68</v>
      </c>
      <c r="K113" s="133">
        <v>4070</v>
      </c>
      <c r="L113" s="131">
        <f>_xlfn.COMPOUNDVALUE(336)</f>
        <v>658</v>
      </c>
      <c r="M113" s="133">
        <v>254958</v>
      </c>
      <c r="N113" s="77" t="s">
        <v>134</v>
      </c>
    </row>
    <row r="114" spans="1:14" s="93" customFormat="1" ht="15.75" customHeight="1">
      <c r="A114" s="79" t="s">
        <v>135</v>
      </c>
      <c r="B114" s="134">
        <v>3630</v>
      </c>
      <c r="C114" s="135">
        <v>2045732</v>
      </c>
      <c r="D114" s="134">
        <v>6151</v>
      </c>
      <c r="E114" s="135">
        <v>2227795</v>
      </c>
      <c r="F114" s="134">
        <v>9781</v>
      </c>
      <c r="G114" s="135">
        <v>4273528</v>
      </c>
      <c r="H114" s="134">
        <v>216</v>
      </c>
      <c r="I114" s="136">
        <v>143231</v>
      </c>
      <c r="J114" s="134">
        <v>710</v>
      </c>
      <c r="K114" s="136">
        <v>73539</v>
      </c>
      <c r="L114" s="134">
        <v>10215</v>
      </c>
      <c r="M114" s="136">
        <v>4203836</v>
      </c>
      <c r="N114" s="84" t="s">
        <v>136</v>
      </c>
    </row>
    <row r="115" spans="1:15" s="93" customFormat="1" ht="15.75" customHeight="1" thickBot="1">
      <c r="A115" s="80"/>
      <c r="B115" s="142"/>
      <c r="C115" s="143"/>
      <c r="D115" s="142"/>
      <c r="E115" s="143"/>
      <c r="F115" s="144"/>
      <c r="G115" s="143"/>
      <c r="H115" s="144"/>
      <c r="I115" s="143"/>
      <c r="J115" s="144"/>
      <c r="K115" s="143"/>
      <c r="L115" s="144"/>
      <c r="M115" s="143"/>
      <c r="N115" s="90"/>
      <c r="O115" s="94"/>
    </row>
    <row r="116" spans="1:14" s="93" customFormat="1" ht="15.75" customHeight="1" thickBot="1" thickTop="1">
      <c r="A116" s="82" t="s">
        <v>149</v>
      </c>
      <c r="B116" s="148">
        <v>81686</v>
      </c>
      <c r="C116" s="149">
        <v>68424973</v>
      </c>
      <c r="D116" s="148">
        <v>148687</v>
      </c>
      <c r="E116" s="149">
        <v>63144927</v>
      </c>
      <c r="F116" s="148">
        <v>230373</v>
      </c>
      <c r="G116" s="149">
        <v>131569900</v>
      </c>
      <c r="H116" s="148">
        <v>6715</v>
      </c>
      <c r="I116" s="150">
        <v>8743154</v>
      </c>
      <c r="J116" s="148">
        <v>20259</v>
      </c>
      <c r="K116" s="150">
        <v>2625623</v>
      </c>
      <c r="L116" s="148">
        <v>246193</v>
      </c>
      <c r="M116" s="150">
        <v>125452369</v>
      </c>
      <c r="N116" s="91" t="s">
        <v>39</v>
      </c>
    </row>
    <row r="117" spans="1:14" ht="13.5">
      <c r="A117" s="247" t="s">
        <v>155</v>
      </c>
      <c r="B117" s="247"/>
      <c r="C117" s="247"/>
      <c r="D117" s="247"/>
      <c r="E117" s="247"/>
      <c r="F117" s="247"/>
      <c r="G117" s="247"/>
      <c r="H117" s="247"/>
      <c r="I117" s="247"/>
      <c r="J117" s="66"/>
      <c r="K117" s="66"/>
      <c r="L117" s="65"/>
      <c r="M117" s="65"/>
      <c r="N117" s="65"/>
    </row>
    <row r="119" spans="2:10" ht="13.5">
      <c r="B119" s="155"/>
      <c r="C119" s="155"/>
      <c r="D119" s="155"/>
      <c r="E119" s="155"/>
      <c r="F119" s="155"/>
      <c r="G119" s="155"/>
      <c r="H119" s="155"/>
      <c r="J119" s="155"/>
    </row>
    <row r="120" spans="2:10" ht="13.5">
      <c r="B120" s="155"/>
      <c r="C120" s="155"/>
      <c r="D120" s="155"/>
      <c r="E120" s="155"/>
      <c r="F120" s="155"/>
      <c r="G120" s="155"/>
      <c r="H120" s="155"/>
      <c r="J120" s="155"/>
    </row>
    <row r="121" spans="2:10" ht="13.5">
      <c r="B121" s="155"/>
      <c r="C121" s="155"/>
      <c r="D121" s="155"/>
      <c r="E121" s="155"/>
      <c r="F121" s="155"/>
      <c r="G121" s="155"/>
      <c r="H121" s="155"/>
      <c r="J121" s="155"/>
    </row>
    <row r="122" spans="2:10" ht="13.5">
      <c r="B122" s="155"/>
      <c r="C122" s="155"/>
      <c r="D122" s="155"/>
      <c r="E122" s="155"/>
      <c r="F122" s="155"/>
      <c r="G122" s="155"/>
      <c r="H122" s="155"/>
      <c r="J122" s="155"/>
    </row>
    <row r="123" spans="2:10" ht="13.5">
      <c r="B123" s="155"/>
      <c r="C123" s="155"/>
      <c r="D123" s="155"/>
      <c r="E123" s="155"/>
      <c r="F123" s="155"/>
      <c r="G123" s="155"/>
      <c r="H123" s="155"/>
      <c r="J123" s="155"/>
    </row>
    <row r="124" spans="2:10" ht="13.5">
      <c r="B124" s="155"/>
      <c r="C124" s="155"/>
      <c r="D124" s="155"/>
      <c r="E124" s="155"/>
      <c r="F124" s="155"/>
      <c r="G124" s="155"/>
      <c r="H124" s="155"/>
      <c r="J124" s="155"/>
    </row>
    <row r="125" spans="2:10" ht="13.5">
      <c r="B125" s="155"/>
      <c r="C125" s="155"/>
      <c r="D125" s="155"/>
      <c r="E125" s="155"/>
      <c r="F125" s="155"/>
      <c r="G125" s="155"/>
      <c r="H125" s="155"/>
      <c r="J125" s="155"/>
    </row>
    <row r="126" spans="2:10" ht="13.5">
      <c r="B126" s="155"/>
      <c r="C126" s="155"/>
      <c r="D126" s="155"/>
      <c r="E126" s="155"/>
      <c r="F126" s="155"/>
      <c r="G126" s="155"/>
      <c r="H126" s="155"/>
      <c r="J126" s="155"/>
    </row>
    <row r="127" spans="2:10" ht="13.5">
      <c r="B127" s="155"/>
      <c r="C127" s="155"/>
      <c r="D127" s="155"/>
      <c r="E127" s="155"/>
      <c r="F127" s="155"/>
      <c r="G127" s="155"/>
      <c r="H127" s="155"/>
      <c r="J127" s="155"/>
    </row>
    <row r="128" spans="2:10" ht="13.5">
      <c r="B128" s="155"/>
      <c r="C128" s="155"/>
      <c r="D128" s="155"/>
      <c r="E128" s="155"/>
      <c r="F128" s="155"/>
      <c r="G128" s="155"/>
      <c r="H128" s="155"/>
      <c r="J128" s="155"/>
    </row>
    <row r="129" spans="2:10" ht="13.5">
      <c r="B129" s="155"/>
      <c r="C129" s="155"/>
      <c r="D129" s="155"/>
      <c r="E129" s="155"/>
      <c r="F129" s="155"/>
      <c r="G129" s="155"/>
      <c r="H129" s="155"/>
      <c r="J129" s="155"/>
    </row>
    <row r="130" spans="2:10" ht="13.5">
      <c r="B130" s="155"/>
      <c r="C130" s="155"/>
      <c r="D130" s="155"/>
      <c r="E130" s="155"/>
      <c r="F130" s="155"/>
      <c r="G130" s="155"/>
      <c r="H130" s="155"/>
      <c r="J130" s="155"/>
    </row>
    <row r="131" spans="2:10" ht="13.5">
      <c r="B131" s="155"/>
      <c r="C131" s="155"/>
      <c r="D131" s="155"/>
      <c r="E131" s="155"/>
      <c r="F131" s="155"/>
      <c r="G131" s="155"/>
      <c r="H131" s="155"/>
      <c r="J131" s="155"/>
    </row>
  </sheetData>
  <sheetProtection/>
  <mergeCells count="11">
    <mergeCell ref="N3:N5"/>
    <mergeCell ref="B4:C4"/>
    <mergeCell ref="D4:E4"/>
    <mergeCell ref="F4:G4"/>
    <mergeCell ref="A117:I117"/>
    <mergeCell ref="A2:G2"/>
    <mergeCell ref="A3:A5"/>
    <mergeCell ref="B3:G3"/>
    <mergeCell ref="H3:I4"/>
    <mergeCell ref="J3:K4"/>
    <mergeCell ref="L3:M4"/>
  </mergeCells>
  <printOptions horizontalCentered="1"/>
  <pageMargins left="0.7874015748031497" right="0.7874015748031497" top="0.8661417322834646" bottom="0.8267716535433072" header="0.5118110236220472" footer="0.3937007874015748"/>
  <pageSetup fitToHeight="3" horizontalDpi="600" verticalDpi="600" orientation="landscape" paperSize="9" scale="71" r:id="rId1"/>
  <headerFooter alignWithMargins="0">
    <oddFooter>&amp;R東京国税局
消費税
(H26)</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zoomScalePageLayoutView="0" workbookViewId="0" topLeftCell="A1">
      <selection activeCell="A1" sqref="A1"/>
    </sheetView>
  </sheetViews>
  <sheetFormatPr defaultColWidth="9.00390625" defaultRowHeight="13.5"/>
  <cols>
    <col min="1" max="1" width="11.12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3" ht="13.5">
      <c r="A1" s="64" t="s">
        <v>150</v>
      </c>
      <c r="B1" s="64"/>
      <c r="C1" s="64"/>
      <c r="D1" s="64"/>
      <c r="E1" s="64"/>
      <c r="F1" s="64"/>
      <c r="G1" s="64"/>
      <c r="H1" s="64"/>
      <c r="I1" s="64"/>
      <c r="J1" s="64"/>
      <c r="K1" s="64"/>
      <c r="L1" s="65"/>
      <c r="M1" s="65"/>
    </row>
    <row r="2" spans="1:13" ht="14.25" thickBot="1">
      <c r="A2" s="248" t="s">
        <v>137</v>
      </c>
      <c r="B2" s="248"/>
      <c r="C2" s="248"/>
      <c r="D2" s="248"/>
      <c r="E2" s="248"/>
      <c r="F2" s="248"/>
      <c r="G2" s="248"/>
      <c r="H2" s="248"/>
      <c r="I2" s="248"/>
      <c r="J2" s="66"/>
      <c r="K2" s="66"/>
      <c r="L2" s="65"/>
      <c r="M2" s="65"/>
    </row>
    <row r="3" spans="1:14" ht="19.5" customHeight="1">
      <c r="A3" s="233" t="s">
        <v>29</v>
      </c>
      <c r="B3" s="236" t="s">
        <v>30</v>
      </c>
      <c r="C3" s="236"/>
      <c r="D3" s="236"/>
      <c r="E3" s="236"/>
      <c r="F3" s="236"/>
      <c r="G3" s="236"/>
      <c r="H3" s="237" t="s">
        <v>13</v>
      </c>
      <c r="I3" s="238"/>
      <c r="J3" s="241" t="s">
        <v>31</v>
      </c>
      <c r="K3" s="238"/>
      <c r="L3" s="237" t="s">
        <v>32</v>
      </c>
      <c r="M3" s="238"/>
      <c r="N3" s="242" t="s">
        <v>33</v>
      </c>
    </row>
    <row r="4" spans="1:14" ht="17.25" customHeight="1">
      <c r="A4" s="234"/>
      <c r="B4" s="239" t="s">
        <v>16</v>
      </c>
      <c r="C4" s="246"/>
      <c r="D4" s="239" t="s">
        <v>34</v>
      </c>
      <c r="E4" s="246"/>
      <c r="F4" s="239" t="s">
        <v>35</v>
      </c>
      <c r="G4" s="246"/>
      <c r="H4" s="239"/>
      <c r="I4" s="240"/>
      <c r="J4" s="239"/>
      <c r="K4" s="240"/>
      <c r="L4" s="239"/>
      <c r="M4" s="240"/>
      <c r="N4" s="243"/>
    </row>
    <row r="5" spans="1:14" ht="28.5" customHeight="1">
      <c r="A5" s="235"/>
      <c r="B5" s="67" t="s">
        <v>38</v>
      </c>
      <c r="C5" s="68" t="s">
        <v>141</v>
      </c>
      <c r="D5" s="67" t="s">
        <v>38</v>
      </c>
      <c r="E5" s="68" t="s">
        <v>141</v>
      </c>
      <c r="F5" s="67" t="s">
        <v>38</v>
      </c>
      <c r="G5" s="68" t="s">
        <v>142</v>
      </c>
      <c r="H5" s="67" t="s">
        <v>38</v>
      </c>
      <c r="I5" s="87" t="s">
        <v>143</v>
      </c>
      <c r="J5" s="67" t="s">
        <v>38</v>
      </c>
      <c r="K5" s="87" t="s">
        <v>144</v>
      </c>
      <c r="L5" s="67" t="s">
        <v>38</v>
      </c>
      <c r="M5" s="88" t="s">
        <v>145</v>
      </c>
      <c r="N5" s="244"/>
    </row>
    <row r="6" spans="1:14" s="95" customFormat="1" ht="10.5">
      <c r="A6" s="101"/>
      <c r="B6" s="71" t="s">
        <v>4</v>
      </c>
      <c r="C6" s="72" t="s">
        <v>5</v>
      </c>
      <c r="D6" s="71" t="s">
        <v>4</v>
      </c>
      <c r="E6" s="72" t="s">
        <v>5</v>
      </c>
      <c r="F6" s="71" t="s">
        <v>4</v>
      </c>
      <c r="G6" s="72" t="s">
        <v>5</v>
      </c>
      <c r="H6" s="71" t="s">
        <v>4</v>
      </c>
      <c r="I6" s="89" t="s">
        <v>5</v>
      </c>
      <c r="J6" s="71" t="s">
        <v>4</v>
      </c>
      <c r="K6" s="89" t="s">
        <v>5</v>
      </c>
      <c r="L6" s="71" t="s">
        <v>4</v>
      </c>
      <c r="M6" s="89" t="s">
        <v>5</v>
      </c>
      <c r="N6" s="96"/>
    </row>
    <row r="7" spans="1:14" ht="15.75" customHeight="1">
      <c r="A7" s="99" t="s">
        <v>41</v>
      </c>
      <c r="B7" s="126">
        <f>_xlfn.COMPOUNDVALUE(337)</f>
        <v>4521</v>
      </c>
      <c r="C7" s="127">
        <v>29732826</v>
      </c>
      <c r="D7" s="126">
        <f>_xlfn.COMPOUNDVALUE(338)</f>
        <v>1951</v>
      </c>
      <c r="E7" s="127">
        <v>1037694</v>
      </c>
      <c r="F7" s="126">
        <f>_xlfn.COMPOUNDVALUE(339)</f>
        <v>6472</v>
      </c>
      <c r="G7" s="127">
        <v>30770520</v>
      </c>
      <c r="H7" s="126">
        <f>_xlfn.COMPOUNDVALUE(340)</f>
        <v>447</v>
      </c>
      <c r="I7" s="128">
        <v>1288574</v>
      </c>
      <c r="J7" s="126">
        <v>386</v>
      </c>
      <c r="K7" s="128">
        <v>24017</v>
      </c>
      <c r="L7" s="126">
        <f>_xlfn.COMPOUNDVALUE(340)</f>
        <v>7021</v>
      </c>
      <c r="M7" s="128">
        <v>29505964</v>
      </c>
      <c r="N7" s="86" t="s">
        <v>41</v>
      </c>
    </row>
    <row r="8" spans="1:14" ht="15.75" customHeight="1">
      <c r="A8" s="76" t="s">
        <v>42</v>
      </c>
      <c r="B8" s="126">
        <f>_xlfn.COMPOUNDVALUE(341)</f>
        <v>3823</v>
      </c>
      <c r="C8" s="127">
        <v>23553411</v>
      </c>
      <c r="D8" s="126">
        <f>_xlfn.COMPOUNDVALUE(342)</f>
        <v>1812</v>
      </c>
      <c r="E8" s="127">
        <v>945067</v>
      </c>
      <c r="F8" s="126">
        <f>_xlfn.COMPOUNDVALUE(343)</f>
        <v>5635</v>
      </c>
      <c r="G8" s="127">
        <v>24498478</v>
      </c>
      <c r="H8" s="126">
        <f>_xlfn.COMPOUNDVALUE(344)</f>
        <v>290</v>
      </c>
      <c r="I8" s="128">
        <v>1066300</v>
      </c>
      <c r="J8" s="126">
        <v>281</v>
      </c>
      <c r="K8" s="128">
        <v>39163</v>
      </c>
      <c r="L8" s="126">
        <f>_xlfn.COMPOUNDVALUE(344)</f>
        <v>5984</v>
      </c>
      <c r="M8" s="128">
        <v>23471342</v>
      </c>
      <c r="N8" s="86" t="s">
        <v>42</v>
      </c>
    </row>
    <row r="9" spans="1:14" ht="15.75" customHeight="1">
      <c r="A9" s="76" t="s">
        <v>43</v>
      </c>
      <c r="B9" s="126">
        <f>_xlfn.COMPOUNDVALUE(345)</f>
        <v>4236</v>
      </c>
      <c r="C9" s="127">
        <v>57303289</v>
      </c>
      <c r="D9" s="126">
        <f>_xlfn.COMPOUNDVALUE(346)</f>
        <v>1893</v>
      </c>
      <c r="E9" s="127">
        <v>908295</v>
      </c>
      <c r="F9" s="126">
        <f>_xlfn.COMPOUNDVALUE(347)</f>
        <v>6129</v>
      </c>
      <c r="G9" s="127">
        <v>58211584</v>
      </c>
      <c r="H9" s="126">
        <f>_xlfn.COMPOUNDVALUE(348)</f>
        <v>483</v>
      </c>
      <c r="I9" s="128">
        <v>4034665</v>
      </c>
      <c r="J9" s="126">
        <v>405</v>
      </c>
      <c r="K9" s="128">
        <v>-140088</v>
      </c>
      <c r="L9" s="126">
        <f>_xlfn.COMPOUNDVALUE(348)</f>
        <v>6679</v>
      </c>
      <c r="M9" s="128">
        <v>54036830</v>
      </c>
      <c r="N9" s="86" t="s">
        <v>43</v>
      </c>
    </row>
    <row r="10" spans="1:14" ht="15.75" customHeight="1">
      <c r="A10" s="76" t="s">
        <v>44</v>
      </c>
      <c r="B10" s="126">
        <f>_xlfn.COMPOUNDVALUE(349)</f>
        <v>1774</v>
      </c>
      <c r="C10" s="127">
        <v>6938490</v>
      </c>
      <c r="D10" s="126">
        <f>_xlfn.COMPOUNDVALUE(350)</f>
        <v>770</v>
      </c>
      <c r="E10" s="127">
        <v>369894</v>
      </c>
      <c r="F10" s="126">
        <f>_xlfn.COMPOUNDVALUE(351)</f>
        <v>2544</v>
      </c>
      <c r="G10" s="127">
        <v>7308385</v>
      </c>
      <c r="H10" s="126">
        <f>_xlfn.COMPOUNDVALUE(352)</f>
        <v>122</v>
      </c>
      <c r="I10" s="128">
        <v>511922</v>
      </c>
      <c r="J10" s="126">
        <v>177</v>
      </c>
      <c r="K10" s="128">
        <v>922</v>
      </c>
      <c r="L10" s="126">
        <f>_xlfn.COMPOUNDVALUE(352)</f>
        <v>2684</v>
      </c>
      <c r="M10" s="128">
        <v>6797385</v>
      </c>
      <c r="N10" s="86" t="s">
        <v>44</v>
      </c>
    </row>
    <row r="11" spans="1:14" ht="15.75" customHeight="1">
      <c r="A11" s="76" t="s">
        <v>45</v>
      </c>
      <c r="B11" s="126">
        <f>_xlfn.COMPOUNDVALUE(353)</f>
        <v>4292</v>
      </c>
      <c r="C11" s="127">
        <v>38375421</v>
      </c>
      <c r="D11" s="126">
        <f>_xlfn.COMPOUNDVALUE(354)</f>
        <v>2178</v>
      </c>
      <c r="E11" s="127">
        <v>1060118</v>
      </c>
      <c r="F11" s="126">
        <f>_xlfn.COMPOUNDVALUE(355)</f>
        <v>6470</v>
      </c>
      <c r="G11" s="127">
        <v>39435538</v>
      </c>
      <c r="H11" s="126">
        <f>_xlfn.COMPOUNDVALUE(356)</f>
        <v>422</v>
      </c>
      <c r="I11" s="128">
        <v>1710545</v>
      </c>
      <c r="J11" s="126">
        <v>338</v>
      </c>
      <c r="K11" s="128">
        <v>127807</v>
      </c>
      <c r="L11" s="126">
        <f>_xlfn.COMPOUNDVALUE(356)</f>
        <v>6956</v>
      </c>
      <c r="M11" s="128">
        <v>37852800</v>
      </c>
      <c r="N11" s="86" t="s">
        <v>45</v>
      </c>
    </row>
    <row r="12" spans="1:14" ht="15.75" customHeight="1">
      <c r="A12" s="76"/>
      <c r="B12" s="126"/>
      <c r="C12" s="127"/>
      <c r="D12" s="126"/>
      <c r="E12" s="127"/>
      <c r="F12" s="126"/>
      <c r="G12" s="127"/>
      <c r="H12" s="126"/>
      <c r="I12" s="128"/>
      <c r="J12" s="126"/>
      <c r="K12" s="128"/>
      <c r="L12" s="126"/>
      <c r="M12" s="128"/>
      <c r="N12" s="86" t="s">
        <v>40</v>
      </c>
    </row>
    <row r="13" spans="1:14" ht="15.75" customHeight="1">
      <c r="A13" s="76" t="s">
        <v>46</v>
      </c>
      <c r="B13" s="126">
        <f>_xlfn.COMPOUNDVALUE(357)</f>
        <v>4059</v>
      </c>
      <c r="C13" s="127">
        <v>19422909</v>
      </c>
      <c r="D13" s="126">
        <f>_xlfn.COMPOUNDVALUE(358)</f>
        <v>2001</v>
      </c>
      <c r="E13" s="127">
        <v>971055</v>
      </c>
      <c r="F13" s="126">
        <f>_xlfn.COMPOUNDVALUE(359)</f>
        <v>6060</v>
      </c>
      <c r="G13" s="127">
        <v>20393964</v>
      </c>
      <c r="H13" s="126">
        <f>_xlfn.COMPOUNDVALUE(360)</f>
        <v>400</v>
      </c>
      <c r="I13" s="128">
        <v>2545129</v>
      </c>
      <c r="J13" s="126">
        <v>335</v>
      </c>
      <c r="K13" s="128">
        <v>46697</v>
      </c>
      <c r="L13" s="126">
        <f>_xlfn.COMPOUNDVALUE(360)</f>
        <v>6529</v>
      </c>
      <c r="M13" s="128">
        <v>17895532</v>
      </c>
      <c r="N13" s="86" t="s">
        <v>46</v>
      </c>
    </row>
    <row r="14" spans="1:14" ht="15.75" customHeight="1">
      <c r="A14" s="76" t="s">
        <v>47</v>
      </c>
      <c r="B14" s="126">
        <f>_xlfn.COMPOUNDVALUE(361)</f>
        <v>1222</v>
      </c>
      <c r="C14" s="127">
        <v>3914814</v>
      </c>
      <c r="D14" s="126">
        <f>_xlfn.COMPOUNDVALUE(362)</f>
        <v>556</v>
      </c>
      <c r="E14" s="127">
        <v>259081</v>
      </c>
      <c r="F14" s="126">
        <f>_xlfn.COMPOUNDVALUE(363)</f>
        <v>1778</v>
      </c>
      <c r="G14" s="127">
        <v>4173894</v>
      </c>
      <c r="H14" s="126">
        <f>_xlfn.COMPOUNDVALUE(364)</f>
        <v>51</v>
      </c>
      <c r="I14" s="128">
        <v>84552</v>
      </c>
      <c r="J14" s="126">
        <v>81</v>
      </c>
      <c r="K14" s="128">
        <v>4900</v>
      </c>
      <c r="L14" s="126">
        <f>_xlfn.COMPOUNDVALUE(364)</f>
        <v>1846</v>
      </c>
      <c r="M14" s="128">
        <v>4094242</v>
      </c>
      <c r="N14" s="86" t="s">
        <v>47</v>
      </c>
    </row>
    <row r="15" spans="1:14" ht="15.75" customHeight="1">
      <c r="A15" s="76" t="s">
        <v>48</v>
      </c>
      <c r="B15" s="126">
        <f>_xlfn.COMPOUNDVALUE(365)</f>
        <v>2664</v>
      </c>
      <c r="C15" s="127">
        <v>12193452</v>
      </c>
      <c r="D15" s="126">
        <f>_xlfn.COMPOUNDVALUE(366)</f>
        <v>1333</v>
      </c>
      <c r="E15" s="127">
        <v>704541</v>
      </c>
      <c r="F15" s="126">
        <f>_xlfn.COMPOUNDVALUE(367)</f>
        <v>3997</v>
      </c>
      <c r="G15" s="127">
        <v>12897993</v>
      </c>
      <c r="H15" s="126">
        <f>_xlfn.COMPOUNDVALUE(368)</f>
        <v>175</v>
      </c>
      <c r="I15" s="128">
        <v>2263354</v>
      </c>
      <c r="J15" s="126">
        <v>185</v>
      </c>
      <c r="K15" s="128">
        <v>21667</v>
      </c>
      <c r="L15" s="126">
        <f>_xlfn.COMPOUNDVALUE(368)</f>
        <v>4230</v>
      </c>
      <c r="M15" s="128">
        <v>10656307</v>
      </c>
      <c r="N15" s="86" t="s">
        <v>48</v>
      </c>
    </row>
    <row r="16" spans="1:14" ht="15.75" customHeight="1">
      <c r="A16" s="78" t="s">
        <v>49</v>
      </c>
      <c r="B16" s="131">
        <f>_xlfn.COMPOUNDVALUE(369)</f>
        <v>4882</v>
      </c>
      <c r="C16" s="132">
        <v>18946391</v>
      </c>
      <c r="D16" s="131">
        <f>_xlfn.COMPOUNDVALUE(370)</f>
        <v>2656</v>
      </c>
      <c r="E16" s="132">
        <v>1313825</v>
      </c>
      <c r="F16" s="131">
        <f>_xlfn.COMPOUNDVALUE(371)</f>
        <v>7538</v>
      </c>
      <c r="G16" s="132">
        <v>20260216</v>
      </c>
      <c r="H16" s="131">
        <f>_xlfn.COMPOUNDVALUE(372)</f>
        <v>477</v>
      </c>
      <c r="I16" s="133">
        <v>2346168</v>
      </c>
      <c r="J16" s="131">
        <v>426</v>
      </c>
      <c r="K16" s="133">
        <v>378545</v>
      </c>
      <c r="L16" s="131">
        <f>_xlfn.COMPOUNDVALUE(372)</f>
        <v>8116</v>
      </c>
      <c r="M16" s="133">
        <v>18292593</v>
      </c>
      <c r="N16" s="77" t="s">
        <v>49</v>
      </c>
    </row>
    <row r="17" spans="1:14" ht="15.75" customHeight="1">
      <c r="A17" s="78" t="s">
        <v>50</v>
      </c>
      <c r="B17" s="131">
        <f>_xlfn.COMPOUNDVALUE(373)</f>
        <v>1069</v>
      </c>
      <c r="C17" s="132">
        <v>4028252</v>
      </c>
      <c r="D17" s="131">
        <f>_xlfn.COMPOUNDVALUE(374)</f>
        <v>444</v>
      </c>
      <c r="E17" s="132">
        <v>197009</v>
      </c>
      <c r="F17" s="131">
        <f>_xlfn.COMPOUNDVALUE(375)</f>
        <v>1513</v>
      </c>
      <c r="G17" s="132">
        <v>4225261</v>
      </c>
      <c r="H17" s="131">
        <f>_xlfn.COMPOUNDVALUE(376)</f>
        <v>75</v>
      </c>
      <c r="I17" s="133">
        <v>316406</v>
      </c>
      <c r="J17" s="131">
        <v>115</v>
      </c>
      <c r="K17" s="133">
        <v>6077</v>
      </c>
      <c r="L17" s="131">
        <f>_xlfn.COMPOUNDVALUE(376)</f>
        <v>1602</v>
      </c>
      <c r="M17" s="133">
        <v>3914932</v>
      </c>
      <c r="N17" s="77" t="s">
        <v>50</v>
      </c>
    </row>
    <row r="18" spans="1:14" ht="15.75" customHeight="1">
      <c r="A18" s="78"/>
      <c r="B18" s="131"/>
      <c r="C18" s="132"/>
      <c r="D18" s="131"/>
      <c r="E18" s="132"/>
      <c r="F18" s="131"/>
      <c r="G18" s="132"/>
      <c r="H18" s="131"/>
      <c r="I18" s="133"/>
      <c r="J18" s="131"/>
      <c r="K18" s="133"/>
      <c r="L18" s="131"/>
      <c r="M18" s="133"/>
      <c r="N18" s="77" t="s">
        <v>40</v>
      </c>
    </row>
    <row r="19" spans="1:14" ht="15.75" customHeight="1">
      <c r="A19" s="78" t="s">
        <v>51</v>
      </c>
      <c r="B19" s="131">
        <f>_xlfn.COMPOUNDVALUE(377)</f>
        <v>1834</v>
      </c>
      <c r="C19" s="132">
        <v>6380393</v>
      </c>
      <c r="D19" s="131">
        <f>_xlfn.COMPOUNDVALUE(378)</f>
        <v>894</v>
      </c>
      <c r="E19" s="132">
        <v>424453</v>
      </c>
      <c r="F19" s="131">
        <f>_xlfn.COMPOUNDVALUE(379)</f>
        <v>2728</v>
      </c>
      <c r="G19" s="132">
        <v>6804845</v>
      </c>
      <c r="H19" s="131">
        <f>_xlfn.COMPOUNDVALUE(380)</f>
        <v>121</v>
      </c>
      <c r="I19" s="133">
        <v>249280</v>
      </c>
      <c r="J19" s="131">
        <v>112</v>
      </c>
      <c r="K19" s="133">
        <v>9945</v>
      </c>
      <c r="L19" s="131">
        <f>_xlfn.COMPOUNDVALUE(380)</f>
        <v>2863</v>
      </c>
      <c r="M19" s="133">
        <v>6565510</v>
      </c>
      <c r="N19" s="77" t="s">
        <v>51</v>
      </c>
    </row>
    <row r="20" spans="1:14" ht="15.75" customHeight="1">
      <c r="A20" s="78" t="s">
        <v>52</v>
      </c>
      <c r="B20" s="131">
        <f>_xlfn.COMPOUNDVALUE(381)</f>
        <v>5076</v>
      </c>
      <c r="C20" s="132">
        <v>20919690</v>
      </c>
      <c r="D20" s="131">
        <f>_xlfn.COMPOUNDVALUE(382)</f>
        <v>2306</v>
      </c>
      <c r="E20" s="132">
        <v>1130484</v>
      </c>
      <c r="F20" s="131">
        <f>_xlfn.COMPOUNDVALUE(383)</f>
        <v>7382</v>
      </c>
      <c r="G20" s="132">
        <v>22050174</v>
      </c>
      <c r="H20" s="131">
        <f>_xlfn.COMPOUNDVALUE(384)</f>
        <v>961</v>
      </c>
      <c r="I20" s="133">
        <v>9579544</v>
      </c>
      <c r="J20" s="131">
        <v>475</v>
      </c>
      <c r="K20" s="133">
        <v>-78680</v>
      </c>
      <c r="L20" s="131">
        <f>_xlfn.COMPOUNDVALUE(384)</f>
        <v>8440</v>
      </c>
      <c r="M20" s="133">
        <v>12391950</v>
      </c>
      <c r="N20" s="77" t="s">
        <v>52</v>
      </c>
    </row>
    <row r="21" spans="1:14" ht="15.75" customHeight="1">
      <c r="A21" s="78" t="s">
        <v>53</v>
      </c>
      <c r="B21" s="131">
        <f>_xlfn.COMPOUNDVALUE(385)</f>
        <v>1814</v>
      </c>
      <c r="C21" s="132">
        <v>6274675</v>
      </c>
      <c r="D21" s="131">
        <f>_xlfn.COMPOUNDVALUE(386)</f>
        <v>798</v>
      </c>
      <c r="E21" s="132">
        <v>371702</v>
      </c>
      <c r="F21" s="131">
        <f>_xlfn.COMPOUNDVALUE(387)</f>
        <v>2612</v>
      </c>
      <c r="G21" s="132">
        <v>6646377</v>
      </c>
      <c r="H21" s="131">
        <f>_xlfn.COMPOUNDVALUE(388)</f>
        <v>132</v>
      </c>
      <c r="I21" s="133">
        <v>321617</v>
      </c>
      <c r="J21" s="131">
        <v>177</v>
      </c>
      <c r="K21" s="133">
        <v>39391</v>
      </c>
      <c r="L21" s="131">
        <f>_xlfn.COMPOUNDVALUE(388)</f>
        <v>2776</v>
      </c>
      <c r="M21" s="133">
        <v>6364152</v>
      </c>
      <c r="N21" s="77" t="s">
        <v>53</v>
      </c>
    </row>
    <row r="22" spans="1:14" ht="15.75" customHeight="1">
      <c r="A22" s="78" t="s">
        <v>176</v>
      </c>
      <c r="B22" s="131">
        <f>_xlfn.COMPOUNDVALUE(389)</f>
        <v>4875</v>
      </c>
      <c r="C22" s="132">
        <v>21254699</v>
      </c>
      <c r="D22" s="131">
        <f>_xlfn.COMPOUNDVALUE(390)</f>
        <v>2425</v>
      </c>
      <c r="E22" s="132">
        <v>1176382</v>
      </c>
      <c r="F22" s="131">
        <f>_xlfn.COMPOUNDVALUE(391)</f>
        <v>7300</v>
      </c>
      <c r="G22" s="132">
        <v>22431082</v>
      </c>
      <c r="H22" s="131">
        <f>_xlfn.COMPOUNDVALUE(392)</f>
        <v>517</v>
      </c>
      <c r="I22" s="133">
        <v>1498597</v>
      </c>
      <c r="J22" s="131">
        <v>381</v>
      </c>
      <c r="K22" s="133">
        <v>-4966</v>
      </c>
      <c r="L22" s="131">
        <f>_xlfn.COMPOUNDVALUE(392)</f>
        <v>7903</v>
      </c>
      <c r="M22" s="133">
        <v>20927519</v>
      </c>
      <c r="N22" s="77" t="s">
        <v>54</v>
      </c>
    </row>
    <row r="23" spans="1:14" ht="15.75" customHeight="1">
      <c r="A23" s="165" t="s">
        <v>179</v>
      </c>
      <c r="B23" s="166">
        <v>46141</v>
      </c>
      <c r="C23" s="167">
        <v>269238711</v>
      </c>
      <c r="D23" s="166">
        <v>22017</v>
      </c>
      <c r="E23" s="167">
        <v>10869599</v>
      </c>
      <c r="F23" s="166">
        <v>68158</v>
      </c>
      <c r="G23" s="167">
        <v>280108310</v>
      </c>
      <c r="H23" s="166">
        <v>4673</v>
      </c>
      <c r="I23" s="168">
        <v>27816655</v>
      </c>
      <c r="J23" s="166">
        <v>3874</v>
      </c>
      <c r="K23" s="168">
        <v>475396</v>
      </c>
      <c r="L23" s="166">
        <v>73629</v>
      </c>
      <c r="M23" s="168">
        <v>252767051</v>
      </c>
      <c r="N23" s="169" t="s">
        <v>56</v>
      </c>
    </row>
    <row r="24" spans="1:14" ht="15.75" customHeight="1">
      <c r="A24" s="170"/>
      <c r="B24" s="171"/>
      <c r="C24" s="172"/>
      <c r="D24" s="171"/>
      <c r="E24" s="172"/>
      <c r="F24" s="173"/>
      <c r="G24" s="172"/>
      <c r="H24" s="173"/>
      <c r="I24" s="172"/>
      <c r="J24" s="173"/>
      <c r="K24" s="172"/>
      <c r="L24" s="173"/>
      <c r="M24" s="172"/>
      <c r="N24" s="174"/>
    </row>
    <row r="25" spans="1:14" ht="15.75" customHeight="1">
      <c r="A25" s="76" t="s">
        <v>57</v>
      </c>
      <c r="B25" s="126">
        <f>_xlfn.COMPOUNDVALUE(393)</f>
        <v>9413</v>
      </c>
      <c r="C25" s="127">
        <v>975876142</v>
      </c>
      <c r="D25" s="126">
        <f>_xlfn.COMPOUNDVALUE(394)</f>
        <v>1607</v>
      </c>
      <c r="E25" s="127">
        <v>1592319</v>
      </c>
      <c r="F25" s="126">
        <f>_xlfn.COMPOUNDVALUE(395)</f>
        <v>11020</v>
      </c>
      <c r="G25" s="127">
        <v>977468461</v>
      </c>
      <c r="H25" s="126">
        <f>_xlfn.COMPOUNDVALUE(396)</f>
        <v>3152</v>
      </c>
      <c r="I25" s="128">
        <v>479710908</v>
      </c>
      <c r="J25" s="126">
        <v>978</v>
      </c>
      <c r="K25" s="128">
        <v>162761</v>
      </c>
      <c r="L25" s="126">
        <f>_xlfn.COMPOUNDVALUE(396)</f>
        <v>14306</v>
      </c>
      <c r="M25" s="128">
        <v>497920315</v>
      </c>
      <c r="N25" s="86" t="s">
        <v>57</v>
      </c>
    </row>
    <row r="26" spans="1:14" ht="15.75" customHeight="1">
      <c r="A26" s="76" t="s">
        <v>58</v>
      </c>
      <c r="B26" s="126">
        <f>_xlfn.COMPOUNDVALUE(397)</f>
        <v>10907</v>
      </c>
      <c r="C26" s="127">
        <v>240804642</v>
      </c>
      <c r="D26" s="126">
        <f>_xlfn.COMPOUNDVALUE(398)</f>
        <v>2434</v>
      </c>
      <c r="E26" s="127">
        <v>1543865</v>
      </c>
      <c r="F26" s="126">
        <f>_xlfn.COMPOUNDVALUE(399)</f>
        <v>13341</v>
      </c>
      <c r="G26" s="127">
        <v>242348507</v>
      </c>
      <c r="H26" s="126">
        <f>_xlfn.COMPOUNDVALUE(400)</f>
        <v>2160</v>
      </c>
      <c r="I26" s="128">
        <v>60718278</v>
      </c>
      <c r="J26" s="126">
        <v>1051</v>
      </c>
      <c r="K26" s="128">
        <v>153053</v>
      </c>
      <c r="L26" s="126">
        <f>_xlfn.COMPOUNDVALUE(400)</f>
        <v>15642</v>
      </c>
      <c r="M26" s="128">
        <v>181783283</v>
      </c>
      <c r="N26" s="86" t="s">
        <v>58</v>
      </c>
    </row>
    <row r="27" spans="1:14" ht="15.75" customHeight="1">
      <c r="A27" s="76" t="s">
        <v>59</v>
      </c>
      <c r="B27" s="126">
        <f>_xlfn.COMPOUNDVALUE(401)</f>
        <v>8711</v>
      </c>
      <c r="C27" s="127">
        <v>296647843</v>
      </c>
      <c r="D27" s="126">
        <f>_xlfn.COMPOUNDVALUE(402)</f>
        <v>1791</v>
      </c>
      <c r="E27" s="127">
        <v>1551594</v>
      </c>
      <c r="F27" s="126">
        <f>_xlfn.COMPOUNDVALUE(403)</f>
        <v>10502</v>
      </c>
      <c r="G27" s="127">
        <v>298199436</v>
      </c>
      <c r="H27" s="126">
        <f>_xlfn.COMPOUNDVALUE(404)</f>
        <v>2027</v>
      </c>
      <c r="I27" s="128">
        <v>83656534</v>
      </c>
      <c r="J27" s="126">
        <v>877</v>
      </c>
      <c r="K27" s="128">
        <v>-94679</v>
      </c>
      <c r="L27" s="126">
        <f>_xlfn.COMPOUNDVALUE(404)</f>
        <v>12644</v>
      </c>
      <c r="M27" s="128">
        <v>214448223</v>
      </c>
      <c r="N27" s="86" t="s">
        <v>59</v>
      </c>
    </row>
    <row r="28" spans="1:14" ht="15.75" customHeight="1">
      <c r="A28" s="76" t="s">
        <v>60</v>
      </c>
      <c r="B28" s="126">
        <f>_xlfn.COMPOUNDVALUE(405)</f>
        <v>11279</v>
      </c>
      <c r="C28" s="127">
        <v>321635865</v>
      </c>
      <c r="D28" s="126">
        <f>_xlfn.COMPOUNDVALUE(406)</f>
        <v>2537</v>
      </c>
      <c r="E28" s="127">
        <v>1584749</v>
      </c>
      <c r="F28" s="126">
        <f>_xlfn.COMPOUNDVALUE(407)</f>
        <v>13816</v>
      </c>
      <c r="G28" s="127">
        <v>323220614</v>
      </c>
      <c r="H28" s="126">
        <f>_xlfn.COMPOUNDVALUE(408)</f>
        <v>2243</v>
      </c>
      <c r="I28" s="128">
        <v>188035370</v>
      </c>
      <c r="J28" s="126">
        <v>1225</v>
      </c>
      <c r="K28" s="128">
        <v>75410</v>
      </c>
      <c r="L28" s="126">
        <f>_xlfn.COMPOUNDVALUE(408)</f>
        <v>16229</v>
      </c>
      <c r="M28" s="128">
        <v>135260654</v>
      </c>
      <c r="N28" s="86" t="s">
        <v>60</v>
      </c>
    </row>
    <row r="29" spans="1:14" ht="15.75" customHeight="1">
      <c r="A29" s="76" t="s">
        <v>177</v>
      </c>
      <c r="B29" s="126">
        <f>_xlfn.COMPOUNDVALUE(409)</f>
        <v>13914</v>
      </c>
      <c r="C29" s="127">
        <v>778560992</v>
      </c>
      <c r="D29" s="126">
        <f>_xlfn.COMPOUNDVALUE(410)</f>
        <v>2910</v>
      </c>
      <c r="E29" s="127">
        <v>2305177</v>
      </c>
      <c r="F29" s="126">
        <f>_xlfn.COMPOUNDVALUE(411)</f>
        <v>16824</v>
      </c>
      <c r="G29" s="127">
        <v>780866169</v>
      </c>
      <c r="H29" s="126">
        <f>_xlfn.COMPOUNDVALUE(412)</f>
        <v>4208</v>
      </c>
      <c r="I29" s="128">
        <v>419392964</v>
      </c>
      <c r="J29" s="126">
        <v>1348</v>
      </c>
      <c r="K29" s="128">
        <v>785252</v>
      </c>
      <c r="L29" s="126">
        <f>_xlfn.COMPOUNDVALUE(412)</f>
        <v>21216</v>
      </c>
      <c r="M29" s="128">
        <v>362258457</v>
      </c>
      <c r="N29" s="86" t="s">
        <v>61</v>
      </c>
    </row>
    <row r="30" spans="1:14" ht="15.75" customHeight="1">
      <c r="A30" s="76"/>
      <c r="B30" s="126"/>
      <c r="C30" s="127"/>
      <c r="D30" s="126"/>
      <c r="E30" s="127"/>
      <c r="F30" s="126"/>
      <c r="G30" s="127"/>
      <c r="H30" s="126"/>
      <c r="I30" s="128"/>
      <c r="J30" s="126"/>
      <c r="K30" s="128"/>
      <c r="L30" s="126"/>
      <c r="M30" s="128"/>
      <c r="N30" s="86" t="s">
        <v>40</v>
      </c>
    </row>
    <row r="31" spans="1:14" ht="15.75" customHeight="1">
      <c r="A31" s="76" t="s">
        <v>62</v>
      </c>
      <c r="B31" s="126">
        <f>_xlfn.COMPOUNDVALUE(413)</f>
        <v>12909</v>
      </c>
      <c r="C31" s="127">
        <v>275274564</v>
      </c>
      <c r="D31" s="126">
        <f>_xlfn.COMPOUNDVALUE(414)</f>
        <v>2937</v>
      </c>
      <c r="E31" s="127">
        <v>1990292</v>
      </c>
      <c r="F31" s="126">
        <f>_xlfn.COMPOUNDVALUE(415)</f>
        <v>15846</v>
      </c>
      <c r="G31" s="127">
        <v>277264856</v>
      </c>
      <c r="H31" s="126">
        <f>_xlfn.COMPOUNDVALUE(416)</f>
        <v>2699</v>
      </c>
      <c r="I31" s="128">
        <v>208797291</v>
      </c>
      <c r="J31" s="126">
        <v>1192</v>
      </c>
      <c r="K31" s="128">
        <v>-1936595</v>
      </c>
      <c r="L31" s="126">
        <f>_xlfn.COMPOUNDVALUE(416)</f>
        <v>18823</v>
      </c>
      <c r="M31" s="128">
        <v>66530970</v>
      </c>
      <c r="N31" s="86" t="s">
        <v>62</v>
      </c>
    </row>
    <row r="32" spans="1:14" ht="15.75" customHeight="1">
      <c r="A32" s="76" t="s">
        <v>63</v>
      </c>
      <c r="B32" s="126">
        <f>_xlfn.COMPOUNDVALUE(417)</f>
        <v>6489</v>
      </c>
      <c r="C32" s="127">
        <v>206124882</v>
      </c>
      <c r="D32" s="126">
        <f>_xlfn.COMPOUNDVALUE(418)</f>
        <v>1883</v>
      </c>
      <c r="E32" s="127">
        <v>1036065</v>
      </c>
      <c r="F32" s="126">
        <f>_xlfn.COMPOUNDVALUE(419)</f>
        <v>8372</v>
      </c>
      <c r="G32" s="127">
        <v>207160947</v>
      </c>
      <c r="H32" s="126">
        <f>_xlfn.COMPOUNDVALUE(420)</f>
        <v>1240</v>
      </c>
      <c r="I32" s="128">
        <v>60757849</v>
      </c>
      <c r="J32" s="126">
        <v>674</v>
      </c>
      <c r="K32" s="128">
        <v>-81316</v>
      </c>
      <c r="L32" s="126">
        <f>_xlfn.COMPOUNDVALUE(420)</f>
        <v>9706</v>
      </c>
      <c r="M32" s="128">
        <v>146321782</v>
      </c>
      <c r="N32" s="86" t="s">
        <v>63</v>
      </c>
    </row>
    <row r="33" spans="1:14" ht="15.75" customHeight="1">
      <c r="A33" s="76" t="s">
        <v>64</v>
      </c>
      <c r="B33" s="126">
        <f>_xlfn.COMPOUNDVALUE(421)</f>
        <v>7522</v>
      </c>
      <c r="C33" s="127">
        <v>105522587</v>
      </c>
      <c r="D33" s="126">
        <f>_xlfn.COMPOUNDVALUE(422)</f>
        <v>2380</v>
      </c>
      <c r="E33" s="127">
        <v>1571325</v>
      </c>
      <c r="F33" s="126">
        <f>_xlfn.COMPOUNDVALUE(423)</f>
        <v>9902</v>
      </c>
      <c r="G33" s="127">
        <v>107093912</v>
      </c>
      <c r="H33" s="126">
        <f>_xlfn.COMPOUNDVALUE(424)</f>
        <v>946</v>
      </c>
      <c r="I33" s="128">
        <v>8996448</v>
      </c>
      <c r="J33" s="126">
        <v>703</v>
      </c>
      <c r="K33" s="128">
        <v>387399</v>
      </c>
      <c r="L33" s="126">
        <f>_xlfn.COMPOUNDVALUE(424)</f>
        <v>10966</v>
      </c>
      <c r="M33" s="128">
        <v>98484862</v>
      </c>
      <c r="N33" s="86" t="s">
        <v>64</v>
      </c>
    </row>
    <row r="34" spans="1:14" ht="15.75" customHeight="1">
      <c r="A34" s="76" t="s">
        <v>65</v>
      </c>
      <c r="B34" s="126">
        <f>_xlfn.COMPOUNDVALUE(425)</f>
        <v>8443</v>
      </c>
      <c r="C34" s="127">
        <v>292183726</v>
      </c>
      <c r="D34" s="126">
        <f>_xlfn.COMPOUNDVALUE(426)</f>
        <v>2412</v>
      </c>
      <c r="E34" s="127">
        <v>1432981</v>
      </c>
      <c r="F34" s="126">
        <f>_xlfn.COMPOUNDVALUE(427)</f>
        <v>10855</v>
      </c>
      <c r="G34" s="127">
        <v>293616707</v>
      </c>
      <c r="H34" s="126">
        <f>_xlfn.COMPOUNDVALUE(428)</f>
        <v>1410</v>
      </c>
      <c r="I34" s="128">
        <v>51687673</v>
      </c>
      <c r="J34" s="126">
        <v>858</v>
      </c>
      <c r="K34" s="128">
        <v>1673936</v>
      </c>
      <c r="L34" s="126">
        <f>_xlfn.COMPOUNDVALUE(428)</f>
        <v>12458</v>
      </c>
      <c r="M34" s="128">
        <v>243602970</v>
      </c>
      <c r="N34" s="86" t="s">
        <v>65</v>
      </c>
    </row>
    <row r="35" spans="1:14" ht="15.75" customHeight="1">
      <c r="A35" s="76" t="s">
        <v>66</v>
      </c>
      <c r="B35" s="126">
        <f>_xlfn.COMPOUNDVALUE(429)</f>
        <v>2404</v>
      </c>
      <c r="C35" s="127">
        <v>47387574</v>
      </c>
      <c r="D35" s="126">
        <f>_xlfn.COMPOUNDVALUE(430)</f>
        <v>1017</v>
      </c>
      <c r="E35" s="127">
        <v>485355</v>
      </c>
      <c r="F35" s="126">
        <f>_xlfn.COMPOUNDVALUE(431)</f>
        <v>3421</v>
      </c>
      <c r="G35" s="127">
        <v>47872929</v>
      </c>
      <c r="H35" s="126">
        <f>_xlfn.COMPOUNDVALUE(432)</f>
        <v>298</v>
      </c>
      <c r="I35" s="128">
        <v>14544890</v>
      </c>
      <c r="J35" s="126">
        <v>257</v>
      </c>
      <c r="K35" s="128">
        <v>531130</v>
      </c>
      <c r="L35" s="126">
        <f>_xlfn.COMPOUNDVALUE(432)</f>
        <v>3755</v>
      </c>
      <c r="M35" s="128">
        <v>33859169</v>
      </c>
      <c r="N35" s="86" t="s">
        <v>66</v>
      </c>
    </row>
    <row r="36" spans="1:14" ht="15.75" customHeight="1">
      <c r="A36" s="76"/>
      <c r="B36" s="126"/>
      <c r="C36" s="127"/>
      <c r="D36" s="126"/>
      <c r="E36" s="127"/>
      <c r="F36" s="126"/>
      <c r="G36" s="127"/>
      <c r="H36" s="126"/>
      <c r="I36" s="128"/>
      <c r="J36" s="126"/>
      <c r="K36" s="128"/>
      <c r="L36" s="126"/>
      <c r="M36" s="128"/>
      <c r="N36" s="86" t="s">
        <v>40</v>
      </c>
    </row>
    <row r="37" spans="1:14" ht="15.75" customHeight="1">
      <c r="A37" s="76" t="s">
        <v>67</v>
      </c>
      <c r="B37" s="126">
        <f>_xlfn.COMPOUNDVALUE(433)</f>
        <v>3238</v>
      </c>
      <c r="C37" s="127">
        <v>35768985</v>
      </c>
      <c r="D37" s="126">
        <f>_xlfn.COMPOUNDVALUE(434)</f>
        <v>1139</v>
      </c>
      <c r="E37" s="127">
        <v>562623</v>
      </c>
      <c r="F37" s="126">
        <f>_xlfn.COMPOUNDVALUE(435)</f>
        <v>4377</v>
      </c>
      <c r="G37" s="127">
        <v>36331608</v>
      </c>
      <c r="H37" s="126">
        <f>_xlfn.COMPOUNDVALUE(436)</f>
        <v>418</v>
      </c>
      <c r="I37" s="128">
        <v>3416543</v>
      </c>
      <c r="J37" s="126">
        <v>285</v>
      </c>
      <c r="K37" s="128">
        <v>68109</v>
      </c>
      <c r="L37" s="126">
        <f>_xlfn.COMPOUNDVALUE(436)</f>
        <v>4853</v>
      </c>
      <c r="M37" s="128">
        <v>32983174</v>
      </c>
      <c r="N37" s="86" t="s">
        <v>67</v>
      </c>
    </row>
    <row r="38" spans="1:14" ht="15.75" customHeight="1">
      <c r="A38" s="76" t="s">
        <v>68</v>
      </c>
      <c r="B38" s="126">
        <f>_xlfn.COMPOUNDVALUE(437)</f>
        <v>5029</v>
      </c>
      <c r="C38" s="127">
        <v>75602988</v>
      </c>
      <c r="D38" s="126">
        <f>_xlfn.COMPOUNDVALUE(438)</f>
        <v>1630</v>
      </c>
      <c r="E38" s="127">
        <v>829934</v>
      </c>
      <c r="F38" s="126">
        <f>_xlfn.COMPOUNDVALUE(439)</f>
        <v>6659</v>
      </c>
      <c r="G38" s="127">
        <v>76432922</v>
      </c>
      <c r="H38" s="126">
        <f>_xlfn.COMPOUNDVALUE(440)</f>
        <v>895</v>
      </c>
      <c r="I38" s="128">
        <v>9888574</v>
      </c>
      <c r="J38" s="126">
        <v>604</v>
      </c>
      <c r="K38" s="128">
        <v>185679</v>
      </c>
      <c r="L38" s="126">
        <f>_xlfn.COMPOUNDVALUE(440)</f>
        <v>7639</v>
      </c>
      <c r="M38" s="128">
        <v>66730027</v>
      </c>
      <c r="N38" s="86" t="s">
        <v>68</v>
      </c>
    </row>
    <row r="39" spans="1:14" ht="15.75" customHeight="1">
      <c r="A39" s="76" t="s">
        <v>69</v>
      </c>
      <c r="B39" s="126">
        <f>_xlfn.COMPOUNDVALUE(441)</f>
        <v>4971</v>
      </c>
      <c r="C39" s="127">
        <v>59228696</v>
      </c>
      <c r="D39" s="126">
        <f>_xlfn.COMPOUNDVALUE(442)</f>
        <v>1835</v>
      </c>
      <c r="E39" s="127">
        <v>786833</v>
      </c>
      <c r="F39" s="126">
        <f>_xlfn.COMPOUNDVALUE(443)</f>
        <v>6806</v>
      </c>
      <c r="G39" s="127">
        <v>60015529</v>
      </c>
      <c r="H39" s="126">
        <f>_xlfn.COMPOUNDVALUE(444)</f>
        <v>749</v>
      </c>
      <c r="I39" s="128">
        <v>7029454</v>
      </c>
      <c r="J39" s="126">
        <v>368</v>
      </c>
      <c r="K39" s="128">
        <v>34406</v>
      </c>
      <c r="L39" s="126">
        <f>_xlfn.COMPOUNDVALUE(444)</f>
        <v>7614</v>
      </c>
      <c r="M39" s="128">
        <v>53020480</v>
      </c>
      <c r="N39" s="86" t="s">
        <v>69</v>
      </c>
    </row>
    <row r="40" spans="1:14" ht="15.75" customHeight="1">
      <c r="A40" s="76" t="s">
        <v>70</v>
      </c>
      <c r="B40" s="126">
        <f>_xlfn.COMPOUNDVALUE(445)</f>
        <v>4140</v>
      </c>
      <c r="C40" s="127">
        <v>84620953</v>
      </c>
      <c r="D40" s="126">
        <f>_xlfn.COMPOUNDVALUE(446)</f>
        <v>1461</v>
      </c>
      <c r="E40" s="127">
        <v>649404</v>
      </c>
      <c r="F40" s="126">
        <f>_xlfn.COMPOUNDVALUE(447)</f>
        <v>5601</v>
      </c>
      <c r="G40" s="127">
        <v>85270357</v>
      </c>
      <c r="H40" s="126">
        <f>_xlfn.COMPOUNDVALUE(448)</f>
        <v>434</v>
      </c>
      <c r="I40" s="128">
        <v>5844053</v>
      </c>
      <c r="J40" s="126">
        <v>352</v>
      </c>
      <c r="K40" s="128">
        <v>103877</v>
      </c>
      <c r="L40" s="126">
        <f>_xlfn.COMPOUNDVALUE(448)</f>
        <v>6094</v>
      </c>
      <c r="M40" s="128">
        <v>79530181</v>
      </c>
      <c r="N40" s="86" t="s">
        <v>70</v>
      </c>
    </row>
    <row r="41" spans="1:14" ht="15.75" customHeight="1">
      <c r="A41" s="76" t="s">
        <v>71</v>
      </c>
      <c r="B41" s="126">
        <f>_xlfn.COMPOUNDVALUE(449)</f>
        <v>1495</v>
      </c>
      <c r="C41" s="127">
        <v>8342845</v>
      </c>
      <c r="D41" s="126">
        <f>_xlfn.COMPOUNDVALUE(450)</f>
        <v>843</v>
      </c>
      <c r="E41" s="127">
        <v>336806</v>
      </c>
      <c r="F41" s="126">
        <f>_xlfn.COMPOUNDVALUE(451)</f>
        <v>2338</v>
      </c>
      <c r="G41" s="127">
        <v>8679651</v>
      </c>
      <c r="H41" s="126">
        <f>_xlfn.COMPOUNDVALUE(452)</f>
        <v>86</v>
      </c>
      <c r="I41" s="128">
        <v>370635</v>
      </c>
      <c r="J41" s="126">
        <v>221</v>
      </c>
      <c r="K41" s="128">
        <v>9301</v>
      </c>
      <c r="L41" s="126">
        <f>_xlfn.COMPOUNDVALUE(452)</f>
        <v>2442</v>
      </c>
      <c r="M41" s="128">
        <v>8318317</v>
      </c>
      <c r="N41" s="86" t="s">
        <v>71</v>
      </c>
    </row>
    <row r="42" spans="1:14" ht="15.75" customHeight="1">
      <c r="A42" s="103"/>
      <c r="B42" s="126"/>
      <c r="C42" s="127"/>
      <c r="D42" s="126"/>
      <c r="E42" s="127"/>
      <c r="F42" s="126"/>
      <c r="G42" s="127"/>
      <c r="H42" s="126"/>
      <c r="I42" s="128"/>
      <c r="J42" s="126"/>
      <c r="K42" s="128"/>
      <c r="L42" s="126"/>
      <c r="M42" s="128"/>
      <c r="N42" s="105" t="s">
        <v>40</v>
      </c>
    </row>
    <row r="43" spans="1:14" ht="15.75" customHeight="1">
      <c r="A43" s="99" t="s">
        <v>72</v>
      </c>
      <c r="B43" s="126">
        <f>_xlfn.COMPOUNDVALUE(453)</f>
        <v>4502</v>
      </c>
      <c r="C43" s="127">
        <v>134712684</v>
      </c>
      <c r="D43" s="126">
        <f>_xlfn.COMPOUNDVALUE(454)</f>
        <v>1599</v>
      </c>
      <c r="E43" s="127">
        <v>1042113</v>
      </c>
      <c r="F43" s="126">
        <f>_xlfn.COMPOUNDVALUE(455)</f>
        <v>6101</v>
      </c>
      <c r="G43" s="127">
        <v>135754796</v>
      </c>
      <c r="H43" s="126">
        <f>_xlfn.COMPOUNDVALUE(456)</f>
        <v>580</v>
      </c>
      <c r="I43" s="128">
        <v>25527914</v>
      </c>
      <c r="J43" s="126">
        <v>414</v>
      </c>
      <c r="K43" s="128">
        <v>-46089</v>
      </c>
      <c r="L43" s="126">
        <f>_xlfn.COMPOUNDVALUE(456)</f>
        <v>6758</v>
      </c>
      <c r="M43" s="128">
        <v>110180793</v>
      </c>
      <c r="N43" s="86" t="s">
        <v>72</v>
      </c>
    </row>
    <row r="44" spans="1:14" ht="15.75" customHeight="1">
      <c r="A44" s="76" t="s">
        <v>73</v>
      </c>
      <c r="B44" s="126">
        <f>_xlfn.COMPOUNDVALUE(457)</f>
        <v>2523</v>
      </c>
      <c r="C44" s="127">
        <v>52457768</v>
      </c>
      <c r="D44" s="126">
        <f>_xlfn.COMPOUNDVALUE(458)</f>
        <v>1173</v>
      </c>
      <c r="E44" s="127">
        <v>610171</v>
      </c>
      <c r="F44" s="126">
        <f>_xlfn.COMPOUNDVALUE(459)</f>
        <v>3696</v>
      </c>
      <c r="G44" s="127">
        <v>53067939</v>
      </c>
      <c r="H44" s="126">
        <f>_xlfn.COMPOUNDVALUE(460)</f>
        <v>305</v>
      </c>
      <c r="I44" s="128">
        <v>5138060</v>
      </c>
      <c r="J44" s="126">
        <v>332</v>
      </c>
      <c r="K44" s="128">
        <v>29928</v>
      </c>
      <c r="L44" s="126">
        <f>_xlfn.COMPOUNDVALUE(460)</f>
        <v>4063</v>
      </c>
      <c r="M44" s="128">
        <v>47959807</v>
      </c>
      <c r="N44" s="86" t="s">
        <v>73</v>
      </c>
    </row>
    <row r="45" spans="1:14" ht="15.75" customHeight="1">
      <c r="A45" s="76" t="s">
        <v>74</v>
      </c>
      <c r="B45" s="126">
        <f>_xlfn.COMPOUNDVALUE(461)</f>
        <v>1722</v>
      </c>
      <c r="C45" s="127">
        <v>10446953</v>
      </c>
      <c r="D45" s="126">
        <f>_xlfn.COMPOUNDVALUE(462)</f>
        <v>990</v>
      </c>
      <c r="E45" s="127">
        <v>449758</v>
      </c>
      <c r="F45" s="126">
        <f>_xlfn.COMPOUNDVALUE(463)</f>
        <v>2712</v>
      </c>
      <c r="G45" s="127">
        <v>10896710</v>
      </c>
      <c r="H45" s="126">
        <f>_xlfn.COMPOUNDVALUE(464)</f>
        <v>187</v>
      </c>
      <c r="I45" s="128">
        <v>2058788</v>
      </c>
      <c r="J45" s="126">
        <v>152</v>
      </c>
      <c r="K45" s="128">
        <v>29516</v>
      </c>
      <c r="L45" s="126">
        <f>_xlfn.COMPOUNDVALUE(464)</f>
        <v>2923</v>
      </c>
      <c r="M45" s="128">
        <v>8867438</v>
      </c>
      <c r="N45" s="86" t="s">
        <v>74</v>
      </c>
    </row>
    <row r="46" spans="1:14" ht="15.75" customHeight="1">
      <c r="A46" s="76" t="s">
        <v>75</v>
      </c>
      <c r="B46" s="126">
        <f>_xlfn.COMPOUNDVALUE(465)</f>
        <v>5349</v>
      </c>
      <c r="C46" s="127">
        <v>60360182</v>
      </c>
      <c r="D46" s="126">
        <f>_xlfn.COMPOUNDVALUE(466)</f>
        <v>2183</v>
      </c>
      <c r="E46" s="127">
        <v>1140130</v>
      </c>
      <c r="F46" s="126">
        <f>_xlfn.COMPOUNDVALUE(467)</f>
        <v>7532</v>
      </c>
      <c r="G46" s="127">
        <v>61500312</v>
      </c>
      <c r="H46" s="126">
        <f>_xlfn.COMPOUNDVALUE(468)</f>
        <v>621</v>
      </c>
      <c r="I46" s="128">
        <v>5234612</v>
      </c>
      <c r="J46" s="126">
        <v>442</v>
      </c>
      <c r="K46" s="128">
        <v>224741</v>
      </c>
      <c r="L46" s="126">
        <f>_xlfn.COMPOUNDVALUE(468)</f>
        <v>8244</v>
      </c>
      <c r="M46" s="128">
        <v>56490441</v>
      </c>
      <c r="N46" s="86" t="s">
        <v>75</v>
      </c>
    </row>
    <row r="47" spans="1:14" ht="15.75" customHeight="1">
      <c r="A47" s="76" t="s">
        <v>76</v>
      </c>
      <c r="B47" s="126">
        <f>_xlfn.COMPOUNDVALUE(469)</f>
        <v>3638</v>
      </c>
      <c r="C47" s="127">
        <v>40428480</v>
      </c>
      <c r="D47" s="126">
        <f>_xlfn.COMPOUNDVALUE(470)</f>
        <v>1664</v>
      </c>
      <c r="E47" s="127">
        <v>759993</v>
      </c>
      <c r="F47" s="126">
        <f>_xlfn.COMPOUNDVALUE(471)</f>
        <v>5302</v>
      </c>
      <c r="G47" s="127">
        <v>41188473</v>
      </c>
      <c r="H47" s="126">
        <f>_xlfn.COMPOUNDVALUE(472)</f>
        <v>345</v>
      </c>
      <c r="I47" s="128">
        <v>12607055</v>
      </c>
      <c r="J47" s="126">
        <v>300</v>
      </c>
      <c r="K47" s="128">
        <v>60656</v>
      </c>
      <c r="L47" s="126">
        <f>_xlfn.COMPOUNDVALUE(472)</f>
        <v>5688</v>
      </c>
      <c r="M47" s="128">
        <v>28642074</v>
      </c>
      <c r="N47" s="86" t="s">
        <v>76</v>
      </c>
    </row>
    <row r="48" spans="1:14" ht="15.75" customHeight="1">
      <c r="A48" s="76"/>
      <c r="B48" s="126"/>
      <c r="C48" s="127"/>
      <c r="D48" s="126"/>
      <c r="E48" s="127"/>
      <c r="F48" s="126"/>
      <c r="G48" s="127"/>
      <c r="H48" s="126"/>
      <c r="I48" s="128"/>
      <c r="J48" s="126"/>
      <c r="K48" s="128"/>
      <c r="L48" s="126"/>
      <c r="M48" s="128"/>
      <c r="N48" s="86" t="s">
        <v>40</v>
      </c>
    </row>
    <row r="49" spans="1:14" ht="15.75" customHeight="1">
      <c r="A49" s="76" t="s">
        <v>77</v>
      </c>
      <c r="B49" s="126">
        <f>_xlfn.COMPOUNDVALUE(473)</f>
        <v>1882</v>
      </c>
      <c r="C49" s="127">
        <v>9249002</v>
      </c>
      <c r="D49" s="126">
        <f>_xlfn.COMPOUNDVALUE(474)</f>
        <v>999</v>
      </c>
      <c r="E49" s="127">
        <v>449134</v>
      </c>
      <c r="F49" s="126">
        <f>_xlfn.COMPOUNDVALUE(475)</f>
        <v>2881</v>
      </c>
      <c r="G49" s="127">
        <v>9698135</v>
      </c>
      <c r="H49" s="126">
        <f>_xlfn.COMPOUNDVALUE(476)</f>
        <v>232</v>
      </c>
      <c r="I49" s="128">
        <v>5500615</v>
      </c>
      <c r="J49" s="126">
        <v>158</v>
      </c>
      <c r="K49" s="128">
        <v>-23994</v>
      </c>
      <c r="L49" s="126">
        <f>_xlfn.COMPOUNDVALUE(476)</f>
        <v>3139</v>
      </c>
      <c r="M49" s="128">
        <v>4173526</v>
      </c>
      <c r="N49" s="86" t="s">
        <v>77</v>
      </c>
    </row>
    <row r="50" spans="1:14" ht="15.75" customHeight="1">
      <c r="A50" s="76" t="s">
        <v>78</v>
      </c>
      <c r="B50" s="126">
        <f>_xlfn.COMPOUNDVALUE(477)</f>
        <v>3850</v>
      </c>
      <c r="C50" s="127">
        <v>51457688</v>
      </c>
      <c r="D50" s="126">
        <f>_xlfn.COMPOUNDVALUE(478)</f>
        <v>2162</v>
      </c>
      <c r="E50" s="127">
        <v>995560</v>
      </c>
      <c r="F50" s="126">
        <f>_xlfn.COMPOUNDVALUE(479)</f>
        <v>6012</v>
      </c>
      <c r="G50" s="127">
        <v>52453248</v>
      </c>
      <c r="H50" s="126">
        <f>_xlfn.COMPOUNDVALUE(480)</f>
        <v>336</v>
      </c>
      <c r="I50" s="128">
        <v>52404787</v>
      </c>
      <c r="J50" s="126">
        <v>340</v>
      </c>
      <c r="K50" s="128">
        <v>94038</v>
      </c>
      <c r="L50" s="126">
        <f>_xlfn.COMPOUNDVALUE(480)</f>
        <v>6416</v>
      </c>
      <c r="M50" s="128">
        <v>142499</v>
      </c>
      <c r="N50" s="86" t="s">
        <v>78</v>
      </c>
    </row>
    <row r="51" spans="1:14" ht="15.75" customHeight="1">
      <c r="A51" s="76" t="s">
        <v>79</v>
      </c>
      <c r="B51" s="126">
        <f>_xlfn.COMPOUNDVALUE(481)</f>
        <v>3606</v>
      </c>
      <c r="C51" s="127">
        <v>17562487</v>
      </c>
      <c r="D51" s="126">
        <f>_xlfn.COMPOUNDVALUE(482)</f>
        <v>1857</v>
      </c>
      <c r="E51" s="127">
        <v>910551</v>
      </c>
      <c r="F51" s="126">
        <f>_xlfn.COMPOUNDVALUE(483)</f>
        <v>5463</v>
      </c>
      <c r="G51" s="127">
        <v>18473038</v>
      </c>
      <c r="H51" s="126">
        <f>_xlfn.COMPOUNDVALUE(484)</f>
        <v>416</v>
      </c>
      <c r="I51" s="128">
        <v>1550806</v>
      </c>
      <c r="J51" s="126">
        <v>289</v>
      </c>
      <c r="K51" s="128">
        <v>33323</v>
      </c>
      <c r="L51" s="126">
        <f>_xlfn.COMPOUNDVALUE(484)</f>
        <v>5946</v>
      </c>
      <c r="M51" s="128">
        <v>16955555</v>
      </c>
      <c r="N51" s="86" t="s">
        <v>79</v>
      </c>
    </row>
    <row r="52" spans="1:14" ht="15.75" customHeight="1">
      <c r="A52" s="76" t="s">
        <v>80</v>
      </c>
      <c r="B52" s="126">
        <f>_xlfn.COMPOUNDVALUE(485)</f>
        <v>3198</v>
      </c>
      <c r="C52" s="127">
        <v>17077918</v>
      </c>
      <c r="D52" s="126">
        <f>_xlfn.COMPOUNDVALUE(486)</f>
        <v>1763</v>
      </c>
      <c r="E52" s="127">
        <v>867281</v>
      </c>
      <c r="F52" s="126">
        <f>_xlfn.COMPOUNDVALUE(487)</f>
        <v>4961</v>
      </c>
      <c r="G52" s="127">
        <v>17945199</v>
      </c>
      <c r="H52" s="126">
        <f>_xlfn.COMPOUNDVALUE(488)</f>
        <v>277</v>
      </c>
      <c r="I52" s="128">
        <v>317467</v>
      </c>
      <c r="J52" s="126">
        <v>255</v>
      </c>
      <c r="K52" s="128">
        <v>148079</v>
      </c>
      <c r="L52" s="126">
        <f>_xlfn.COMPOUNDVALUE(488)</f>
        <v>5297</v>
      </c>
      <c r="M52" s="128">
        <v>17775812</v>
      </c>
      <c r="N52" s="86" t="s">
        <v>80</v>
      </c>
    </row>
    <row r="53" spans="1:14" ht="15.75" customHeight="1">
      <c r="A53" s="76" t="s">
        <v>81</v>
      </c>
      <c r="B53" s="126">
        <f>_xlfn.COMPOUNDVALUE(489)</f>
        <v>3195</v>
      </c>
      <c r="C53" s="127">
        <v>24359262</v>
      </c>
      <c r="D53" s="126">
        <f>_xlfn.COMPOUNDVALUE(490)</f>
        <v>1583</v>
      </c>
      <c r="E53" s="127">
        <v>774442</v>
      </c>
      <c r="F53" s="126">
        <f>_xlfn.COMPOUNDVALUE(491)</f>
        <v>4778</v>
      </c>
      <c r="G53" s="127">
        <v>25133704</v>
      </c>
      <c r="H53" s="126">
        <f>_xlfn.COMPOUNDVALUE(492)</f>
        <v>419</v>
      </c>
      <c r="I53" s="128">
        <v>1980381</v>
      </c>
      <c r="J53" s="126">
        <v>298</v>
      </c>
      <c r="K53" s="128">
        <v>52111</v>
      </c>
      <c r="L53" s="126">
        <f>_xlfn.COMPOUNDVALUE(492)</f>
        <v>5254</v>
      </c>
      <c r="M53" s="128">
        <v>23205435</v>
      </c>
      <c r="N53" s="86" t="s">
        <v>81</v>
      </c>
    </row>
    <row r="54" spans="1:14" ht="15.75" customHeight="1">
      <c r="A54" s="76"/>
      <c r="B54" s="126"/>
      <c r="C54" s="127"/>
      <c r="D54" s="126"/>
      <c r="E54" s="127"/>
      <c r="F54" s="126"/>
      <c r="G54" s="127"/>
      <c r="H54" s="126"/>
      <c r="I54" s="128"/>
      <c r="J54" s="126"/>
      <c r="K54" s="128"/>
      <c r="L54" s="126"/>
      <c r="M54" s="128"/>
      <c r="N54" s="86" t="s">
        <v>40</v>
      </c>
    </row>
    <row r="55" spans="1:14" ht="15.75" customHeight="1">
      <c r="A55" s="76" t="s">
        <v>82</v>
      </c>
      <c r="B55" s="126">
        <f>_xlfn.COMPOUNDVALUE(493)</f>
        <v>18769</v>
      </c>
      <c r="C55" s="127">
        <v>401629884</v>
      </c>
      <c r="D55" s="126">
        <f>_xlfn.COMPOUNDVALUE(494)</f>
        <v>5065</v>
      </c>
      <c r="E55" s="127">
        <v>3171646</v>
      </c>
      <c r="F55" s="126">
        <f>_xlfn.COMPOUNDVALUE(495)</f>
        <v>23834</v>
      </c>
      <c r="G55" s="127">
        <v>404801530</v>
      </c>
      <c r="H55" s="126">
        <f>_xlfn.COMPOUNDVALUE(496)</f>
        <v>2326</v>
      </c>
      <c r="I55" s="128">
        <v>84422491</v>
      </c>
      <c r="J55" s="126">
        <v>1549</v>
      </c>
      <c r="K55" s="128">
        <v>25262</v>
      </c>
      <c r="L55" s="126">
        <f>_xlfn.COMPOUNDVALUE(496)</f>
        <v>26512</v>
      </c>
      <c r="M55" s="128">
        <v>320404301</v>
      </c>
      <c r="N55" s="86" t="s">
        <v>82</v>
      </c>
    </row>
    <row r="56" spans="1:14" ht="15.75" customHeight="1">
      <c r="A56" s="76" t="s">
        <v>83</v>
      </c>
      <c r="B56" s="126">
        <f>_xlfn.COMPOUNDVALUE(497)</f>
        <v>4032</v>
      </c>
      <c r="C56" s="127">
        <v>62589422</v>
      </c>
      <c r="D56" s="126">
        <f>_xlfn.COMPOUNDVALUE(498)</f>
        <v>1833</v>
      </c>
      <c r="E56" s="127">
        <v>900887</v>
      </c>
      <c r="F56" s="126">
        <f>_xlfn.COMPOUNDVALUE(499)</f>
        <v>5865</v>
      </c>
      <c r="G56" s="127">
        <v>63490309</v>
      </c>
      <c r="H56" s="126">
        <f>_xlfn.COMPOUNDVALUE(500)</f>
        <v>489</v>
      </c>
      <c r="I56" s="128">
        <v>2827708</v>
      </c>
      <c r="J56" s="126">
        <v>308</v>
      </c>
      <c r="K56" s="128">
        <v>10741</v>
      </c>
      <c r="L56" s="126">
        <f>_xlfn.COMPOUNDVALUE(500)</f>
        <v>6419</v>
      </c>
      <c r="M56" s="128">
        <v>60673342</v>
      </c>
      <c r="N56" s="86" t="s">
        <v>83</v>
      </c>
    </row>
    <row r="57" spans="1:14" ht="15.75" customHeight="1">
      <c r="A57" s="76" t="s">
        <v>84</v>
      </c>
      <c r="B57" s="126">
        <f>_xlfn.COMPOUNDVALUE(501)</f>
        <v>3108</v>
      </c>
      <c r="C57" s="127">
        <v>19702074</v>
      </c>
      <c r="D57" s="126">
        <f>_xlfn.COMPOUNDVALUE(502)</f>
        <v>1561</v>
      </c>
      <c r="E57" s="127">
        <v>725753</v>
      </c>
      <c r="F57" s="126">
        <f>_xlfn.COMPOUNDVALUE(503)</f>
        <v>4669</v>
      </c>
      <c r="G57" s="127">
        <v>20427827</v>
      </c>
      <c r="H57" s="126">
        <f>_xlfn.COMPOUNDVALUE(504)</f>
        <v>333</v>
      </c>
      <c r="I57" s="128">
        <v>1796593</v>
      </c>
      <c r="J57" s="126">
        <v>241</v>
      </c>
      <c r="K57" s="128">
        <v>-15085</v>
      </c>
      <c r="L57" s="126">
        <f>_xlfn.COMPOUNDVALUE(504)</f>
        <v>5069</v>
      </c>
      <c r="M57" s="128">
        <v>18616149</v>
      </c>
      <c r="N57" s="86" t="s">
        <v>84</v>
      </c>
    </row>
    <row r="58" spans="1:14" ht="15.75" customHeight="1">
      <c r="A58" s="76" t="s">
        <v>85</v>
      </c>
      <c r="B58" s="126">
        <f>_xlfn.COMPOUNDVALUE(505)</f>
        <v>2264</v>
      </c>
      <c r="C58" s="127">
        <v>12813334</v>
      </c>
      <c r="D58" s="126">
        <f>_xlfn.COMPOUNDVALUE(506)</f>
        <v>1202</v>
      </c>
      <c r="E58" s="127">
        <v>612030</v>
      </c>
      <c r="F58" s="126">
        <f>_xlfn.COMPOUNDVALUE(507)</f>
        <v>3466</v>
      </c>
      <c r="G58" s="127">
        <v>13425364</v>
      </c>
      <c r="H58" s="126">
        <f>_xlfn.COMPOUNDVALUE(508)</f>
        <v>312</v>
      </c>
      <c r="I58" s="128">
        <v>1097148</v>
      </c>
      <c r="J58" s="126">
        <v>198</v>
      </c>
      <c r="K58" s="128">
        <v>53236</v>
      </c>
      <c r="L58" s="126">
        <f>_xlfn.COMPOUNDVALUE(508)</f>
        <v>3806</v>
      </c>
      <c r="M58" s="128">
        <v>12381452</v>
      </c>
      <c r="N58" s="86" t="s">
        <v>85</v>
      </c>
    </row>
    <row r="59" spans="1:14" ht="15.75" customHeight="1">
      <c r="A59" s="76" t="s">
        <v>86</v>
      </c>
      <c r="B59" s="126">
        <f>_xlfn.COMPOUNDVALUE(509)</f>
        <v>7766</v>
      </c>
      <c r="C59" s="127">
        <v>104824318</v>
      </c>
      <c r="D59" s="126">
        <f>_xlfn.COMPOUNDVALUE(510)</f>
        <v>2691</v>
      </c>
      <c r="E59" s="127">
        <v>1393976</v>
      </c>
      <c r="F59" s="126">
        <f>_xlfn.COMPOUNDVALUE(511)</f>
        <v>10457</v>
      </c>
      <c r="G59" s="127">
        <v>106218294</v>
      </c>
      <c r="H59" s="126">
        <f>_xlfn.COMPOUNDVALUE(512)</f>
        <v>1183</v>
      </c>
      <c r="I59" s="128">
        <v>9341999</v>
      </c>
      <c r="J59" s="126">
        <v>601</v>
      </c>
      <c r="K59" s="128">
        <v>-88618</v>
      </c>
      <c r="L59" s="126">
        <f>_xlfn.COMPOUNDVALUE(512)</f>
        <v>11783</v>
      </c>
      <c r="M59" s="128">
        <v>96787678</v>
      </c>
      <c r="N59" s="86" t="s">
        <v>86</v>
      </c>
    </row>
    <row r="60" spans="1:14" ht="15.75" customHeight="1">
      <c r="A60" s="76"/>
      <c r="B60" s="126"/>
      <c r="C60" s="127"/>
      <c r="D60" s="126"/>
      <c r="E60" s="127"/>
      <c r="F60" s="126"/>
      <c r="G60" s="127"/>
      <c r="H60" s="126"/>
      <c r="I60" s="128"/>
      <c r="J60" s="126"/>
      <c r="K60" s="128"/>
      <c r="L60" s="126"/>
      <c r="M60" s="128"/>
      <c r="N60" s="86" t="s">
        <v>40</v>
      </c>
    </row>
    <row r="61" spans="1:14" ht="15.75" customHeight="1">
      <c r="A61" s="76" t="s">
        <v>87</v>
      </c>
      <c r="B61" s="126">
        <f>_xlfn.COMPOUNDVALUE(513)</f>
        <v>3695</v>
      </c>
      <c r="C61" s="127">
        <v>44941219</v>
      </c>
      <c r="D61" s="126">
        <f>_xlfn.COMPOUNDVALUE(514)</f>
        <v>1837</v>
      </c>
      <c r="E61" s="127">
        <v>864913</v>
      </c>
      <c r="F61" s="126">
        <f>_xlfn.COMPOUNDVALUE(515)</f>
        <v>5532</v>
      </c>
      <c r="G61" s="127">
        <v>45806132</v>
      </c>
      <c r="H61" s="126">
        <f>_xlfn.COMPOUNDVALUE(516)</f>
        <v>368</v>
      </c>
      <c r="I61" s="128">
        <v>2296225</v>
      </c>
      <c r="J61" s="126">
        <v>269</v>
      </c>
      <c r="K61" s="128">
        <v>-3446</v>
      </c>
      <c r="L61" s="126">
        <f>_xlfn.COMPOUNDVALUE(516)</f>
        <v>5977</v>
      </c>
      <c r="M61" s="128">
        <v>43506462</v>
      </c>
      <c r="N61" s="86" t="s">
        <v>87</v>
      </c>
    </row>
    <row r="62" spans="1:14" ht="15.75" customHeight="1">
      <c r="A62" s="76" t="s">
        <v>88</v>
      </c>
      <c r="B62" s="126">
        <f>_xlfn.COMPOUNDVALUE(517)</f>
        <v>3254</v>
      </c>
      <c r="C62" s="127">
        <v>23486494</v>
      </c>
      <c r="D62" s="126">
        <f>_xlfn.COMPOUNDVALUE(518)</f>
        <v>1517</v>
      </c>
      <c r="E62" s="127">
        <v>684981</v>
      </c>
      <c r="F62" s="126">
        <f>_xlfn.COMPOUNDVALUE(519)</f>
        <v>4771</v>
      </c>
      <c r="G62" s="127">
        <v>24171475</v>
      </c>
      <c r="H62" s="126">
        <f>_xlfn.COMPOUNDVALUE(520)</f>
        <v>330</v>
      </c>
      <c r="I62" s="128">
        <v>1379112</v>
      </c>
      <c r="J62" s="126">
        <v>244</v>
      </c>
      <c r="K62" s="128">
        <v>27370</v>
      </c>
      <c r="L62" s="126">
        <f>_xlfn.COMPOUNDVALUE(520)</f>
        <v>5151</v>
      </c>
      <c r="M62" s="128">
        <v>22819732</v>
      </c>
      <c r="N62" s="86" t="s">
        <v>88</v>
      </c>
    </row>
    <row r="63" spans="1:14" ht="15.75" customHeight="1">
      <c r="A63" s="76" t="s">
        <v>89</v>
      </c>
      <c r="B63" s="126">
        <f>_xlfn.COMPOUNDVALUE(521)</f>
        <v>5880</v>
      </c>
      <c r="C63" s="127">
        <v>39293384</v>
      </c>
      <c r="D63" s="126">
        <f>_xlfn.COMPOUNDVALUE(522)</f>
        <v>2659</v>
      </c>
      <c r="E63" s="127">
        <v>1218336</v>
      </c>
      <c r="F63" s="126">
        <f>_xlfn.COMPOUNDVALUE(523)</f>
        <v>8539</v>
      </c>
      <c r="G63" s="127">
        <v>40511720</v>
      </c>
      <c r="H63" s="126">
        <f>_xlfn.COMPOUNDVALUE(524)</f>
        <v>482</v>
      </c>
      <c r="I63" s="128">
        <v>4074547</v>
      </c>
      <c r="J63" s="126">
        <v>527</v>
      </c>
      <c r="K63" s="128">
        <v>-39881</v>
      </c>
      <c r="L63" s="126">
        <f>_xlfn.COMPOUNDVALUE(524)</f>
        <v>9113</v>
      </c>
      <c r="M63" s="128">
        <v>36397292</v>
      </c>
      <c r="N63" s="86" t="s">
        <v>89</v>
      </c>
    </row>
    <row r="64" spans="1:14" ht="15.75" customHeight="1">
      <c r="A64" s="76" t="s">
        <v>90</v>
      </c>
      <c r="B64" s="126">
        <f>_xlfn.COMPOUNDVALUE(525)</f>
        <v>4047</v>
      </c>
      <c r="C64" s="127">
        <v>15624100</v>
      </c>
      <c r="D64" s="126">
        <f>_xlfn.COMPOUNDVALUE(526)</f>
        <v>1951</v>
      </c>
      <c r="E64" s="127">
        <v>900293</v>
      </c>
      <c r="F64" s="126">
        <f>_xlfn.COMPOUNDVALUE(527)</f>
        <v>5998</v>
      </c>
      <c r="G64" s="127">
        <v>16524393</v>
      </c>
      <c r="H64" s="126">
        <f>_xlfn.COMPOUNDVALUE(528)</f>
        <v>370</v>
      </c>
      <c r="I64" s="128">
        <v>3108681</v>
      </c>
      <c r="J64" s="126">
        <v>311</v>
      </c>
      <c r="K64" s="128">
        <v>39592</v>
      </c>
      <c r="L64" s="126">
        <f>_xlfn.COMPOUNDVALUE(528)</f>
        <v>6432</v>
      </c>
      <c r="M64" s="128">
        <v>13455304</v>
      </c>
      <c r="N64" s="86" t="s">
        <v>90</v>
      </c>
    </row>
    <row r="65" spans="1:14" ht="15.75" customHeight="1">
      <c r="A65" s="78" t="s">
        <v>91</v>
      </c>
      <c r="B65" s="131">
        <f>_xlfn.COMPOUNDVALUE(529)</f>
        <v>2330</v>
      </c>
      <c r="C65" s="132">
        <v>8171006</v>
      </c>
      <c r="D65" s="131">
        <f>_xlfn.COMPOUNDVALUE(530)</f>
        <v>1305</v>
      </c>
      <c r="E65" s="132">
        <v>622702</v>
      </c>
      <c r="F65" s="131">
        <f>_xlfn.COMPOUNDVALUE(531)</f>
        <v>3635</v>
      </c>
      <c r="G65" s="132">
        <v>8793708</v>
      </c>
      <c r="H65" s="131">
        <f>_xlfn.COMPOUNDVALUE(532)</f>
        <v>200</v>
      </c>
      <c r="I65" s="133">
        <v>583446</v>
      </c>
      <c r="J65" s="131">
        <v>155</v>
      </c>
      <c r="K65" s="133">
        <v>-7885</v>
      </c>
      <c r="L65" s="131">
        <f>_xlfn.COMPOUNDVALUE(532)</f>
        <v>3892</v>
      </c>
      <c r="M65" s="133">
        <v>8202377</v>
      </c>
      <c r="N65" s="77" t="s">
        <v>91</v>
      </c>
    </row>
    <row r="66" spans="1:14" ht="15.75" customHeight="1">
      <c r="A66" s="78"/>
      <c r="B66" s="131"/>
      <c r="C66" s="132"/>
      <c r="D66" s="131"/>
      <c r="E66" s="132"/>
      <c r="F66" s="131"/>
      <c r="G66" s="132"/>
      <c r="H66" s="131"/>
      <c r="I66" s="133"/>
      <c r="J66" s="131"/>
      <c r="K66" s="133"/>
      <c r="L66" s="131"/>
      <c r="M66" s="133"/>
      <c r="N66" s="77" t="s">
        <v>40</v>
      </c>
    </row>
    <row r="67" spans="1:14" ht="15.75" customHeight="1">
      <c r="A67" s="78" t="s">
        <v>92</v>
      </c>
      <c r="B67" s="131">
        <f>_xlfn.COMPOUNDVALUE(533)</f>
        <v>4393</v>
      </c>
      <c r="C67" s="132">
        <v>19766455</v>
      </c>
      <c r="D67" s="131">
        <f>_xlfn.COMPOUNDVALUE(534)</f>
        <v>1905</v>
      </c>
      <c r="E67" s="132">
        <v>929378</v>
      </c>
      <c r="F67" s="131">
        <f>_xlfn.COMPOUNDVALUE(535)</f>
        <v>6298</v>
      </c>
      <c r="G67" s="132">
        <v>20695833</v>
      </c>
      <c r="H67" s="131">
        <f>_xlfn.COMPOUNDVALUE(536)</f>
        <v>380</v>
      </c>
      <c r="I67" s="133">
        <v>2681436</v>
      </c>
      <c r="J67" s="131">
        <v>376</v>
      </c>
      <c r="K67" s="133">
        <v>36162</v>
      </c>
      <c r="L67" s="131">
        <f>_xlfn.COMPOUNDVALUE(536)</f>
        <v>6752</v>
      </c>
      <c r="M67" s="133">
        <v>18050558</v>
      </c>
      <c r="N67" s="77" t="s">
        <v>92</v>
      </c>
    </row>
    <row r="68" spans="1:14" ht="15.75" customHeight="1">
      <c r="A68" s="78" t="s">
        <v>93</v>
      </c>
      <c r="B68" s="131">
        <f>_xlfn.COMPOUNDVALUE(537)</f>
        <v>3526</v>
      </c>
      <c r="C68" s="132">
        <v>15149852</v>
      </c>
      <c r="D68" s="131">
        <f>_xlfn.COMPOUNDVALUE(538)</f>
        <v>1643</v>
      </c>
      <c r="E68" s="132">
        <v>765442</v>
      </c>
      <c r="F68" s="131">
        <f>_xlfn.COMPOUNDVALUE(539)</f>
        <v>5169</v>
      </c>
      <c r="G68" s="132">
        <v>15915294</v>
      </c>
      <c r="H68" s="131">
        <f>_xlfn.COMPOUNDVALUE(540)</f>
        <v>276</v>
      </c>
      <c r="I68" s="133">
        <v>1329907</v>
      </c>
      <c r="J68" s="131">
        <v>290</v>
      </c>
      <c r="K68" s="133">
        <v>44337</v>
      </c>
      <c r="L68" s="131">
        <f>_xlfn.COMPOUNDVALUE(540)</f>
        <v>5496</v>
      </c>
      <c r="M68" s="133">
        <v>14629724</v>
      </c>
      <c r="N68" s="77" t="s">
        <v>93</v>
      </c>
    </row>
    <row r="69" spans="1:14" ht="15.75" customHeight="1">
      <c r="A69" s="78" t="s">
        <v>94</v>
      </c>
      <c r="B69" s="131">
        <f>_xlfn.COMPOUNDVALUE(541)</f>
        <v>4758</v>
      </c>
      <c r="C69" s="132">
        <v>18492745</v>
      </c>
      <c r="D69" s="131">
        <f>_xlfn.COMPOUNDVALUE(542)</f>
        <v>2489</v>
      </c>
      <c r="E69" s="132">
        <v>1120599</v>
      </c>
      <c r="F69" s="131">
        <f>_xlfn.COMPOUNDVALUE(543)</f>
        <v>7247</v>
      </c>
      <c r="G69" s="132">
        <v>19613344</v>
      </c>
      <c r="H69" s="131">
        <f>_xlfn.COMPOUNDVALUE(544)</f>
        <v>417</v>
      </c>
      <c r="I69" s="133">
        <v>1745110</v>
      </c>
      <c r="J69" s="131">
        <v>436</v>
      </c>
      <c r="K69" s="133">
        <v>47826</v>
      </c>
      <c r="L69" s="131">
        <f>_xlfn.COMPOUNDVALUE(544)</f>
        <v>7748</v>
      </c>
      <c r="M69" s="133">
        <v>17916059</v>
      </c>
      <c r="N69" s="77" t="s">
        <v>94</v>
      </c>
    </row>
    <row r="70" spans="1:14" ht="15.75" customHeight="1">
      <c r="A70" s="78" t="s">
        <v>95</v>
      </c>
      <c r="B70" s="131">
        <f>_xlfn.COMPOUNDVALUE(545)</f>
        <v>5266</v>
      </c>
      <c r="C70" s="132">
        <v>20961972</v>
      </c>
      <c r="D70" s="131">
        <f>_xlfn.COMPOUNDVALUE(546)</f>
        <v>2550</v>
      </c>
      <c r="E70" s="132">
        <v>1165469</v>
      </c>
      <c r="F70" s="131">
        <f>_xlfn.COMPOUNDVALUE(547)</f>
        <v>7816</v>
      </c>
      <c r="G70" s="132">
        <v>22127441</v>
      </c>
      <c r="H70" s="131">
        <f>_xlfn.COMPOUNDVALUE(548)</f>
        <v>449</v>
      </c>
      <c r="I70" s="133">
        <v>1765935</v>
      </c>
      <c r="J70" s="131">
        <v>385</v>
      </c>
      <c r="K70" s="133">
        <v>25501</v>
      </c>
      <c r="L70" s="131">
        <f>_xlfn.COMPOUNDVALUE(548)</f>
        <v>8365</v>
      </c>
      <c r="M70" s="133">
        <v>20387007</v>
      </c>
      <c r="N70" s="77" t="s">
        <v>95</v>
      </c>
    </row>
    <row r="71" spans="1:14" ht="15.75" customHeight="1">
      <c r="A71" s="78" t="s">
        <v>96</v>
      </c>
      <c r="B71" s="131">
        <f>_xlfn.COMPOUNDVALUE(549)</f>
        <v>2491</v>
      </c>
      <c r="C71" s="132">
        <v>13062491</v>
      </c>
      <c r="D71" s="131">
        <f>_xlfn.COMPOUNDVALUE(550)</f>
        <v>1010</v>
      </c>
      <c r="E71" s="132">
        <v>540051</v>
      </c>
      <c r="F71" s="131">
        <f>_xlfn.COMPOUNDVALUE(551)</f>
        <v>3501</v>
      </c>
      <c r="G71" s="132">
        <v>13602541</v>
      </c>
      <c r="H71" s="131">
        <f>_xlfn.COMPOUNDVALUE(552)</f>
        <v>206</v>
      </c>
      <c r="I71" s="133">
        <v>1729486</v>
      </c>
      <c r="J71" s="131">
        <v>202</v>
      </c>
      <c r="K71" s="133">
        <v>9934</v>
      </c>
      <c r="L71" s="131">
        <f>_xlfn.COMPOUNDVALUE(552)</f>
        <v>3747</v>
      </c>
      <c r="M71" s="133">
        <v>11882989</v>
      </c>
      <c r="N71" s="77" t="s">
        <v>96</v>
      </c>
    </row>
    <row r="72" spans="1:14" ht="15.75" customHeight="1">
      <c r="A72" s="185" t="s">
        <v>180</v>
      </c>
      <c r="B72" s="186">
        <v>219908</v>
      </c>
      <c r="C72" s="187">
        <v>5042204458</v>
      </c>
      <c r="D72" s="166">
        <v>76007</v>
      </c>
      <c r="E72" s="167">
        <v>41874911</v>
      </c>
      <c r="F72" s="166">
        <v>295915</v>
      </c>
      <c r="G72" s="167">
        <v>5084079364</v>
      </c>
      <c r="H72" s="166">
        <v>34804</v>
      </c>
      <c r="I72" s="168">
        <v>1835347773</v>
      </c>
      <c r="J72" s="166">
        <v>20065</v>
      </c>
      <c r="K72" s="168">
        <v>2825078</v>
      </c>
      <c r="L72" s="166">
        <v>334377</v>
      </c>
      <c r="M72" s="168">
        <v>3251556670</v>
      </c>
      <c r="N72" s="169" t="s">
        <v>98</v>
      </c>
    </row>
    <row r="73" spans="1:14" ht="15.75" customHeight="1">
      <c r="A73" s="180"/>
      <c r="B73" s="181"/>
      <c r="C73" s="182"/>
      <c r="D73" s="181"/>
      <c r="E73" s="182"/>
      <c r="F73" s="181"/>
      <c r="G73" s="182"/>
      <c r="H73" s="181"/>
      <c r="I73" s="183"/>
      <c r="J73" s="181"/>
      <c r="K73" s="183"/>
      <c r="L73" s="181"/>
      <c r="M73" s="183"/>
      <c r="N73" s="184" t="s">
        <v>40</v>
      </c>
    </row>
    <row r="74" spans="1:14" ht="15.75" customHeight="1">
      <c r="A74" s="76" t="s">
        <v>99</v>
      </c>
      <c r="B74" s="126">
        <f>_xlfn.COMPOUNDVALUE(553)</f>
        <v>4569</v>
      </c>
      <c r="C74" s="127">
        <v>23573520</v>
      </c>
      <c r="D74" s="126">
        <f>_xlfn.COMPOUNDVALUE(554)</f>
        <v>2219</v>
      </c>
      <c r="E74" s="127">
        <v>1155214</v>
      </c>
      <c r="F74" s="126">
        <f>_xlfn.COMPOUNDVALUE(555)</f>
        <v>6788</v>
      </c>
      <c r="G74" s="127">
        <v>24728734</v>
      </c>
      <c r="H74" s="126">
        <f>_xlfn.COMPOUNDVALUE(556)</f>
        <v>359</v>
      </c>
      <c r="I74" s="128">
        <v>3696794</v>
      </c>
      <c r="J74" s="126">
        <v>321</v>
      </c>
      <c r="K74" s="128">
        <v>5391</v>
      </c>
      <c r="L74" s="126">
        <f>_xlfn.COMPOUNDVALUE(556)</f>
        <v>7211</v>
      </c>
      <c r="M74" s="128">
        <v>21037331</v>
      </c>
      <c r="N74" s="86" t="s">
        <v>99</v>
      </c>
    </row>
    <row r="75" spans="1:14" ht="15.75" customHeight="1">
      <c r="A75" s="78" t="s">
        <v>100</v>
      </c>
      <c r="B75" s="131">
        <f>_xlfn.COMPOUNDVALUE(557)</f>
        <v>5505</v>
      </c>
      <c r="C75" s="132">
        <v>33994119</v>
      </c>
      <c r="D75" s="131">
        <f>_xlfn.COMPOUNDVALUE(558)</f>
        <v>2764</v>
      </c>
      <c r="E75" s="132">
        <v>1364666</v>
      </c>
      <c r="F75" s="131">
        <f>_xlfn.COMPOUNDVALUE(559)</f>
        <v>8269</v>
      </c>
      <c r="G75" s="132">
        <v>35358786</v>
      </c>
      <c r="H75" s="131">
        <f>_xlfn.COMPOUNDVALUE(560)</f>
        <v>456</v>
      </c>
      <c r="I75" s="133">
        <v>3508845</v>
      </c>
      <c r="J75" s="131">
        <v>454</v>
      </c>
      <c r="K75" s="133">
        <v>94228</v>
      </c>
      <c r="L75" s="131">
        <f>_xlfn.COMPOUNDVALUE(560)</f>
        <v>8806</v>
      </c>
      <c r="M75" s="133">
        <v>31944169</v>
      </c>
      <c r="N75" s="77" t="s">
        <v>100</v>
      </c>
    </row>
    <row r="76" spans="1:14" ht="15.75" customHeight="1">
      <c r="A76" s="78" t="s">
        <v>101</v>
      </c>
      <c r="B76" s="131">
        <f>_xlfn.COMPOUNDVALUE(561)</f>
        <v>3748</v>
      </c>
      <c r="C76" s="132">
        <v>32179098</v>
      </c>
      <c r="D76" s="131">
        <f>_xlfn.COMPOUNDVALUE(562)</f>
        <v>2039</v>
      </c>
      <c r="E76" s="132">
        <v>1010258</v>
      </c>
      <c r="F76" s="131">
        <f>_xlfn.COMPOUNDVALUE(563)</f>
        <v>5787</v>
      </c>
      <c r="G76" s="132">
        <v>33189356</v>
      </c>
      <c r="H76" s="131">
        <f>_xlfn.COMPOUNDVALUE(564)</f>
        <v>392</v>
      </c>
      <c r="I76" s="133">
        <v>6476490</v>
      </c>
      <c r="J76" s="131">
        <v>280</v>
      </c>
      <c r="K76" s="133">
        <v>30581</v>
      </c>
      <c r="L76" s="131">
        <f>_xlfn.COMPOUNDVALUE(564)</f>
        <v>6234</v>
      </c>
      <c r="M76" s="133">
        <v>26743448</v>
      </c>
      <c r="N76" s="77" t="s">
        <v>101</v>
      </c>
    </row>
    <row r="77" spans="1:14" ht="15.75" customHeight="1">
      <c r="A77" s="78" t="s">
        <v>102</v>
      </c>
      <c r="B77" s="131">
        <f>_xlfn.COMPOUNDVALUE(565)</f>
        <v>3235</v>
      </c>
      <c r="C77" s="132">
        <v>16828917</v>
      </c>
      <c r="D77" s="131">
        <f>_xlfn.COMPOUNDVALUE(566)</f>
        <v>1676</v>
      </c>
      <c r="E77" s="132">
        <v>828008</v>
      </c>
      <c r="F77" s="131">
        <f>_xlfn.COMPOUNDVALUE(567)</f>
        <v>4911</v>
      </c>
      <c r="G77" s="132">
        <v>17656925</v>
      </c>
      <c r="H77" s="131">
        <f>_xlfn.COMPOUNDVALUE(568)</f>
        <v>230</v>
      </c>
      <c r="I77" s="133">
        <v>5072226</v>
      </c>
      <c r="J77" s="131">
        <v>244</v>
      </c>
      <c r="K77" s="133">
        <v>13918</v>
      </c>
      <c r="L77" s="131">
        <f>_xlfn.COMPOUNDVALUE(568)</f>
        <v>5177</v>
      </c>
      <c r="M77" s="133">
        <v>12598617</v>
      </c>
      <c r="N77" s="77" t="s">
        <v>102</v>
      </c>
    </row>
    <row r="78" spans="1:14" ht="15.75" customHeight="1">
      <c r="A78" s="78" t="s">
        <v>103</v>
      </c>
      <c r="B78" s="131">
        <f>_xlfn.COMPOUNDVALUE(569)</f>
        <v>4418</v>
      </c>
      <c r="C78" s="132">
        <v>34636561</v>
      </c>
      <c r="D78" s="131">
        <f>_xlfn.COMPOUNDVALUE(570)</f>
        <v>2294</v>
      </c>
      <c r="E78" s="132">
        <v>1065143</v>
      </c>
      <c r="F78" s="131">
        <f>_xlfn.COMPOUNDVALUE(571)</f>
        <v>6712</v>
      </c>
      <c r="G78" s="132">
        <v>35701704</v>
      </c>
      <c r="H78" s="131">
        <f>_xlfn.COMPOUNDVALUE(572)</f>
        <v>349</v>
      </c>
      <c r="I78" s="133">
        <v>2989109</v>
      </c>
      <c r="J78" s="131">
        <v>272</v>
      </c>
      <c r="K78" s="133">
        <v>-59463</v>
      </c>
      <c r="L78" s="131">
        <f>_xlfn.COMPOUNDVALUE(572)</f>
        <v>7124</v>
      </c>
      <c r="M78" s="133">
        <v>32653131</v>
      </c>
      <c r="N78" s="77" t="s">
        <v>103</v>
      </c>
    </row>
    <row r="79" spans="1:14" ht="15.75" customHeight="1">
      <c r="A79" s="104"/>
      <c r="B79" s="139"/>
      <c r="C79" s="140"/>
      <c r="D79" s="139"/>
      <c r="E79" s="140"/>
      <c r="F79" s="139"/>
      <c r="G79" s="140"/>
      <c r="H79" s="139"/>
      <c r="I79" s="141"/>
      <c r="J79" s="139"/>
      <c r="K79" s="141"/>
      <c r="L79" s="139"/>
      <c r="M79" s="141"/>
      <c r="N79" s="105" t="s">
        <v>40</v>
      </c>
    </row>
    <row r="80" spans="1:14" ht="15.75" customHeight="1">
      <c r="A80" s="99" t="s">
        <v>104</v>
      </c>
      <c r="B80" s="126">
        <f>_xlfn.COMPOUNDVALUE(573)</f>
        <v>3025</v>
      </c>
      <c r="C80" s="127">
        <v>12231432</v>
      </c>
      <c r="D80" s="126">
        <f>_xlfn.COMPOUNDVALUE(574)</f>
        <v>1669</v>
      </c>
      <c r="E80" s="127">
        <v>819682</v>
      </c>
      <c r="F80" s="126">
        <f>_xlfn.COMPOUNDVALUE(575)</f>
        <v>4694</v>
      </c>
      <c r="G80" s="127">
        <v>13051114</v>
      </c>
      <c r="H80" s="126">
        <f>_xlfn.COMPOUNDVALUE(576)</f>
        <v>267</v>
      </c>
      <c r="I80" s="128">
        <v>938833</v>
      </c>
      <c r="J80" s="126">
        <v>256</v>
      </c>
      <c r="K80" s="128">
        <v>-8992</v>
      </c>
      <c r="L80" s="126">
        <f>_xlfn.COMPOUNDVALUE(576)</f>
        <v>5022</v>
      </c>
      <c r="M80" s="128">
        <v>12103289</v>
      </c>
      <c r="N80" s="86" t="s">
        <v>104</v>
      </c>
    </row>
    <row r="81" spans="1:14" ht="15.75" customHeight="1">
      <c r="A81" s="78" t="s">
        <v>105</v>
      </c>
      <c r="B81" s="131">
        <f>_xlfn.COMPOUNDVALUE(577)</f>
        <v>2370</v>
      </c>
      <c r="C81" s="132">
        <v>17643765</v>
      </c>
      <c r="D81" s="131">
        <f>_xlfn.COMPOUNDVALUE(578)</f>
        <v>1187</v>
      </c>
      <c r="E81" s="132">
        <v>576429</v>
      </c>
      <c r="F81" s="131">
        <f>_xlfn.COMPOUNDVALUE(579)</f>
        <v>3557</v>
      </c>
      <c r="G81" s="132">
        <v>18220194</v>
      </c>
      <c r="H81" s="131">
        <f>_xlfn.COMPOUNDVALUE(580)</f>
        <v>187</v>
      </c>
      <c r="I81" s="133">
        <v>6701671</v>
      </c>
      <c r="J81" s="131">
        <v>146</v>
      </c>
      <c r="K81" s="133">
        <v>42131</v>
      </c>
      <c r="L81" s="131">
        <f>_xlfn.COMPOUNDVALUE(580)</f>
        <v>3783</v>
      </c>
      <c r="M81" s="133">
        <v>11560653</v>
      </c>
      <c r="N81" s="77" t="s">
        <v>105</v>
      </c>
    </row>
    <row r="82" spans="1:14" ht="15.75" customHeight="1">
      <c r="A82" s="78" t="s">
        <v>106</v>
      </c>
      <c r="B82" s="131">
        <f>_xlfn.COMPOUNDVALUE(581)</f>
        <v>4515</v>
      </c>
      <c r="C82" s="132">
        <v>21064530</v>
      </c>
      <c r="D82" s="131">
        <f>_xlfn.COMPOUNDVALUE(582)</f>
        <v>2441</v>
      </c>
      <c r="E82" s="132">
        <v>1127787</v>
      </c>
      <c r="F82" s="131">
        <f>_xlfn.COMPOUNDVALUE(583)</f>
        <v>6956</v>
      </c>
      <c r="G82" s="132">
        <v>22192317</v>
      </c>
      <c r="H82" s="131">
        <f>_xlfn.COMPOUNDVALUE(584)</f>
        <v>338</v>
      </c>
      <c r="I82" s="133">
        <v>3676415</v>
      </c>
      <c r="J82" s="131">
        <v>358</v>
      </c>
      <c r="K82" s="133">
        <v>4478</v>
      </c>
      <c r="L82" s="131">
        <f>_xlfn.COMPOUNDVALUE(584)</f>
        <v>7387</v>
      </c>
      <c r="M82" s="133">
        <v>18520380</v>
      </c>
      <c r="N82" s="77" t="s">
        <v>106</v>
      </c>
    </row>
    <row r="83" spans="1:14" ht="15.75" customHeight="1">
      <c r="A83" s="165" t="s">
        <v>181</v>
      </c>
      <c r="B83" s="166">
        <v>31385</v>
      </c>
      <c r="C83" s="167">
        <v>192151942</v>
      </c>
      <c r="D83" s="166">
        <v>16289</v>
      </c>
      <c r="E83" s="167">
        <v>7947187</v>
      </c>
      <c r="F83" s="166">
        <v>47674</v>
      </c>
      <c r="G83" s="167">
        <v>200099130</v>
      </c>
      <c r="H83" s="166">
        <v>2578</v>
      </c>
      <c r="I83" s="168">
        <v>33060383</v>
      </c>
      <c r="J83" s="166">
        <v>2331</v>
      </c>
      <c r="K83" s="168">
        <v>122272</v>
      </c>
      <c r="L83" s="166">
        <v>50744</v>
      </c>
      <c r="M83" s="168">
        <v>167161018</v>
      </c>
      <c r="N83" s="169" t="s">
        <v>108</v>
      </c>
    </row>
    <row r="84" spans="1:14" ht="15.75" customHeight="1">
      <c r="A84" s="180"/>
      <c r="B84" s="181"/>
      <c r="C84" s="182"/>
      <c r="D84" s="181"/>
      <c r="E84" s="182"/>
      <c r="F84" s="181"/>
      <c r="G84" s="182"/>
      <c r="H84" s="181"/>
      <c r="I84" s="183"/>
      <c r="J84" s="181"/>
      <c r="K84" s="183"/>
      <c r="L84" s="181"/>
      <c r="M84" s="183"/>
      <c r="N84" s="184" t="s">
        <v>40</v>
      </c>
    </row>
    <row r="85" spans="1:14" ht="15.75" customHeight="1">
      <c r="A85" s="175" t="s">
        <v>182</v>
      </c>
      <c r="B85" s="176">
        <v>251293</v>
      </c>
      <c r="C85" s="177">
        <v>5234356395</v>
      </c>
      <c r="D85" s="176">
        <v>92296</v>
      </c>
      <c r="E85" s="177">
        <v>49822095</v>
      </c>
      <c r="F85" s="176">
        <v>343589</v>
      </c>
      <c r="G85" s="177">
        <v>5284178489</v>
      </c>
      <c r="H85" s="176">
        <v>37382</v>
      </c>
      <c r="I85" s="178">
        <v>1868408158</v>
      </c>
      <c r="J85" s="176">
        <v>22396</v>
      </c>
      <c r="K85" s="178">
        <v>2947352</v>
      </c>
      <c r="L85" s="176">
        <v>385121</v>
      </c>
      <c r="M85" s="178">
        <v>3418717684</v>
      </c>
      <c r="N85" s="179" t="s">
        <v>110</v>
      </c>
    </row>
    <row r="86" spans="1:14" ht="15.75" customHeight="1">
      <c r="A86" s="170"/>
      <c r="B86" s="171"/>
      <c r="C86" s="172"/>
      <c r="D86" s="171"/>
      <c r="E86" s="172"/>
      <c r="F86" s="173"/>
      <c r="G86" s="172"/>
      <c r="H86" s="173"/>
      <c r="I86" s="172"/>
      <c r="J86" s="173"/>
      <c r="K86" s="172"/>
      <c r="L86" s="173"/>
      <c r="M86" s="172"/>
      <c r="N86" s="174"/>
    </row>
    <row r="87" spans="1:14" ht="15.75" customHeight="1">
      <c r="A87" s="76" t="s">
        <v>111</v>
      </c>
      <c r="B87" s="126">
        <f>_xlfn.COMPOUNDVALUE(585)</f>
        <v>2829</v>
      </c>
      <c r="C87" s="127">
        <v>21492047</v>
      </c>
      <c r="D87" s="126">
        <f>_xlfn.COMPOUNDVALUE(586)</f>
        <v>1446</v>
      </c>
      <c r="E87" s="127">
        <v>702045</v>
      </c>
      <c r="F87" s="126">
        <f>_xlfn.COMPOUNDVALUE(587)</f>
        <v>4275</v>
      </c>
      <c r="G87" s="127">
        <v>22194093</v>
      </c>
      <c r="H87" s="126">
        <f>_xlfn.COMPOUNDVALUE(588)</f>
        <v>232</v>
      </c>
      <c r="I87" s="128">
        <v>2335200</v>
      </c>
      <c r="J87" s="126">
        <v>216</v>
      </c>
      <c r="K87" s="128">
        <v>-136300</v>
      </c>
      <c r="L87" s="126">
        <f>_xlfn.COMPOUNDVALUE(588)</f>
        <v>4534</v>
      </c>
      <c r="M87" s="128">
        <v>19722594</v>
      </c>
      <c r="N87" s="86" t="s">
        <v>111</v>
      </c>
    </row>
    <row r="88" spans="1:14" ht="15.75" customHeight="1">
      <c r="A88" s="76" t="s">
        <v>112</v>
      </c>
      <c r="B88" s="126">
        <f>_xlfn.COMPOUNDVALUE(589)</f>
        <v>6623</v>
      </c>
      <c r="C88" s="127">
        <v>163367474</v>
      </c>
      <c r="D88" s="126">
        <f>_xlfn.COMPOUNDVALUE(590)</f>
        <v>2462</v>
      </c>
      <c r="E88" s="127">
        <v>1332393</v>
      </c>
      <c r="F88" s="126">
        <f>_xlfn.COMPOUNDVALUE(591)</f>
        <v>9085</v>
      </c>
      <c r="G88" s="127">
        <v>164699867</v>
      </c>
      <c r="H88" s="126">
        <f>_xlfn.COMPOUNDVALUE(592)</f>
        <v>1306</v>
      </c>
      <c r="I88" s="128">
        <v>21343307</v>
      </c>
      <c r="J88" s="126">
        <v>667</v>
      </c>
      <c r="K88" s="128">
        <v>-21879</v>
      </c>
      <c r="L88" s="126">
        <f>_xlfn.COMPOUNDVALUE(592)</f>
        <v>10504</v>
      </c>
      <c r="M88" s="128">
        <v>143334681</v>
      </c>
      <c r="N88" s="86" t="s">
        <v>112</v>
      </c>
    </row>
    <row r="89" spans="1:14" ht="15.75" customHeight="1">
      <c r="A89" s="76" t="s">
        <v>113</v>
      </c>
      <c r="B89" s="126">
        <f>_xlfn.COMPOUNDVALUE(593)</f>
        <v>3906</v>
      </c>
      <c r="C89" s="127">
        <v>19758913</v>
      </c>
      <c r="D89" s="126">
        <f>_xlfn.COMPOUNDVALUE(594)</f>
        <v>2059</v>
      </c>
      <c r="E89" s="127">
        <v>955063</v>
      </c>
      <c r="F89" s="126">
        <f>_xlfn.COMPOUNDVALUE(595)</f>
        <v>5965</v>
      </c>
      <c r="G89" s="127">
        <v>20713976</v>
      </c>
      <c r="H89" s="126">
        <f>_xlfn.COMPOUNDVALUE(596)</f>
        <v>293</v>
      </c>
      <c r="I89" s="128">
        <v>3413171</v>
      </c>
      <c r="J89" s="126">
        <v>277</v>
      </c>
      <c r="K89" s="128">
        <v>27205</v>
      </c>
      <c r="L89" s="126">
        <f>_xlfn.COMPOUNDVALUE(596)</f>
        <v>6326</v>
      </c>
      <c r="M89" s="128">
        <v>17328010</v>
      </c>
      <c r="N89" s="86" t="s">
        <v>113</v>
      </c>
    </row>
    <row r="90" spans="1:14" ht="15.75" customHeight="1">
      <c r="A90" s="76" t="s">
        <v>114</v>
      </c>
      <c r="B90" s="126">
        <f>_xlfn.COMPOUNDVALUE(597)</f>
        <v>5573</v>
      </c>
      <c r="C90" s="127">
        <v>26377043</v>
      </c>
      <c r="D90" s="126">
        <f>_xlfn.COMPOUNDVALUE(598)</f>
        <v>2977</v>
      </c>
      <c r="E90" s="127">
        <v>1374429</v>
      </c>
      <c r="F90" s="126">
        <f>_xlfn.COMPOUNDVALUE(599)</f>
        <v>8550</v>
      </c>
      <c r="G90" s="127">
        <v>27751472</v>
      </c>
      <c r="H90" s="126">
        <f>_xlfn.COMPOUNDVALUE(600)</f>
        <v>546</v>
      </c>
      <c r="I90" s="128">
        <v>3244643</v>
      </c>
      <c r="J90" s="126">
        <v>509</v>
      </c>
      <c r="K90" s="128">
        <v>78903</v>
      </c>
      <c r="L90" s="126">
        <f>_xlfn.COMPOUNDVALUE(600)</f>
        <v>9180</v>
      </c>
      <c r="M90" s="128">
        <v>24585732</v>
      </c>
      <c r="N90" s="86" t="s">
        <v>114</v>
      </c>
    </row>
    <row r="91" spans="1:14" ht="15.75" customHeight="1">
      <c r="A91" s="76" t="s">
        <v>115</v>
      </c>
      <c r="B91" s="126">
        <f>_xlfn.COMPOUNDVALUE(601)</f>
        <v>6235</v>
      </c>
      <c r="C91" s="127">
        <v>64299539</v>
      </c>
      <c r="D91" s="126">
        <f>_xlfn.COMPOUNDVALUE(602)</f>
        <v>2909</v>
      </c>
      <c r="E91" s="127">
        <v>1394159</v>
      </c>
      <c r="F91" s="126">
        <f>_xlfn.COMPOUNDVALUE(603)</f>
        <v>9144</v>
      </c>
      <c r="G91" s="127">
        <v>65693697</v>
      </c>
      <c r="H91" s="126">
        <f>_xlfn.COMPOUNDVALUE(604)</f>
        <v>855</v>
      </c>
      <c r="I91" s="128">
        <v>136510499</v>
      </c>
      <c r="J91" s="126">
        <v>541</v>
      </c>
      <c r="K91" s="128">
        <v>164522</v>
      </c>
      <c r="L91" s="126">
        <f>_xlfn.COMPOUNDVALUE(604)</f>
        <v>10091</v>
      </c>
      <c r="M91" s="128">
        <v>-70652280</v>
      </c>
      <c r="N91" s="86" t="s">
        <v>115</v>
      </c>
    </row>
    <row r="92" spans="1:14" ht="15.75" customHeight="1">
      <c r="A92" s="76"/>
      <c r="B92" s="126"/>
      <c r="C92" s="127"/>
      <c r="D92" s="126"/>
      <c r="E92" s="127"/>
      <c r="F92" s="126"/>
      <c r="G92" s="127"/>
      <c r="H92" s="126"/>
      <c r="I92" s="128"/>
      <c r="J92" s="126"/>
      <c r="K92" s="128"/>
      <c r="L92" s="126"/>
      <c r="M92" s="128"/>
      <c r="N92" s="86" t="s">
        <v>40</v>
      </c>
    </row>
    <row r="93" spans="1:14" ht="15.75" customHeight="1">
      <c r="A93" s="76" t="s">
        <v>116</v>
      </c>
      <c r="B93" s="126">
        <f>_xlfn.COMPOUNDVALUE(605)</f>
        <v>3176</v>
      </c>
      <c r="C93" s="127">
        <v>17098367</v>
      </c>
      <c r="D93" s="126">
        <f>_xlfn.COMPOUNDVALUE(606)</f>
        <v>1701</v>
      </c>
      <c r="E93" s="127">
        <v>811923</v>
      </c>
      <c r="F93" s="126">
        <f>_xlfn.COMPOUNDVALUE(607)</f>
        <v>4877</v>
      </c>
      <c r="G93" s="127">
        <v>17910290</v>
      </c>
      <c r="H93" s="126">
        <f>_xlfn.COMPOUNDVALUE(608)</f>
        <v>220</v>
      </c>
      <c r="I93" s="128">
        <v>5462322</v>
      </c>
      <c r="J93" s="126">
        <v>298</v>
      </c>
      <c r="K93" s="128">
        <v>2337</v>
      </c>
      <c r="L93" s="126">
        <f>_xlfn.COMPOUNDVALUE(608)</f>
        <v>5151</v>
      </c>
      <c r="M93" s="128">
        <v>12450305</v>
      </c>
      <c r="N93" s="86" t="s">
        <v>116</v>
      </c>
    </row>
    <row r="94" spans="1:14" ht="15.75" customHeight="1">
      <c r="A94" s="76" t="s">
        <v>178</v>
      </c>
      <c r="B94" s="126">
        <f>_xlfn.COMPOUNDVALUE(609)</f>
        <v>5457</v>
      </c>
      <c r="C94" s="127">
        <v>26602969</v>
      </c>
      <c r="D94" s="126">
        <f>_xlfn.COMPOUNDVALUE(610)</f>
        <v>2784</v>
      </c>
      <c r="E94" s="127">
        <v>1387510</v>
      </c>
      <c r="F94" s="126">
        <f>_xlfn.COMPOUNDVALUE(611)</f>
        <v>8241</v>
      </c>
      <c r="G94" s="127">
        <v>27990479</v>
      </c>
      <c r="H94" s="126">
        <f>_xlfn.COMPOUNDVALUE(612)</f>
        <v>601</v>
      </c>
      <c r="I94" s="128">
        <v>3885572</v>
      </c>
      <c r="J94" s="126">
        <v>394</v>
      </c>
      <c r="K94" s="128">
        <v>52629</v>
      </c>
      <c r="L94" s="126">
        <f>_xlfn.COMPOUNDVALUE(612)</f>
        <v>8910</v>
      </c>
      <c r="M94" s="128">
        <v>24157536</v>
      </c>
      <c r="N94" s="86" t="s">
        <v>117</v>
      </c>
    </row>
    <row r="95" spans="1:14" ht="15.75" customHeight="1">
      <c r="A95" s="76" t="s">
        <v>118</v>
      </c>
      <c r="B95" s="126">
        <f>_xlfn.COMPOUNDVALUE(613)</f>
        <v>4418</v>
      </c>
      <c r="C95" s="127">
        <v>82971635</v>
      </c>
      <c r="D95" s="126">
        <f>_xlfn.COMPOUNDVALUE(614)</f>
        <v>2004</v>
      </c>
      <c r="E95" s="127">
        <v>1014745</v>
      </c>
      <c r="F95" s="126">
        <f>_xlfn.COMPOUNDVALUE(615)</f>
        <v>6422</v>
      </c>
      <c r="G95" s="127">
        <v>83986380</v>
      </c>
      <c r="H95" s="126">
        <f>_xlfn.COMPOUNDVALUE(616)</f>
        <v>418</v>
      </c>
      <c r="I95" s="128">
        <v>25678193</v>
      </c>
      <c r="J95" s="126">
        <v>370</v>
      </c>
      <c r="K95" s="128">
        <v>3393</v>
      </c>
      <c r="L95" s="126">
        <f>_xlfn.COMPOUNDVALUE(616)</f>
        <v>6908</v>
      </c>
      <c r="M95" s="128">
        <v>58311580</v>
      </c>
      <c r="N95" s="86" t="s">
        <v>118</v>
      </c>
    </row>
    <row r="96" spans="1:14" ht="15.75" customHeight="1">
      <c r="A96" s="76" t="s">
        <v>119</v>
      </c>
      <c r="B96" s="126">
        <f>_xlfn.COMPOUNDVALUE(617)</f>
        <v>4956</v>
      </c>
      <c r="C96" s="127">
        <v>50838447</v>
      </c>
      <c r="D96" s="126">
        <f>_xlfn.COMPOUNDVALUE(618)</f>
        <v>2767</v>
      </c>
      <c r="E96" s="127">
        <v>1357049</v>
      </c>
      <c r="F96" s="126">
        <f>_xlfn.COMPOUNDVALUE(619)</f>
        <v>7723</v>
      </c>
      <c r="G96" s="127">
        <v>52195496</v>
      </c>
      <c r="H96" s="126">
        <f>_xlfn.COMPOUNDVALUE(620)</f>
        <v>432</v>
      </c>
      <c r="I96" s="128">
        <v>22455087</v>
      </c>
      <c r="J96" s="126">
        <v>365</v>
      </c>
      <c r="K96" s="128">
        <v>16672</v>
      </c>
      <c r="L96" s="126">
        <f>_xlfn.COMPOUNDVALUE(620)</f>
        <v>8220</v>
      </c>
      <c r="M96" s="128">
        <v>29757081</v>
      </c>
      <c r="N96" s="86" t="s">
        <v>119</v>
      </c>
    </row>
    <row r="97" spans="1:14" ht="15.75" customHeight="1">
      <c r="A97" s="76" t="s">
        <v>120</v>
      </c>
      <c r="B97" s="126">
        <f>_xlfn.COMPOUNDVALUE(621)</f>
        <v>2139</v>
      </c>
      <c r="C97" s="127">
        <v>6347582</v>
      </c>
      <c r="D97" s="126">
        <f>_xlfn.COMPOUNDVALUE(622)</f>
        <v>1224</v>
      </c>
      <c r="E97" s="127">
        <v>574890</v>
      </c>
      <c r="F97" s="126">
        <f>_xlfn.COMPOUNDVALUE(623)</f>
        <v>3363</v>
      </c>
      <c r="G97" s="127">
        <v>6922472</v>
      </c>
      <c r="H97" s="126">
        <f>_xlfn.COMPOUNDVALUE(624)</f>
        <v>240</v>
      </c>
      <c r="I97" s="128">
        <v>1463529</v>
      </c>
      <c r="J97" s="126">
        <v>165</v>
      </c>
      <c r="K97" s="128">
        <v>7839</v>
      </c>
      <c r="L97" s="126">
        <f>_xlfn.COMPOUNDVALUE(624)</f>
        <v>3638</v>
      </c>
      <c r="M97" s="128">
        <v>5466782</v>
      </c>
      <c r="N97" s="86" t="s">
        <v>120</v>
      </c>
    </row>
    <row r="98" spans="1:14" ht="15.75" customHeight="1">
      <c r="A98" s="76"/>
      <c r="B98" s="126"/>
      <c r="C98" s="127"/>
      <c r="D98" s="126"/>
      <c r="E98" s="127"/>
      <c r="F98" s="126"/>
      <c r="G98" s="127"/>
      <c r="H98" s="126"/>
      <c r="I98" s="128"/>
      <c r="J98" s="126"/>
      <c r="K98" s="128"/>
      <c r="L98" s="126"/>
      <c r="M98" s="128"/>
      <c r="N98" s="86" t="s">
        <v>40</v>
      </c>
    </row>
    <row r="99" spans="1:14" ht="15.75" customHeight="1">
      <c r="A99" s="76" t="s">
        <v>121</v>
      </c>
      <c r="B99" s="126">
        <f>_xlfn.COMPOUNDVALUE(625)</f>
        <v>3093</v>
      </c>
      <c r="C99" s="127">
        <v>13819900</v>
      </c>
      <c r="D99" s="126">
        <f>_xlfn.COMPOUNDVALUE(626)</f>
        <v>1916</v>
      </c>
      <c r="E99" s="127">
        <v>896442</v>
      </c>
      <c r="F99" s="126">
        <f>_xlfn.COMPOUNDVALUE(627)</f>
        <v>5009</v>
      </c>
      <c r="G99" s="127">
        <v>14716342</v>
      </c>
      <c r="H99" s="126">
        <f>_xlfn.COMPOUNDVALUE(628)</f>
        <v>227</v>
      </c>
      <c r="I99" s="128">
        <v>856088</v>
      </c>
      <c r="J99" s="126">
        <v>312</v>
      </c>
      <c r="K99" s="128">
        <v>51526</v>
      </c>
      <c r="L99" s="126">
        <f>_xlfn.COMPOUNDVALUE(628)</f>
        <v>5305</v>
      </c>
      <c r="M99" s="128">
        <v>13911779</v>
      </c>
      <c r="N99" s="86" t="s">
        <v>121</v>
      </c>
    </row>
    <row r="100" spans="1:14" ht="15.75" customHeight="1">
      <c r="A100" s="76" t="s">
        <v>122</v>
      </c>
      <c r="B100" s="126">
        <f>_xlfn.COMPOUNDVALUE(629)</f>
        <v>4191</v>
      </c>
      <c r="C100" s="127">
        <v>27071287</v>
      </c>
      <c r="D100" s="126">
        <f>_xlfn.COMPOUNDVALUE(630)</f>
        <v>2538</v>
      </c>
      <c r="E100" s="127">
        <v>1149718</v>
      </c>
      <c r="F100" s="126">
        <f>_xlfn.COMPOUNDVALUE(631)</f>
        <v>6729</v>
      </c>
      <c r="G100" s="127">
        <v>28221005</v>
      </c>
      <c r="H100" s="126">
        <f>_xlfn.COMPOUNDVALUE(632)</f>
        <v>305</v>
      </c>
      <c r="I100" s="128">
        <v>2107052</v>
      </c>
      <c r="J100" s="126">
        <v>248</v>
      </c>
      <c r="K100" s="128">
        <v>-3777</v>
      </c>
      <c r="L100" s="126">
        <f>_xlfn.COMPOUNDVALUE(632)</f>
        <v>7086</v>
      </c>
      <c r="M100" s="128">
        <v>26110176</v>
      </c>
      <c r="N100" s="86" t="s">
        <v>122</v>
      </c>
    </row>
    <row r="101" spans="1:14" ht="15.75" customHeight="1">
      <c r="A101" s="78" t="s">
        <v>123</v>
      </c>
      <c r="B101" s="131">
        <f>_xlfn.COMPOUNDVALUE(633)</f>
        <v>1998</v>
      </c>
      <c r="C101" s="132">
        <v>7644844</v>
      </c>
      <c r="D101" s="131">
        <f>_xlfn.COMPOUNDVALUE(634)</f>
        <v>1406</v>
      </c>
      <c r="E101" s="132">
        <v>640690</v>
      </c>
      <c r="F101" s="131">
        <f>_xlfn.COMPOUNDVALUE(635)</f>
        <v>3404</v>
      </c>
      <c r="G101" s="132">
        <v>8285535</v>
      </c>
      <c r="H101" s="131">
        <f>_xlfn.COMPOUNDVALUE(636)</f>
        <v>184</v>
      </c>
      <c r="I101" s="133">
        <v>353719</v>
      </c>
      <c r="J101" s="131">
        <v>191</v>
      </c>
      <c r="K101" s="133">
        <v>19782</v>
      </c>
      <c r="L101" s="131">
        <f>_xlfn.COMPOUNDVALUE(636)</f>
        <v>3617</v>
      </c>
      <c r="M101" s="133">
        <v>7951598</v>
      </c>
      <c r="N101" s="77" t="s">
        <v>123</v>
      </c>
    </row>
    <row r="102" spans="1:14" ht="15.75" customHeight="1">
      <c r="A102" s="78" t="s">
        <v>124</v>
      </c>
      <c r="B102" s="131">
        <f>_xlfn.COMPOUNDVALUE(637)</f>
        <v>4964</v>
      </c>
      <c r="C102" s="132">
        <v>24356081</v>
      </c>
      <c r="D102" s="131">
        <f>_xlfn.COMPOUNDVALUE(638)</f>
        <v>2819</v>
      </c>
      <c r="E102" s="132">
        <v>1403194</v>
      </c>
      <c r="F102" s="131">
        <f>_xlfn.COMPOUNDVALUE(639)</f>
        <v>7783</v>
      </c>
      <c r="G102" s="132">
        <v>25759275</v>
      </c>
      <c r="H102" s="131">
        <f>_xlfn.COMPOUNDVALUE(640)</f>
        <v>426</v>
      </c>
      <c r="I102" s="133">
        <v>2039037</v>
      </c>
      <c r="J102" s="131">
        <v>432</v>
      </c>
      <c r="K102" s="133">
        <v>49929</v>
      </c>
      <c r="L102" s="131">
        <f>_xlfn.COMPOUNDVALUE(640)</f>
        <v>8273</v>
      </c>
      <c r="M102" s="133">
        <v>23770166</v>
      </c>
      <c r="N102" s="77" t="s">
        <v>124</v>
      </c>
    </row>
    <row r="103" spans="1:14" ht="15.75" customHeight="1">
      <c r="A103" s="78" t="s">
        <v>125</v>
      </c>
      <c r="B103" s="131">
        <f>_xlfn.COMPOUNDVALUE(641)</f>
        <v>3361</v>
      </c>
      <c r="C103" s="132">
        <v>16856304</v>
      </c>
      <c r="D103" s="131">
        <f>_xlfn.COMPOUNDVALUE(642)</f>
        <v>1800</v>
      </c>
      <c r="E103" s="132">
        <v>818955</v>
      </c>
      <c r="F103" s="131">
        <f>_xlfn.COMPOUNDVALUE(643)</f>
        <v>5161</v>
      </c>
      <c r="G103" s="132">
        <v>17675258</v>
      </c>
      <c r="H103" s="131">
        <f>_xlfn.COMPOUNDVALUE(644)</f>
        <v>155</v>
      </c>
      <c r="I103" s="133">
        <v>1722296</v>
      </c>
      <c r="J103" s="131">
        <v>269</v>
      </c>
      <c r="K103" s="133">
        <v>37300</v>
      </c>
      <c r="L103" s="131">
        <f>_xlfn.COMPOUNDVALUE(644)</f>
        <v>5353</v>
      </c>
      <c r="M103" s="133">
        <v>15990261</v>
      </c>
      <c r="N103" s="77" t="s">
        <v>125</v>
      </c>
    </row>
    <row r="104" spans="1:14" ht="15.75" customHeight="1">
      <c r="A104" s="78"/>
      <c r="B104" s="131"/>
      <c r="C104" s="132"/>
      <c r="D104" s="131"/>
      <c r="E104" s="132"/>
      <c r="F104" s="131"/>
      <c r="G104" s="132"/>
      <c r="H104" s="131"/>
      <c r="I104" s="133"/>
      <c r="J104" s="131"/>
      <c r="K104" s="133"/>
      <c r="L104" s="131"/>
      <c r="M104" s="133"/>
      <c r="N104" s="77" t="s">
        <v>40</v>
      </c>
    </row>
    <row r="105" spans="1:14" ht="15.75" customHeight="1">
      <c r="A105" s="78" t="s">
        <v>126</v>
      </c>
      <c r="B105" s="131">
        <f>_xlfn.COMPOUNDVALUE(645)</f>
        <v>5468</v>
      </c>
      <c r="C105" s="132">
        <v>25542052</v>
      </c>
      <c r="D105" s="131">
        <f>_xlfn.COMPOUNDVALUE(646)</f>
        <v>3021</v>
      </c>
      <c r="E105" s="132">
        <v>1505663</v>
      </c>
      <c r="F105" s="131">
        <f>_xlfn.COMPOUNDVALUE(647)</f>
        <v>8489</v>
      </c>
      <c r="G105" s="132">
        <v>27047715</v>
      </c>
      <c r="H105" s="131">
        <f>_xlfn.COMPOUNDVALUE(648)</f>
        <v>435</v>
      </c>
      <c r="I105" s="133">
        <v>12489768</v>
      </c>
      <c r="J105" s="131">
        <v>417</v>
      </c>
      <c r="K105" s="133">
        <v>36149</v>
      </c>
      <c r="L105" s="131">
        <f>_xlfn.COMPOUNDVALUE(648)</f>
        <v>9007</v>
      </c>
      <c r="M105" s="133">
        <v>14594096</v>
      </c>
      <c r="N105" s="77" t="s">
        <v>126</v>
      </c>
    </row>
    <row r="106" spans="1:14" ht="15.75" customHeight="1">
      <c r="A106" s="78" t="s">
        <v>127</v>
      </c>
      <c r="B106" s="131">
        <f>_xlfn.COMPOUNDVALUE(649)</f>
        <v>2624</v>
      </c>
      <c r="C106" s="132">
        <v>19424621</v>
      </c>
      <c r="D106" s="131">
        <f>_xlfn.COMPOUNDVALUE(650)</f>
        <v>1353</v>
      </c>
      <c r="E106" s="132">
        <v>673221</v>
      </c>
      <c r="F106" s="131">
        <f>_xlfn.COMPOUNDVALUE(651)</f>
        <v>3977</v>
      </c>
      <c r="G106" s="132">
        <v>20097843</v>
      </c>
      <c r="H106" s="131">
        <f>_xlfn.COMPOUNDVALUE(652)</f>
        <v>183</v>
      </c>
      <c r="I106" s="133">
        <v>3651738</v>
      </c>
      <c r="J106" s="131">
        <v>222</v>
      </c>
      <c r="K106" s="133">
        <v>27701</v>
      </c>
      <c r="L106" s="131">
        <f>_xlfn.COMPOUNDVALUE(652)</f>
        <v>4195</v>
      </c>
      <c r="M106" s="133">
        <v>16473806</v>
      </c>
      <c r="N106" s="77" t="s">
        <v>127</v>
      </c>
    </row>
    <row r="107" spans="1:14" ht="15.75" customHeight="1">
      <c r="A107" s="78" t="s">
        <v>128</v>
      </c>
      <c r="B107" s="131">
        <f>_xlfn.COMPOUNDVALUE(653)</f>
        <v>4214</v>
      </c>
      <c r="C107" s="132">
        <v>21784134</v>
      </c>
      <c r="D107" s="131">
        <f>_xlfn.COMPOUNDVALUE(654)</f>
        <v>2243</v>
      </c>
      <c r="E107" s="132">
        <v>1122687</v>
      </c>
      <c r="F107" s="131">
        <f>_xlfn.COMPOUNDVALUE(655)</f>
        <v>6457</v>
      </c>
      <c r="G107" s="132">
        <v>22906822</v>
      </c>
      <c r="H107" s="131">
        <f>_xlfn.COMPOUNDVALUE(656)</f>
        <v>382</v>
      </c>
      <c r="I107" s="133">
        <v>3903037</v>
      </c>
      <c r="J107" s="131">
        <v>304</v>
      </c>
      <c r="K107" s="133">
        <v>37581</v>
      </c>
      <c r="L107" s="131">
        <f>_xlfn.COMPOUNDVALUE(656)</f>
        <v>6905</v>
      </c>
      <c r="M107" s="133">
        <v>19041366</v>
      </c>
      <c r="N107" s="77" t="s">
        <v>128</v>
      </c>
    </row>
    <row r="108" spans="1:14" ht="15.75" customHeight="1">
      <c r="A108" s="165" t="s">
        <v>183</v>
      </c>
      <c r="B108" s="166">
        <v>75225</v>
      </c>
      <c r="C108" s="167">
        <v>635653238</v>
      </c>
      <c r="D108" s="166">
        <v>39429</v>
      </c>
      <c r="E108" s="167">
        <v>19114777</v>
      </c>
      <c r="F108" s="166">
        <v>114654</v>
      </c>
      <c r="G108" s="167">
        <v>654768015</v>
      </c>
      <c r="H108" s="166">
        <v>7440</v>
      </c>
      <c r="I108" s="168">
        <v>252914257</v>
      </c>
      <c r="J108" s="166">
        <v>6197</v>
      </c>
      <c r="K108" s="168">
        <v>451511</v>
      </c>
      <c r="L108" s="166">
        <v>123203</v>
      </c>
      <c r="M108" s="168">
        <v>402305270</v>
      </c>
      <c r="N108" s="169" t="s">
        <v>130</v>
      </c>
    </row>
    <row r="109" spans="1:14" ht="15.75" customHeight="1">
      <c r="A109" s="170"/>
      <c r="B109" s="171"/>
      <c r="C109" s="172"/>
      <c r="D109" s="171"/>
      <c r="E109" s="172"/>
      <c r="F109" s="173"/>
      <c r="G109" s="172"/>
      <c r="H109" s="173"/>
      <c r="I109" s="172"/>
      <c r="J109" s="173"/>
      <c r="K109" s="172"/>
      <c r="L109" s="173"/>
      <c r="M109" s="172"/>
      <c r="N109" s="174"/>
    </row>
    <row r="110" spans="1:14" ht="15.75" customHeight="1">
      <c r="A110" s="76" t="s">
        <v>131</v>
      </c>
      <c r="B110" s="126">
        <f>_xlfn.COMPOUNDVALUE(657)</f>
        <v>4552</v>
      </c>
      <c r="C110" s="127">
        <v>24221095</v>
      </c>
      <c r="D110" s="126">
        <f>_xlfn.COMPOUNDVALUE(658)</f>
        <v>1900</v>
      </c>
      <c r="E110" s="127">
        <v>963670</v>
      </c>
      <c r="F110" s="126">
        <f>_xlfn.COMPOUNDVALUE(659)</f>
        <v>6452</v>
      </c>
      <c r="G110" s="127">
        <v>25184765</v>
      </c>
      <c r="H110" s="126">
        <f>_xlfn.COMPOUNDVALUE(660)</f>
        <v>334</v>
      </c>
      <c r="I110" s="128">
        <v>2424054</v>
      </c>
      <c r="J110" s="126">
        <v>347</v>
      </c>
      <c r="K110" s="128">
        <v>19119</v>
      </c>
      <c r="L110" s="126">
        <f>_xlfn.COMPOUNDVALUE(660)</f>
        <v>6841</v>
      </c>
      <c r="M110" s="128">
        <v>22779830</v>
      </c>
      <c r="N110" s="86" t="s">
        <v>131</v>
      </c>
    </row>
    <row r="111" spans="1:14" ht="15.75" customHeight="1">
      <c r="A111" s="78" t="s">
        <v>132</v>
      </c>
      <c r="B111" s="131">
        <f>_xlfn.COMPOUNDVALUE(661)</f>
        <v>1111</v>
      </c>
      <c r="C111" s="132">
        <v>4466365</v>
      </c>
      <c r="D111" s="131">
        <f>_xlfn.COMPOUNDVALUE(662)</f>
        <v>452</v>
      </c>
      <c r="E111" s="132">
        <v>215012</v>
      </c>
      <c r="F111" s="131">
        <f>_xlfn.COMPOUNDVALUE(663)</f>
        <v>1563</v>
      </c>
      <c r="G111" s="132">
        <v>4681377</v>
      </c>
      <c r="H111" s="131">
        <f>_xlfn.COMPOUNDVALUE(664)</f>
        <v>70</v>
      </c>
      <c r="I111" s="133">
        <v>473413</v>
      </c>
      <c r="J111" s="131">
        <v>77</v>
      </c>
      <c r="K111" s="133">
        <v>6943</v>
      </c>
      <c r="L111" s="131">
        <f>_xlfn.COMPOUNDVALUE(664)</f>
        <v>1642</v>
      </c>
      <c r="M111" s="133">
        <v>4214907</v>
      </c>
      <c r="N111" s="77" t="s">
        <v>132</v>
      </c>
    </row>
    <row r="112" spans="1:14" ht="15.75" customHeight="1">
      <c r="A112" s="78" t="s">
        <v>133</v>
      </c>
      <c r="B112" s="131">
        <f>_xlfn.COMPOUNDVALUE(665)</f>
        <v>1974</v>
      </c>
      <c r="C112" s="132">
        <v>8453451</v>
      </c>
      <c r="D112" s="131">
        <f>_xlfn.COMPOUNDVALUE(666)</f>
        <v>961</v>
      </c>
      <c r="E112" s="132">
        <v>480368</v>
      </c>
      <c r="F112" s="131">
        <f>_xlfn.COMPOUNDVALUE(667)</f>
        <v>2935</v>
      </c>
      <c r="G112" s="132">
        <v>8933819</v>
      </c>
      <c r="H112" s="131">
        <f>_xlfn.COMPOUNDVALUE(668)</f>
        <v>133</v>
      </c>
      <c r="I112" s="133">
        <v>8777676</v>
      </c>
      <c r="J112" s="131">
        <v>221</v>
      </c>
      <c r="K112" s="133">
        <v>28735</v>
      </c>
      <c r="L112" s="131">
        <f>_xlfn.COMPOUNDVALUE(668)</f>
        <v>3111</v>
      </c>
      <c r="M112" s="133">
        <v>184878</v>
      </c>
      <c r="N112" s="77" t="s">
        <v>133</v>
      </c>
    </row>
    <row r="113" spans="1:14" ht="15.75" customHeight="1">
      <c r="A113" s="78" t="s">
        <v>134</v>
      </c>
      <c r="B113" s="131">
        <f>_xlfn.COMPOUNDVALUE(669)</f>
        <v>482</v>
      </c>
      <c r="C113" s="132">
        <v>1844965</v>
      </c>
      <c r="D113" s="131">
        <f>_xlfn.COMPOUNDVALUE(670)</f>
        <v>230</v>
      </c>
      <c r="E113" s="132">
        <v>106876</v>
      </c>
      <c r="F113" s="131">
        <f>_xlfn.COMPOUNDVALUE(671)</f>
        <v>712</v>
      </c>
      <c r="G113" s="132">
        <v>1951841</v>
      </c>
      <c r="H113" s="131">
        <f>_xlfn.COMPOUNDVALUE(672)</f>
        <v>21</v>
      </c>
      <c r="I113" s="133">
        <v>11284</v>
      </c>
      <c r="J113" s="131">
        <v>59</v>
      </c>
      <c r="K113" s="133">
        <v>2648</v>
      </c>
      <c r="L113" s="131">
        <f>_xlfn.COMPOUNDVALUE(672)</f>
        <v>737</v>
      </c>
      <c r="M113" s="133">
        <v>1943205</v>
      </c>
      <c r="N113" s="77" t="s">
        <v>134</v>
      </c>
    </row>
    <row r="114" spans="1:14" ht="15.75" customHeight="1">
      <c r="A114" s="79" t="s">
        <v>184</v>
      </c>
      <c r="B114" s="134">
        <v>8119</v>
      </c>
      <c r="C114" s="135">
        <v>38985875</v>
      </c>
      <c r="D114" s="134">
        <v>3543</v>
      </c>
      <c r="E114" s="135">
        <v>1765926</v>
      </c>
      <c r="F114" s="134">
        <v>11662</v>
      </c>
      <c r="G114" s="135">
        <v>40751801</v>
      </c>
      <c r="H114" s="134">
        <v>558</v>
      </c>
      <c r="I114" s="136">
        <v>11686427</v>
      </c>
      <c r="J114" s="134">
        <v>704</v>
      </c>
      <c r="K114" s="136">
        <v>57445</v>
      </c>
      <c r="L114" s="134">
        <v>12331</v>
      </c>
      <c r="M114" s="136">
        <v>29122819</v>
      </c>
      <c r="N114" s="84" t="s">
        <v>136</v>
      </c>
    </row>
    <row r="115" spans="1:14" ht="15.75" customHeight="1" thickBot="1">
      <c r="A115" s="80"/>
      <c r="B115" s="142"/>
      <c r="C115" s="143"/>
      <c r="D115" s="142"/>
      <c r="E115" s="143"/>
      <c r="F115" s="144"/>
      <c r="G115" s="143"/>
      <c r="H115" s="144"/>
      <c r="I115" s="143"/>
      <c r="J115" s="144"/>
      <c r="K115" s="143"/>
      <c r="L115" s="144"/>
      <c r="M115" s="143"/>
      <c r="N115" s="90"/>
    </row>
    <row r="116" spans="1:14" ht="15.75" customHeight="1" thickBot="1" thickTop="1">
      <c r="A116" s="82" t="s">
        <v>185</v>
      </c>
      <c r="B116" s="148">
        <v>380778</v>
      </c>
      <c r="C116" s="149">
        <v>6178234219</v>
      </c>
      <c r="D116" s="148">
        <v>157285</v>
      </c>
      <c r="E116" s="149">
        <v>81572397</v>
      </c>
      <c r="F116" s="148">
        <v>538063</v>
      </c>
      <c r="G116" s="149">
        <v>6259806616</v>
      </c>
      <c r="H116" s="148">
        <v>50053</v>
      </c>
      <c r="I116" s="150">
        <v>2160825496</v>
      </c>
      <c r="J116" s="148">
        <v>33171</v>
      </c>
      <c r="K116" s="150">
        <v>3931704</v>
      </c>
      <c r="L116" s="148">
        <v>594284</v>
      </c>
      <c r="M116" s="150">
        <v>4102912824</v>
      </c>
      <c r="N116" s="91" t="s">
        <v>39</v>
      </c>
    </row>
    <row r="117" spans="1:14" ht="13.5">
      <c r="A117" s="247" t="s">
        <v>155</v>
      </c>
      <c r="B117" s="247"/>
      <c r="C117" s="247"/>
      <c r="D117" s="247"/>
      <c r="E117" s="247"/>
      <c r="F117" s="247"/>
      <c r="G117" s="247"/>
      <c r="H117" s="247"/>
      <c r="I117" s="247"/>
      <c r="J117" s="66"/>
      <c r="K117" s="66"/>
      <c r="L117" s="65"/>
      <c r="M117" s="65"/>
      <c r="N117" s="65"/>
    </row>
  </sheetData>
  <sheetProtection/>
  <mergeCells count="11">
    <mergeCell ref="N3:N5"/>
    <mergeCell ref="B4:C4"/>
    <mergeCell ref="D4:E4"/>
    <mergeCell ref="F4:G4"/>
    <mergeCell ref="A117:I117"/>
    <mergeCell ref="A2:I2"/>
    <mergeCell ref="A3:A5"/>
    <mergeCell ref="B3:G3"/>
    <mergeCell ref="H3:I4"/>
    <mergeCell ref="J3:K4"/>
    <mergeCell ref="L3:M4"/>
  </mergeCells>
  <printOptions horizontalCentered="1"/>
  <pageMargins left="0.7874015748031497" right="0.7874015748031497" top="0.7874015748031497" bottom="0.8267716535433072" header="0.5118110236220472" footer="0.31496062992125984"/>
  <pageSetup fitToHeight="3" horizontalDpi="600" verticalDpi="600" orientation="landscape" paperSize="9" scale="71" r:id="rId1"/>
  <headerFooter alignWithMargins="0">
    <oddFooter>&amp;R東京国税局
消費税
(H26)</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zoomScalePageLayoutView="0" workbookViewId="0" topLeftCell="A1">
      <selection activeCell="A1" sqref="A1"/>
    </sheetView>
  </sheetViews>
  <sheetFormatPr defaultColWidth="9.00390625" defaultRowHeight="13.5"/>
  <cols>
    <col min="1" max="1" width="10.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7" width="10.625" style="125" customWidth="1"/>
    <col min="18" max="18" width="10.375" style="125" customWidth="1"/>
    <col min="19" max="16384" width="9.00390625" style="125" customWidth="1"/>
  </cols>
  <sheetData>
    <row r="1" spans="1:16" ht="13.5">
      <c r="A1" s="64" t="s">
        <v>150</v>
      </c>
      <c r="B1" s="64"/>
      <c r="C1" s="64"/>
      <c r="D1" s="64"/>
      <c r="E1" s="64"/>
      <c r="F1" s="64"/>
      <c r="G1" s="64"/>
      <c r="H1" s="64"/>
      <c r="I1" s="64"/>
      <c r="J1" s="64"/>
      <c r="K1" s="64"/>
      <c r="L1" s="65"/>
      <c r="M1" s="65"/>
      <c r="N1" s="65"/>
      <c r="O1" s="65"/>
      <c r="P1" s="65"/>
    </row>
    <row r="2" spans="1:16" ht="14.25" thickBot="1">
      <c r="A2" s="248" t="s">
        <v>28</v>
      </c>
      <c r="B2" s="248"/>
      <c r="C2" s="248"/>
      <c r="D2" s="248"/>
      <c r="E2" s="248"/>
      <c r="F2" s="248"/>
      <c r="G2" s="248"/>
      <c r="H2" s="248"/>
      <c r="I2" s="248"/>
      <c r="J2" s="66"/>
      <c r="K2" s="66"/>
      <c r="L2" s="65"/>
      <c r="M2" s="65"/>
      <c r="N2" s="65"/>
      <c r="O2" s="65"/>
      <c r="P2" s="65"/>
    </row>
    <row r="3" spans="1:18" ht="19.5" customHeight="1">
      <c r="A3" s="233" t="s">
        <v>29</v>
      </c>
      <c r="B3" s="236" t="s">
        <v>30</v>
      </c>
      <c r="C3" s="236"/>
      <c r="D3" s="236"/>
      <c r="E3" s="236"/>
      <c r="F3" s="236"/>
      <c r="G3" s="236"/>
      <c r="H3" s="236" t="s">
        <v>13</v>
      </c>
      <c r="I3" s="236"/>
      <c r="J3" s="249" t="s">
        <v>31</v>
      </c>
      <c r="K3" s="236"/>
      <c r="L3" s="236" t="s">
        <v>32</v>
      </c>
      <c r="M3" s="236"/>
      <c r="N3" s="250" t="s">
        <v>151</v>
      </c>
      <c r="O3" s="251"/>
      <c r="P3" s="251"/>
      <c r="Q3" s="251"/>
      <c r="R3" s="242" t="s">
        <v>33</v>
      </c>
    </row>
    <row r="4" spans="1:18" ht="17.25" customHeight="1">
      <c r="A4" s="234"/>
      <c r="B4" s="245" t="s">
        <v>16</v>
      </c>
      <c r="C4" s="245"/>
      <c r="D4" s="245" t="s">
        <v>34</v>
      </c>
      <c r="E4" s="245"/>
      <c r="F4" s="245" t="s">
        <v>35</v>
      </c>
      <c r="G4" s="245"/>
      <c r="H4" s="245"/>
      <c r="I4" s="245"/>
      <c r="J4" s="245"/>
      <c r="K4" s="245"/>
      <c r="L4" s="245"/>
      <c r="M4" s="245"/>
      <c r="N4" s="252" t="s">
        <v>36</v>
      </c>
      <c r="O4" s="254" t="s">
        <v>152</v>
      </c>
      <c r="P4" s="256" t="s">
        <v>153</v>
      </c>
      <c r="Q4" s="240" t="s">
        <v>37</v>
      </c>
      <c r="R4" s="243"/>
    </row>
    <row r="5" spans="1:18" ht="28.5" customHeight="1">
      <c r="A5" s="235"/>
      <c r="B5" s="67" t="s">
        <v>38</v>
      </c>
      <c r="C5" s="68" t="s">
        <v>141</v>
      </c>
      <c r="D5" s="67" t="s">
        <v>38</v>
      </c>
      <c r="E5" s="68" t="s">
        <v>141</v>
      </c>
      <c r="F5" s="67" t="s">
        <v>38</v>
      </c>
      <c r="G5" s="68" t="s">
        <v>142</v>
      </c>
      <c r="H5" s="67" t="s">
        <v>38</v>
      </c>
      <c r="I5" s="68" t="s">
        <v>143</v>
      </c>
      <c r="J5" s="67" t="s">
        <v>38</v>
      </c>
      <c r="K5" s="68" t="s">
        <v>144</v>
      </c>
      <c r="L5" s="67" t="s">
        <v>38</v>
      </c>
      <c r="M5" s="69" t="s">
        <v>154</v>
      </c>
      <c r="N5" s="253"/>
      <c r="O5" s="255"/>
      <c r="P5" s="257"/>
      <c r="Q5" s="258"/>
      <c r="R5" s="244"/>
    </row>
    <row r="6" spans="1:18" s="95" customFormat="1" ht="10.5">
      <c r="A6" s="70"/>
      <c r="B6" s="71" t="s">
        <v>4</v>
      </c>
      <c r="C6" s="72" t="s">
        <v>5</v>
      </c>
      <c r="D6" s="71" t="s">
        <v>4</v>
      </c>
      <c r="E6" s="72" t="s">
        <v>5</v>
      </c>
      <c r="F6" s="71" t="s">
        <v>4</v>
      </c>
      <c r="G6" s="72" t="s">
        <v>5</v>
      </c>
      <c r="H6" s="71" t="s">
        <v>4</v>
      </c>
      <c r="I6" s="72" t="s">
        <v>5</v>
      </c>
      <c r="J6" s="71" t="s">
        <v>4</v>
      </c>
      <c r="K6" s="72" t="s">
        <v>5</v>
      </c>
      <c r="L6" s="71" t="s">
        <v>4</v>
      </c>
      <c r="M6" s="72" t="s">
        <v>5</v>
      </c>
      <c r="N6" s="71" t="s">
        <v>4</v>
      </c>
      <c r="O6" s="73" t="s">
        <v>4</v>
      </c>
      <c r="P6" s="73" t="s">
        <v>4</v>
      </c>
      <c r="Q6" s="74" t="s">
        <v>4</v>
      </c>
      <c r="R6" s="75"/>
    </row>
    <row r="7" spans="1:18" ht="15.75" customHeight="1">
      <c r="A7" s="98" t="s">
        <v>41</v>
      </c>
      <c r="B7" s="126">
        <f>_xlfn.COMPOUNDVALUE(673)</f>
        <v>5500</v>
      </c>
      <c r="C7" s="127">
        <v>30341682</v>
      </c>
      <c r="D7" s="126">
        <f>_xlfn.COMPOUNDVALUE(674)</f>
        <v>3514</v>
      </c>
      <c r="E7" s="127">
        <v>1718736</v>
      </c>
      <c r="F7" s="126">
        <f>_xlfn.COMPOUNDVALUE(675)</f>
        <v>9014</v>
      </c>
      <c r="G7" s="127">
        <v>32060418</v>
      </c>
      <c r="H7" s="126">
        <f>_xlfn.COMPOUNDVALUE(676)</f>
        <v>522</v>
      </c>
      <c r="I7" s="128">
        <v>1405346</v>
      </c>
      <c r="J7" s="126">
        <v>576</v>
      </c>
      <c r="K7" s="128">
        <v>65115</v>
      </c>
      <c r="L7" s="126">
        <f>_xlfn.COMPOUNDVALUE(676)</f>
        <v>9714</v>
      </c>
      <c r="M7" s="128">
        <v>30720187</v>
      </c>
      <c r="N7" s="126">
        <v>9971</v>
      </c>
      <c r="O7" s="129">
        <v>342</v>
      </c>
      <c r="P7" s="129">
        <v>44</v>
      </c>
      <c r="Q7" s="130">
        <v>10357</v>
      </c>
      <c r="R7" s="97" t="s">
        <v>41</v>
      </c>
    </row>
    <row r="8" spans="1:18" ht="15.75" customHeight="1">
      <c r="A8" s="76" t="s">
        <v>42</v>
      </c>
      <c r="B8" s="126">
        <f>_xlfn.COMPOUNDVALUE(677)</f>
        <v>4730</v>
      </c>
      <c r="C8" s="127">
        <v>24013410</v>
      </c>
      <c r="D8" s="126">
        <f>_xlfn.COMPOUNDVALUE(678)</f>
        <v>3383</v>
      </c>
      <c r="E8" s="127">
        <v>1546227</v>
      </c>
      <c r="F8" s="126">
        <f>_xlfn.COMPOUNDVALUE(679)</f>
        <v>8113</v>
      </c>
      <c r="G8" s="127">
        <v>25559637</v>
      </c>
      <c r="H8" s="126">
        <f>_xlfn.COMPOUNDVALUE(680)</f>
        <v>371</v>
      </c>
      <c r="I8" s="128">
        <v>1141372</v>
      </c>
      <c r="J8" s="126">
        <v>553</v>
      </c>
      <c r="K8" s="128">
        <v>86225</v>
      </c>
      <c r="L8" s="126">
        <f>_xlfn.COMPOUNDVALUE(680)</f>
        <v>8722</v>
      </c>
      <c r="M8" s="128">
        <v>24504490</v>
      </c>
      <c r="N8" s="126">
        <v>8990</v>
      </c>
      <c r="O8" s="129">
        <v>222</v>
      </c>
      <c r="P8" s="129">
        <v>19</v>
      </c>
      <c r="Q8" s="130">
        <v>9231</v>
      </c>
      <c r="R8" s="77" t="s">
        <v>42</v>
      </c>
    </row>
    <row r="9" spans="1:18" ht="15.75" customHeight="1">
      <c r="A9" s="76" t="s">
        <v>43</v>
      </c>
      <c r="B9" s="126">
        <f>_xlfn.COMPOUNDVALUE(681)</f>
        <v>5276</v>
      </c>
      <c r="C9" s="127">
        <v>57957718</v>
      </c>
      <c r="D9" s="126">
        <f>_xlfn.COMPOUNDVALUE(682)</f>
        <v>3742</v>
      </c>
      <c r="E9" s="127">
        <v>1643778</v>
      </c>
      <c r="F9" s="126">
        <f>_xlfn.COMPOUNDVALUE(683)</f>
        <v>9018</v>
      </c>
      <c r="G9" s="127">
        <v>59601496</v>
      </c>
      <c r="H9" s="126">
        <f>_xlfn.COMPOUNDVALUE(684)</f>
        <v>586</v>
      </c>
      <c r="I9" s="128">
        <v>4119166</v>
      </c>
      <c r="J9" s="126">
        <v>679</v>
      </c>
      <c r="K9" s="128">
        <v>-108671</v>
      </c>
      <c r="L9" s="126">
        <f>_xlfn.COMPOUNDVALUE(684)</f>
        <v>9814</v>
      </c>
      <c r="M9" s="128">
        <v>55373659</v>
      </c>
      <c r="N9" s="126">
        <v>9830</v>
      </c>
      <c r="O9" s="129">
        <v>334</v>
      </c>
      <c r="P9" s="129">
        <v>31</v>
      </c>
      <c r="Q9" s="130">
        <v>10195</v>
      </c>
      <c r="R9" s="77" t="s">
        <v>43</v>
      </c>
    </row>
    <row r="10" spans="1:18" ht="15.75" customHeight="1">
      <c r="A10" s="76" t="s">
        <v>44</v>
      </c>
      <c r="B10" s="126">
        <f>_xlfn.COMPOUNDVALUE(685)</f>
        <v>2599</v>
      </c>
      <c r="C10" s="127">
        <v>7463352</v>
      </c>
      <c r="D10" s="126">
        <f>_xlfn.COMPOUNDVALUE(686)</f>
        <v>3411</v>
      </c>
      <c r="E10" s="127">
        <v>1220167</v>
      </c>
      <c r="F10" s="126">
        <f>_xlfn.COMPOUNDVALUE(687)</f>
        <v>6010</v>
      </c>
      <c r="G10" s="127">
        <v>8683519</v>
      </c>
      <c r="H10" s="126">
        <f>_xlfn.COMPOUNDVALUE(688)</f>
        <v>162</v>
      </c>
      <c r="I10" s="128">
        <v>540382</v>
      </c>
      <c r="J10" s="126">
        <v>321</v>
      </c>
      <c r="K10" s="128">
        <v>7364</v>
      </c>
      <c r="L10" s="126">
        <f>_xlfn.COMPOUNDVALUE(688)</f>
        <v>6218</v>
      </c>
      <c r="M10" s="128">
        <v>8150500</v>
      </c>
      <c r="N10" s="126">
        <v>6070</v>
      </c>
      <c r="O10" s="129">
        <v>94</v>
      </c>
      <c r="P10" s="129">
        <v>11</v>
      </c>
      <c r="Q10" s="130">
        <v>6175</v>
      </c>
      <c r="R10" s="77" t="s">
        <v>44</v>
      </c>
    </row>
    <row r="11" spans="1:18" ht="15.75" customHeight="1">
      <c r="A11" s="76" t="s">
        <v>45</v>
      </c>
      <c r="B11" s="126">
        <f>_xlfn.COMPOUNDVALUE(689)</f>
        <v>5619</v>
      </c>
      <c r="C11" s="127">
        <v>39410991</v>
      </c>
      <c r="D11" s="126">
        <f>_xlfn.COMPOUNDVALUE(690)</f>
        <v>4471</v>
      </c>
      <c r="E11" s="127">
        <v>2056527</v>
      </c>
      <c r="F11" s="126">
        <f>_xlfn.COMPOUNDVALUE(691)</f>
        <v>10090</v>
      </c>
      <c r="G11" s="127">
        <v>41467518</v>
      </c>
      <c r="H11" s="126">
        <f>_xlfn.COMPOUNDVALUE(692)</f>
        <v>539</v>
      </c>
      <c r="I11" s="128">
        <v>1875703</v>
      </c>
      <c r="J11" s="126">
        <v>654</v>
      </c>
      <c r="K11" s="128">
        <v>168764</v>
      </c>
      <c r="L11" s="126">
        <f>_xlfn.COMPOUNDVALUE(692)</f>
        <v>10816</v>
      </c>
      <c r="M11" s="128">
        <v>39760580</v>
      </c>
      <c r="N11" s="126">
        <v>11257</v>
      </c>
      <c r="O11" s="129">
        <v>343</v>
      </c>
      <c r="P11" s="129">
        <v>36</v>
      </c>
      <c r="Q11" s="130">
        <v>11636</v>
      </c>
      <c r="R11" s="77" t="s">
        <v>45</v>
      </c>
    </row>
    <row r="12" spans="1:18" ht="15.75" customHeight="1">
      <c r="A12" s="76"/>
      <c r="B12" s="126"/>
      <c r="C12" s="127"/>
      <c r="D12" s="126"/>
      <c r="E12" s="127"/>
      <c r="F12" s="126"/>
      <c r="G12" s="127"/>
      <c r="H12" s="126"/>
      <c r="I12" s="128"/>
      <c r="J12" s="126"/>
      <c r="K12" s="128"/>
      <c r="L12" s="126"/>
      <c r="M12" s="128"/>
      <c r="N12" s="126"/>
      <c r="O12" s="129"/>
      <c r="P12" s="129"/>
      <c r="Q12" s="130"/>
      <c r="R12" s="77" t="s">
        <v>40</v>
      </c>
    </row>
    <row r="13" spans="1:18" ht="15.75" customHeight="1">
      <c r="A13" s="76" t="s">
        <v>46</v>
      </c>
      <c r="B13" s="126">
        <f>_xlfn.COMPOUNDVALUE(693)</f>
        <v>5126</v>
      </c>
      <c r="C13" s="127">
        <v>20103274</v>
      </c>
      <c r="D13" s="126">
        <f>_xlfn.COMPOUNDVALUE(694)</f>
        <v>4178</v>
      </c>
      <c r="E13" s="127">
        <v>1839121</v>
      </c>
      <c r="F13" s="126">
        <f>_xlfn.COMPOUNDVALUE(695)</f>
        <v>9304</v>
      </c>
      <c r="G13" s="127">
        <v>21942395</v>
      </c>
      <c r="H13" s="126">
        <f>_xlfn.COMPOUNDVALUE(696)</f>
        <v>492</v>
      </c>
      <c r="I13" s="128">
        <v>2640229</v>
      </c>
      <c r="J13" s="126">
        <v>650</v>
      </c>
      <c r="K13" s="128">
        <v>91431</v>
      </c>
      <c r="L13" s="126">
        <f>_xlfn.COMPOUNDVALUE(696)</f>
        <v>10068</v>
      </c>
      <c r="M13" s="128">
        <v>19393596</v>
      </c>
      <c r="N13" s="126">
        <v>9826</v>
      </c>
      <c r="O13" s="129">
        <v>292</v>
      </c>
      <c r="P13" s="129">
        <v>44</v>
      </c>
      <c r="Q13" s="130">
        <v>10162</v>
      </c>
      <c r="R13" s="77" t="s">
        <v>46</v>
      </c>
    </row>
    <row r="14" spans="1:18" ht="15.75" customHeight="1">
      <c r="A14" s="76" t="s">
        <v>47</v>
      </c>
      <c r="B14" s="126">
        <f>_xlfn.COMPOUNDVALUE(697)</f>
        <v>1788</v>
      </c>
      <c r="C14" s="127">
        <v>4212470</v>
      </c>
      <c r="D14" s="126">
        <f>_xlfn.COMPOUNDVALUE(698)</f>
        <v>1561</v>
      </c>
      <c r="E14" s="127">
        <v>601836</v>
      </c>
      <c r="F14" s="126">
        <f>_xlfn.COMPOUNDVALUE(699)</f>
        <v>3349</v>
      </c>
      <c r="G14" s="127">
        <v>4814307</v>
      </c>
      <c r="H14" s="126">
        <f>_xlfn.COMPOUNDVALUE(700)</f>
        <v>80</v>
      </c>
      <c r="I14" s="128">
        <v>93755</v>
      </c>
      <c r="J14" s="126">
        <v>185</v>
      </c>
      <c r="K14" s="128">
        <v>14748</v>
      </c>
      <c r="L14" s="126">
        <f>_xlfn.COMPOUNDVALUE(700)</f>
        <v>3487</v>
      </c>
      <c r="M14" s="128">
        <v>4735300</v>
      </c>
      <c r="N14" s="126">
        <v>3482</v>
      </c>
      <c r="O14" s="129">
        <v>71</v>
      </c>
      <c r="P14" s="129">
        <v>5</v>
      </c>
      <c r="Q14" s="130">
        <v>3558</v>
      </c>
      <c r="R14" s="77" t="s">
        <v>47</v>
      </c>
    </row>
    <row r="15" spans="1:18" ht="15.75" customHeight="1">
      <c r="A15" s="76" t="s">
        <v>48</v>
      </c>
      <c r="B15" s="126">
        <f>_xlfn.COMPOUNDVALUE(701)</f>
        <v>3488</v>
      </c>
      <c r="C15" s="127">
        <v>12623865</v>
      </c>
      <c r="D15" s="126">
        <f>_xlfn.COMPOUNDVALUE(702)</f>
        <v>2943</v>
      </c>
      <c r="E15" s="127">
        <v>1273173</v>
      </c>
      <c r="F15" s="126">
        <f>_xlfn.COMPOUNDVALUE(703)</f>
        <v>6431</v>
      </c>
      <c r="G15" s="127">
        <v>13897039</v>
      </c>
      <c r="H15" s="126">
        <f>_xlfn.COMPOUNDVALUE(704)</f>
        <v>235</v>
      </c>
      <c r="I15" s="128">
        <v>2293162</v>
      </c>
      <c r="J15" s="126">
        <v>509</v>
      </c>
      <c r="K15" s="128">
        <v>73137</v>
      </c>
      <c r="L15" s="126">
        <f>_xlfn.COMPOUNDVALUE(704)</f>
        <v>6878</v>
      </c>
      <c r="M15" s="128">
        <v>11677014</v>
      </c>
      <c r="N15" s="126">
        <v>7000</v>
      </c>
      <c r="O15" s="129">
        <v>156</v>
      </c>
      <c r="P15" s="129">
        <v>16</v>
      </c>
      <c r="Q15" s="130">
        <v>7172</v>
      </c>
      <c r="R15" s="77" t="s">
        <v>48</v>
      </c>
    </row>
    <row r="16" spans="1:18" ht="15.75" customHeight="1">
      <c r="A16" s="78" t="s">
        <v>49</v>
      </c>
      <c r="B16" s="131">
        <f>_xlfn.COMPOUNDVALUE(705)</f>
        <v>6352</v>
      </c>
      <c r="C16" s="132">
        <v>19942404</v>
      </c>
      <c r="D16" s="131">
        <f>_xlfn.COMPOUNDVALUE(706)</f>
        <v>5484</v>
      </c>
      <c r="E16" s="132">
        <v>2440164</v>
      </c>
      <c r="F16" s="131">
        <f>_xlfn.COMPOUNDVALUE(707)</f>
        <v>11836</v>
      </c>
      <c r="G16" s="132">
        <v>22382569</v>
      </c>
      <c r="H16" s="131">
        <f>_xlfn.COMPOUNDVALUE(708)</f>
        <v>608</v>
      </c>
      <c r="I16" s="133">
        <v>2554844</v>
      </c>
      <c r="J16" s="131">
        <v>734</v>
      </c>
      <c r="K16" s="133">
        <v>404508</v>
      </c>
      <c r="L16" s="131">
        <f>_xlfn.COMPOUNDVALUE(708)</f>
        <v>12697</v>
      </c>
      <c r="M16" s="133">
        <v>20232233</v>
      </c>
      <c r="N16" s="126">
        <v>12606</v>
      </c>
      <c r="O16" s="129">
        <v>367</v>
      </c>
      <c r="P16" s="129">
        <v>38</v>
      </c>
      <c r="Q16" s="130">
        <v>13011</v>
      </c>
      <c r="R16" s="77" t="s">
        <v>49</v>
      </c>
    </row>
    <row r="17" spans="1:18" ht="15.75" customHeight="1">
      <c r="A17" s="78" t="s">
        <v>50</v>
      </c>
      <c r="B17" s="131">
        <f>_xlfn.COMPOUNDVALUE(709)</f>
        <v>1604</v>
      </c>
      <c r="C17" s="132">
        <v>4381460</v>
      </c>
      <c r="D17" s="131">
        <f>_xlfn.COMPOUNDVALUE(710)</f>
        <v>1633</v>
      </c>
      <c r="E17" s="132">
        <v>579676</v>
      </c>
      <c r="F17" s="131">
        <f>_xlfn.COMPOUNDVALUE(711)</f>
        <v>3237</v>
      </c>
      <c r="G17" s="132">
        <v>4961135</v>
      </c>
      <c r="H17" s="131">
        <f>_xlfn.COMPOUNDVALUE(712)</f>
        <v>113</v>
      </c>
      <c r="I17" s="133">
        <v>338199</v>
      </c>
      <c r="J17" s="131">
        <v>241</v>
      </c>
      <c r="K17" s="133">
        <v>24868</v>
      </c>
      <c r="L17" s="131">
        <f>_xlfn.COMPOUNDVALUE(712)</f>
        <v>3393</v>
      </c>
      <c r="M17" s="133">
        <v>4647805</v>
      </c>
      <c r="N17" s="126">
        <v>3289</v>
      </c>
      <c r="O17" s="129">
        <v>66</v>
      </c>
      <c r="P17" s="129">
        <v>3</v>
      </c>
      <c r="Q17" s="130">
        <v>3358</v>
      </c>
      <c r="R17" s="77" t="s">
        <v>50</v>
      </c>
    </row>
    <row r="18" spans="1:18" ht="15.75" customHeight="1">
      <c r="A18" s="78"/>
      <c r="B18" s="131"/>
      <c r="C18" s="132"/>
      <c r="D18" s="131"/>
      <c r="E18" s="132"/>
      <c r="F18" s="131"/>
      <c r="G18" s="132"/>
      <c r="H18" s="131"/>
      <c r="I18" s="133"/>
      <c r="J18" s="131"/>
      <c r="K18" s="133"/>
      <c r="L18" s="131"/>
      <c r="M18" s="133"/>
      <c r="N18" s="126"/>
      <c r="O18" s="129"/>
      <c r="P18" s="129"/>
      <c r="Q18" s="130"/>
      <c r="R18" s="77" t="s">
        <v>40</v>
      </c>
    </row>
    <row r="19" spans="1:18" ht="15.75" customHeight="1">
      <c r="A19" s="78" t="s">
        <v>51</v>
      </c>
      <c r="B19" s="131">
        <f>_xlfn.COMPOUNDVALUE(713)</f>
        <v>2520</v>
      </c>
      <c r="C19" s="132">
        <v>6682433</v>
      </c>
      <c r="D19" s="131">
        <f>_xlfn.COMPOUNDVALUE(714)</f>
        <v>2195</v>
      </c>
      <c r="E19" s="132">
        <v>883030</v>
      </c>
      <c r="F19" s="131">
        <f>_xlfn.COMPOUNDVALUE(715)</f>
        <v>4715</v>
      </c>
      <c r="G19" s="132">
        <v>7565463</v>
      </c>
      <c r="H19" s="131">
        <f>_xlfn.COMPOUNDVALUE(716)</f>
        <v>199</v>
      </c>
      <c r="I19" s="133">
        <v>287445</v>
      </c>
      <c r="J19" s="131">
        <v>267</v>
      </c>
      <c r="K19" s="133">
        <v>32280</v>
      </c>
      <c r="L19" s="131">
        <f>_xlfn.COMPOUNDVALUE(716)</f>
        <v>5006</v>
      </c>
      <c r="M19" s="133">
        <v>7310298</v>
      </c>
      <c r="N19" s="126">
        <v>5049</v>
      </c>
      <c r="O19" s="129">
        <v>134</v>
      </c>
      <c r="P19" s="129">
        <v>9</v>
      </c>
      <c r="Q19" s="130">
        <v>5192</v>
      </c>
      <c r="R19" s="77" t="s">
        <v>51</v>
      </c>
    </row>
    <row r="20" spans="1:18" ht="15.75" customHeight="1">
      <c r="A20" s="78" t="s">
        <v>52</v>
      </c>
      <c r="B20" s="131">
        <f>_xlfn.COMPOUNDVALUE(717)</f>
        <v>6639</v>
      </c>
      <c r="C20" s="132">
        <v>21670817</v>
      </c>
      <c r="D20" s="131">
        <f>_xlfn.COMPOUNDVALUE(718)</f>
        <v>5389</v>
      </c>
      <c r="E20" s="132">
        <v>2221539</v>
      </c>
      <c r="F20" s="131">
        <f>_xlfn.COMPOUNDVALUE(719)</f>
        <v>12028</v>
      </c>
      <c r="G20" s="132">
        <v>23892356</v>
      </c>
      <c r="H20" s="131">
        <f>_xlfn.COMPOUNDVALUE(720)</f>
        <v>1115</v>
      </c>
      <c r="I20" s="133">
        <v>9740553</v>
      </c>
      <c r="J20" s="131">
        <v>1086</v>
      </c>
      <c r="K20" s="133">
        <v>-14649</v>
      </c>
      <c r="L20" s="131">
        <f>_xlfn.COMPOUNDVALUE(720)</f>
        <v>13504</v>
      </c>
      <c r="M20" s="133">
        <v>14137154</v>
      </c>
      <c r="N20" s="126">
        <v>13378</v>
      </c>
      <c r="O20" s="129">
        <v>624</v>
      </c>
      <c r="P20" s="129">
        <v>44</v>
      </c>
      <c r="Q20" s="130">
        <v>14046</v>
      </c>
      <c r="R20" s="77" t="s">
        <v>52</v>
      </c>
    </row>
    <row r="21" spans="1:18" ht="15.75" customHeight="1">
      <c r="A21" s="78" t="s">
        <v>53</v>
      </c>
      <c r="B21" s="131">
        <f>_xlfn.COMPOUNDVALUE(721)</f>
        <v>2460</v>
      </c>
      <c r="C21" s="132">
        <v>6608362</v>
      </c>
      <c r="D21" s="131">
        <f>_xlfn.COMPOUNDVALUE(722)</f>
        <v>2427</v>
      </c>
      <c r="E21" s="132">
        <v>901627</v>
      </c>
      <c r="F21" s="131">
        <f>_xlfn.COMPOUNDVALUE(723)</f>
        <v>4887</v>
      </c>
      <c r="G21" s="132">
        <v>7509989</v>
      </c>
      <c r="H21" s="131">
        <f>_xlfn.COMPOUNDVALUE(724)</f>
        <v>191</v>
      </c>
      <c r="I21" s="133">
        <v>354772</v>
      </c>
      <c r="J21" s="131">
        <v>334</v>
      </c>
      <c r="K21" s="133">
        <v>53424</v>
      </c>
      <c r="L21" s="131">
        <f>_xlfn.COMPOUNDVALUE(724)</f>
        <v>5159</v>
      </c>
      <c r="M21" s="133">
        <v>7208641</v>
      </c>
      <c r="N21" s="126">
        <v>5208</v>
      </c>
      <c r="O21" s="129">
        <v>153</v>
      </c>
      <c r="P21" s="129">
        <v>14</v>
      </c>
      <c r="Q21" s="130">
        <v>5375</v>
      </c>
      <c r="R21" s="77" t="s">
        <v>53</v>
      </c>
    </row>
    <row r="22" spans="1:18" ht="15.75" customHeight="1">
      <c r="A22" s="78" t="s">
        <v>176</v>
      </c>
      <c r="B22" s="131">
        <f>_xlfn.COMPOUNDVALUE(725)</f>
        <v>6410</v>
      </c>
      <c r="C22" s="132">
        <v>22270026</v>
      </c>
      <c r="D22" s="131">
        <f>_xlfn.COMPOUNDVALUE(726)</f>
        <v>5271</v>
      </c>
      <c r="E22" s="132">
        <v>2344477</v>
      </c>
      <c r="F22" s="131">
        <f>_xlfn.COMPOUNDVALUE(727)</f>
        <v>11681</v>
      </c>
      <c r="G22" s="132">
        <v>24614502</v>
      </c>
      <c r="H22" s="131">
        <f>_xlfn.COMPOUNDVALUE(728)</f>
        <v>647</v>
      </c>
      <c r="I22" s="133">
        <v>1624559</v>
      </c>
      <c r="J22" s="131">
        <v>746</v>
      </c>
      <c r="K22" s="133">
        <v>28426</v>
      </c>
      <c r="L22" s="131">
        <f>_xlfn.COMPOUNDVALUE(728)</f>
        <v>12584</v>
      </c>
      <c r="M22" s="133">
        <v>23018369</v>
      </c>
      <c r="N22" s="126">
        <v>12508</v>
      </c>
      <c r="O22" s="129">
        <v>422</v>
      </c>
      <c r="P22" s="129">
        <v>35</v>
      </c>
      <c r="Q22" s="130">
        <v>12965</v>
      </c>
      <c r="R22" s="77" t="s">
        <v>54</v>
      </c>
    </row>
    <row r="23" spans="1:18" ht="15.75" customHeight="1">
      <c r="A23" s="165" t="s">
        <v>55</v>
      </c>
      <c r="B23" s="166">
        <v>60111</v>
      </c>
      <c r="C23" s="167">
        <v>277682262</v>
      </c>
      <c r="D23" s="166">
        <v>49602</v>
      </c>
      <c r="E23" s="167">
        <v>21270078</v>
      </c>
      <c r="F23" s="166">
        <v>109713</v>
      </c>
      <c r="G23" s="167">
        <v>298952340</v>
      </c>
      <c r="H23" s="166">
        <v>5860</v>
      </c>
      <c r="I23" s="168">
        <v>29009486</v>
      </c>
      <c r="J23" s="166">
        <v>7535</v>
      </c>
      <c r="K23" s="168">
        <v>926971</v>
      </c>
      <c r="L23" s="166">
        <v>118060</v>
      </c>
      <c r="M23" s="168">
        <v>270869825</v>
      </c>
      <c r="N23" s="166">
        <v>118464</v>
      </c>
      <c r="O23" s="188">
        <v>3620</v>
      </c>
      <c r="P23" s="188">
        <v>349</v>
      </c>
      <c r="Q23" s="189">
        <v>122433</v>
      </c>
      <c r="R23" s="169" t="s">
        <v>56</v>
      </c>
    </row>
    <row r="24" spans="1:18" ht="15.75" customHeight="1">
      <c r="A24" s="170"/>
      <c r="B24" s="171"/>
      <c r="C24" s="172"/>
      <c r="D24" s="171"/>
      <c r="E24" s="172"/>
      <c r="F24" s="173"/>
      <c r="G24" s="172"/>
      <c r="H24" s="173"/>
      <c r="I24" s="172"/>
      <c r="J24" s="173"/>
      <c r="K24" s="172"/>
      <c r="L24" s="173"/>
      <c r="M24" s="172"/>
      <c r="N24" s="190"/>
      <c r="O24" s="191"/>
      <c r="P24" s="191"/>
      <c r="Q24" s="192"/>
      <c r="R24" s="174" t="s">
        <v>40</v>
      </c>
    </row>
    <row r="25" spans="1:18" ht="15.75" customHeight="1">
      <c r="A25" s="76" t="s">
        <v>57</v>
      </c>
      <c r="B25" s="126">
        <f>_xlfn.COMPOUNDVALUE(729)</f>
        <v>10455</v>
      </c>
      <c r="C25" s="127">
        <v>978503254</v>
      </c>
      <c r="D25" s="126">
        <f>_xlfn.COMPOUNDVALUE(730)</f>
        <v>3206</v>
      </c>
      <c r="E25" s="127">
        <v>2593328</v>
      </c>
      <c r="F25" s="126">
        <f>_xlfn.COMPOUNDVALUE(731)</f>
        <v>13661</v>
      </c>
      <c r="G25" s="127">
        <v>981096583</v>
      </c>
      <c r="H25" s="126">
        <f>_xlfn.COMPOUNDVALUE(732)</f>
        <v>3217</v>
      </c>
      <c r="I25" s="128">
        <v>479950939</v>
      </c>
      <c r="J25" s="126">
        <v>1166</v>
      </c>
      <c r="K25" s="128">
        <v>159775</v>
      </c>
      <c r="L25" s="126">
        <f>_xlfn.COMPOUNDVALUE(732)</f>
        <v>17041</v>
      </c>
      <c r="M25" s="128">
        <v>501305419</v>
      </c>
      <c r="N25" s="126">
        <v>13496</v>
      </c>
      <c r="O25" s="129">
        <v>2795</v>
      </c>
      <c r="P25" s="129">
        <v>430</v>
      </c>
      <c r="Q25" s="130">
        <v>16721</v>
      </c>
      <c r="R25" s="86" t="s">
        <v>57</v>
      </c>
    </row>
    <row r="26" spans="1:18" ht="15.75" customHeight="1">
      <c r="A26" s="76" t="s">
        <v>58</v>
      </c>
      <c r="B26" s="126">
        <f>_xlfn.COMPOUNDVALUE(733)</f>
        <v>11408</v>
      </c>
      <c r="C26" s="127">
        <v>241491022</v>
      </c>
      <c r="D26" s="126">
        <f>_xlfn.COMPOUNDVALUE(734)</f>
        <v>3533</v>
      </c>
      <c r="E26" s="127">
        <v>2151936</v>
      </c>
      <c r="F26" s="126">
        <f>_xlfn.COMPOUNDVALUE(735)</f>
        <v>14941</v>
      </c>
      <c r="G26" s="127">
        <v>243642959</v>
      </c>
      <c r="H26" s="126">
        <f>_xlfn.COMPOUNDVALUE(736)</f>
        <v>2195</v>
      </c>
      <c r="I26" s="128">
        <v>60758879</v>
      </c>
      <c r="J26" s="126">
        <v>1178</v>
      </c>
      <c r="K26" s="128">
        <v>162372</v>
      </c>
      <c r="L26" s="126">
        <f>_xlfn.COMPOUNDVALUE(736)</f>
        <v>17314</v>
      </c>
      <c r="M26" s="128">
        <v>183046452</v>
      </c>
      <c r="N26" s="126">
        <v>15875</v>
      </c>
      <c r="O26" s="129">
        <v>1176</v>
      </c>
      <c r="P26" s="129">
        <v>294</v>
      </c>
      <c r="Q26" s="130">
        <v>17345</v>
      </c>
      <c r="R26" s="77" t="s">
        <v>58</v>
      </c>
    </row>
    <row r="27" spans="1:18" ht="15.75" customHeight="1">
      <c r="A27" s="76" t="s">
        <v>59</v>
      </c>
      <c r="B27" s="126">
        <f>_xlfn.COMPOUNDVALUE(737)</f>
        <v>9185</v>
      </c>
      <c r="C27" s="127">
        <v>297280505</v>
      </c>
      <c r="D27" s="126">
        <f>_xlfn.COMPOUNDVALUE(738)</f>
        <v>2586</v>
      </c>
      <c r="E27" s="127">
        <v>1967483</v>
      </c>
      <c r="F27" s="126">
        <f>_xlfn.COMPOUNDVALUE(739)</f>
        <v>11771</v>
      </c>
      <c r="G27" s="127">
        <v>299247988</v>
      </c>
      <c r="H27" s="126">
        <f>_xlfn.COMPOUNDVALUE(740)</f>
        <v>2075</v>
      </c>
      <c r="I27" s="128">
        <v>83718853</v>
      </c>
      <c r="J27" s="126">
        <v>971</v>
      </c>
      <c r="K27" s="128">
        <v>-88806</v>
      </c>
      <c r="L27" s="126">
        <f>_xlfn.COMPOUNDVALUE(740)</f>
        <v>13987</v>
      </c>
      <c r="M27" s="128">
        <v>215440329</v>
      </c>
      <c r="N27" s="126">
        <v>12171</v>
      </c>
      <c r="O27" s="129">
        <v>1357</v>
      </c>
      <c r="P27" s="129">
        <v>263</v>
      </c>
      <c r="Q27" s="130">
        <v>13791</v>
      </c>
      <c r="R27" s="77" t="s">
        <v>59</v>
      </c>
    </row>
    <row r="28" spans="1:18" ht="15.75" customHeight="1">
      <c r="A28" s="76" t="s">
        <v>60</v>
      </c>
      <c r="B28" s="126">
        <f>_xlfn.COMPOUNDVALUE(741)</f>
        <v>12361</v>
      </c>
      <c r="C28" s="127">
        <v>322972675</v>
      </c>
      <c r="D28" s="126">
        <f>_xlfn.COMPOUNDVALUE(742)</f>
        <v>3917</v>
      </c>
      <c r="E28" s="127">
        <v>2315860</v>
      </c>
      <c r="F28" s="126">
        <f>_xlfn.COMPOUNDVALUE(743)</f>
        <v>16278</v>
      </c>
      <c r="G28" s="127">
        <v>325288535</v>
      </c>
      <c r="H28" s="126">
        <f>_xlfn.COMPOUNDVALUE(744)</f>
        <v>2342</v>
      </c>
      <c r="I28" s="128">
        <v>188119433</v>
      </c>
      <c r="J28" s="126">
        <v>1436</v>
      </c>
      <c r="K28" s="128">
        <v>104276</v>
      </c>
      <c r="L28" s="126">
        <f>_xlfn.COMPOUNDVALUE(744)</f>
        <v>18867</v>
      </c>
      <c r="M28" s="128">
        <v>137273378</v>
      </c>
      <c r="N28" s="126">
        <v>17839</v>
      </c>
      <c r="O28" s="129">
        <v>1115</v>
      </c>
      <c r="P28" s="129">
        <v>318</v>
      </c>
      <c r="Q28" s="130">
        <v>19272</v>
      </c>
      <c r="R28" s="77" t="s">
        <v>60</v>
      </c>
    </row>
    <row r="29" spans="1:18" ht="15.75" customHeight="1">
      <c r="A29" s="76" t="s">
        <v>177</v>
      </c>
      <c r="B29" s="126">
        <f>_xlfn.COMPOUNDVALUE(745)</f>
        <v>15616</v>
      </c>
      <c r="C29" s="127">
        <v>780739646</v>
      </c>
      <c r="D29" s="126">
        <f>_xlfn.COMPOUNDVALUE(746)</f>
        <v>5045</v>
      </c>
      <c r="E29" s="127">
        <v>3410930</v>
      </c>
      <c r="F29" s="126">
        <f>_xlfn.COMPOUNDVALUE(747)</f>
        <v>20661</v>
      </c>
      <c r="G29" s="127">
        <v>784150576</v>
      </c>
      <c r="H29" s="126">
        <f>_xlfn.COMPOUNDVALUE(748)</f>
        <v>4374</v>
      </c>
      <c r="I29" s="128">
        <v>419637355</v>
      </c>
      <c r="J29" s="126">
        <v>1642</v>
      </c>
      <c r="K29" s="128">
        <v>825982</v>
      </c>
      <c r="L29" s="126">
        <f>_xlfn.COMPOUNDVALUE(748)</f>
        <v>25320</v>
      </c>
      <c r="M29" s="128">
        <v>365339203</v>
      </c>
      <c r="N29" s="126">
        <v>22167</v>
      </c>
      <c r="O29" s="129">
        <v>2847</v>
      </c>
      <c r="P29" s="129">
        <v>580</v>
      </c>
      <c r="Q29" s="130">
        <v>25594</v>
      </c>
      <c r="R29" s="77" t="s">
        <v>61</v>
      </c>
    </row>
    <row r="30" spans="1:18" ht="15.75" customHeight="1">
      <c r="A30" s="76"/>
      <c r="B30" s="126"/>
      <c r="C30" s="127"/>
      <c r="D30" s="126"/>
      <c r="E30" s="127"/>
      <c r="F30" s="126"/>
      <c r="G30" s="127"/>
      <c r="H30" s="126"/>
      <c r="I30" s="128"/>
      <c r="J30" s="126"/>
      <c r="K30" s="128"/>
      <c r="L30" s="126"/>
      <c r="M30" s="128"/>
      <c r="N30" s="126"/>
      <c r="O30" s="129"/>
      <c r="P30" s="129"/>
      <c r="Q30" s="130"/>
      <c r="R30" s="77" t="s">
        <v>40</v>
      </c>
    </row>
    <row r="31" spans="1:18" ht="15.75" customHeight="1">
      <c r="A31" s="76" t="s">
        <v>62</v>
      </c>
      <c r="B31" s="126">
        <f>_xlfn.COMPOUNDVALUE(749)</f>
        <v>14496</v>
      </c>
      <c r="C31" s="127">
        <v>279328909</v>
      </c>
      <c r="D31" s="126">
        <f>_xlfn.COMPOUNDVALUE(750)</f>
        <v>4762</v>
      </c>
      <c r="E31" s="127">
        <v>2994972</v>
      </c>
      <c r="F31" s="126">
        <f>_xlfn.COMPOUNDVALUE(751)</f>
        <v>19258</v>
      </c>
      <c r="G31" s="127">
        <v>282323881</v>
      </c>
      <c r="H31" s="126">
        <f>_xlfn.COMPOUNDVALUE(752)</f>
        <v>2858</v>
      </c>
      <c r="I31" s="128">
        <v>209394077</v>
      </c>
      <c r="J31" s="126">
        <v>1431</v>
      </c>
      <c r="K31" s="128">
        <v>-1902052</v>
      </c>
      <c r="L31" s="126">
        <f>_xlfn.COMPOUNDVALUE(752)</f>
        <v>22508</v>
      </c>
      <c r="M31" s="128">
        <v>71027752</v>
      </c>
      <c r="N31" s="126">
        <v>23179</v>
      </c>
      <c r="O31" s="129">
        <v>2207</v>
      </c>
      <c r="P31" s="129">
        <v>660</v>
      </c>
      <c r="Q31" s="130">
        <v>26046</v>
      </c>
      <c r="R31" s="77" t="s">
        <v>62</v>
      </c>
    </row>
    <row r="32" spans="1:18" ht="15.75" customHeight="1">
      <c r="A32" s="76" t="s">
        <v>63</v>
      </c>
      <c r="B32" s="126">
        <f>_xlfn.COMPOUNDVALUE(753)</f>
        <v>7324</v>
      </c>
      <c r="C32" s="127">
        <v>206946205</v>
      </c>
      <c r="D32" s="126">
        <f>_xlfn.COMPOUNDVALUE(754)</f>
        <v>3235</v>
      </c>
      <c r="E32" s="127">
        <v>1707743</v>
      </c>
      <c r="F32" s="126">
        <f>_xlfn.COMPOUNDVALUE(755)</f>
        <v>10559</v>
      </c>
      <c r="G32" s="127">
        <v>208653948</v>
      </c>
      <c r="H32" s="126">
        <f>_xlfn.COMPOUNDVALUE(756)</f>
        <v>1327</v>
      </c>
      <c r="I32" s="128">
        <v>60861967</v>
      </c>
      <c r="J32" s="126">
        <v>887</v>
      </c>
      <c r="K32" s="128">
        <v>-67924</v>
      </c>
      <c r="L32" s="126">
        <f>_xlfn.COMPOUNDVALUE(756)</f>
        <v>12047</v>
      </c>
      <c r="M32" s="128">
        <v>147724057</v>
      </c>
      <c r="N32" s="126">
        <v>11257</v>
      </c>
      <c r="O32" s="129">
        <v>725</v>
      </c>
      <c r="P32" s="129">
        <v>155</v>
      </c>
      <c r="Q32" s="130">
        <v>12137</v>
      </c>
      <c r="R32" s="77" t="s">
        <v>63</v>
      </c>
    </row>
    <row r="33" spans="1:18" ht="15.75" customHeight="1">
      <c r="A33" s="76" t="s">
        <v>64</v>
      </c>
      <c r="B33" s="126">
        <f>_xlfn.COMPOUNDVALUE(757)</f>
        <v>8384</v>
      </c>
      <c r="C33" s="127">
        <v>106637031</v>
      </c>
      <c r="D33" s="126">
        <f>_xlfn.COMPOUNDVALUE(758)</f>
        <v>3998</v>
      </c>
      <c r="E33" s="127">
        <v>2408324</v>
      </c>
      <c r="F33" s="126">
        <f>_xlfn.COMPOUNDVALUE(759)</f>
        <v>12382</v>
      </c>
      <c r="G33" s="127">
        <v>109045355</v>
      </c>
      <c r="H33" s="126">
        <f>_xlfn.COMPOUNDVALUE(760)</f>
        <v>1001</v>
      </c>
      <c r="I33" s="128">
        <v>9034015</v>
      </c>
      <c r="J33" s="126">
        <v>895</v>
      </c>
      <c r="K33" s="128">
        <v>425401</v>
      </c>
      <c r="L33" s="126">
        <f>_xlfn.COMPOUNDVALUE(760)</f>
        <v>13590</v>
      </c>
      <c r="M33" s="128">
        <v>100436741</v>
      </c>
      <c r="N33" s="126">
        <v>13961</v>
      </c>
      <c r="O33" s="129">
        <v>640</v>
      </c>
      <c r="P33" s="129">
        <v>171</v>
      </c>
      <c r="Q33" s="130">
        <v>14772</v>
      </c>
      <c r="R33" s="77" t="s">
        <v>64</v>
      </c>
    </row>
    <row r="34" spans="1:18" ht="15.75" customHeight="1">
      <c r="A34" s="76" t="s">
        <v>65</v>
      </c>
      <c r="B34" s="126">
        <f>_xlfn.COMPOUNDVALUE(761)</f>
        <v>9419</v>
      </c>
      <c r="C34" s="127">
        <v>293405792</v>
      </c>
      <c r="D34" s="126">
        <f>_xlfn.COMPOUNDVALUE(762)</f>
        <v>3915</v>
      </c>
      <c r="E34" s="127">
        <v>2184497</v>
      </c>
      <c r="F34" s="126">
        <f>_xlfn.COMPOUNDVALUE(763)</f>
        <v>13334</v>
      </c>
      <c r="G34" s="127">
        <v>295590289</v>
      </c>
      <c r="H34" s="126">
        <f>_xlfn.COMPOUNDVALUE(764)</f>
        <v>1496</v>
      </c>
      <c r="I34" s="128">
        <v>51773393</v>
      </c>
      <c r="J34" s="126">
        <v>1082</v>
      </c>
      <c r="K34" s="128">
        <v>1726931</v>
      </c>
      <c r="L34" s="126">
        <f>_xlfn.COMPOUNDVALUE(764)</f>
        <v>15118</v>
      </c>
      <c r="M34" s="128">
        <v>245543827</v>
      </c>
      <c r="N34" s="126">
        <v>15021</v>
      </c>
      <c r="O34" s="129">
        <v>864</v>
      </c>
      <c r="P34" s="129">
        <v>307</v>
      </c>
      <c r="Q34" s="130">
        <v>16192</v>
      </c>
      <c r="R34" s="77" t="s">
        <v>65</v>
      </c>
    </row>
    <row r="35" spans="1:18" ht="15.75" customHeight="1">
      <c r="A35" s="76" t="s">
        <v>66</v>
      </c>
      <c r="B35" s="126">
        <f>_xlfn.COMPOUNDVALUE(765)</f>
        <v>2807</v>
      </c>
      <c r="C35" s="127">
        <v>47901200</v>
      </c>
      <c r="D35" s="126">
        <f>_xlfn.COMPOUNDVALUE(766)</f>
        <v>1892</v>
      </c>
      <c r="E35" s="127">
        <v>885999</v>
      </c>
      <c r="F35" s="126">
        <f>_xlfn.COMPOUNDVALUE(767)</f>
        <v>4699</v>
      </c>
      <c r="G35" s="127">
        <v>48787198</v>
      </c>
      <c r="H35" s="126">
        <f>_xlfn.COMPOUNDVALUE(768)</f>
        <v>326</v>
      </c>
      <c r="I35" s="128">
        <v>14560688</v>
      </c>
      <c r="J35" s="126">
        <v>335</v>
      </c>
      <c r="K35" s="128">
        <v>534904</v>
      </c>
      <c r="L35" s="126">
        <f>_xlfn.COMPOUNDVALUE(768)</f>
        <v>5086</v>
      </c>
      <c r="M35" s="128">
        <v>34761413</v>
      </c>
      <c r="N35" s="126">
        <v>4872</v>
      </c>
      <c r="O35" s="129">
        <v>254</v>
      </c>
      <c r="P35" s="129">
        <v>47</v>
      </c>
      <c r="Q35" s="130">
        <v>5173</v>
      </c>
      <c r="R35" s="77" t="s">
        <v>66</v>
      </c>
    </row>
    <row r="36" spans="1:18" ht="15.75" customHeight="1">
      <c r="A36" s="76"/>
      <c r="B36" s="126"/>
      <c r="C36" s="127"/>
      <c r="D36" s="126"/>
      <c r="E36" s="127"/>
      <c r="F36" s="126"/>
      <c r="G36" s="127"/>
      <c r="H36" s="126"/>
      <c r="I36" s="128"/>
      <c r="J36" s="126"/>
      <c r="K36" s="128"/>
      <c r="L36" s="126"/>
      <c r="M36" s="128"/>
      <c r="N36" s="126"/>
      <c r="O36" s="129"/>
      <c r="P36" s="129"/>
      <c r="Q36" s="130"/>
      <c r="R36" s="77" t="s">
        <v>40</v>
      </c>
    </row>
    <row r="37" spans="1:18" ht="15.75" customHeight="1">
      <c r="A37" s="76" t="s">
        <v>67</v>
      </c>
      <c r="B37" s="126">
        <f>_xlfn.COMPOUNDVALUE(769)</f>
        <v>3649</v>
      </c>
      <c r="C37" s="127">
        <v>36151975</v>
      </c>
      <c r="D37" s="126">
        <f>_xlfn.COMPOUNDVALUE(770)</f>
        <v>2015</v>
      </c>
      <c r="E37" s="127">
        <v>983333</v>
      </c>
      <c r="F37" s="126">
        <f>_xlfn.COMPOUNDVALUE(771)</f>
        <v>5664</v>
      </c>
      <c r="G37" s="127">
        <v>37135309</v>
      </c>
      <c r="H37" s="126">
        <f>_xlfn.COMPOUNDVALUE(772)</f>
        <v>468</v>
      </c>
      <c r="I37" s="128">
        <v>3445302</v>
      </c>
      <c r="J37" s="126">
        <v>402</v>
      </c>
      <c r="K37" s="128">
        <v>91598</v>
      </c>
      <c r="L37" s="126">
        <f>_xlfn.COMPOUNDVALUE(772)</f>
        <v>6231</v>
      </c>
      <c r="M37" s="128">
        <v>33781605</v>
      </c>
      <c r="N37" s="126">
        <v>6103</v>
      </c>
      <c r="O37" s="129">
        <v>265</v>
      </c>
      <c r="P37" s="129">
        <v>51</v>
      </c>
      <c r="Q37" s="130">
        <v>6419</v>
      </c>
      <c r="R37" s="77" t="s">
        <v>67</v>
      </c>
    </row>
    <row r="38" spans="1:18" ht="15.75" customHeight="1">
      <c r="A38" s="76" t="s">
        <v>68</v>
      </c>
      <c r="B38" s="126">
        <f>_xlfn.COMPOUNDVALUE(773)</f>
        <v>5541</v>
      </c>
      <c r="C38" s="127">
        <v>76140523</v>
      </c>
      <c r="D38" s="126">
        <f>_xlfn.COMPOUNDVALUE(774)</f>
        <v>2541</v>
      </c>
      <c r="E38" s="127">
        <v>1231633</v>
      </c>
      <c r="F38" s="126">
        <f>_xlfn.COMPOUNDVALUE(775)</f>
        <v>8082</v>
      </c>
      <c r="G38" s="127">
        <v>77372156</v>
      </c>
      <c r="H38" s="126">
        <f>_xlfn.COMPOUNDVALUE(776)</f>
        <v>937</v>
      </c>
      <c r="I38" s="128">
        <v>10812437</v>
      </c>
      <c r="J38" s="126">
        <v>739</v>
      </c>
      <c r="K38" s="128">
        <v>207847</v>
      </c>
      <c r="L38" s="126">
        <f>_xlfn.COMPOUNDVALUE(776)</f>
        <v>9162</v>
      </c>
      <c r="M38" s="128">
        <v>66767566</v>
      </c>
      <c r="N38" s="126">
        <v>8728</v>
      </c>
      <c r="O38" s="129">
        <v>347</v>
      </c>
      <c r="P38" s="129">
        <v>95</v>
      </c>
      <c r="Q38" s="130">
        <v>9170</v>
      </c>
      <c r="R38" s="77" t="s">
        <v>68</v>
      </c>
    </row>
    <row r="39" spans="1:18" ht="15.75" customHeight="1">
      <c r="A39" s="76" t="s">
        <v>69</v>
      </c>
      <c r="B39" s="126">
        <f>_xlfn.COMPOUNDVALUE(777)</f>
        <v>5474</v>
      </c>
      <c r="C39" s="127">
        <v>59580385</v>
      </c>
      <c r="D39" s="126">
        <f>_xlfn.COMPOUNDVALUE(778)</f>
        <v>2851</v>
      </c>
      <c r="E39" s="127">
        <v>1190090</v>
      </c>
      <c r="F39" s="126">
        <f>_xlfn.COMPOUNDVALUE(779)</f>
        <v>8325</v>
      </c>
      <c r="G39" s="127">
        <v>60770476</v>
      </c>
      <c r="H39" s="126">
        <f>_xlfn.COMPOUNDVALUE(780)</f>
        <v>837</v>
      </c>
      <c r="I39" s="128">
        <v>7068286</v>
      </c>
      <c r="J39" s="126">
        <v>454</v>
      </c>
      <c r="K39" s="128">
        <v>46503</v>
      </c>
      <c r="L39" s="126">
        <f>_xlfn.COMPOUNDVALUE(780)</f>
        <v>9242</v>
      </c>
      <c r="M39" s="128">
        <v>53748693</v>
      </c>
      <c r="N39" s="126">
        <v>9191</v>
      </c>
      <c r="O39" s="129">
        <v>338</v>
      </c>
      <c r="P39" s="129">
        <v>71</v>
      </c>
      <c r="Q39" s="130">
        <v>9600</v>
      </c>
      <c r="R39" s="77" t="s">
        <v>69</v>
      </c>
    </row>
    <row r="40" spans="1:18" ht="15.75" customHeight="1">
      <c r="A40" s="76" t="s">
        <v>70</v>
      </c>
      <c r="B40" s="126">
        <f>_xlfn.COMPOUNDVALUE(781)</f>
        <v>4696</v>
      </c>
      <c r="C40" s="127">
        <v>84994066</v>
      </c>
      <c r="D40" s="126">
        <f>_xlfn.COMPOUNDVALUE(782)</f>
        <v>2340</v>
      </c>
      <c r="E40" s="127">
        <v>1023735</v>
      </c>
      <c r="F40" s="126">
        <f>_xlfn.COMPOUNDVALUE(783)</f>
        <v>7036</v>
      </c>
      <c r="G40" s="127">
        <v>86017800</v>
      </c>
      <c r="H40" s="126">
        <f>_xlfn.COMPOUNDVALUE(784)</f>
        <v>510</v>
      </c>
      <c r="I40" s="128">
        <v>6093437</v>
      </c>
      <c r="J40" s="126">
        <v>449</v>
      </c>
      <c r="K40" s="128">
        <v>118111</v>
      </c>
      <c r="L40" s="126">
        <f>_xlfn.COMPOUNDVALUE(784)</f>
        <v>7653</v>
      </c>
      <c r="M40" s="128">
        <v>80042474</v>
      </c>
      <c r="N40" s="126">
        <v>8052</v>
      </c>
      <c r="O40" s="129">
        <v>240</v>
      </c>
      <c r="P40" s="129">
        <v>47</v>
      </c>
      <c r="Q40" s="130">
        <v>8339</v>
      </c>
      <c r="R40" s="77" t="s">
        <v>70</v>
      </c>
    </row>
    <row r="41" spans="1:18" ht="15.75" customHeight="1">
      <c r="A41" s="76" t="s">
        <v>71</v>
      </c>
      <c r="B41" s="126">
        <f>_xlfn.COMPOUNDVALUE(785)</f>
        <v>1856</v>
      </c>
      <c r="C41" s="127">
        <v>8501889</v>
      </c>
      <c r="D41" s="126">
        <f>_xlfn.COMPOUNDVALUE(786)</f>
        <v>1415</v>
      </c>
      <c r="E41" s="127">
        <v>544787</v>
      </c>
      <c r="F41" s="126">
        <f>_xlfn.COMPOUNDVALUE(787)</f>
        <v>3271</v>
      </c>
      <c r="G41" s="127">
        <v>9046676</v>
      </c>
      <c r="H41" s="126">
        <f>_xlfn.COMPOUNDVALUE(788)</f>
        <v>103</v>
      </c>
      <c r="I41" s="128">
        <v>377359</v>
      </c>
      <c r="J41" s="126">
        <v>288</v>
      </c>
      <c r="K41" s="128">
        <v>18495</v>
      </c>
      <c r="L41" s="126">
        <f>_xlfn.COMPOUNDVALUE(788)</f>
        <v>3429</v>
      </c>
      <c r="M41" s="128">
        <v>8687812</v>
      </c>
      <c r="N41" s="126">
        <v>3391</v>
      </c>
      <c r="O41" s="129">
        <v>68</v>
      </c>
      <c r="P41" s="129">
        <v>9</v>
      </c>
      <c r="Q41" s="130">
        <v>3468</v>
      </c>
      <c r="R41" s="77" t="s">
        <v>71</v>
      </c>
    </row>
    <row r="42" spans="1:18" ht="15.75" customHeight="1">
      <c r="A42" s="103"/>
      <c r="B42" s="126"/>
      <c r="C42" s="127"/>
      <c r="D42" s="126"/>
      <c r="E42" s="127"/>
      <c r="F42" s="126"/>
      <c r="G42" s="127"/>
      <c r="H42" s="126"/>
      <c r="I42" s="128"/>
      <c r="J42" s="126"/>
      <c r="K42" s="128"/>
      <c r="L42" s="126"/>
      <c r="M42" s="128"/>
      <c r="N42" s="126"/>
      <c r="O42" s="129"/>
      <c r="P42" s="129"/>
      <c r="Q42" s="130"/>
      <c r="R42" s="105" t="s">
        <v>40</v>
      </c>
    </row>
    <row r="43" spans="1:18" ht="15.75" customHeight="1">
      <c r="A43" s="99" t="s">
        <v>72</v>
      </c>
      <c r="B43" s="126">
        <f>_xlfn.COMPOUNDVALUE(789)</f>
        <v>5238</v>
      </c>
      <c r="C43" s="127">
        <v>135202985</v>
      </c>
      <c r="D43" s="126">
        <f>_xlfn.COMPOUNDVALUE(790)</f>
        <v>2766</v>
      </c>
      <c r="E43" s="127">
        <v>1554781</v>
      </c>
      <c r="F43" s="126">
        <f>_xlfn.COMPOUNDVALUE(791)</f>
        <v>8004</v>
      </c>
      <c r="G43" s="127">
        <v>136757765</v>
      </c>
      <c r="H43" s="126">
        <f>_xlfn.COMPOUNDVALUE(792)</f>
        <v>660</v>
      </c>
      <c r="I43" s="128">
        <v>25646139</v>
      </c>
      <c r="J43" s="126">
        <v>561</v>
      </c>
      <c r="K43" s="128">
        <v>-30909</v>
      </c>
      <c r="L43" s="126">
        <f>_xlfn.COMPOUNDVALUE(792)</f>
        <v>8818</v>
      </c>
      <c r="M43" s="128">
        <v>111080717</v>
      </c>
      <c r="N43" s="126">
        <v>8801</v>
      </c>
      <c r="O43" s="129">
        <v>393</v>
      </c>
      <c r="P43" s="129">
        <v>80</v>
      </c>
      <c r="Q43" s="130">
        <v>9274</v>
      </c>
      <c r="R43" s="86" t="s">
        <v>72</v>
      </c>
    </row>
    <row r="44" spans="1:18" ht="15.75" customHeight="1">
      <c r="A44" s="76" t="s">
        <v>73</v>
      </c>
      <c r="B44" s="126">
        <f>_xlfn.COMPOUNDVALUE(793)</f>
        <v>3052</v>
      </c>
      <c r="C44" s="127">
        <v>52762389</v>
      </c>
      <c r="D44" s="126">
        <f>_xlfn.COMPOUNDVALUE(794)</f>
        <v>2072</v>
      </c>
      <c r="E44" s="127">
        <v>952561</v>
      </c>
      <c r="F44" s="126">
        <f>_xlfn.COMPOUNDVALUE(795)</f>
        <v>5124</v>
      </c>
      <c r="G44" s="127">
        <v>53714950</v>
      </c>
      <c r="H44" s="126">
        <f>_xlfn.COMPOUNDVALUE(796)</f>
        <v>339</v>
      </c>
      <c r="I44" s="128">
        <v>5172657</v>
      </c>
      <c r="J44" s="126">
        <v>453</v>
      </c>
      <c r="K44" s="128">
        <v>56437</v>
      </c>
      <c r="L44" s="126">
        <f>_xlfn.COMPOUNDVALUE(796)</f>
        <v>5600</v>
      </c>
      <c r="M44" s="128">
        <v>48598730</v>
      </c>
      <c r="N44" s="126">
        <v>5382</v>
      </c>
      <c r="O44" s="129">
        <v>209</v>
      </c>
      <c r="P44" s="129">
        <v>35</v>
      </c>
      <c r="Q44" s="130">
        <v>5626</v>
      </c>
      <c r="R44" s="77" t="s">
        <v>73</v>
      </c>
    </row>
    <row r="45" spans="1:18" ht="15.75" customHeight="1">
      <c r="A45" s="76" t="s">
        <v>74</v>
      </c>
      <c r="B45" s="126">
        <f>_xlfn.COMPOUNDVALUE(797)</f>
        <v>2115</v>
      </c>
      <c r="C45" s="127">
        <v>10635825</v>
      </c>
      <c r="D45" s="126">
        <f>_xlfn.COMPOUNDVALUE(798)</f>
        <v>1731</v>
      </c>
      <c r="E45" s="127">
        <v>748123</v>
      </c>
      <c r="F45" s="126">
        <f>_xlfn.COMPOUNDVALUE(799)</f>
        <v>3846</v>
      </c>
      <c r="G45" s="127">
        <v>11383948</v>
      </c>
      <c r="H45" s="126">
        <f>_xlfn.COMPOUNDVALUE(800)</f>
        <v>214</v>
      </c>
      <c r="I45" s="128">
        <v>2097149</v>
      </c>
      <c r="J45" s="126">
        <v>252</v>
      </c>
      <c r="K45" s="128">
        <v>45124</v>
      </c>
      <c r="L45" s="126">
        <f>_xlfn.COMPOUNDVALUE(800)</f>
        <v>4144</v>
      </c>
      <c r="M45" s="128">
        <v>9331923</v>
      </c>
      <c r="N45" s="126">
        <v>4252</v>
      </c>
      <c r="O45" s="129">
        <v>89</v>
      </c>
      <c r="P45" s="129">
        <v>17</v>
      </c>
      <c r="Q45" s="130">
        <v>4358</v>
      </c>
      <c r="R45" s="77" t="s">
        <v>74</v>
      </c>
    </row>
    <row r="46" spans="1:18" ht="15.75" customHeight="1">
      <c r="A46" s="76" t="s">
        <v>75</v>
      </c>
      <c r="B46" s="126">
        <f>_xlfn.COMPOUNDVALUE(801)</f>
        <v>6604</v>
      </c>
      <c r="C46" s="127">
        <v>61864604</v>
      </c>
      <c r="D46" s="126">
        <f>_xlfn.COMPOUNDVALUE(802)</f>
        <v>4262</v>
      </c>
      <c r="E46" s="127">
        <v>2170122</v>
      </c>
      <c r="F46" s="126">
        <f>_xlfn.COMPOUNDVALUE(803)</f>
        <v>10866</v>
      </c>
      <c r="G46" s="127">
        <v>64034726</v>
      </c>
      <c r="H46" s="126">
        <f>_xlfn.COMPOUNDVALUE(804)</f>
        <v>732</v>
      </c>
      <c r="I46" s="128">
        <v>5402031</v>
      </c>
      <c r="J46" s="126">
        <v>746</v>
      </c>
      <c r="K46" s="128">
        <v>267116</v>
      </c>
      <c r="L46" s="126">
        <f>_xlfn.COMPOUNDVALUE(804)</f>
        <v>11813</v>
      </c>
      <c r="M46" s="128">
        <v>58899811</v>
      </c>
      <c r="N46" s="126">
        <v>11900</v>
      </c>
      <c r="O46" s="129">
        <v>512</v>
      </c>
      <c r="P46" s="129">
        <v>135</v>
      </c>
      <c r="Q46" s="130">
        <v>12547</v>
      </c>
      <c r="R46" s="77" t="s">
        <v>75</v>
      </c>
    </row>
    <row r="47" spans="1:18" ht="15.75" customHeight="1">
      <c r="A47" s="76" t="s">
        <v>76</v>
      </c>
      <c r="B47" s="126">
        <f>_xlfn.COMPOUNDVALUE(805)</f>
        <v>4227</v>
      </c>
      <c r="C47" s="127">
        <v>40819969</v>
      </c>
      <c r="D47" s="126">
        <f>_xlfn.COMPOUNDVALUE(806)</f>
        <v>2841</v>
      </c>
      <c r="E47" s="127">
        <v>1237279</v>
      </c>
      <c r="F47" s="126">
        <f>_xlfn.COMPOUNDVALUE(807)</f>
        <v>7068</v>
      </c>
      <c r="G47" s="127">
        <v>42057248</v>
      </c>
      <c r="H47" s="126">
        <f>_xlfn.COMPOUNDVALUE(808)</f>
        <v>393</v>
      </c>
      <c r="I47" s="128">
        <v>12637447</v>
      </c>
      <c r="J47" s="126">
        <v>504</v>
      </c>
      <c r="K47" s="128">
        <v>85159</v>
      </c>
      <c r="L47" s="126">
        <f>_xlfn.COMPOUNDVALUE(808)</f>
        <v>7584</v>
      </c>
      <c r="M47" s="128">
        <v>29504960</v>
      </c>
      <c r="N47" s="126">
        <v>7680</v>
      </c>
      <c r="O47" s="129">
        <v>233</v>
      </c>
      <c r="P47" s="129">
        <v>28</v>
      </c>
      <c r="Q47" s="130">
        <v>7941</v>
      </c>
      <c r="R47" s="77" t="s">
        <v>76</v>
      </c>
    </row>
    <row r="48" spans="1:18" ht="15.75" customHeight="1">
      <c r="A48" s="76"/>
      <c r="B48" s="126"/>
      <c r="C48" s="127"/>
      <c r="D48" s="126"/>
      <c r="E48" s="127"/>
      <c r="F48" s="126"/>
      <c r="G48" s="127"/>
      <c r="H48" s="126"/>
      <c r="I48" s="128"/>
      <c r="J48" s="126"/>
      <c r="K48" s="128"/>
      <c r="L48" s="126"/>
      <c r="M48" s="128"/>
      <c r="N48" s="126"/>
      <c r="O48" s="129"/>
      <c r="P48" s="129"/>
      <c r="Q48" s="130"/>
      <c r="R48" s="77" t="s">
        <v>40</v>
      </c>
    </row>
    <row r="49" spans="1:18" ht="15.75" customHeight="1">
      <c r="A49" s="76" t="s">
        <v>77</v>
      </c>
      <c r="B49" s="126">
        <f>_xlfn.COMPOUNDVALUE(809)</f>
        <v>2458</v>
      </c>
      <c r="C49" s="127">
        <v>9965667</v>
      </c>
      <c r="D49" s="126">
        <f>_xlfn.COMPOUNDVALUE(810)</f>
        <v>1978</v>
      </c>
      <c r="E49" s="127">
        <v>899245</v>
      </c>
      <c r="F49" s="126">
        <f>_xlfn.COMPOUNDVALUE(811)</f>
        <v>4436</v>
      </c>
      <c r="G49" s="127">
        <v>10864913</v>
      </c>
      <c r="H49" s="126">
        <f>_xlfn.COMPOUNDVALUE(812)</f>
        <v>292</v>
      </c>
      <c r="I49" s="128">
        <v>5607404</v>
      </c>
      <c r="J49" s="126">
        <v>296</v>
      </c>
      <c r="K49" s="128">
        <v>-20632</v>
      </c>
      <c r="L49" s="126">
        <f>_xlfn.COMPOUNDVALUE(812)</f>
        <v>4791</v>
      </c>
      <c r="M49" s="128">
        <v>5236877</v>
      </c>
      <c r="N49" s="126">
        <v>4746</v>
      </c>
      <c r="O49" s="129">
        <v>174</v>
      </c>
      <c r="P49" s="129">
        <v>25</v>
      </c>
      <c r="Q49" s="130">
        <v>4945</v>
      </c>
      <c r="R49" s="77" t="s">
        <v>77</v>
      </c>
    </row>
    <row r="50" spans="1:18" ht="15.75" customHeight="1">
      <c r="A50" s="76" t="s">
        <v>78</v>
      </c>
      <c r="B50" s="126">
        <f>_xlfn.COMPOUNDVALUE(813)</f>
        <v>4562</v>
      </c>
      <c r="C50" s="127">
        <v>51899026</v>
      </c>
      <c r="D50" s="126">
        <f>_xlfn.COMPOUNDVALUE(814)</f>
        <v>3410</v>
      </c>
      <c r="E50" s="127">
        <v>1506274</v>
      </c>
      <c r="F50" s="126">
        <f>_xlfn.COMPOUNDVALUE(815)</f>
        <v>7972</v>
      </c>
      <c r="G50" s="127">
        <v>53405300</v>
      </c>
      <c r="H50" s="126">
        <f>_xlfn.COMPOUNDVALUE(816)</f>
        <v>388</v>
      </c>
      <c r="I50" s="128">
        <v>52469478</v>
      </c>
      <c r="J50" s="126">
        <v>523</v>
      </c>
      <c r="K50" s="128">
        <v>118489</v>
      </c>
      <c r="L50" s="126">
        <f>_xlfn.COMPOUNDVALUE(816)</f>
        <v>8521</v>
      </c>
      <c r="M50" s="128">
        <v>1054310</v>
      </c>
      <c r="N50" s="126">
        <v>8843</v>
      </c>
      <c r="O50" s="129">
        <v>218</v>
      </c>
      <c r="P50" s="129">
        <v>33</v>
      </c>
      <c r="Q50" s="130">
        <v>9094</v>
      </c>
      <c r="R50" s="77" t="s">
        <v>78</v>
      </c>
    </row>
    <row r="51" spans="1:18" ht="15.75" customHeight="1">
      <c r="A51" s="76" t="s">
        <v>79</v>
      </c>
      <c r="B51" s="126">
        <f>_xlfn.COMPOUNDVALUE(817)</f>
        <v>4770</v>
      </c>
      <c r="C51" s="127">
        <v>18690328</v>
      </c>
      <c r="D51" s="126">
        <f>_xlfn.COMPOUNDVALUE(818)</f>
        <v>3941</v>
      </c>
      <c r="E51" s="127">
        <v>1902076</v>
      </c>
      <c r="F51" s="126">
        <f>_xlfn.COMPOUNDVALUE(819)</f>
        <v>8711</v>
      </c>
      <c r="G51" s="127">
        <v>20592404</v>
      </c>
      <c r="H51" s="126">
        <f>_xlfn.COMPOUNDVALUE(820)</f>
        <v>517</v>
      </c>
      <c r="I51" s="128">
        <v>1675584</v>
      </c>
      <c r="J51" s="126">
        <v>544</v>
      </c>
      <c r="K51" s="128">
        <v>63131</v>
      </c>
      <c r="L51" s="126">
        <f>_xlfn.COMPOUNDVALUE(820)</f>
        <v>9401</v>
      </c>
      <c r="M51" s="128">
        <v>18979950</v>
      </c>
      <c r="N51" s="126">
        <v>9876</v>
      </c>
      <c r="O51" s="129">
        <v>320</v>
      </c>
      <c r="P51" s="129">
        <v>48</v>
      </c>
      <c r="Q51" s="130">
        <v>10244</v>
      </c>
      <c r="R51" s="77" t="s">
        <v>79</v>
      </c>
    </row>
    <row r="52" spans="1:18" ht="15.75" customHeight="1">
      <c r="A52" s="76" t="s">
        <v>80</v>
      </c>
      <c r="B52" s="126">
        <f>_xlfn.COMPOUNDVALUE(821)</f>
        <v>4234</v>
      </c>
      <c r="C52" s="127">
        <v>18097364</v>
      </c>
      <c r="D52" s="126">
        <f>_xlfn.COMPOUNDVALUE(822)</f>
        <v>3777</v>
      </c>
      <c r="E52" s="127">
        <v>1817789</v>
      </c>
      <c r="F52" s="126">
        <f>_xlfn.COMPOUNDVALUE(823)</f>
        <v>8011</v>
      </c>
      <c r="G52" s="127">
        <v>19915153</v>
      </c>
      <c r="H52" s="126">
        <f>_xlfn.COMPOUNDVALUE(824)</f>
        <v>358</v>
      </c>
      <c r="I52" s="128">
        <v>376148</v>
      </c>
      <c r="J52" s="126">
        <v>512</v>
      </c>
      <c r="K52" s="128">
        <v>200498</v>
      </c>
      <c r="L52" s="126">
        <f>_xlfn.COMPOUNDVALUE(824)</f>
        <v>8530</v>
      </c>
      <c r="M52" s="128">
        <v>19739503</v>
      </c>
      <c r="N52" s="126">
        <v>8992</v>
      </c>
      <c r="O52" s="129">
        <v>259</v>
      </c>
      <c r="P52" s="129">
        <v>44</v>
      </c>
      <c r="Q52" s="130">
        <v>9295</v>
      </c>
      <c r="R52" s="77" t="s">
        <v>80</v>
      </c>
    </row>
    <row r="53" spans="1:18" ht="15.75" customHeight="1">
      <c r="A53" s="76" t="s">
        <v>81</v>
      </c>
      <c r="B53" s="126">
        <f>_xlfn.COMPOUNDVALUE(825)</f>
        <v>4218</v>
      </c>
      <c r="C53" s="127">
        <v>25670566</v>
      </c>
      <c r="D53" s="126">
        <f>_xlfn.COMPOUNDVALUE(826)</f>
        <v>3378</v>
      </c>
      <c r="E53" s="127">
        <v>1638603</v>
      </c>
      <c r="F53" s="126">
        <f>_xlfn.COMPOUNDVALUE(827)</f>
        <v>7596</v>
      </c>
      <c r="G53" s="127">
        <v>27309169</v>
      </c>
      <c r="H53" s="126">
        <f>_xlfn.COMPOUNDVALUE(828)</f>
        <v>506</v>
      </c>
      <c r="I53" s="128">
        <v>2073340</v>
      </c>
      <c r="J53" s="126">
        <v>479</v>
      </c>
      <c r="K53" s="128">
        <v>91807</v>
      </c>
      <c r="L53" s="126">
        <f>_xlfn.COMPOUNDVALUE(828)</f>
        <v>8232</v>
      </c>
      <c r="M53" s="128">
        <v>25327636</v>
      </c>
      <c r="N53" s="126">
        <v>8415</v>
      </c>
      <c r="O53" s="129">
        <v>318</v>
      </c>
      <c r="P53" s="129">
        <v>45</v>
      </c>
      <c r="Q53" s="130">
        <v>8778</v>
      </c>
      <c r="R53" s="77" t="s">
        <v>81</v>
      </c>
    </row>
    <row r="54" spans="1:18" ht="15.75" customHeight="1">
      <c r="A54" s="76"/>
      <c r="B54" s="126"/>
      <c r="C54" s="127"/>
      <c r="D54" s="126"/>
      <c r="E54" s="127"/>
      <c r="F54" s="126"/>
      <c r="G54" s="127"/>
      <c r="H54" s="126"/>
      <c r="I54" s="128"/>
      <c r="J54" s="126"/>
      <c r="K54" s="128"/>
      <c r="L54" s="126"/>
      <c r="M54" s="128"/>
      <c r="N54" s="126"/>
      <c r="O54" s="129"/>
      <c r="P54" s="129"/>
      <c r="Q54" s="130"/>
      <c r="R54" s="77" t="s">
        <v>40</v>
      </c>
    </row>
    <row r="55" spans="1:18" ht="15.75" customHeight="1">
      <c r="A55" s="76" t="s">
        <v>82</v>
      </c>
      <c r="B55" s="126">
        <f>_xlfn.COMPOUNDVALUE(829)</f>
        <v>20706</v>
      </c>
      <c r="C55" s="127">
        <v>404811347</v>
      </c>
      <c r="D55" s="126">
        <f>_xlfn.COMPOUNDVALUE(830)</f>
        <v>8206</v>
      </c>
      <c r="E55" s="127">
        <v>4829128</v>
      </c>
      <c r="F55" s="126">
        <f>_xlfn.COMPOUNDVALUE(831)</f>
        <v>28912</v>
      </c>
      <c r="G55" s="127">
        <v>409640475</v>
      </c>
      <c r="H55" s="126">
        <f>_xlfn.COMPOUNDVALUE(832)</f>
        <v>2490</v>
      </c>
      <c r="I55" s="128">
        <v>84711403</v>
      </c>
      <c r="J55" s="126">
        <v>1993</v>
      </c>
      <c r="K55" s="128">
        <v>110146</v>
      </c>
      <c r="L55" s="126">
        <f>_xlfn.COMPOUNDVALUE(832)</f>
        <v>31941</v>
      </c>
      <c r="M55" s="128">
        <v>325039218</v>
      </c>
      <c r="N55" s="126">
        <v>32489</v>
      </c>
      <c r="O55" s="129">
        <v>1422</v>
      </c>
      <c r="P55" s="129">
        <v>627</v>
      </c>
      <c r="Q55" s="130">
        <v>34538</v>
      </c>
      <c r="R55" s="77" t="s">
        <v>82</v>
      </c>
    </row>
    <row r="56" spans="1:18" ht="15.75" customHeight="1">
      <c r="A56" s="76" t="s">
        <v>83</v>
      </c>
      <c r="B56" s="126">
        <f>_xlfn.COMPOUNDVALUE(833)</f>
        <v>5012</v>
      </c>
      <c r="C56" s="127">
        <v>63594005</v>
      </c>
      <c r="D56" s="126">
        <f>_xlfn.COMPOUNDVALUE(834)</f>
        <v>3505</v>
      </c>
      <c r="E56" s="127">
        <v>1645920</v>
      </c>
      <c r="F56" s="126">
        <f>_xlfn.COMPOUNDVALUE(835)</f>
        <v>8517</v>
      </c>
      <c r="G56" s="127">
        <v>65239925</v>
      </c>
      <c r="H56" s="126">
        <f>_xlfn.COMPOUNDVALUE(836)</f>
        <v>574</v>
      </c>
      <c r="I56" s="128">
        <v>2890967</v>
      </c>
      <c r="J56" s="126">
        <v>570</v>
      </c>
      <c r="K56" s="128">
        <v>39733</v>
      </c>
      <c r="L56" s="126">
        <f>_xlfn.COMPOUNDVALUE(836)</f>
        <v>9274</v>
      </c>
      <c r="M56" s="128">
        <v>62388691</v>
      </c>
      <c r="N56" s="126">
        <v>9463</v>
      </c>
      <c r="O56" s="129">
        <v>326</v>
      </c>
      <c r="P56" s="129">
        <v>53</v>
      </c>
      <c r="Q56" s="130">
        <v>9842</v>
      </c>
      <c r="R56" s="77" t="s">
        <v>83</v>
      </c>
    </row>
    <row r="57" spans="1:18" ht="15.75" customHeight="1">
      <c r="A57" s="76" t="s">
        <v>84</v>
      </c>
      <c r="B57" s="126">
        <f>_xlfn.COMPOUNDVALUE(837)</f>
        <v>4091</v>
      </c>
      <c r="C57" s="127">
        <v>20510026</v>
      </c>
      <c r="D57" s="126">
        <f>_xlfn.COMPOUNDVALUE(838)</f>
        <v>3266</v>
      </c>
      <c r="E57" s="127">
        <v>1483785</v>
      </c>
      <c r="F57" s="126">
        <f>_xlfn.COMPOUNDVALUE(839)</f>
        <v>7357</v>
      </c>
      <c r="G57" s="127">
        <v>21993811</v>
      </c>
      <c r="H57" s="126">
        <f>_xlfn.COMPOUNDVALUE(840)</f>
        <v>441</v>
      </c>
      <c r="I57" s="128">
        <v>1898643</v>
      </c>
      <c r="J57" s="126">
        <v>521</v>
      </c>
      <c r="K57" s="128">
        <v>-1202</v>
      </c>
      <c r="L57" s="126">
        <f>_xlfn.COMPOUNDVALUE(840)</f>
        <v>7961</v>
      </c>
      <c r="M57" s="128">
        <v>20093966</v>
      </c>
      <c r="N57" s="126">
        <v>8084</v>
      </c>
      <c r="O57" s="129">
        <v>292</v>
      </c>
      <c r="P57" s="129">
        <v>28</v>
      </c>
      <c r="Q57" s="130">
        <v>8404</v>
      </c>
      <c r="R57" s="77" t="s">
        <v>84</v>
      </c>
    </row>
    <row r="58" spans="1:18" ht="15.75" customHeight="1">
      <c r="A58" s="76" t="s">
        <v>85</v>
      </c>
      <c r="B58" s="126">
        <f>_xlfn.COMPOUNDVALUE(841)</f>
        <v>2965</v>
      </c>
      <c r="C58" s="127">
        <v>13518777</v>
      </c>
      <c r="D58" s="126">
        <f>_xlfn.COMPOUNDVALUE(842)</f>
        <v>2582</v>
      </c>
      <c r="E58" s="127">
        <v>1258781</v>
      </c>
      <c r="F58" s="126">
        <f>_xlfn.COMPOUNDVALUE(843)</f>
        <v>5547</v>
      </c>
      <c r="G58" s="127">
        <v>14777558</v>
      </c>
      <c r="H58" s="126">
        <f>_xlfn.COMPOUNDVALUE(844)</f>
        <v>376</v>
      </c>
      <c r="I58" s="128">
        <v>1131077</v>
      </c>
      <c r="J58" s="126">
        <v>358</v>
      </c>
      <c r="K58" s="128">
        <v>56771</v>
      </c>
      <c r="L58" s="126">
        <f>_xlfn.COMPOUNDVALUE(844)</f>
        <v>5996</v>
      </c>
      <c r="M58" s="128">
        <v>13703252</v>
      </c>
      <c r="N58" s="126">
        <v>6031</v>
      </c>
      <c r="O58" s="129">
        <v>235</v>
      </c>
      <c r="P58" s="129">
        <v>22</v>
      </c>
      <c r="Q58" s="130">
        <v>6288</v>
      </c>
      <c r="R58" s="77" t="s">
        <v>85</v>
      </c>
    </row>
    <row r="59" spans="1:18" ht="15.75" customHeight="1">
      <c r="A59" s="76" t="s">
        <v>86</v>
      </c>
      <c r="B59" s="126">
        <f>_xlfn.COMPOUNDVALUE(845)</f>
        <v>8982</v>
      </c>
      <c r="C59" s="127">
        <v>106068038</v>
      </c>
      <c r="D59" s="126">
        <f>_xlfn.COMPOUNDVALUE(846)</f>
        <v>4624</v>
      </c>
      <c r="E59" s="127">
        <v>2334113</v>
      </c>
      <c r="F59" s="126">
        <f>_xlfn.COMPOUNDVALUE(847)</f>
        <v>13606</v>
      </c>
      <c r="G59" s="127">
        <v>108402150</v>
      </c>
      <c r="H59" s="126">
        <f>_xlfn.COMPOUNDVALUE(848)</f>
        <v>1267</v>
      </c>
      <c r="I59" s="128">
        <v>9417878</v>
      </c>
      <c r="J59" s="126">
        <v>816</v>
      </c>
      <c r="K59" s="128">
        <v>-42234</v>
      </c>
      <c r="L59" s="126">
        <f>_xlfn.COMPOUNDVALUE(848)</f>
        <v>15114</v>
      </c>
      <c r="M59" s="128">
        <v>98942038</v>
      </c>
      <c r="N59" s="126">
        <v>14879</v>
      </c>
      <c r="O59" s="129">
        <v>615</v>
      </c>
      <c r="P59" s="129">
        <v>145</v>
      </c>
      <c r="Q59" s="130">
        <v>15639</v>
      </c>
      <c r="R59" s="77" t="s">
        <v>86</v>
      </c>
    </row>
    <row r="60" spans="1:18" ht="15.75" customHeight="1">
      <c r="A60" s="76"/>
      <c r="B60" s="126"/>
      <c r="C60" s="127"/>
      <c r="D60" s="126"/>
      <c r="E60" s="127"/>
      <c r="F60" s="126"/>
      <c r="G60" s="127"/>
      <c r="H60" s="126"/>
      <c r="I60" s="128"/>
      <c r="J60" s="126"/>
      <c r="K60" s="128"/>
      <c r="L60" s="126"/>
      <c r="M60" s="128"/>
      <c r="N60" s="126"/>
      <c r="O60" s="129"/>
      <c r="P60" s="129"/>
      <c r="Q60" s="130"/>
      <c r="R60" s="77" t="s">
        <v>40</v>
      </c>
    </row>
    <row r="61" spans="1:18" ht="15.75" customHeight="1">
      <c r="A61" s="76" t="s">
        <v>87</v>
      </c>
      <c r="B61" s="126">
        <f>_xlfn.COMPOUNDVALUE(849)</f>
        <v>4558</v>
      </c>
      <c r="C61" s="127">
        <v>45493751</v>
      </c>
      <c r="D61" s="126">
        <f>_xlfn.COMPOUNDVALUE(850)</f>
        <v>3215</v>
      </c>
      <c r="E61" s="127">
        <v>1414338</v>
      </c>
      <c r="F61" s="126">
        <f>_xlfn.COMPOUNDVALUE(851)</f>
        <v>7773</v>
      </c>
      <c r="G61" s="127">
        <v>46908090</v>
      </c>
      <c r="H61" s="126">
        <f>_xlfn.COMPOUNDVALUE(852)</f>
        <v>435</v>
      </c>
      <c r="I61" s="128">
        <v>2347478</v>
      </c>
      <c r="J61" s="126">
        <v>441</v>
      </c>
      <c r="K61" s="128">
        <v>21944</v>
      </c>
      <c r="L61" s="126">
        <f>_xlfn.COMPOUNDVALUE(852)</f>
        <v>8388</v>
      </c>
      <c r="M61" s="128">
        <v>44582556</v>
      </c>
      <c r="N61" s="126">
        <v>8411</v>
      </c>
      <c r="O61" s="129">
        <v>222</v>
      </c>
      <c r="P61" s="129">
        <v>20</v>
      </c>
      <c r="Q61" s="130">
        <v>8653</v>
      </c>
      <c r="R61" s="77" t="s">
        <v>87</v>
      </c>
    </row>
    <row r="62" spans="1:18" ht="15.75" customHeight="1">
      <c r="A62" s="76" t="s">
        <v>88</v>
      </c>
      <c r="B62" s="126">
        <f>_xlfn.COMPOUNDVALUE(853)</f>
        <v>3907</v>
      </c>
      <c r="C62" s="127">
        <v>23849095</v>
      </c>
      <c r="D62" s="126">
        <f>_xlfn.COMPOUNDVALUE(854)</f>
        <v>2568</v>
      </c>
      <c r="E62" s="127">
        <v>1090071</v>
      </c>
      <c r="F62" s="126">
        <f>_xlfn.COMPOUNDVALUE(855)</f>
        <v>6475</v>
      </c>
      <c r="G62" s="127">
        <v>24939166</v>
      </c>
      <c r="H62" s="126">
        <f>_xlfn.COMPOUNDVALUE(856)</f>
        <v>391</v>
      </c>
      <c r="I62" s="128">
        <v>1430879</v>
      </c>
      <c r="J62" s="126">
        <v>413</v>
      </c>
      <c r="K62" s="128">
        <v>57833</v>
      </c>
      <c r="L62" s="126">
        <f>_xlfn.COMPOUNDVALUE(856)</f>
        <v>7016</v>
      </c>
      <c r="M62" s="128">
        <v>23566120</v>
      </c>
      <c r="N62" s="126">
        <v>6958</v>
      </c>
      <c r="O62" s="129">
        <v>208</v>
      </c>
      <c r="P62" s="129">
        <v>34</v>
      </c>
      <c r="Q62" s="130">
        <v>7200</v>
      </c>
      <c r="R62" s="77" t="s">
        <v>88</v>
      </c>
    </row>
    <row r="63" spans="1:18" ht="15.75" customHeight="1">
      <c r="A63" s="76" t="s">
        <v>89</v>
      </c>
      <c r="B63" s="126">
        <f>_xlfn.COMPOUNDVALUE(857)</f>
        <v>7421</v>
      </c>
      <c r="C63" s="127">
        <v>40217564</v>
      </c>
      <c r="D63" s="126">
        <f>_xlfn.COMPOUNDVALUE(858)</f>
        <v>5035</v>
      </c>
      <c r="E63" s="127">
        <v>2201837</v>
      </c>
      <c r="F63" s="126">
        <f>_xlfn.COMPOUNDVALUE(859)</f>
        <v>12456</v>
      </c>
      <c r="G63" s="127">
        <v>42419400</v>
      </c>
      <c r="H63" s="126">
        <f>_xlfn.COMPOUNDVALUE(860)</f>
        <v>574</v>
      </c>
      <c r="I63" s="128">
        <v>4272334</v>
      </c>
      <c r="J63" s="126">
        <v>847</v>
      </c>
      <c r="K63" s="128">
        <v>-6197</v>
      </c>
      <c r="L63" s="126">
        <f>_xlfn.COMPOUNDVALUE(860)</f>
        <v>13236</v>
      </c>
      <c r="M63" s="128">
        <v>38140869</v>
      </c>
      <c r="N63" s="126">
        <v>13600</v>
      </c>
      <c r="O63" s="129">
        <v>341</v>
      </c>
      <c r="P63" s="129">
        <v>39</v>
      </c>
      <c r="Q63" s="130">
        <v>13980</v>
      </c>
      <c r="R63" s="77" t="s">
        <v>89</v>
      </c>
    </row>
    <row r="64" spans="1:18" ht="15.75" customHeight="1">
      <c r="A64" s="76" t="s">
        <v>90</v>
      </c>
      <c r="B64" s="126">
        <f>_xlfn.COMPOUNDVALUE(861)</f>
        <v>5192</v>
      </c>
      <c r="C64" s="127">
        <v>16467595</v>
      </c>
      <c r="D64" s="126">
        <f>_xlfn.COMPOUNDVALUE(862)</f>
        <v>4156</v>
      </c>
      <c r="E64" s="127">
        <v>1837183</v>
      </c>
      <c r="F64" s="126">
        <f>_xlfn.COMPOUNDVALUE(863)</f>
        <v>9348</v>
      </c>
      <c r="G64" s="127">
        <v>18304778</v>
      </c>
      <c r="H64" s="126">
        <f>_xlfn.COMPOUNDVALUE(864)</f>
        <v>470</v>
      </c>
      <c r="I64" s="128">
        <v>3287415</v>
      </c>
      <c r="J64" s="126">
        <v>627</v>
      </c>
      <c r="K64" s="128">
        <v>68894</v>
      </c>
      <c r="L64" s="126">
        <f>_xlfn.COMPOUNDVALUE(864)</f>
        <v>9989</v>
      </c>
      <c r="M64" s="128">
        <v>15086257</v>
      </c>
      <c r="N64" s="126">
        <v>10006</v>
      </c>
      <c r="O64" s="129">
        <v>317</v>
      </c>
      <c r="P64" s="129">
        <v>47</v>
      </c>
      <c r="Q64" s="130">
        <v>10370</v>
      </c>
      <c r="R64" s="77" t="s">
        <v>90</v>
      </c>
    </row>
    <row r="65" spans="1:18" ht="15.75" customHeight="1">
      <c r="A65" s="78" t="s">
        <v>91</v>
      </c>
      <c r="B65" s="131">
        <f>_xlfn.COMPOUNDVALUE(865)</f>
        <v>3121</v>
      </c>
      <c r="C65" s="132">
        <v>8764951</v>
      </c>
      <c r="D65" s="131">
        <f>_xlfn.COMPOUNDVALUE(866)</f>
        <v>2857</v>
      </c>
      <c r="E65" s="132">
        <v>1249536</v>
      </c>
      <c r="F65" s="131">
        <f>_xlfn.COMPOUNDVALUE(867)</f>
        <v>5978</v>
      </c>
      <c r="G65" s="132">
        <v>10014486</v>
      </c>
      <c r="H65" s="131">
        <f>_xlfn.COMPOUNDVALUE(868)</f>
        <v>263</v>
      </c>
      <c r="I65" s="133">
        <v>621270</v>
      </c>
      <c r="J65" s="131">
        <v>366</v>
      </c>
      <c r="K65" s="133">
        <v>23413</v>
      </c>
      <c r="L65" s="131">
        <f>_xlfn.COMPOUNDVALUE(868)</f>
        <v>6404</v>
      </c>
      <c r="M65" s="133">
        <v>9416629</v>
      </c>
      <c r="N65" s="126">
        <v>6333</v>
      </c>
      <c r="O65" s="129">
        <v>152</v>
      </c>
      <c r="P65" s="129">
        <v>16</v>
      </c>
      <c r="Q65" s="130">
        <v>6501</v>
      </c>
      <c r="R65" s="77" t="s">
        <v>91</v>
      </c>
    </row>
    <row r="66" spans="1:18" ht="15.75" customHeight="1">
      <c r="A66" s="78"/>
      <c r="B66" s="131"/>
      <c r="C66" s="132"/>
      <c r="D66" s="131"/>
      <c r="E66" s="132"/>
      <c r="F66" s="131"/>
      <c r="G66" s="132"/>
      <c r="H66" s="131"/>
      <c r="I66" s="133"/>
      <c r="J66" s="131"/>
      <c r="K66" s="133"/>
      <c r="L66" s="131"/>
      <c r="M66" s="133"/>
      <c r="N66" s="126"/>
      <c r="O66" s="129"/>
      <c r="P66" s="129"/>
      <c r="Q66" s="130"/>
      <c r="R66" s="77" t="s">
        <v>40</v>
      </c>
    </row>
    <row r="67" spans="1:18" ht="15.75" customHeight="1">
      <c r="A67" s="78" t="s">
        <v>92</v>
      </c>
      <c r="B67" s="131">
        <f>_xlfn.COMPOUNDVALUE(869)</f>
        <v>5666</v>
      </c>
      <c r="C67" s="132">
        <v>20540324</v>
      </c>
      <c r="D67" s="131">
        <f>_xlfn.COMPOUNDVALUE(870)</f>
        <v>3816</v>
      </c>
      <c r="E67" s="132">
        <v>1714401</v>
      </c>
      <c r="F67" s="131">
        <f>_xlfn.COMPOUNDVALUE(871)</f>
        <v>9482</v>
      </c>
      <c r="G67" s="132">
        <v>22254725</v>
      </c>
      <c r="H67" s="131">
        <f>_xlfn.COMPOUNDVALUE(872)</f>
        <v>457</v>
      </c>
      <c r="I67" s="133">
        <v>2785027</v>
      </c>
      <c r="J67" s="131">
        <v>604</v>
      </c>
      <c r="K67" s="133">
        <v>75068</v>
      </c>
      <c r="L67" s="131">
        <f>_xlfn.COMPOUNDVALUE(872)</f>
        <v>10128</v>
      </c>
      <c r="M67" s="133">
        <v>19544767</v>
      </c>
      <c r="N67" s="126">
        <v>10126</v>
      </c>
      <c r="O67" s="129">
        <v>216</v>
      </c>
      <c r="P67" s="129">
        <v>39</v>
      </c>
      <c r="Q67" s="130">
        <v>10381</v>
      </c>
      <c r="R67" s="77" t="s">
        <v>92</v>
      </c>
    </row>
    <row r="68" spans="1:18" ht="15.75" customHeight="1">
      <c r="A68" s="78" t="s">
        <v>93</v>
      </c>
      <c r="B68" s="131">
        <f>_xlfn.COMPOUNDVALUE(873)</f>
        <v>4465</v>
      </c>
      <c r="C68" s="132">
        <v>15694698</v>
      </c>
      <c r="D68" s="131">
        <f>_xlfn.COMPOUNDVALUE(874)</f>
        <v>3269</v>
      </c>
      <c r="E68" s="132">
        <v>1397139</v>
      </c>
      <c r="F68" s="131">
        <f>_xlfn.COMPOUNDVALUE(875)</f>
        <v>7734</v>
      </c>
      <c r="G68" s="132">
        <v>17091837</v>
      </c>
      <c r="H68" s="131">
        <f>_xlfn.COMPOUNDVALUE(876)</f>
        <v>326</v>
      </c>
      <c r="I68" s="133">
        <v>1452647</v>
      </c>
      <c r="J68" s="131">
        <v>498</v>
      </c>
      <c r="K68" s="133">
        <v>72573</v>
      </c>
      <c r="L68" s="131">
        <f>_xlfn.COMPOUNDVALUE(876)</f>
        <v>8219</v>
      </c>
      <c r="M68" s="133">
        <v>15711764</v>
      </c>
      <c r="N68" s="126">
        <v>8426</v>
      </c>
      <c r="O68" s="129">
        <v>148</v>
      </c>
      <c r="P68" s="129">
        <v>32</v>
      </c>
      <c r="Q68" s="130">
        <v>8606</v>
      </c>
      <c r="R68" s="77" t="s">
        <v>93</v>
      </c>
    </row>
    <row r="69" spans="1:18" ht="15.75" customHeight="1">
      <c r="A69" s="78" t="s">
        <v>94</v>
      </c>
      <c r="B69" s="131">
        <f>_xlfn.COMPOUNDVALUE(877)</f>
        <v>5938</v>
      </c>
      <c r="C69" s="132">
        <v>19222778</v>
      </c>
      <c r="D69" s="131">
        <f>_xlfn.COMPOUNDVALUE(878)</f>
        <v>4749</v>
      </c>
      <c r="E69" s="132">
        <v>2011086</v>
      </c>
      <c r="F69" s="131">
        <f>_xlfn.COMPOUNDVALUE(879)</f>
        <v>10687</v>
      </c>
      <c r="G69" s="132">
        <v>21233865</v>
      </c>
      <c r="H69" s="131">
        <f>_xlfn.COMPOUNDVALUE(880)</f>
        <v>496</v>
      </c>
      <c r="I69" s="133">
        <v>1798693</v>
      </c>
      <c r="J69" s="131">
        <v>793</v>
      </c>
      <c r="K69" s="133">
        <v>104894</v>
      </c>
      <c r="L69" s="131">
        <f>_xlfn.COMPOUNDVALUE(880)</f>
        <v>11446</v>
      </c>
      <c r="M69" s="133">
        <v>19540066</v>
      </c>
      <c r="N69" s="126">
        <v>11310</v>
      </c>
      <c r="O69" s="129">
        <v>255</v>
      </c>
      <c r="P69" s="129">
        <v>38</v>
      </c>
      <c r="Q69" s="130">
        <v>11603</v>
      </c>
      <c r="R69" s="77" t="s">
        <v>94</v>
      </c>
    </row>
    <row r="70" spans="1:18" ht="15.75" customHeight="1">
      <c r="A70" s="78" t="s">
        <v>95</v>
      </c>
      <c r="B70" s="131">
        <f>_xlfn.COMPOUNDVALUE(881)</f>
        <v>6578</v>
      </c>
      <c r="C70" s="132">
        <v>21914127</v>
      </c>
      <c r="D70" s="131">
        <f>_xlfn.COMPOUNDVALUE(882)</f>
        <v>4738</v>
      </c>
      <c r="E70" s="132">
        <v>2049027</v>
      </c>
      <c r="F70" s="131">
        <f>_xlfn.COMPOUNDVALUE(883)</f>
        <v>11316</v>
      </c>
      <c r="G70" s="132">
        <v>23963154</v>
      </c>
      <c r="H70" s="131">
        <f>_xlfn.COMPOUNDVALUE(884)</f>
        <v>527</v>
      </c>
      <c r="I70" s="133">
        <v>1837558</v>
      </c>
      <c r="J70" s="131">
        <v>703</v>
      </c>
      <c r="K70" s="133">
        <v>68589</v>
      </c>
      <c r="L70" s="131">
        <f>_xlfn.COMPOUNDVALUE(884)</f>
        <v>12085</v>
      </c>
      <c r="M70" s="133">
        <v>22194185</v>
      </c>
      <c r="N70" s="126">
        <v>12275</v>
      </c>
      <c r="O70" s="129">
        <v>229</v>
      </c>
      <c r="P70" s="129">
        <v>26</v>
      </c>
      <c r="Q70" s="130">
        <v>12530</v>
      </c>
      <c r="R70" s="77" t="s">
        <v>95</v>
      </c>
    </row>
    <row r="71" spans="1:18" ht="15.75" customHeight="1">
      <c r="A71" s="78" t="s">
        <v>96</v>
      </c>
      <c r="B71" s="131">
        <f>_xlfn.COMPOUNDVALUE(885)</f>
        <v>3090</v>
      </c>
      <c r="C71" s="132">
        <v>13678050</v>
      </c>
      <c r="D71" s="131">
        <f>_xlfn.COMPOUNDVALUE(886)</f>
        <v>1945</v>
      </c>
      <c r="E71" s="132">
        <v>949434</v>
      </c>
      <c r="F71" s="131">
        <f>_xlfn.COMPOUNDVALUE(887)</f>
        <v>5035</v>
      </c>
      <c r="G71" s="132">
        <v>14627484</v>
      </c>
      <c r="H71" s="131">
        <f>_xlfn.COMPOUNDVALUE(888)</f>
        <v>252</v>
      </c>
      <c r="I71" s="133">
        <v>1793063</v>
      </c>
      <c r="J71" s="131">
        <v>355</v>
      </c>
      <c r="K71" s="133">
        <v>19495</v>
      </c>
      <c r="L71" s="131">
        <f>_xlfn.COMPOUNDVALUE(888)</f>
        <v>5382</v>
      </c>
      <c r="M71" s="133">
        <v>12853916</v>
      </c>
      <c r="N71" s="126">
        <v>5575</v>
      </c>
      <c r="O71" s="129">
        <v>177</v>
      </c>
      <c r="P71" s="129">
        <v>21</v>
      </c>
      <c r="Q71" s="130">
        <v>5773</v>
      </c>
      <c r="R71" s="77" t="s">
        <v>96</v>
      </c>
    </row>
    <row r="72" spans="1:18" ht="15.75" customHeight="1">
      <c r="A72" s="165" t="s">
        <v>97</v>
      </c>
      <c r="B72" s="166">
        <v>255841</v>
      </c>
      <c r="C72" s="167">
        <v>5080528926</v>
      </c>
      <c r="D72" s="166">
        <v>135938</v>
      </c>
      <c r="E72" s="167">
        <v>69487282</v>
      </c>
      <c r="F72" s="166">
        <v>391779</v>
      </c>
      <c r="G72" s="167">
        <v>5150016209</v>
      </c>
      <c r="H72" s="166">
        <v>37804</v>
      </c>
      <c r="I72" s="168">
        <v>1840440129</v>
      </c>
      <c r="J72" s="166">
        <v>28130</v>
      </c>
      <c r="K72" s="168">
        <v>3909353</v>
      </c>
      <c r="L72" s="166">
        <v>436608</v>
      </c>
      <c r="M72" s="168">
        <v>3313485432</v>
      </c>
      <c r="N72" s="166">
        <v>428156</v>
      </c>
      <c r="O72" s="188">
        <v>23118</v>
      </c>
      <c r="P72" s="188">
        <v>5175</v>
      </c>
      <c r="Q72" s="189">
        <v>456449</v>
      </c>
      <c r="R72" s="169" t="s">
        <v>98</v>
      </c>
    </row>
    <row r="73" spans="1:18" ht="15.75" customHeight="1">
      <c r="A73" s="180"/>
      <c r="B73" s="181"/>
      <c r="C73" s="182"/>
      <c r="D73" s="181"/>
      <c r="E73" s="182"/>
      <c r="F73" s="181"/>
      <c r="G73" s="182"/>
      <c r="H73" s="181"/>
      <c r="I73" s="183"/>
      <c r="J73" s="181"/>
      <c r="K73" s="183"/>
      <c r="L73" s="181"/>
      <c r="M73" s="183"/>
      <c r="N73" s="193"/>
      <c r="O73" s="194"/>
      <c r="P73" s="194"/>
      <c r="Q73" s="195"/>
      <c r="R73" s="184" t="s">
        <v>40</v>
      </c>
    </row>
    <row r="74" spans="1:18" ht="15.75" customHeight="1">
      <c r="A74" s="76" t="s">
        <v>99</v>
      </c>
      <c r="B74" s="126">
        <f>_xlfn.COMPOUNDVALUE(889)</f>
        <v>5794</v>
      </c>
      <c r="C74" s="127">
        <v>24285954</v>
      </c>
      <c r="D74" s="126">
        <f>_xlfn.COMPOUNDVALUE(890)</f>
        <v>4566</v>
      </c>
      <c r="E74" s="127">
        <v>2126842</v>
      </c>
      <c r="F74" s="126">
        <f>_xlfn.COMPOUNDVALUE(891)</f>
        <v>10360</v>
      </c>
      <c r="G74" s="127">
        <v>26412795</v>
      </c>
      <c r="H74" s="126">
        <f>_xlfn.COMPOUNDVALUE(892)</f>
        <v>437</v>
      </c>
      <c r="I74" s="128">
        <v>3776445</v>
      </c>
      <c r="J74" s="126">
        <v>581</v>
      </c>
      <c r="K74" s="128">
        <v>33142</v>
      </c>
      <c r="L74" s="126">
        <f>_xlfn.COMPOUNDVALUE(892)</f>
        <v>10949</v>
      </c>
      <c r="M74" s="128">
        <v>22669492</v>
      </c>
      <c r="N74" s="126">
        <v>11318</v>
      </c>
      <c r="O74" s="129">
        <v>288</v>
      </c>
      <c r="P74" s="129">
        <v>31</v>
      </c>
      <c r="Q74" s="130">
        <v>11637</v>
      </c>
      <c r="R74" s="86" t="s">
        <v>99</v>
      </c>
    </row>
    <row r="75" spans="1:18" ht="15.75" customHeight="1">
      <c r="A75" s="78" t="s">
        <v>100</v>
      </c>
      <c r="B75" s="131">
        <f>_xlfn.COMPOUNDVALUE(893)</f>
        <v>7032</v>
      </c>
      <c r="C75" s="132">
        <v>35026386</v>
      </c>
      <c r="D75" s="131">
        <f>_xlfn.COMPOUNDVALUE(894)</f>
        <v>5822</v>
      </c>
      <c r="E75" s="132">
        <v>2676093</v>
      </c>
      <c r="F75" s="131">
        <f>_xlfn.COMPOUNDVALUE(895)</f>
        <v>12854</v>
      </c>
      <c r="G75" s="132">
        <v>37702479</v>
      </c>
      <c r="H75" s="131">
        <f>_xlfn.COMPOUNDVALUE(896)</f>
        <v>555</v>
      </c>
      <c r="I75" s="133">
        <v>3624376</v>
      </c>
      <c r="J75" s="131">
        <v>1038</v>
      </c>
      <c r="K75" s="133">
        <v>184975</v>
      </c>
      <c r="L75" s="131">
        <f>_xlfn.COMPOUNDVALUE(896)</f>
        <v>13797</v>
      </c>
      <c r="M75" s="133">
        <v>34263078</v>
      </c>
      <c r="N75" s="126">
        <v>13778</v>
      </c>
      <c r="O75" s="129">
        <v>364</v>
      </c>
      <c r="P75" s="129">
        <v>42</v>
      </c>
      <c r="Q75" s="130">
        <v>14184</v>
      </c>
      <c r="R75" s="77" t="s">
        <v>100</v>
      </c>
    </row>
    <row r="76" spans="1:18" ht="15.75" customHeight="1">
      <c r="A76" s="78" t="s">
        <v>101</v>
      </c>
      <c r="B76" s="131">
        <f>_xlfn.COMPOUNDVALUE(897)</f>
        <v>4917</v>
      </c>
      <c r="C76" s="132">
        <v>33478151</v>
      </c>
      <c r="D76" s="131">
        <f>_xlfn.COMPOUNDVALUE(898)</f>
        <v>4513</v>
      </c>
      <c r="E76" s="132">
        <v>2161121</v>
      </c>
      <c r="F76" s="131">
        <f>_xlfn.COMPOUNDVALUE(899)</f>
        <v>9430</v>
      </c>
      <c r="G76" s="132">
        <v>35639273</v>
      </c>
      <c r="H76" s="131">
        <f>_xlfn.COMPOUNDVALUE(900)</f>
        <v>496</v>
      </c>
      <c r="I76" s="133">
        <v>6609814</v>
      </c>
      <c r="J76" s="131">
        <v>562</v>
      </c>
      <c r="K76" s="133">
        <v>68631</v>
      </c>
      <c r="L76" s="131">
        <f>_xlfn.COMPOUNDVALUE(900)</f>
        <v>10085</v>
      </c>
      <c r="M76" s="133">
        <v>29098090</v>
      </c>
      <c r="N76" s="126">
        <v>10056</v>
      </c>
      <c r="O76" s="129">
        <v>297</v>
      </c>
      <c r="P76" s="129">
        <v>35</v>
      </c>
      <c r="Q76" s="130">
        <v>10388</v>
      </c>
      <c r="R76" s="77" t="s">
        <v>101</v>
      </c>
    </row>
    <row r="77" spans="1:18" ht="15.75" customHeight="1">
      <c r="A77" s="78" t="s">
        <v>102</v>
      </c>
      <c r="B77" s="131">
        <f>_xlfn.COMPOUNDVALUE(901)</f>
        <v>4291</v>
      </c>
      <c r="C77" s="132">
        <v>17474878</v>
      </c>
      <c r="D77" s="131">
        <f>_xlfn.COMPOUNDVALUE(902)</f>
        <v>3727</v>
      </c>
      <c r="E77" s="132">
        <v>1631894</v>
      </c>
      <c r="F77" s="131">
        <f>_xlfn.COMPOUNDVALUE(903)</f>
        <v>8018</v>
      </c>
      <c r="G77" s="132">
        <v>19106772</v>
      </c>
      <c r="H77" s="131">
        <f>_xlfn.COMPOUNDVALUE(904)</f>
        <v>293</v>
      </c>
      <c r="I77" s="133">
        <v>5093413</v>
      </c>
      <c r="J77" s="131">
        <v>505</v>
      </c>
      <c r="K77" s="133">
        <v>49397</v>
      </c>
      <c r="L77" s="131">
        <f>_xlfn.COMPOUNDVALUE(904)</f>
        <v>8493</v>
      </c>
      <c r="M77" s="133">
        <v>14062756</v>
      </c>
      <c r="N77" s="126">
        <v>8758</v>
      </c>
      <c r="O77" s="129">
        <v>170</v>
      </c>
      <c r="P77" s="129">
        <v>14</v>
      </c>
      <c r="Q77" s="130">
        <v>8942</v>
      </c>
      <c r="R77" s="77" t="s">
        <v>102</v>
      </c>
    </row>
    <row r="78" spans="1:18" ht="15.75" customHeight="1">
      <c r="A78" s="78" t="s">
        <v>103</v>
      </c>
      <c r="B78" s="131">
        <f>_xlfn.COMPOUNDVALUE(905)</f>
        <v>5794</v>
      </c>
      <c r="C78" s="132">
        <v>35550605</v>
      </c>
      <c r="D78" s="131">
        <f>_xlfn.COMPOUNDVALUE(906)</f>
        <v>4732</v>
      </c>
      <c r="E78" s="132">
        <v>2080526</v>
      </c>
      <c r="F78" s="131">
        <f>_xlfn.COMPOUNDVALUE(907)</f>
        <v>10526</v>
      </c>
      <c r="G78" s="132">
        <v>37631131</v>
      </c>
      <c r="H78" s="131">
        <f>_xlfn.COMPOUNDVALUE(908)</f>
        <v>454</v>
      </c>
      <c r="I78" s="133">
        <v>3093615</v>
      </c>
      <c r="J78" s="131">
        <v>624</v>
      </c>
      <c r="K78" s="133">
        <v>-17804</v>
      </c>
      <c r="L78" s="131">
        <f>_xlfn.COMPOUNDVALUE(908)</f>
        <v>11213</v>
      </c>
      <c r="M78" s="133">
        <v>34519712</v>
      </c>
      <c r="N78" s="126">
        <v>11545</v>
      </c>
      <c r="O78" s="129">
        <v>292</v>
      </c>
      <c r="P78" s="129">
        <v>34</v>
      </c>
      <c r="Q78" s="130">
        <v>11871</v>
      </c>
      <c r="R78" s="77" t="s">
        <v>103</v>
      </c>
    </row>
    <row r="79" spans="1:18" ht="15.75" customHeight="1">
      <c r="A79" s="103"/>
      <c r="B79" s="139"/>
      <c r="C79" s="140"/>
      <c r="D79" s="139"/>
      <c r="E79" s="140"/>
      <c r="F79" s="139"/>
      <c r="G79" s="140"/>
      <c r="H79" s="139"/>
      <c r="I79" s="141"/>
      <c r="J79" s="139"/>
      <c r="K79" s="141"/>
      <c r="L79" s="139"/>
      <c r="M79" s="140"/>
      <c r="N79" s="126"/>
      <c r="O79" s="129"/>
      <c r="P79" s="129"/>
      <c r="Q79" s="130"/>
      <c r="R79" s="105" t="s">
        <v>40</v>
      </c>
    </row>
    <row r="80" spans="1:18" ht="15.75" customHeight="1">
      <c r="A80" s="76" t="s">
        <v>104</v>
      </c>
      <c r="B80" s="126">
        <f>_xlfn.COMPOUNDVALUE(909)</f>
        <v>3952</v>
      </c>
      <c r="C80" s="127">
        <v>12970741</v>
      </c>
      <c r="D80" s="126">
        <f>_xlfn.COMPOUNDVALUE(910)</f>
        <v>3433</v>
      </c>
      <c r="E80" s="127">
        <v>1569924</v>
      </c>
      <c r="F80" s="126">
        <f>_xlfn.COMPOUNDVALUE(911)</f>
        <v>7385</v>
      </c>
      <c r="G80" s="127">
        <v>14540665</v>
      </c>
      <c r="H80" s="126">
        <f>_xlfn.COMPOUNDVALUE(912)</f>
        <v>328</v>
      </c>
      <c r="I80" s="128">
        <v>1021621</v>
      </c>
      <c r="J80" s="126">
        <v>465</v>
      </c>
      <c r="K80" s="128">
        <v>14952</v>
      </c>
      <c r="L80" s="126">
        <f>_xlfn.COMPOUNDVALUE(912)</f>
        <v>7870</v>
      </c>
      <c r="M80" s="127">
        <v>13533996</v>
      </c>
      <c r="N80" s="126">
        <v>8180</v>
      </c>
      <c r="O80" s="129">
        <v>229</v>
      </c>
      <c r="P80" s="129">
        <v>25</v>
      </c>
      <c r="Q80" s="130">
        <v>8434</v>
      </c>
      <c r="R80" s="86" t="s">
        <v>104</v>
      </c>
    </row>
    <row r="81" spans="1:18" ht="15.75" customHeight="1">
      <c r="A81" s="78" t="s">
        <v>105</v>
      </c>
      <c r="B81" s="131">
        <f>_xlfn.COMPOUNDVALUE(913)</f>
        <v>3047</v>
      </c>
      <c r="C81" s="132">
        <v>18102023</v>
      </c>
      <c r="D81" s="131">
        <f>_xlfn.COMPOUNDVALUE(914)</f>
        <v>2684</v>
      </c>
      <c r="E81" s="132">
        <v>1202735</v>
      </c>
      <c r="F81" s="131">
        <f>_xlfn.COMPOUNDVALUE(915)</f>
        <v>5731</v>
      </c>
      <c r="G81" s="132">
        <v>19304758</v>
      </c>
      <c r="H81" s="131">
        <f>_xlfn.COMPOUNDVALUE(916)</f>
        <v>255</v>
      </c>
      <c r="I81" s="133">
        <v>6801359</v>
      </c>
      <c r="J81" s="131">
        <v>412</v>
      </c>
      <c r="K81" s="133">
        <v>74379</v>
      </c>
      <c r="L81" s="131">
        <f>_xlfn.COMPOUNDVALUE(916)</f>
        <v>6170</v>
      </c>
      <c r="M81" s="133">
        <v>12577778</v>
      </c>
      <c r="N81" s="126">
        <v>6328</v>
      </c>
      <c r="O81" s="129">
        <v>160</v>
      </c>
      <c r="P81" s="129">
        <v>19</v>
      </c>
      <c r="Q81" s="130">
        <v>6507</v>
      </c>
      <c r="R81" s="77" t="s">
        <v>105</v>
      </c>
    </row>
    <row r="82" spans="1:18" ht="15.75" customHeight="1">
      <c r="A82" s="78" t="s">
        <v>106</v>
      </c>
      <c r="B82" s="131">
        <f>_xlfn.COMPOUNDVALUE(917)</f>
        <v>6108</v>
      </c>
      <c r="C82" s="132">
        <v>22049776</v>
      </c>
      <c r="D82" s="131">
        <f>_xlfn.COMPOUNDVALUE(918)</f>
        <v>5475</v>
      </c>
      <c r="E82" s="132">
        <v>2348671</v>
      </c>
      <c r="F82" s="131">
        <f>_xlfn.COMPOUNDVALUE(919)</f>
        <v>11583</v>
      </c>
      <c r="G82" s="132">
        <v>24398447</v>
      </c>
      <c r="H82" s="131">
        <f>_xlfn.COMPOUNDVALUE(920)</f>
        <v>447</v>
      </c>
      <c r="I82" s="133">
        <v>3840252</v>
      </c>
      <c r="J82" s="131">
        <v>749</v>
      </c>
      <c r="K82" s="133">
        <v>62052</v>
      </c>
      <c r="L82" s="131">
        <f>_xlfn.COMPOUNDVALUE(920)</f>
        <v>12369</v>
      </c>
      <c r="M82" s="133">
        <v>20620247</v>
      </c>
      <c r="N82" s="126">
        <v>11901</v>
      </c>
      <c r="O82" s="129">
        <v>299</v>
      </c>
      <c r="P82" s="129">
        <v>23</v>
      </c>
      <c r="Q82" s="130">
        <v>12223</v>
      </c>
      <c r="R82" s="77" t="s">
        <v>106</v>
      </c>
    </row>
    <row r="83" spans="1:18" ht="15.75" customHeight="1">
      <c r="A83" s="165" t="s">
        <v>107</v>
      </c>
      <c r="B83" s="166">
        <v>40935</v>
      </c>
      <c r="C83" s="167">
        <v>198938514</v>
      </c>
      <c r="D83" s="166">
        <v>34952</v>
      </c>
      <c r="E83" s="167">
        <v>15797806</v>
      </c>
      <c r="F83" s="166">
        <v>75887</v>
      </c>
      <c r="G83" s="167">
        <v>214736320</v>
      </c>
      <c r="H83" s="166">
        <v>3265</v>
      </c>
      <c r="I83" s="168">
        <v>33860895</v>
      </c>
      <c r="J83" s="166">
        <v>4936</v>
      </c>
      <c r="K83" s="168">
        <v>469724</v>
      </c>
      <c r="L83" s="166">
        <v>80946</v>
      </c>
      <c r="M83" s="168">
        <v>181345149</v>
      </c>
      <c r="N83" s="166">
        <v>81864</v>
      </c>
      <c r="O83" s="188">
        <v>2099</v>
      </c>
      <c r="P83" s="188">
        <v>223</v>
      </c>
      <c r="Q83" s="189">
        <v>84186</v>
      </c>
      <c r="R83" s="169" t="s">
        <v>108</v>
      </c>
    </row>
    <row r="84" spans="1:18" ht="15.75" customHeight="1">
      <c r="A84" s="180"/>
      <c r="B84" s="181"/>
      <c r="C84" s="182"/>
      <c r="D84" s="181"/>
      <c r="E84" s="182"/>
      <c r="F84" s="181"/>
      <c r="G84" s="182"/>
      <c r="H84" s="181"/>
      <c r="I84" s="183"/>
      <c r="J84" s="181"/>
      <c r="K84" s="183"/>
      <c r="L84" s="181"/>
      <c r="M84" s="183"/>
      <c r="N84" s="193"/>
      <c r="O84" s="194"/>
      <c r="P84" s="194"/>
      <c r="Q84" s="195"/>
      <c r="R84" s="184" t="s">
        <v>40</v>
      </c>
    </row>
    <row r="85" spans="1:18" ht="15.75" customHeight="1">
      <c r="A85" s="175" t="s">
        <v>109</v>
      </c>
      <c r="B85" s="176">
        <v>296776</v>
      </c>
      <c r="C85" s="177">
        <v>5279467440</v>
      </c>
      <c r="D85" s="176">
        <v>170890</v>
      </c>
      <c r="E85" s="177">
        <v>85285086</v>
      </c>
      <c r="F85" s="176">
        <v>467666</v>
      </c>
      <c r="G85" s="177">
        <v>5364752526</v>
      </c>
      <c r="H85" s="176">
        <v>41069</v>
      </c>
      <c r="I85" s="178">
        <v>1874301023</v>
      </c>
      <c r="J85" s="176">
        <v>33066</v>
      </c>
      <c r="K85" s="178">
        <v>4379072</v>
      </c>
      <c r="L85" s="176">
        <v>517554</v>
      </c>
      <c r="M85" s="178">
        <v>3494830576</v>
      </c>
      <c r="N85" s="176">
        <v>510020</v>
      </c>
      <c r="O85" s="196">
        <v>25217</v>
      </c>
      <c r="P85" s="196">
        <v>5398</v>
      </c>
      <c r="Q85" s="197">
        <v>540635</v>
      </c>
      <c r="R85" s="179" t="s">
        <v>110</v>
      </c>
    </row>
    <row r="86" spans="1:18" ht="15.75" customHeight="1">
      <c r="A86" s="170"/>
      <c r="B86" s="171"/>
      <c r="C86" s="172"/>
      <c r="D86" s="171"/>
      <c r="E86" s="172"/>
      <c r="F86" s="173"/>
      <c r="G86" s="172"/>
      <c r="H86" s="173"/>
      <c r="I86" s="172"/>
      <c r="J86" s="173"/>
      <c r="K86" s="172"/>
      <c r="L86" s="173"/>
      <c r="M86" s="172"/>
      <c r="N86" s="190"/>
      <c r="O86" s="191"/>
      <c r="P86" s="191"/>
      <c r="Q86" s="192"/>
      <c r="R86" s="174" t="s">
        <v>40</v>
      </c>
    </row>
    <row r="87" spans="1:18" ht="15.75" customHeight="1">
      <c r="A87" s="76" t="s">
        <v>111</v>
      </c>
      <c r="B87" s="126">
        <f>_xlfn.COMPOUNDVALUE(921)</f>
        <v>3470</v>
      </c>
      <c r="C87" s="127">
        <v>21821546</v>
      </c>
      <c r="D87" s="126">
        <f>_xlfn.COMPOUNDVALUE(922)</f>
        <v>2477</v>
      </c>
      <c r="E87" s="127">
        <v>1097048</v>
      </c>
      <c r="F87" s="126">
        <f>_xlfn.COMPOUNDVALUE(923)</f>
        <v>5947</v>
      </c>
      <c r="G87" s="127">
        <v>22918594</v>
      </c>
      <c r="H87" s="126">
        <f>_xlfn.COMPOUNDVALUE(924)</f>
        <v>282</v>
      </c>
      <c r="I87" s="128">
        <v>2398248</v>
      </c>
      <c r="J87" s="126">
        <v>376</v>
      </c>
      <c r="K87" s="128">
        <v>-117561</v>
      </c>
      <c r="L87" s="126">
        <f>_xlfn.COMPOUNDVALUE(924)</f>
        <v>6336</v>
      </c>
      <c r="M87" s="128">
        <v>20402784</v>
      </c>
      <c r="N87" s="126">
        <v>6327</v>
      </c>
      <c r="O87" s="129">
        <v>195</v>
      </c>
      <c r="P87" s="129">
        <v>20</v>
      </c>
      <c r="Q87" s="130">
        <v>6542</v>
      </c>
      <c r="R87" s="86" t="s">
        <v>111</v>
      </c>
    </row>
    <row r="88" spans="1:18" ht="15.75" customHeight="1">
      <c r="A88" s="76" t="s">
        <v>112</v>
      </c>
      <c r="B88" s="126">
        <f>_xlfn.COMPOUNDVALUE(925)</f>
        <v>7519</v>
      </c>
      <c r="C88" s="127">
        <v>164220841</v>
      </c>
      <c r="D88" s="126">
        <f>_xlfn.COMPOUNDVALUE(926)</f>
        <v>3890</v>
      </c>
      <c r="E88" s="127">
        <v>2027374</v>
      </c>
      <c r="F88" s="126">
        <f>_xlfn.COMPOUNDVALUE(927)</f>
        <v>11409</v>
      </c>
      <c r="G88" s="127">
        <v>166248215</v>
      </c>
      <c r="H88" s="126">
        <f>_xlfn.COMPOUNDVALUE(928)</f>
        <v>1469</v>
      </c>
      <c r="I88" s="128">
        <v>21495304</v>
      </c>
      <c r="J88" s="126">
        <v>974</v>
      </c>
      <c r="K88" s="128">
        <v>10751</v>
      </c>
      <c r="L88" s="126">
        <f>_xlfn.COMPOUNDVALUE(928)</f>
        <v>13124</v>
      </c>
      <c r="M88" s="128">
        <v>144763661</v>
      </c>
      <c r="N88" s="126">
        <v>12447</v>
      </c>
      <c r="O88" s="129">
        <v>667</v>
      </c>
      <c r="P88" s="129">
        <v>112</v>
      </c>
      <c r="Q88" s="130">
        <v>13226</v>
      </c>
      <c r="R88" s="77" t="s">
        <v>112</v>
      </c>
    </row>
    <row r="89" spans="1:18" ht="15.75" customHeight="1">
      <c r="A89" s="76" t="s">
        <v>113</v>
      </c>
      <c r="B89" s="126">
        <f>_xlfn.COMPOUNDVALUE(929)</f>
        <v>4898</v>
      </c>
      <c r="C89" s="127">
        <v>20293220</v>
      </c>
      <c r="D89" s="126">
        <f>_xlfn.COMPOUNDVALUE(930)</f>
        <v>4024</v>
      </c>
      <c r="E89" s="127">
        <v>1769057</v>
      </c>
      <c r="F89" s="126">
        <f>_xlfn.COMPOUNDVALUE(931)</f>
        <v>8922</v>
      </c>
      <c r="G89" s="127">
        <v>22062277</v>
      </c>
      <c r="H89" s="126">
        <f>_xlfn.COMPOUNDVALUE(932)</f>
        <v>373</v>
      </c>
      <c r="I89" s="128">
        <v>3497694</v>
      </c>
      <c r="J89" s="126">
        <v>586</v>
      </c>
      <c r="K89" s="128">
        <v>73994</v>
      </c>
      <c r="L89" s="126">
        <f>_xlfn.COMPOUNDVALUE(932)</f>
        <v>9517</v>
      </c>
      <c r="M89" s="128">
        <v>18638578</v>
      </c>
      <c r="N89" s="126">
        <v>9735</v>
      </c>
      <c r="O89" s="129">
        <v>239</v>
      </c>
      <c r="P89" s="129">
        <v>24</v>
      </c>
      <c r="Q89" s="130">
        <v>9998</v>
      </c>
      <c r="R89" s="77" t="s">
        <v>113</v>
      </c>
    </row>
    <row r="90" spans="1:18" ht="15.75" customHeight="1">
      <c r="A90" s="76" t="s">
        <v>114</v>
      </c>
      <c r="B90" s="126">
        <f>_xlfn.COMPOUNDVALUE(933)</f>
        <v>6954</v>
      </c>
      <c r="C90" s="127">
        <v>27340583</v>
      </c>
      <c r="D90" s="126">
        <f>_xlfn.COMPOUNDVALUE(934)</f>
        <v>5356</v>
      </c>
      <c r="E90" s="127">
        <v>2409975</v>
      </c>
      <c r="F90" s="126">
        <f>_xlfn.COMPOUNDVALUE(935)</f>
        <v>12310</v>
      </c>
      <c r="G90" s="127">
        <v>29750558</v>
      </c>
      <c r="H90" s="126">
        <f>_xlfn.COMPOUNDVALUE(936)</f>
        <v>682</v>
      </c>
      <c r="I90" s="128">
        <v>3333356</v>
      </c>
      <c r="J90" s="126">
        <v>972</v>
      </c>
      <c r="K90" s="128">
        <v>128949</v>
      </c>
      <c r="L90" s="126">
        <f>_xlfn.COMPOUNDVALUE(936)</f>
        <v>13286</v>
      </c>
      <c r="M90" s="128">
        <v>26546151</v>
      </c>
      <c r="N90" s="126">
        <v>13218</v>
      </c>
      <c r="O90" s="129">
        <v>363</v>
      </c>
      <c r="P90" s="129">
        <v>22</v>
      </c>
      <c r="Q90" s="130">
        <v>13603</v>
      </c>
      <c r="R90" s="77" t="s">
        <v>114</v>
      </c>
    </row>
    <row r="91" spans="1:18" ht="15.75" customHeight="1">
      <c r="A91" s="76" t="s">
        <v>115</v>
      </c>
      <c r="B91" s="126">
        <f>_xlfn.COMPOUNDVALUE(937)</f>
        <v>7366</v>
      </c>
      <c r="C91" s="127">
        <v>65332841</v>
      </c>
      <c r="D91" s="126">
        <f>_xlfn.COMPOUNDVALUE(938)</f>
        <v>5216</v>
      </c>
      <c r="E91" s="127">
        <v>2424753</v>
      </c>
      <c r="F91" s="126">
        <f>_xlfn.COMPOUNDVALUE(939)</f>
        <v>12582</v>
      </c>
      <c r="G91" s="127">
        <v>67757594</v>
      </c>
      <c r="H91" s="126">
        <f>_xlfn.COMPOUNDVALUE(940)</f>
        <v>979</v>
      </c>
      <c r="I91" s="128">
        <v>136657683</v>
      </c>
      <c r="J91" s="126">
        <v>849</v>
      </c>
      <c r="K91" s="128">
        <v>201468</v>
      </c>
      <c r="L91" s="126">
        <f>_xlfn.COMPOUNDVALUE(940)</f>
        <v>13783</v>
      </c>
      <c r="M91" s="128">
        <v>-68698621</v>
      </c>
      <c r="N91" s="126">
        <v>13324</v>
      </c>
      <c r="O91" s="129">
        <v>524</v>
      </c>
      <c r="P91" s="129">
        <v>76</v>
      </c>
      <c r="Q91" s="130">
        <v>13924</v>
      </c>
      <c r="R91" s="77" t="s">
        <v>115</v>
      </c>
    </row>
    <row r="92" spans="1:18" ht="15.75" customHeight="1">
      <c r="A92" s="76"/>
      <c r="B92" s="126"/>
      <c r="C92" s="127"/>
      <c r="D92" s="126"/>
      <c r="E92" s="127"/>
      <c r="F92" s="126"/>
      <c r="G92" s="127"/>
      <c r="H92" s="126"/>
      <c r="I92" s="128"/>
      <c r="J92" s="126"/>
      <c r="K92" s="128"/>
      <c r="L92" s="126"/>
      <c r="M92" s="128"/>
      <c r="N92" s="126"/>
      <c r="O92" s="129"/>
      <c r="P92" s="129"/>
      <c r="Q92" s="130"/>
      <c r="R92" s="77" t="s">
        <v>40</v>
      </c>
    </row>
    <row r="93" spans="1:18" ht="15.75" customHeight="1">
      <c r="A93" s="76" t="s">
        <v>116</v>
      </c>
      <c r="B93" s="126">
        <f>_xlfn.COMPOUNDVALUE(941)</f>
        <v>4083</v>
      </c>
      <c r="C93" s="127">
        <v>17801238</v>
      </c>
      <c r="D93" s="126">
        <f>_xlfn.COMPOUNDVALUE(942)</f>
        <v>3514</v>
      </c>
      <c r="E93" s="127">
        <v>1568418</v>
      </c>
      <c r="F93" s="126">
        <f>_xlfn.COMPOUNDVALUE(943)</f>
        <v>7597</v>
      </c>
      <c r="G93" s="127">
        <v>19369656</v>
      </c>
      <c r="H93" s="126">
        <f>_xlfn.COMPOUNDVALUE(944)</f>
        <v>309</v>
      </c>
      <c r="I93" s="128">
        <v>5541793</v>
      </c>
      <c r="J93" s="126">
        <v>623</v>
      </c>
      <c r="K93" s="128">
        <v>25650</v>
      </c>
      <c r="L93" s="126">
        <f>_xlfn.COMPOUNDVALUE(944)</f>
        <v>8144</v>
      </c>
      <c r="M93" s="128">
        <v>13853513</v>
      </c>
      <c r="N93" s="126">
        <v>8087</v>
      </c>
      <c r="O93" s="129">
        <v>260</v>
      </c>
      <c r="P93" s="129">
        <v>34</v>
      </c>
      <c r="Q93" s="130">
        <v>8381</v>
      </c>
      <c r="R93" s="77" t="s">
        <v>116</v>
      </c>
    </row>
    <row r="94" spans="1:18" ht="15.75" customHeight="1">
      <c r="A94" s="76" t="s">
        <v>178</v>
      </c>
      <c r="B94" s="126">
        <f>_xlfn.COMPOUNDVALUE(945)</f>
        <v>6965</v>
      </c>
      <c r="C94" s="127">
        <v>28077835</v>
      </c>
      <c r="D94" s="126">
        <f>_xlfn.COMPOUNDVALUE(946)</f>
        <v>5843</v>
      </c>
      <c r="E94" s="127">
        <v>2789040</v>
      </c>
      <c r="F94" s="126">
        <f>_xlfn.COMPOUNDVALUE(947)</f>
        <v>12808</v>
      </c>
      <c r="G94" s="127">
        <v>30866875</v>
      </c>
      <c r="H94" s="126">
        <f>_xlfn.COMPOUNDVALUE(948)</f>
        <v>717</v>
      </c>
      <c r="I94" s="128">
        <v>4017097</v>
      </c>
      <c r="J94" s="126">
        <v>784</v>
      </c>
      <c r="K94" s="128">
        <v>93948</v>
      </c>
      <c r="L94" s="126">
        <f>_xlfn.COMPOUNDVALUE(948)</f>
        <v>13735</v>
      </c>
      <c r="M94" s="128">
        <v>26943726</v>
      </c>
      <c r="N94" s="126">
        <v>13742</v>
      </c>
      <c r="O94" s="129">
        <v>472</v>
      </c>
      <c r="P94" s="129">
        <v>54</v>
      </c>
      <c r="Q94" s="130">
        <v>14268</v>
      </c>
      <c r="R94" s="77" t="s">
        <v>117</v>
      </c>
    </row>
    <row r="95" spans="1:18" ht="15.75" customHeight="1">
      <c r="A95" s="76" t="s">
        <v>118</v>
      </c>
      <c r="B95" s="126">
        <f>_xlfn.COMPOUNDVALUE(949)</f>
        <v>5268</v>
      </c>
      <c r="C95" s="127">
        <v>83407364</v>
      </c>
      <c r="D95" s="126">
        <f>_xlfn.COMPOUNDVALUE(950)</f>
        <v>3432</v>
      </c>
      <c r="E95" s="127">
        <v>1597019</v>
      </c>
      <c r="F95" s="126">
        <f>_xlfn.COMPOUNDVALUE(951)</f>
        <v>8700</v>
      </c>
      <c r="G95" s="127">
        <v>85004383</v>
      </c>
      <c r="H95" s="126">
        <f>_xlfn.COMPOUNDVALUE(952)</f>
        <v>487</v>
      </c>
      <c r="I95" s="128">
        <v>25724867</v>
      </c>
      <c r="J95" s="126">
        <v>509</v>
      </c>
      <c r="K95" s="128">
        <v>8028</v>
      </c>
      <c r="L95" s="126">
        <f>_xlfn.COMPOUNDVALUE(952)</f>
        <v>9330</v>
      </c>
      <c r="M95" s="128">
        <v>59287544</v>
      </c>
      <c r="N95" s="126">
        <v>9675</v>
      </c>
      <c r="O95" s="129">
        <v>241</v>
      </c>
      <c r="P95" s="129">
        <v>44</v>
      </c>
      <c r="Q95" s="130">
        <v>9960</v>
      </c>
      <c r="R95" s="77" t="s">
        <v>118</v>
      </c>
    </row>
    <row r="96" spans="1:18" ht="15.75" customHeight="1">
      <c r="A96" s="76" t="s">
        <v>119</v>
      </c>
      <c r="B96" s="126">
        <f>_xlfn.COMPOUNDVALUE(953)</f>
        <v>6320</v>
      </c>
      <c r="C96" s="127">
        <v>51818486</v>
      </c>
      <c r="D96" s="126">
        <f>_xlfn.COMPOUNDVALUE(954)</f>
        <v>5412</v>
      </c>
      <c r="E96" s="127">
        <v>2522739</v>
      </c>
      <c r="F96" s="126">
        <f>_xlfn.COMPOUNDVALUE(955)</f>
        <v>11732</v>
      </c>
      <c r="G96" s="127">
        <v>54341225</v>
      </c>
      <c r="H96" s="126">
        <f>_xlfn.COMPOUNDVALUE(956)</f>
        <v>545</v>
      </c>
      <c r="I96" s="128">
        <v>22625826</v>
      </c>
      <c r="J96" s="126">
        <v>666</v>
      </c>
      <c r="K96" s="128">
        <v>52316</v>
      </c>
      <c r="L96" s="126">
        <f>_xlfn.COMPOUNDVALUE(956)</f>
        <v>12465</v>
      </c>
      <c r="M96" s="128">
        <v>31767715</v>
      </c>
      <c r="N96" s="126">
        <v>12851</v>
      </c>
      <c r="O96" s="129">
        <v>333</v>
      </c>
      <c r="P96" s="129">
        <v>31</v>
      </c>
      <c r="Q96" s="130">
        <v>13215</v>
      </c>
      <c r="R96" s="77" t="s">
        <v>119</v>
      </c>
    </row>
    <row r="97" spans="1:18" ht="15.75" customHeight="1">
      <c r="A97" s="76" t="s">
        <v>120</v>
      </c>
      <c r="B97" s="126">
        <f>_xlfn.COMPOUNDVALUE(957)</f>
        <v>2981</v>
      </c>
      <c r="C97" s="127">
        <v>6997186</v>
      </c>
      <c r="D97" s="126">
        <f>_xlfn.COMPOUNDVALUE(958)</f>
        <v>2676</v>
      </c>
      <c r="E97" s="127">
        <v>1180292</v>
      </c>
      <c r="F97" s="126">
        <f>_xlfn.COMPOUNDVALUE(959)</f>
        <v>5657</v>
      </c>
      <c r="G97" s="127">
        <v>8177477</v>
      </c>
      <c r="H97" s="126">
        <f>_xlfn.COMPOUNDVALUE(960)</f>
        <v>315</v>
      </c>
      <c r="I97" s="128">
        <v>1510413</v>
      </c>
      <c r="J97" s="126">
        <v>412</v>
      </c>
      <c r="K97" s="128">
        <v>29290</v>
      </c>
      <c r="L97" s="126">
        <f>_xlfn.COMPOUNDVALUE(960)</f>
        <v>6096</v>
      </c>
      <c r="M97" s="128">
        <v>6696353</v>
      </c>
      <c r="N97" s="126">
        <v>6063</v>
      </c>
      <c r="O97" s="129">
        <v>186</v>
      </c>
      <c r="P97" s="129">
        <v>19</v>
      </c>
      <c r="Q97" s="130">
        <v>6268</v>
      </c>
      <c r="R97" s="77" t="s">
        <v>120</v>
      </c>
    </row>
    <row r="98" spans="1:18" ht="15.75" customHeight="1">
      <c r="A98" s="76"/>
      <c r="B98" s="126"/>
      <c r="C98" s="127"/>
      <c r="D98" s="126"/>
      <c r="E98" s="127"/>
      <c r="F98" s="126"/>
      <c r="G98" s="127"/>
      <c r="H98" s="126"/>
      <c r="I98" s="128"/>
      <c r="J98" s="126"/>
      <c r="K98" s="128"/>
      <c r="L98" s="126"/>
      <c r="M98" s="128"/>
      <c r="N98" s="126"/>
      <c r="O98" s="129"/>
      <c r="P98" s="129"/>
      <c r="Q98" s="130"/>
      <c r="R98" s="77" t="s">
        <v>40</v>
      </c>
    </row>
    <row r="99" spans="1:18" ht="15.75" customHeight="1">
      <c r="A99" s="76" t="s">
        <v>121</v>
      </c>
      <c r="B99" s="126">
        <f>_xlfn.COMPOUNDVALUE(961)</f>
        <v>3951</v>
      </c>
      <c r="C99" s="127">
        <v>14240333</v>
      </c>
      <c r="D99" s="126">
        <f>_xlfn.COMPOUNDVALUE(962)</f>
        <v>4306</v>
      </c>
      <c r="E99" s="127">
        <v>1733548</v>
      </c>
      <c r="F99" s="126">
        <f>_xlfn.COMPOUNDVALUE(963)</f>
        <v>8257</v>
      </c>
      <c r="G99" s="127">
        <v>15973881</v>
      </c>
      <c r="H99" s="126">
        <f>_xlfn.COMPOUNDVALUE(964)</f>
        <v>290</v>
      </c>
      <c r="I99" s="128">
        <v>892162</v>
      </c>
      <c r="J99" s="126">
        <v>538</v>
      </c>
      <c r="K99" s="128">
        <v>87894</v>
      </c>
      <c r="L99" s="126">
        <f>_xlfn.COMPOUNDVALUE(964)</f>
        <v>8746</v>
      </c>
      <c r="M99" s="128">
        <v>15169613</v>
      </c>
      <c r="N99" s="126">
        <v>8809</v>
      </c>
      <c r="O99" s="129">
        <v>174</v>
      </c>
      <c r="P99" s="129">
        <v>27</v>
      </c>
      <c r="Q99" s="130">
        <v>9010</v>
      </c>
      <c r="R99" s="77" t="s">
        <v>121</v>
      </c>
    </row>
    <row r="100" spans="1:18" ht="15.75" customHeight="1">
      <c r="A100" s="76" t="s">
        <v>122</v>
      </c>
      <c r="B100" s="126">
        <f>_xlfn.COMPOUNDVALUE(965)</f>
        <v>5226</v>
      </c>
      <c r="C100" s="127">
        <v>27599088</v>
      </c>
      <c r="D100" s="126">
        <f>_xlfn.COMPOUNDVALUE(966)</f>
        <v>4853</v>
      </c>
      <c r="E100" s="127">
        <v>2010539</v>
      </c>
      <c r="F100" s="126">
        <f>_xlfn.COMPOUNDVALUE(967)</f>
        <v>10079</v>
      </c>
      <c r="G100" s="127">
        <v>29609627</v>
      </c>
      <c r="H100" s="126">
        <f>_xlfn.COMPOUNDVALUE(968)</f>
        <v>355</v>
      </c>
      <c r="I100" s="128">
        <v>2148508</v>
      </c>
      <c r="J100" s="126">
        <v>540</v>
      </c>
      <c r="K100" s="128">
        <v>43973</v>
      </c>
      <c r="L100" s="126">
        <f>_xlfn.COMPOUNDVALUE(968)</f>
        <v>10686</v>
      </c>
      <c r="M100" s="128">
        <v>27505092</v>
      </c>
      <c r="N100" s="126">
        <v>10657</v>
      </c>
      <c r="O100" s="129">
        <v>226</v>
      </c>
      <c r="P100" s="129">
        <v>28</v>
      </c>
      <c r="Q100" s="130">
        <v>10911</v>
      </c>
      <c r="R100" s="77" t="s">
        <v>122</v>
      </c>
    </row>
    <row r="101" spans="1:18" ht="15.75" customHeight="1">
      <c r="A101" s="78" t="s">
        <v>123</v>
      </c>
      <c r="B101" s="131">
        <f>_xlfn.COMPOUNDVALUE(969)</f>
        <v>2692</v>
      </c>
      <c r="C101" s="132">
        <v>8183798</v>
      </c>
      <c r="D101" s="131">
        <f>_xlfn.COMPOUNDVALUE(970)</f>
        <v>2812</v>
      </c>
      <c r="E101" s="132">
        <v>1223236</v>
      </c>
      <c r="F101" s="131">
        <f>_xlfn.COMPOUNDVALUE(971)</f>
        <v>5504</v>
      </c>
      <c r="G101" s="132">
        <v>9407034</v>
      </c>
      <c r="H101" s="131">
        <f>_xlfn.COMPOUNDVALUE(972)</f>
        <v>259</v>
      </c>
      <c r="I101" s="133">
        <v>433864</v>
      </c>
      <c r="J101" s="131">
        <v>397</v>
      </c>
      <c r="K101" s="133">
        <v>48060</v>
      </c>
      <c r="L101" s="131">
        <f>_xlfn.COMPOUNDVALUE(972)</f>
        <v>5873</v>
      </c>
      <c r="M101" s="133">
        <v>9021230</v>
      </c>
      <c r="N101" s="126">
        <v>5919</v>
      </c>
      <c r="O101" s="129">
        <v>195</v>
      </c>
      <c r="P101" s="129">
        <v>8</v>
      </c>
      <c r="Q101" s="130">
        <v>6122</v>
      </c>
      <c r="R101" s="77" t="s">
        <v>123</v>
      </c>
    </row>
    <row r="102" spans="1:18" ht="15.75" customHeight="1">
      <c r="A102" s="78" t="s">
        <v>124</v>
      </c>
      <c r="B102" s="131">
        <f>_xlfn.COMPOUNDVALUE(973)</f>
        <v>6516</v>
      </c>
      <c r="C102" s="132">
        <v>25476562</v>
      </c>
      <c r="D102" s="131">
        <f>_xlfn.COMPOUNDVALUE(974)</f>
        <v>5743</v>
      </c>
      <c r="E102" s="132">
        <v>2620754</v>
      </c>
      <c r="F102" s="131">
        <f>_xlfn.COMPOUNDVALUE(975)</f>
        <v>12259</v>
      </c>
      <c r="G102" s="132">
        <v>28097316</v>
      </c>
      <c r="H102" s="131">
        <f>_xlfn.COMPOUNDVALUE(976)</f>
        <v>547</v>
      </c>
      <c r="I102" s="133">
        <v>2109610</v>
      </c>
      <c r="J102" s="131">
        <v>840</v>
      </c>
      <c r="K102" s="133">
        <v>105511</v>
      </c>
      <c r="L102" s="131">
        <f>_xlfn.COMPOUNDVALUE(976)</f>
        <v>13061</v>
      </c>
      <c r="M102" s="133">
        <v>26093217</v>
      </c>
      <c r="N102" s="126">
        <v>13527</v>
      </c>
      <c r="O102" s="129">
        <v>383</v>
      </c>
      <c r="P102" s="129">
        <v>31</v>
      </c>
      <c r="Q102" s="130">
        <v>13941</v>
      </c>
      <c r="R102" s="77" t="s">
        <v>124</v>
      </c>
    </row>
    <row r="103" spans="1:18" ht="15.75" customHeight="1">
      <c r="A103" s="78" t="s">
        <v>125</v>
      </c>
      <c r="B103" s="131">
        <f>_xlfn.COMPOUNDVALUE(977)</f>
        <v>4253</v>
      </c>
      <c r="C103" s="132">
        <v>17297599</v>
      </c>
      <c r="D103" s="131">
        <f>_xlfn.COMPOUNDVALUE(978)</f>
        <v>3473</v>
      </c>
      <c r="E103" s="132">
        <v>1420904</v>
      </c>
      <c r="F103" s="131">
        <f>_xlfn.COMPOUNDVALUE(979)</f>
        <v>7726</v>
      </c>
      <c r="G103" s="132">
        <v>18718503</v>
      </c>
      <c r="H103" s="131">
        <f>_xlfn.COMPOUNDVALUE(980)</f>
        <v>214</v>
      </c>
      <c r="I103" s="133">
        <v>1764116</v>
      </c>
      <c r="J103" s="131">
        <v>440</v>
      </c>
      <c r="K103" s="133">
        <v>70897</v>
      </c>
      <c r="L103" s="131">
        <f>_xlfn.COMPOUNDVALUE(980)</f>
        <v>8041</v>
      </c>
      <c r="M103" s="133">
        <v>17025284</v>
      </c>
      <c r="N103" s="126">
        <v>8147</v>
      </c>
      <c r="O103" s="129">
        <v>171</v>
      </c>
      <c r="P103" s="129">
        <v>12</v>
      </c>
      <c r="Q103" s="130">
        <v>8330</v>
      </c>
      <c r="R103" s="77" t="s">
        <v>125</v>
      </c>
    </row>
    <row r="104" spans="1:18" ht="15.75" customHeight="1">
      <c r="A104" s="78"/>
      <c r="B104" s="131"/>
      <c r="C104" s="132"/>
      <c r="D104" s="131"/>
      <c r="E104" s="132"/>
      <c r="F104" s="131"/>
      <c r="G104" s="132"/>
      <c r="H104" s="131"/>
      <c r="I104" s="133"/>
      <c r="J104" s="131"/>
      <c r="K104" s="133"/>
      <c r="L104" s="131"/>
      <c r="M104" s="133"/>
      <c r="N104" s="126"/>
      <c r="O104" s="129"/>
      <c r="P104" s="129"/>
      <c r="Q104" s="130"/>
      <c r="R104" s="77" t="s">
        <v>40</v>
      </c>
    </row>
    <row r="105" spans="1:18" ht="15.75" customHeight="1">
      <c r="A105" s="78" t="s">
        <v>126</v>
      </c>
      <c r="B105" s="131">
        <f>_xlfn.COMPOUNDVALUE(981)</f>
        <v>6821</v>
      </c>
      <c r="C105" s="132">
        <v>26377341</v>
      </c>
      <c r="D105" s="131">
        <f>_xlfn.COMPOUNDVALUE(982)</f>
        <v>5707</v>
      </c>
      <c r="E105" s="132">
        <v>2598392</v>
      </c>
      <c r="F105" s="131">
        <f>_xlfn.COMPOUNDVALUE(983)</f>
        <v>12528</v>
      </c>
      <c r="G105" s="132">
        <v>28975733</v>
      </c>
      <c r="H105" s="131">
        <f>_xlfn.COMPOUNDVALUE(984)</f>
        <v>540</v>
      </c>
      <c r="I105" s="133">
        <v>12557714</v>
      </c>
      <c r="J105" s="131">
        <v>755</v>
      </c>
      <c r="K105" s="133">
        <v>117274</v>
      </c>
      <c r="L105" s="131">
        <f>_xlfn.COMPOUNDVALUE(984)</f>
        <v>13375</v>
      </c>
      <c r="M105" s="133">
        <v>16535294</v>
      </c>
      <c r="N105" s="126">
        <v>13673</v>
      </c>
      <c r="O105" s="129">
        <v>334</v>
      </c>
      <c r="P105" s="129">
        <v>36</v>
      </c>
      <c r="Q105" s="130">
        <v>14043</v>
      </c>
      <c r="R105" s="77" t="s">
        <v>126</v>
      </c>
    </row>
    <row r="106" spans="1:18" ht="15.75" customHeight="1">
      <c r="A106" s="78" t="s">
        <v>127</v>
      </c>
      <c r="B106" s="131">
        <f>_xlfn.COMPOUNDVALUE(985)</f>
        <v>3277</v>
      </c>
      <c r="C106" s="132">
        <v>19816430</v>
      </c>
      <c r="D106" s="131">
        <f>_xlfn.COMPOUNDVALUE(986)</f>
        <v>2607</v>
      </c>
      <c r="E106" s="132">
        <v>1161954</v>
      </c>
      <c r="F106" s="131">
        <f>_xlfn.COMPOUNDVALUE(987)</f>
        <v>5884</v>
      </c>
      <c r="G106" s="132">
        <v>20978384</v>
      </c>
      <c r="H106" s="131">
        <f>_xlfn.COMPOUNDVALUE(988)</f>
        <v>218</v>
      </c>
      <c r="I106" s="133">
        <v>3688862</v>
      </c>
      <c r="J106" s="131">
        <v>527</v>
      </c>
      <c r="K106" s="133">
        <v>65197</v>
      </c>
      <c r="L106" s="131">
        <f>_xlfn.COMPOUNDVALUE(988)</f>
        <v>6302</v>
      </c>
      <c r="M106" s="133">
        <v>17354719</v>
      </c>
      <c r="N106" s="126">
        <v>6012</v>
      </c>
      <c r="O106" s="129">
        <v>187</v>
      </c>
      <c r="P106" s="129">
        <v>19</v>
      </c>
      <c r="Q106" s="130">
        <v>6218</v>
      </c>
      <c r="R106" s="77" t="s">
        <v>127</v>
      </c>
    </row>
    <row r="107" spans="1:18" ht="15.75" customHeight="1">
      <c r="A107" s="78" t="s">
        <v>128</v>
      </c>
      <c r="B107" s="131">
        <f>_xlfn.COMPOUNDVALUE(989)</f>
        <v>5268</v>
      </c>
      <c r="C107" s="132">
        <v>22375593</v>
      </c>
      <c r="D107" s="131">
        <f>_xlfn.COMPOUNDVALUE(990)</f>
        <v>4445</v>
      </c>
      <c r="E107" s="132">
        <v>2013396</v>
      </c>
      <c r="F107" s="131">
        <f>_xlfn.COMPOUNDVALUE(991)</f>
        <v>9713</v>
      </c>
      <c r="G107" s="132">
        <v>24388989</v>
      </c>
      <c r="H107" s="131">
        <f>_xlfn.COMPOUNDVALUE(992)</f>
        <v>484</v>
      </c>
      <c r="I107" s="133">
        <v>4031366</v>
      </c>
      <c r="J107" s="131">
        <v>627</v>
      </c>
      <c r="K107" s="133">
        <v>74662</v>
      </c>
      <c r="L107" s="131">
        <f>_xlfn.COMPOUNDVALUE(992)</f>
        <v>10417</v>
      </c>
      <c r="M107" s="133">
        <v>20432285</v>
      </c>
      <c r="N107" s="126">
        <v>10600</v>
      </c>
      <c r="O107" s="129">
        <v>305</v>
      </c>
      <c r="P107" s="129">
        <v>31</v>
      </c>
      <c r="Q107" s="130">
        <v>10936</v>
      </c>
      <c r="R107" s="77" t="s">
        <v>128</v>
      </c>
    </row>
    <row r="108" spans="1:18" ht="15.75" customHeight="1">
      <c r="A108" s="165" t="s">
        <v>129</v>
      </c>
      <c r="B108" s="166">
        <v>93828</v>
      </c>
      <c r="C108" s="167">
        <v>648477882</v>
      </c>
      <c r="D108" s="166">
        <v>75786</v>
      </c>
      <c r="E108" s="167">
        <v>34168438</v>
      </c>
      <c r="F108" s="166">
        <v>169614</v>
      </c>
      <c r="G108" s="167">
        <v>682646321</v>
      </c>
      <c r="H108" s="166">
        <v>9065</v>
      </c>
      <c r="I108" s="168">
        <v>254428484</v>
      </c>
      <c r="J108" s="166">
        <v>11415</v>
      </c>
      <c r="K108" s="168">
        <v>1120301</v>
      </c>
      <c r="L108" s="166">
        <v>182317</v>
      </c>
      <c r="M108" s="168">
        <v>429338138</v>
      </c>
      <c r="N108" s="166">
        <v>182813</v>
      </c>
      <c r="O108" s="188">
        <v>5455</v>
      </c>
      <c r="P108" s="188">
        <v>628</v>
      </c>
      <c r="Q108" s="189">
        <v>188896</v>
      </c>
      <c r="R108" s="169" t="s">
        <v>130</v>
      </c>
    </row>
    <row r="109" spans="1:18" ht="15.75" customHeight="1">
      <c r="A109" s="170"/>
      <c r="B109" s="171"/>
      <c r="C109" s="172"/>
      <c r="D109" s="171"/>
      <c r="E109" s="172"/>
      <c r="F109" s="173"/>
      <c r="G109" s="172"/>
      <c r="H109" s="173"/>
      <c r="I109" s="172"/>
      <c r="J109" s="173"/>
      <c r="K109" s="172"/>
      <c r="L109" s="173"/>
      <c r="M109" s="172"/>
      <c r="N109" s="190"/>
      <c r="O109" s="191"/>
      <c r="P109" s="191"/>
      <c r="Q109" s="192"/>
      <c r="R109" s="174" t="s">
        <v>40</v>
      </c>
    </row>
    <row r="110" spans="1:18" ht="15.75" customHeight="1">
      <c r="A110" s="76" t="s">
        <v>131</v>
      </c>
      <c r="B110" s="126">
        <f>_xlfn.COMPOUNDVALUE(993)</f>
        <v>6400</v>
      </c>
      <c r="C110" s="127">
        <v>25330329</v>
      </c>
      <c r="D110" s="126">
        <f>_xlfn.COMPOUNDVALUE(994)</f>
        <v>4889</v>
      </c>
      <c r="E110" s="127">
        <v>2084042</v>
      </c>
      <c r="F110" s="126">
        <f>_xlfn.COMPOUNDVALUE(995)</f>
        <v>11289</v>
      </c>
      <c r="G110" s="127">
        <v>27414371</v>
      </c>
      <c r="H110" s="126">
        <f>_xlfn.COMPOUNDVALUE(996)</f>
        <v>455</v>
      </c>
      <c r="I110" s="128">
        <v>2523660</v>
      </c>
      <c r="J110" s="126">
        <v>698</v>
      </c>
      <c r="K110" s="128">
        <v>57408</v>
      </c>
      <c r="L110" s="126">
        <f>_xlfn.COMPOUNDVALUE(996)</f>
        <v>11930</v>
      </c>
      <c r="M110" s="128">
        <v>24948118</v>
      </c>
      <c r="N110" s="126">
        <v>11994</v>
      </c>
      <c r="O110" s="129">
        <v>296</v>
      </c>
      <c r="P110" s="129">
        <v>34</v>
      </c>
      <c r="Q110" s="130">
        <v>12324</v>
      </c>
      <c r="R110" s="86" t="s">
        <v>131</v>
      </c>
    </row>
    <row r="111" spans="1:18" ht="15.75" customHeight="1">
      <c r="A111" s="78" t="s">
        <v>132</v>
      </c>
      <c r="B111" s="131">
        <f>_xlfn.COMPOUNDVALUE(997)</f>
        <v>1710</v>
      </c>
      <c r="C111" s="132">
        <v>4767121</v>
      </c>
      <c r="D111" s="131">
        <f>_xlfn.COMPOUNDVALUE(998)</f>
        <v>1757</v>
      </c>
      <c r="E111" s="132">
        <v>637272</v>
      </c>
      <c r="F111" s="131">
        <f>_xlfn.COMPOUNDVALUE(999)</f>
        <v>3467</v>
      </c>
      <c r="G111" s="132">
        <v>5404393</v>
      </c>
      <c r="H111" s="131">
        <f>_xlfn.COMPOUNDVALUE(1000)</f>
        <v>100</v>
      </c>
      <c r="I111" s="133">
        <v>486441</v>
      </c>
      <c r="J111" s="131">
        <v>161</v>
      </c>
      <c r="K111" s="133">
        <v>17505</v>
      </c>
      <c r="L111" s="131">
        <f>_xlfn.COMPOUNDVALUE(1000)</f>
        <v>3600</v>
      </c>
      <c r="M111" s="133">
        <v>4935456</v>
      </c>
      <c r="N111" s="126">
        <v>3715</v>
      </c>
      <c r="O111" s="129">
        <v>87</v>
      </c>
      <c r="P111" s="129">
        <v>7</v>
      </c>
      <c r="Q111" s="130">
        <v>3809</v>
      </c>
      <c r="R111" s="77" t="s">
        <v>132</v>
      </c>
    </row>
    <row r="112" spans="1:18" ht="15.75" customHeight="1">
      <c r="A112" s="78" t="s">
        <v>133</v>
      </c>
      <c r="B112" s="131">
        <f>_xlfn.COMPOUNDVALUE(1001)</f>
        <v>2968</v>
      </c>
      <c r="C112" s="132">
        <v>8984496</v>
      </c>
      <c r="D112" s="131">
        <f>_xlfn.COMPOUNDVALUE(1002)</f>
        <v>2373</v>
      </c>
      <c r="E112" s="132">
        <v>1014720</v>
      </c>
      <c r="F112" s="131">
        <f>_xlfn.COMPOUNDVALUE(1003)</f>
        <v>5341</v>
      </c>
      <c r="G112" s="132">
        <v>9999216</v>
      </c>
      <c r="H112" s="131">
        <f>_xlfn.COMPOUNDVALUE(1004)</f>
        <v>185</v>
      </c>
      <c r="I112" s="133">
        <v>8803653</v>
      </c>
      <c r="J112" s="131">
        <v>428</v>
      </c>
      <c r="K112" s="133">
        <v>49353</v>
      </c>
      <c r="L112" s="131">
        <f>_xlfn.COMPOUNDVALUE(1004)</f>
        <v>5621</v>
      </c>
      <c r="M112" s="133">
        <v>1244916</v>
      </c>
      <c r="N112" s="126">
        <v>5516</v>
      </c>
      <c r="O112" s="129">
        <v>136</v>
      </c>
      <c r="P112" s="129">
        <v>15</v>
      </c>
      <c r="Q112" s="130">
        <v>5667</v>
      </c>
      <c r="R112" s="77" t="s">
        <v>133</v>
      </c>
    </row>
    <row r="113" spans="1:18" ht="15.75" customHeight="1">
      <c r="A113" s="78" t="s">
        <v>134</v>
      </c>
      <c r="B113" s="131">
        <f>_xlfn.COMPOUNDVALUE(1005)</f>
        <v>671</v>
      </c>
      <c r="C113" s="132">
        <v>1949662</v>
      </c>
      <c r="D113" s="131">
        <f>_xlfn.COMPOUNDVALUE(1006)</f>
        <v>675</v>
      </c>
      <c r="E113" s="132">
        <v>257687</v>
      </c>
      <c r="F113" s="131">
        <f>_xlfn.COMPOUNDVALUE(1007)</f>
        <v>1346</v>
      </c>
      <c r="G113" s="132">
        <v>2207349</v>
      </c>
      <c r="H113" s="131">
        <f>_xlfn.COMPOUNDVALUE(1008)</f>
        <v>34</v>
      </c>
      <c r="I113" s="133">
        <v>15903</v>
      </c>
      <c r="J113" s="131">
        <v>127</v>
      </c>
      <c r="K113" s="133">
        <v>6718</v>
      </c>
      <c r="L113" s="131">
        <f>_xlfn.COMPOUNDVALUE(1008)</f>
        <v>1395</v>
      </c>
      <c r="M113" s="133">
        <v>2198164</v>
      </c>
      <c r="N113" s="126">
        <v>1370</v>
      </c>
      <c r="O113" s="129">
        <v>25</v>
      </c>
      <c r="P113" s="129">
        <v>3</v>
      </c>
      <c r="Q113" s="130">
        <v>1398</v>
      </c>
      <c r="R113" s="77" t="s">
        <v>134</v>
      </c>
    </row>
    <row r="114" spans="1:18" ht="15.75" customHeight="1">
      <c r="A114" s="79" t="s">
        <v>135</v>
      </c>
      <c r="B114" s="134">
        <v>11749</v>
      </c>
      <c r="C114" s="135">
        <v>41031608</v>
      </c>
      <c r="D114" s="134">
        <v>9694</v>
      </c>
      <c r="E114" s="135">
        <v>3993721</v>
      </c>
      <c r="F114" s="134">
        <v>21443</v>
      </c>
      <c r="G114" s="135">
        <v>45025329</v>
      </c>
      <c r="H114" s="134">
        <v>774</v>
      </c>
      <c r="I114" s="136">
        <v>11829657</v>
      </c>
      <c r="J114" s="134">
        <v>1414</v>
      </c>
      <c r="K114" s="136">
        <v>130984</v>
      </c>
      <c r="L114" s="134">
        <v>22546</v>
      </c>
      <c r="M114" s="136">
        <v>33326655</v>
      </c>
      <c r="N114" s="134">
        <v>22595</v>
      </c>
      <c r="O114" s="137">
        <v>544</v>
      </c>
      <c r="P114" s="137">
        <v>59</v>
      </c>
      <c r="Q114" s="138">
        <v>23198</v>
      </c>
      <c r="R114" s="84" t="s">
        <v>136</v>
      </c>
    </row>
    <row r="115" spans="1:18" ht="15.75" customHeight="1" thickBot="1">
      <c r="A115" s="80"/>
      <c r="B115" s="142"/>
      <c r="C115" s="143"/>
      <c r="D115" s="142"/>
      <c r="E115" s="143"/>
      <c r="F115" s="144"/>
      <c r="G115" s="143"/>
      <c r="H115" s="144"/>
      <c r="I115" s="143"/>
      <c r="J115" s="144"/>
      <c r="K115" s="143"/>
      <c r="L115" s="144"/>
      <c r="M115" s="143"/>
      <c r="N115" s="145"/>
      <c r="O115" s="146"/>
      <c r="P115" s="146"/>
      <c r="Q115" s="147"/>
      <c r="R115" s="81" t="s">
        <v>40</v>
      </c>
    </row>
    <row r="116" spans="1:18" ht="15.75" customHeight="1" thickBot="1" thickTop="1">
      <c r="A116" s="82" t="s">
        <v>39</v>
      </c>
      <c r="B116" s="148">
        <v>462464</v>
      </c>
      <c r="C116" s="149">
        <v>6246659192</v>
      </c>
      <c r="D116" s="148">
        <v>305972</v>
      </c>
      <c r="E116" s="149">
        <v>144717324</v>
      </c>
      <c r="F116" s="148">
        <v>768436</v>
      </c>
      <c r="G116" s="149">
        <v>6391376516</v>
      </c>
      <c r="H116" s="148">
        <v>56768</v>
      </c>
      <c r="I116" s="150">
        <v>2169568650</v>
      </c>
      <c r="J116" s="148">
        <v>53430</v>
      </c>
      <c r="K116" s="150">
        <v>6557328</v>
      </c>
      <c r="L116" s="148">
        <v>840477</v>
      </c>
      <c r="M116" s="150">
        <v>4228365193</v>
      </c>
      <c r="N116" s="151">
        <v>833892</v>
      </c>
      <c r="O116" s="152">
        <v>34836</v>
      </c>
      <c r="P116" s="152">
        <v>6434</v>
      </c>
      <c r="Q116" s="153">
        <v>875162</v>
      </c>
      <c r="R116" s="83" t="s">
        <v>39</v>
      </c>
    </row>
    <row r="117" spans="1:9" ht="13.5">
      <c r="A117" s="247" t="s">
        <v>156</v>
      </c>
      <c r="B117" s="247"/>
      <c r="C117" s="247"/>
      <c r="D117" s="247"/>
      <c r="E117" s="247"/>
      <c r="F117" s="247"/>
      <c r="G117" s="247"/>
      <c r="H117" s="247"/>
      <c r="I117" s="247"/>
    </row>
  </sheetData>
  <sheetProtection/>
  <mergeCells count="16">
    <mergeCell ref="A117:I117"/>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4" r:id="rId1"/>
  <headerFooter alignWithMargins="0">
    <oddFooter>&amp;R東京国税局
消費税
(H26)</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2016-01-06T01:08:45Z</cp:lastPrinted>
  <dcterms:created xsi:type="dcterms:W3CDTF">2003-07-09T01:05:10Z</dcterms:created>
  <dcterms:modified xsi:type="dcterms:W3CDTF">2016-05-30T02:54:36Z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