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340" tabRatio="90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'(4)税務署別(個人事業者）'!$A$1:$N$117</definedName>
    <definedName name="_xlnm.Print_Area" localSheetId="5">'(4)税務署別（合計）'!$A$1:$R$117</definedName>
    <definedName name="_xlnm.Print_Area" localSheetId="4">'(4)税務署別（法人）'!$A$1:$N$117</definedName>
    <definedName name="_xlnm.Print_Titles" localSheetId="3">'(4)税務署別(個人事業者）'!$1:$6</definedName>
    <definedName name="_xlnm.Print_Titles" localSheetId="5">'(4)税務署別（合計）'!$1:$6</definedName>
    <definedName name="_xlnm.Print_Titles" localSheetId="4">'(4)税務署別（法人）'!$1:$6</definedName>
  </definedNames>
  <calcPr fullCalcOnLoad="1"/>
</workbook>
</file>

<file path=xl/sharedStrings.xml><?xml version="1.0" encoding="utf-8"?>
<sst xmlns="http://schemas.openxmlformats.org/spreadsheetml/2006/main" count="793" uniqueCount="190">
  <si>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</si>
  <si>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</si>
  <si>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</si>
  <si>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</si>
  <si>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</si>
  <si>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</si>
  <si>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</si>
  <si>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</si>
  <si>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</si>
  <si>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</si>
  <si>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</si>
  <si>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</si>
  <si>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</si>
  <si>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</si>
  <si>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</si>
  <si>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</si>
  <si>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一般申告及び処理</t>
  </si>
  <si>
    <t>合　　　　　　　　　計</t>
  </si>
  <si>
    <t>法　　　　　　　人</t>
  </si>
  <si>
    <t>合　　　　　　　計</t>
  </si>
  <si>
    <t>件　　数</t>
  </si>
  <si>
    <t>税　　額</t>
  </si>
  <si>
    <t>(3)　課税事業者等届出件数</t>
  </si>
  <si>
    <t>千円</t>
  </si>
  <si>
    <t>件</t>
  </si>
  <si>
    <t>(2)　課税状況の累年比較</t>
  </si>
  <si>
    <t>平成22年度</t>
  </si>
  <si>
    <t>平成23年度</t>
  </si>
  <si>
    <t>　ハ　個人事業者と法人の合計</t>
  </si>
  <si>
    <t>税務署名</t>
  </si>
  <si>
    <t>納　　　税　　　申　　　告　　　及　　　び　　　処　　　理</t>
  </si>
  <si>
    <t>既往年分の
申告及び処理</t>
  </si>
  <si>
    <t>合　　　　　　計</t>
  </si>
  <si>
    <t>税務署名</t>
  </si>
  <si>
    <t>簡易申告及び処理</t>
  </si>
  <si>
    <t>小　　　　　　計</t>
  </si>
  <si>
    <t>課税事業者
届出</t>
  </si>
  <si>
    <t>合　　　計</t>
  </si>
  <si>
    <t>件数</t>
  </si>
  <si>
    <t>総　計</t>
  </si>
  <si>
    <t/>
  </si>
  <si>
    <t>千葉東</t>
  </si>
  <si>
    <t>千葉南</t>
  </si>
  <si>
    <t>千葉西</t>
  </si>
  <si>
    <t>銚子</t>
  </si>
  <si>
    <t>市川</t>
  </si>
  <si>
    <t>船橋</t>
  </si>
  <si>
    <t>館山</t>
  </si>
  <si>
    <t>木更津</t>
  </si>
  <si>
    <t>松戸</t>
  </si>
  <si>
    <t>佐原</t>
  </si>
  <si>
    <t>茂原</t>
  </si>
  <si>
    <t>成田</t>
  </si>
  <si>
    <t>東金</t>
  </si>
  <si>
    <t>柏</t>
  </si>
  <si>
    <t>千葉県計</t>
  </si>
  <si>
    <t>千葉県計</t>
  </si>
  <si>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</si>
  <si>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</si>
  <si>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</si>
  <si>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</si>
  <si>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</si>
  <si>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</si>
  <si>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</si>
  <si>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</si>
  <si>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</si>
  <si>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</si>
  <si>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</si>
  <si>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</si>
  <si>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</si>
  <si>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</si>
  <si>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</si>
  <si>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</si>
  <si>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</si>
  <si>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</si>
  <si>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</si>
  <si>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</si>
  <si>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</si>
  <si>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</si>
  <si>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</si>
  <si>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</si>
  <si>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</si>
  <si>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</si>
  <si>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</si>
  <si>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</si>
  <si>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</si>
  <si>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</si>
  <si>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</si>
  <si>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</si>
  <si>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</si>
  <si>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</si>
  <si>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</si>
  <si>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</si>
  <si>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</si>
  <si>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</si>
  <si>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</si>
  <si>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</si>
  <si>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</si>
  <si>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都区内計</t>
  </si>
  <si>
    <t>八王子</t>
  </si>
  <si>
    <t>立川</t>
  </si>
  <si>
    <t>武蔵野</t>
  </si>
  <si>
    <t>青梅</t>
  </si>
  <si>
    <t>武蔵府中</t>
  </si>
  <si>
    <t>町田</t>
  </si>
  <si>
    <t>日野</t>
  </si>
  <si>
    <t>東村山</t>
  </si>
  <si>
    <t>多摩地区計</t>
  </si>
  <si>
    <t>多摩地区計</t>
  </si>
  <si>
    <t>東京都計</t>
  </si>
  <si>
    <t>東京都計</t>
  </si>
  <si>
    <t>鶴見</t>
  </si>
  <si>
    <t>横浜中</t>
  </si>
  <si>
    <t>保土ケ谷</t>
  </si>
  <si>
    <t>横浜南</t>
  </si>
  <si>
    <t>神奈川</t>
  </si>
  <si>
    <t>戸塚</t>
  </si>
  <si>
    <t>緑</t>
  </si>
  <si>
    <t>川崎南</t>
  </si>
  <si>
    <t>川崎北</t>
  </si>
  <si>
    <t>川崎西</t>
  </si>
  <si>
    <t>横須賀</t>
  </si>
  <si>
    <t>平塚</t>
  </si>
  <si>
    <t>鎌倉</t>
  </si>
  <si>
    <t>藤沢</t>
  </si>
  <si>
    <t>小田原</t>
  </si>
  <si>
    <t>相模原</t>
  </si>
  <si>
    <t>厚木</t>
  </si>
  <si>
    <t>大和</t>
  </si>
  <si>
    <t>神奈川県計</t>
  </si>
  <si>
    <t>神奈川県計</t>
  </si>
  <si>
    <t>甲府</t>
  </si>
  <si>
    <t>山梨</t>
  </si>
  <si>
    <t>大月</t>
  </si>
  <si>
    <t>鰍沢</t>
  </si>
  <si>
    <t>山梨県計</t>
  </si>
  <si>
    <t>山梨県計</t>
  </si>
  <si>
    <t>　ロ　法　　　人</t>
  </si>
  <si>
    <t>(4)　税務署別課税状況</t>
  </si>
  <si>
    <t>　イ　個人事業者</t>
  </si>
  <si>
    <t>税務署名</t>
  </si>
  <si>
    <t>税額</t>
  </si>
  <si>
    <t>税　額　①</t>
  </si>
  <si>
    <t>税　額　②</t>
  </si>
  <si>
    <t>税　額　③</t>
  </si>
  <si>
    <t>税　　　額
(①－②＋③)</t>
  </si>
  <si>
    <t>都区内計</t>
  </si>
  <si>
    <t>東京都計</t>
  </si>
  <si>
    <t>神奈川県計</t>
  </si>
  <si>
    <t>総　計</t>
  </si>
  <si>
    <t>(4)　税務署別課税状況（続）</t>
  </si>
  <si>
    <t>課　税　事　業　者　等　届　出　件　数</t>
  </si>
  <si>
    <t>課税事業者
選択届出</t>
  </si>
  <si>
    <t>新設法人に
該当する旨
の届出</t>
  </si>
  <si>
    <t>税　　額
(①－②＋③)</t>
  </si>
  <si>
    <t>（注）この表は「(1)　課税状況」の現年分を税務署別に示したものである（加算税を除く。）。</t>
  </si>
  <si>
    <t>（注）この表は「(1)　課税状況」の現年分及び「(3)　課税事業者等届出件数」を税務署別に示したものである（加算税を除く。）。</t>
  </si>
  <si>
    <t>平成24年度</t>
  </si>
  <si>
    <t>平成21年度</t>
  </si>
  <si>
    <t>平成25年度</t>
  </si>
  <si>
    <t>調査対象等：平成25年度末（平成26年３月31日現在）の届出件数を示している。</t>
  </si>
  <si>
    <t>調査対象等：</t>
  </si>
  <si>
    <t>（注）１</t>
  </si>
  <si>
    <t>税関分は含まない。</t>
  </si>
  <si>
    <t>　　　２</t>
  </si>
  <si>
    <t>「件数欄」の「実」は、実件数を示す。</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</si>
  <si>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</si>
  <si>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</si>
  <si>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</si>
  <si>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</si>
  <si>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</si>
  <si>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</si>
  <si>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</si>
  <si>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</si>
  <si>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</si>
  <si>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</si>
  <si>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</si>
  <si>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</si>
  <si>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柏</t>
  </si>
  <si>
    <t>芝</t>
  </si>
  <si>
    <t>緑</t>
  </si>
  <si>
    <t>千葉県計</t>
  </si>
  <si>
    <t>都区内計</t>
  </si>
  <si>
    <t>多摩地区計</t>
  </si>
  <si>
    <t>東京都計</t>
  </si>
  <si>
    <t>神奈川県計</t>
  </si>
  <si>
    <t>山梨県計</t>
  </si>
  <si>
    <t>総　計</t>
  </si>
  <si>
    <t>　「現年分」は、平成25年４月１日から平成26年３月31日までに終了した課税期間について、平成26年６月30日現在の申告（国・地方公共団体等については平成26年９月30日までの申告を含む。）及び処理（更正、決定等）による課税事績を「申告書及び決議書」に基づいて作成した。</t>
  </si>
  <si>
    <t>　「既往年分」は、平成25年３月31日以前に終了した課税期間について、平成25年７月１日から平成26年６月30日までの間の申告（平成25年７月１日から同年９月30日までの間の国・地方公共団体等に係る申告を除く。）及び処理（更正、決定等）による課税事績を「申告書及び決議書」に基づいて作成し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</si>
</sst>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7">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b/>
      <sz val="9"/>
      <name val="ＭＳ 明朝"/>
      <family val="1"/>
    </font>
    <font>
      <sz val="8"/>
      <name val="ＭＳ Ｐゴシック"/>
      <family val="3"/>
    </font>
    <font>
      <sz val="11"/>
      <name val="ＭＳ ゴシック"/>
      <family val="3"/>
    </font>
    <font>
      <b/>
      <sz val="11"/>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FFFF99"/>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style="hair"/>
      <top style="hair"/>
      <bottom style="thin"/>
    </border>
    <border>
      <left style="hair"/>
      <right style="thin"/>
      <top style="hair"/>
      <bottom style="thin"/>
    </border>
    <border>
      <left style="hair"/>
      <right/>
      <top style="thin"/>
      <bottom/>
    </border>
    <border>
      <left style="medium"/>
      <right/>
      <top/>
      <bottom style="hair">
        <color indexed="55"/>
      </bottom>
    </border>
    <border>
      <left style="thin"/>
      <right style="medium"/>
      <top style="hair">
        <color indexed="55"/>
      </top>
      <bottom style="hair">
        <color indexed="55"/>
      </bottom>
    </border>
    <border>
      <left style="medium"/>
      <right/>
      <top style="hair">
        <color indexed="55"/>
      </top>
      <bottom style="hair">
        <color indexed="55"/>
      </bottom>
    </border>
    <border>
      <left style="medium"/>
      <right/>
      <top style="hair">
        <color indexed="55"/>
      </top>
      <bottom style="thin">
        <color indexed="55"/>
      </bottom>
    </border>
    <border>
      <left style="medium"/>
      <right/>
      <top/>
      <bottom style="double"/>
    </border>
    <border>
      <left style="thin"/>
      <right style="medium"/>
      <top style="thin">
        <color indexed="23"/>
      </top>
      <bottom/>
    </border>
    <border>
      <left style="medium"/>
      <right>
        <color indexed="63"/>
      </right>
      <top>
        <color indexed="63"/>
      </top>
      <bottom style="medium"/>
    </border>
    <border>
      <left style="thin"/>
      <right style="medium"/>
      <top style="double"/>
      <bottom style="medium"/>
    </border>
    <border>
      <left style="thin"/>
      <right style="medium"/>
      <top style="hair">
        <color indexed="55"/>
      </top>
      <bottom style="thin">
        <color indexed="55"/>
      </bottom>
    </border>
    <border>
      <left style="medium"/>
      <right/>
      <top style="thin">
        <color indexed="55"/>
      </top>
      <bottom style="thin">
        <color indexed="55"/>
      </bottom>
    </border>
    <border>
      <left style="thin"/>
      <right style="medium"/>
      <top style="thin">
        <color indexed="23"/>
      </top>
      <bottom style="thin">
        <color indexed="23"/>
      </bottom>
    </border>
    <border>
      <left style="thin"/>
      <right style="medium"/>
      <top style="thin">
        <color indexed="55"/>
      </top>
      <bottom style="hair">
        <color indexed="55"/>
      </bottom>
    </border>
    <border>
      <left style="thin"/>
      <right style="medium"/>
      <top/>
      <bottom style="hair">
        <color indexed="55"/>
      </bottom>
    </border>
    <border>
      <left style="hair"/>
      <right/>
      <top style="hair"/>
      <bottom style="thin"/>
    </border>
    <border>
      <left style="thin"/>
      <right style="medium"/>
      <top style="thin">
        <color indexed="55"/>
      </top>
      <bottom style="thin">
        <color indexed="55"/>
      </bottom>
    </border>
    <border>
      <left style="thin"/>
      <right style="medium"/>
      <top/>
      <bottom style="double"/>
    </border>
    <border>
      <left style="thin"/>
      <right style="medium"/>
      <top>
        <color indexed="63"/>
      </top>
      <bottom style="medium"/>
    </border>
    <border>
      <left style="thin"/>
      <right style="medium"/>
      <top style="thin"/>
      <bottom style="thin">
        <color rgb="FFCCFFFF"/>
      </bottom>
    </border>
    <border>
      <left style="thin"/>
      <right style="medium"/>
      <top style="thin">
        <color rgb="FFCCFFFF"/>
      </top>
      <bottom style="hair">
        <color indexed="55"/>
      </bottom>
    </border>
    <border>
      <left style="medium"/>
      <right style="thin"/>
      <top style="thin">
        <color rgb="FFCCFFFF"/>
      </top>
      <bottom style="hair">
        <color indexed="55"/>
      </bottom>
    </border>
    <border>
      <left style="medium"/>
      <right style="thin"/>
      <top>
        <color indexed="63"/>
      </top>
      <bottom style="hair">
        <color indexed="55"/>
      </bottom>
    </border>
    <border>
      <left style="medium"/>
      <right>
        <color indexed="63"/>
      </right>
      <top style="thin"/>
      <bottom style="thin">
        <color rgb="FFCCFFFF"/>
      </bottom>
    </border>
    <border>
      <left style="medium"/>
      <right style="thin"/>
      <top style="hair">
        <color indexed="55"/>
      </top>
      <bottom style="hair"/>
    </border>
    <border>
      <left style="medium"/>
      <right/>
      <top style="hair">
        <color indexed="55"/>
      </top>
      <bottom style="hair"/>
    </border>
    <border>
      <left style="thin"/>
      <right style="medium"/>
      <top style="hair">
        <color indexed="55"/>
      </top>
      <bottom style="hair"/>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hair"/>
      <right style="hair"/>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style="hair"/>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top style="thin">
        <color indexed="55"/>
      </top>
      <bottom style="hair">
        <color indexed="55"/>
      </bottom>
    </border>
    <border>
      <left style="thin"/>
      <right style="hair"/>
      <top style="hair">
        <color indexed="55"/>
      </top>
      <bottom style="hair"/>
    </border>
    <border>
      <left style="hair"/>
      <right style="thin"/>
      <top style="hair">
        <color indexed="55"/>
      </top>
      <bottom style="hair"/>
    </border>
    <border>
      <left style="hair"/>
      <right/>
      <top style="hair">
        <color indexed="55"/>
      </top>
      <bottom style="hair"/>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style="thin">
        <color indexed="55"/>
      </top>
      <bottom/>
    </border>
    <border>
      <left style="hair"/>
      <right style="hair"/>
      <top style="thin">
        <color indexed="55"/>
      </top>
      <bottom/>
    </border>
    <border>
      <left style="hair"/>
      <right/>
      <top style="thin">
        <color indexed="55"/>
      </top>
      <bottom/>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hair"/>
      <right style="thin"/>
      <top style="thin">
        <color indexed="55"/>
      </top>
      <bottom style="thin">
        <color indexed="55"/>
      </bottom>
    </border>
    <border>
      <left style="medium"/>
      <right style="hair"/>
      <top>
        <color indexed="63"/>
      </top>
      <bottom>
        <color indexed="63"/>
      </bottom>
    </border>
    <border>
      <left style="medium"/>
      <right style="hair"/>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medium"/>
      <right style="hair"/>
      <top style="thin"/>
      <bottom>
        <color indexed="63"/>
      </bottom>
    </border>
    <border>
      <left style="thin"/>
      <right style="medium"/>
      <top/>
      <bottom/>
    </border>
    <border>
      <left style="thin"/>
      <right style="medium"/>
      <top/>
      <bottom style="thin"/>
    </border>
    <border>
      <left style="thin"/>
      <right style="thin"/>
      <top style="hair"/>
      <bottom style="hair"/>
    </border>
    <border>
      <left style="thin"/>
      <right style="hair"/>
      <top style="hair"/>
      <bottom style="hair"/>
    </border>
    <border>
      <left style="hair"/>
      <right style="thin"/>
      <top style="hair"/>
      <bottom style="hair"/>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hair"/>
      <right/>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245">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right" vertical="center"/>
    </xf>
    <xf numFmtId="0" fontId="6" fillId="0" borderId="19" xfId="0" applyFont="1" applyBorder="1" applyAlignment="1">
      <alignment horizontal="right" vertical="center"/>
    </xf>
    <xf numFmtId="0" fontId="2" fillId="0" borderId="20" xfId="0" applyFont="1" applyBorder="1" applyAlignment="1">
      <alignment horizontal="right" vertical="center"/>
    </xf>
    <xf numFmtId="3" fontId="2" fillId="0" borderId="19" xfId="0" applyNumberFormat="1" applyFont="1" applyBorder="1" applyAlignment="1">
      <alignment horizontal="right" vertical="center"/>
    </xf>
    <xf numFmtId="3" fontId="2" fillId="0" borderId="20" xfId="0" applyNumberFormat="1" applyFont="1" applyBorder="1" applyAlignment="1">
      <alignment horizontal="right" vertical="center"/>
    </xf>
    <xf numFmtId="3" fontId="2" fillId="33" borderId="2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3" xfId="0" applyFont="1" applyBorder="1" applyAlignment="1">
      <alignment horizontal="distributed" vertical="center"/>
    </xf>
    <xf numFmtId="0" fontId="6" fillId="0" borderId="23" xfId="0" applyFont="1" applyBorder="1" applyAlignment="1">
      <alignment horizontal="distributed" vertical="center"/>
    </xf>
    <xf numFmtId="0" fontId="2" fillId="0" borderId="24" xfId="0" applyFont="1" applyBorder="1" applyAlignment="1">
      <alignment horizontal="distributed" vertical="center"/>
    </xf>
    <xf numFmtId="0" fontId="6" fillId="0" borderId="25" xfId="0" applyFont="1" applyBorder="1" applyAlignment="1">
      <alignment horizontal="right" vertical="center"/>
    </xf>
    <xf numFmtId="3" fontId="2" fillId="34" borderId="26" xfId="0" applyNumberFormat="1" applyFont="1" applyFill="1" applyBorder="1" applyAlignment="1">
      <alignment horizontal="right" vertical="center"/>
    </xf>
    <xf numFmtId="3" fontId="2" fillId="34" borderId="27"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0" fontId="2" fillId="0" borderId="29" xfId="0" applyFont="1" applyBorder="1" applyAlignment="1">
      <alignment horizontal="distributed" vertical="center"/>
    </xf>
    <xf numFmtId="3" fontId="2" fillId="34" borderId="30"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0" fontId="7" fillId="33" borderId="10" xfId="0" applyFont="1" applyFill="1" applyBorder="1" applyAlignment="1">
      <alignment horizontal="right" vertical="top"/>
    </xf>
    <xf numFmtId="0" fontId="7" fillId="34" borderId="32"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19" xfId="0" applyFont="1" applyBorder="1" applyAlignment="1">
      <alignment horizontal="center" vertical="center"/>
    </xf>
    <xf numFmtId="3" fontId="2" fillId="0" borderId="19" xfId="0" applyNumberFormat="1" applyFont="1" applyBorder="1" applyAlignment="1">
      <alignment horizontal="center" vertical="center"/>
    </xf>
    <xf numFmtId="0" fontId="2" fillId="0" borderId="33" xfId="0" applyFont="1" applyBorder="1" applyAlignment="1">
      <alignment horizontal="distributed" vertical="center"/>
    </xf>
    <xf numFmtId="3" fontId="2" fillId="33"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0" fontId="7" fillId="0" borderId="35" xfId="0" applyFont="1" applyFill="1" applyBorder="1" applyAlignment="1">
      <alignment horizontal="center" vertical="center"/>
    </xf>
    <xf numFmtId="0" fontId="7" fillId="0" borderId="13" xfId="0" applyFont="1" applyFill="1" applyBorder="1" applyAlignment="1">
      <alignment horizontal="right" vertical="top"/>
    </xf>
    <xf numFmtId="0" fontId="7" fillId="33" borderId="18"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6" xfId="0" applyNumberFormat="1" applyFont="1" applyFill="1" applyBorder="1" applyAlignment="1">
      <alignment horizontal="right" vertical="center"/>
    </xf>
    <xf numFmtId="0" fontId="2" fillId="0" borderId="35"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8" xfId="0" applyFont="1" applyFill="1" applyBorder="1" applyAlignment="1">
      <alignment horizontal="right"/>
    </xf>
    <xf numFmtId="0" fontId="7" fillId="34" borderId="37" xfId="0" applyFont="1" applyFill="1" applyBorder="1" applyAlignment="1">
      <alignment horizontal="right"/>
    </xf>
    <xf numFmtId="0" fontId="7" fillId="34" borderId="38" xfId="0" applyFont="1" applyFill="1" applyBorder="1" applyAlignment="1">
      <alignment horizontal="right"/>
    </xf>
    <xf numFmtId="0" fontId="7" fillId="34" borderId="39" xfId="0" applyFont="1" applyFill="1" applyBorder="1" applyAlignment="1">
      <alignment horizontal="right"/>
    </xf>
    <xf numFmtId="0" fontId="7" fillId="34" borderId="40" xfId="0" applyFont="1" applyFill="1" applyBorder="1" applyAlignment="1">
      <alignment horizontal="right"/>
    </xf>
    <xf numFmtId="0" fontId="2" fillId="0" borderId="41" xfId="0" applyFont="1" applyBorder="1" applyAlignment="1">
      <alignment horizontal="left" vertical="top" wrapText="1"/>
    </xf>
    <xf numFmtId="0" fontId="5" fillId="0" borderId="0" xfId="0" applyFont="1" applyAlignment="1">
      <alignment horizontal="center" vertical="top"/>
    </xf>
    <xf numFmtId="0" fontId="2" fillId="0" borderId="21"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0" xfId="61" applyFont="1" applyBorder="1" applyAlignment="1">
      <alignment horizontal="left" vertical="center"/>
      <protection/>
    </xf>
    <xf numFmtId="0" fontId="2" fillId="0" borderId="42" xfId="61" applyFont="1" applyBorder="1" applyAlignment="1">
      <alignment horizontal="distributed" vertical="center" indent="1"/>
      <protection/>
    </xf>
    <xf numFmtId="0" fontId="2" fillId="0" borderId="43" xfId="61" applyFont="1" applyBorder="1" applyAlignment="1">
      <alignment horizontal="distributed" vertical="center" indent="1"/>
      <protection/>
    </xf>
    <xf numFmtId="0" fontId="2" fillId="0" borderId="43" xfId="61" applyFont="1" applyBorder="1" applyAlignment="1">
      <alignment horizontal="center" vertical="center" wrapText="1"/>
      <protection/>
    </xf>
    <xf numFmtId="0" fontId="7" fillId="35" borderId="35"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4" borderId="32" xfId="61" applyFont="1" applyFill="1" applyBorder="1" applyAlignment="1">
      <alignment horizontal="right" vertical="top"/>
      <protection/>
    </xf>
    <xf numFmtId="0" fontId="7" fillId="34" borderId="44" xfId="61" applyFont="1" applyFill="1" applyBorder="1" applyAlignment="1">
      <alignment horizontal="right" vertical="top"/>
      <protection/>
    </xf>
    <xf numFmtId="0" fontId="7" fillId="35" borderId="40" xfId="61" applyFont="1" applyFill="1" applyBorder="1" applyAlignment="1">
      <alignment horizontal="distributed" vertical="top"/>
      <protection/>
    </xf>
    <xf numFmtId="0" fontId="2" fillId="36" borderId="45" xfId="61" applyFont="1" applyFill="1" applyBorder="1" applyAlignment="1">
      <alignment horizontal="distributed" vertical="center"/>
      <protection/>
    </xf>
    <xf numFmtId="0" fontId="2" fillId="36" borderId="46" xfId="61" applyFont="1" applyFill="1" applyBorder="1" applyAlignment="1">
      <alignment horizontal="distributed" vertical="center"/>
      <protection/>
    </xf>
    <xf numFmtId="0" fontId="2" fillId="36" borderId="47" xfId="61" applyFont="1" applyFill="1" applyBorder="1" applyAlignment="1">
      <alignment horizontal="distributed" vertical="center"/>
      <protection/>
    </xf>
    <xf numFmtId="0" fontId="6" fillId="36" borderId="48" xfId="61" applyFont="1" applyFill="1" applyBorder="1" applyAlignment="1">
      <alignment horizontal="distributed" vertical="center"/>
      <protection/>
    </xf>
    <xf numFmtId="0" fontId="8" fillId="0" borderId="49" xfId="61" applyFont="1" applyFill="1" applyBorder="1" applyAlignment="1">
      <alignment horizontal="distributed" vertical="center"/>
      <protection/>
    </xf>
    <xf numFmtId="0" fontId="8" fillId="0" borderId="50" xfId="61" applyFont="1" applyFill="1" applyBorder="1" applyAlignment="1">
      <alignment horizontal="center" vertical="center"/>
      <protection/>
    </xf>
    <xf numFmtId="0" fontId="6" fillId="0" borderId="51" xfId="61" applyFont="1" applyBorder="1" applyAlignment="1">
      <alignment horizontal="center" vertical="center"/>
      <protection/>
    </xf>
    <xf numFmtId="0" fontId="6" fillId="0" borderId="52" xfId="61" applyFont="1" applyBorder="1" applyAlignment="1">
      <alignment horizontal="center" vertical="center"/>
      <protection/>
    </xf>
    <xf numFmtId="0" fontId="6" fillId="36" borderId="53" xfId="61" applyFont="1" applyFill="1" applyBorder="1" applyAlignment="1">
      <alignment horizontal="distributed" vertical="center"/>
      <protection/>
    </xf>
    <xf numFmtId="0" fontId="8" fillId="0" borderId="54" xfId="61" applyFont="1" applyFill="1" applyBorder="1" applyAlignment="1">
      <alignment horizontal="distributed" vertical="center"/>
      <protection/>
    </xf>
    <xf numFmtId="0" fontId="8" fillId="0" borderId="55" xfId="61" applyFont="1" applyFill="1" applyBorder="1" applyAlignment="1">
      <alignment horizontal="center" vertical="center"/>
      <protection/>
    </xf>
    <xf numFmtId="0" fontId="2" fillId="36" borderId="56" xfId="61" applyFont="1" applyFill="1" applyBorder="1" applyAlignment="1">
      <alignment horizontal="distributed" vertical="center"/>
      <protection/>
    </xf>
    <xf numFmtId="0" fontId="2" fillId="36" borderId="57" xfId="61" applyFont="1" applyFill="1" applyBorder="1" applyAlignment="1">
      <alignment horizontal="distributed" vertical="center"/>
      <protection/>
    </xf>
    <xf numFmtId="0" fontId="2" fillId="0" borderId="58" xfId="61" applyFont="1" applyBorder="1" applyAlignment="1">
      <alignment horizontal="distributed" vertical="center" indent="1"/>
      <protection/>
    </xf>
    <xf numFmtId="0" fontId="2" fillId="0" borderId="58" xfId="61" applyFont="1" applyBorder="1" applyAlignment="1">
      <alignment horizontal="centerContinuous" vertical="center" wrapText="1"/>
      <protection/>
    </xf>
    <xf numFmtId="0" fontId="7" fillId="33" borderId="44" xfId="61" applyFont="1" applyFill="1" applyBorder="1" applyAlignment="1">
      <alignment horizontal="right" vertical="top"/>
      <protection/>
    </xf>
    <xf numFmtId="0" fontId="8" fillId="0" borderId="59" xfId="61" applyFont="1" applyFill="1" applyBorder="1" applyAlignment="1">
      <alignment horizontal="center" vertical="center"/>
      <protection/>
    </xf>
    <xf numFmtId="0" fontId="8" fillId="0" borderId="60" xfId="61" applyFont="1" applyFill="1" applyBorder="1" applyAlignment="1">
      <alignment horizontal="center" vertical="center"/>
      <protection/>
    </xf>
    <xf numFmtId="0" fontId="6" fillId="0" borderId="61" xfId="61" applyFont="1" applyBorder="1" applyAlignment="1">
      <alignment horizontal="center" vertical="center"/>
      <protection/>
    </xf>
    <xf numFmtId="0" fontId="9" fillId="0" borderId="0" xfId="61" applyFont="1" applyAlignment="1">
      <alignment horizontal="right" vertical="top"/>
      <protection/>
    </xf>
    <xf numFmtId="0" fontId="10" fillId="0" borderId="0" xfId="61" applyFont="1">
      <alignment/>
      <protection/>
    </xf>
    <xf numFmtId="0" fontId="11" fillId="0" borderId="0" xfId="61" applyFont="1">
      <alignment/>
      <protection/>
    </xf>
    <xf numFmtId="0" fontId="9" fillId="0" borderId="0" xfId="61" applyFont="1" applyAlignment="1">
      <alignment vertical="top"/>
      <protection/>
    </xf>
    <xf numFmtId="0" fontId="7" fillId="35" borderId="62" xfId="61" applyFont="1" applyFill="1" applyBorder="1" applyAlignment="1">
      <alignment horizontal="distributed" vertical="top"/>
      <protection/>
    </xf>
    <xf numFmtId="0" fontId="2" fillId="36" borderId="63" xfId="61" applyFont="1" applyFill="1" applyBorder="1" applyAlignment="1">
      <alignment horizontal="distributed" vertical="center"/>
      <protection/>
    </xf>
    <xf numFmtId="0" fontId="2" fillId="36" borderId="64" xfId="61" applyFont="1" applyFill="1" applyBorder="1" applyAlignment="1">
      <alignment horizontal="distributed" vertical="center"/>
      <protection/>
    </xf>
    <xf numFmtId="0" fontId="2" fillId="36" borderId="65" xfId="61" applyFont="1" applyFill="1" applyBorder="1" applyAlignment="1">
      <alignment horizontal="distributed" vertical="center"/>
      <protection/>
    </xf>
    <xf numFmtId="0" fontId="12" fillId="37" borderId="63" xfId="61" applyFont="1" applyFill="1" applyBorder="1" applyAlignment="1">
      <alignment horizontal="distributed" vertical="center"/>
      <protection/>
    </xf>
    <xf numFmtId="0" fontId="7" fillId="35" borderId="66" xfId="61" applyFont="1" applyFill="1" applyBorder="1" applyAlignment="1">
      <alignment horizontal="distributed" vertical="top"/>
      <protection/>
    </xf>
    <xf numFmtId="0" fontId="7" fillId="28" borderId="13" xfId="61" applyFont="1" applyFill="1" applyBorder="1" applyAlignment="1">
      <alignment horizontal="right" vertical="top"/>
      <protection/>
    </xf>
    <xf numFmtId="0" fontId="2" fillId="36" borderId="67" xfId="61" applyFont="1" applyFill="1" applyBorder="1" applyAlignment="1">
      <alignment horizontal="distributed" vertical="center"/>
      <protection/>
    </xf>
    <xf numFmtId="0" fontId="2" fillId="36" borderId="68" xfId="61" applyFont="1" applyFill="1" applyBorder="1" applyAlignment="1">
      <alignment horizontal="distributed" vertical="center"/>
      <protection/>
    </xf>
    <xf numFmtId="0" fontId="2" fillId="36" borderId="69" xfId="61" applyFont="1" applyFill="1" applyBorder="1" applyAlignment="1">
      <alignment horizontal="distributed" vertical="center"/>
      <protection/>
    </xf>
    <xf numFmtId="3" fontId="2" fillId="34" borderId="70" xfId="0" applyNumberFormat="1" applyFont="1" applyFill="1" applyBorder="1" applyAlignment="1">
      <alignment horizontal="right" vertical="center"/>
    </xf>
    <xf numFmtId="3" fontId="2" fillId="34" borderId="71"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3" fontId="6" fillId="34" borderId="71" xfId="0" applyNumberFormat="1" applyFont="1" applyFill="1" applyBorder="1" applyAlignment="1">
      <alignment horizontal="right" vertical="center"/>
    </xf>
    <xf numFmtId="3" fontId="6" fillId="33" borderId="23" xfId="0" applyNumberFormat="1" applyFont="1" applyFill="1" applyBorder="1" applyAlignment="1">
      <alignment horizontal="right" vertical="center"/>
    </xf>
    <xf numFmtId="3" fontId="6" fillId="33" borderId="72" xfId="0" applyNumberFormat="1" applyFont="1" applyFill="1" applyBorder="1" applyAlignment="1">
      <alignment horizontal="right" vertical="center"/>
    </xf>
    <xf numFmtId="3" fontId="2" fillId="34" borderId="73" xfId="0" applyNumberFormat="1" applyFont="1" applyFill="1" applyBorder="1" applyAlignment="1">
      <alignment horizontal="right" vertical="center"/>
    </xf>
    <xf numFmtId="3" fontId="2" fillId="33" borderId="74" xfId="0" applyNumberFormat="1" applyFont="1" applyFill="1" applyBorder="1" applyAlignment="1">
      <alignment horizontal="right" vertical="center"/>
    </xf>
    <xf numFmtId="3" fontId="2" fillId="33" borderId="75" xfId="0" applyNumberFormat="1" applyFont="1" applyFill="1" applyBorder="1" applyAlignment="1">
      <alignment horizontal="right" vertical="center"/>
    </xf>
    <xf numFmtId="3" fontId="2" fillId="34" borderId="76" xfId="0" applyNumberFormat="1" applyFont="1" applyFill="1" applyBorder="1" applyAlignment="1">
      <alignment horizontal="right" vertical="center"/>
    </xf>
    <xf numFmtId="3" fontId="2" fillId="34" borderId="76" xfId="0" applyNumberFormat="1" applyFont="1" applyFill="1" applyBorder="1" applyAlignment="1">
      <alignment vertical="center"/>
    </xf>
    <xf numFmtId="3" fontId="2" fillId="34" borderId="71" xfId="0" applyNumberFormat="1" applyFont="1" applyFill="1" applyBorder="1" applyAlignment="1">
      <alignment vertical="center"/>
    </xf>
    <xf numFmtId="3" fontId="6" fillId="34" borderId="77" xfId="0" applyNumberFormat="1" applyFont="1" applyFill="1" applyBorder="1" applyAlignment="1">
      <alignment horizontal="right" vertical="center"/>
    </xf>
    <xf numFmtId="3" fontId="6" fillId="33" borderId="78" xfId="0" applyNumberFormat="1" applyFont="1" applyFill="1" applyBorder="1" applyAlignment="1">
      <alignment horizontal="right" vertical="center"/>
    </xf>
    <xf numFmtId="3" fontId="6" fillId="33" borderId="79" xfId="0" applyNumberFormat="1" applyFont="1" applyFill="1" applyBorder="1" applyAlignment="1">
      <alignment horizontal="right" vertical="center"/>
    </xf>
    <xf numFmtId="3" fontId="2" fillId="34" borderId="80" xfId="0" applyNumberFormat="1" applyFont="1" applyFill="1" applyBorder="1" applyAlignment="1">
      <alignment horizontal="right" vertical="center"/>
    </xf>
    <xf numFmtId="3" fontId="2" fillId="33" borderId="81" xfId="0" applyNumberFormat="1" applyFont="1" applyFill="1" applyBorder="1" applyAlignment="1">
      <alignment horizontal="right" vertical="center"/>
    </xf>
    <xf numFmtId="3" fontId="2" fillId="33" borderId="82" xfId="0" applyNumberFormat="1" applyFont="1" applyFill="1" applyBorder="1" applyAlignment="1">
      <alignment horizontal="right" vertical="center"/>
    </xf>
    <xf numFmtId="0" fontId="0" fillId="0" borderId="0" xfId="61" applyFont="1">
      <alignment/>
      <protection/>
    </xf>
    <xf numFmtId="177" fontId="2" fillId="34" borderId="36" xfId="61" applyNumberFormat="1" applyFont="1" applyFill="1" applyBorder="1" applyAlignment="1">
      <alignment horizontal="right" vertical="center"/>
      <protection/>
    </xf>
    <xf numFmtId="177" fontId="2" fillId="33" borderId="33" xfId="61" applyNumberFormat="1" applyFont="1" applyFill="1" applyBorder="1" applyAlignment="1">
      <alignment horizontal="right" vertical="center"/>
      <protection/>
    </xf>
    <xf numFmtId="177" fontId="2" fillId="33" borderId="83" xfId="61" applyNumberFormat="1" applyFont="1" applyFill="1" applyBorder="1" applyAlignment="1">
      <alignment horizontal="right" vertical="center"/>
      <protection/>
    </xf>
    <xf numFmtId="177" fontId="2" fillId="34" borderId="70" xfId="61" applyNumberFormat="1" applyFont="1" applyFill="1" applyBorder="1" applyAlignment="1">
      <alignment horizontal="right" vertical="center"/>
      <protection/>
    </xf>
    <xf numFmtId="177" fontId="2" fillId="34" borderId="83" xfId="61" applyNumberFormat="1" applyFont="1" applyFill="1" applyBorder="1" applyAlignment="1">
      <alignment horizontal="right" vertical="center"/>
      <protection/>
    </xf>
    <xf numFmtId="177" fontId="2" fillId="34" borderId="84" xfId="61" applyNumberFormat="1" applyFont="1" applyFill="1" applyBorder="1" applyAlignment="1">
      <alignment horizontal="right" vertical="center"/>
      <protection/>
    </xf>
    <xf numFmtId="177" fontId="2" fillId="33" borderId="23" xfId="61" applyNumberFormat="1" applyFont="1" applyFill="1" applyBorder="1" applyAlignment="1">
      <alignment horizontal="right" vertical="center"/>
      <protection/>
    </xf>
    <xf numFmtId="177" fontId="2" fillId="33" borderId="85" xfId="61" applyNumberFormat="1" applyFont="1" applyFill="1" applyBorder="1" applyAlignment="1">
      <alignment horizontal="right" vertical="center"/>
      <protection/>
    </xf>
    <xf numFmtId="177" fontId="6" fillId="34" borderId="86" xfId="61" applyNumberFormat="1" applyFont="1" applyFill="1" applyBorder="1" applyAlignment="1">
      <alignment horizontal="right" vertical="center"/>
      <protection/>
    </xf>
    <xf numFmtId="177" fontId="6" fillId="33" borderId="87" xfId="61" applyNumberFormat="1" applyFont="1" applyFill="1" applyBorder="1" applyAlignment="1">
      <alignment horizontal="right" vertical="center"/>
      <protection/>
    </xf>
    <xf numFmtId="177" fontId="6" fillId="33" borderId="88" xfId="61" applyNumberFormat="1" applyFont="1" applyFill="1" applyBorder="1" applyAlignment="1">
      <alignment horizontal="right" vertical="center"/>
      <protection/>
    </xf>
    <xf numFmtId="177" fontId="6" fillId="34" borderId="89" xfId="61" applyNumberFormat="1" applyFont="1" applyFill="1" applyBorder="1" applyAlignment="1">
      <alignment horizontal="right" vertical="center"/>
      <protection/>
    </xf>
    <xf numFmtId="177" fontId="6" fillId="34" borderId="88" xfId="61" applyNumberFormat="1" applyFont="1" applyFill="1" applyBorder="1" applyAlignment="1">
      <alignment horizontal="right" vertical="center"/>
      <protection/>
    </xf>
    <xf numFmtId="177" fontId="8" fillId="0" borderId="90" xfId="61" applyNumberFormat="1" applyFont="1" applyFill="1" applyBorder="1" applyAlignment="1">
      <alignment horizontal="right" vertical="center"/>
      <protection/>
    </xf>
    <xf numFmtId="177" fontId="8" fillId="0" borderId="91" xfId="61" applyNumberFormat="1" applyFont="1" applyFill="1" applyBorder="1" applyAlignment="1">
      <alignment horizontal="right" vertical="center"/>
      <protection/>
    </xf>
    <xf numFmtId="177" fontId="8" fillId="0" borderId="92" xfId="61" applyNumberFormat="1" applyFont="1" applyFill="1" applyBorder="1" applyAlignment="1">
      <alignment horizontal="right" vertical="center"/>
      <protection/>
    </xf>
    <xf numFmtId="177" fontId="2" fillId="0" borderId="93" xfId="61" applyNumberFormat="1" applyFont="1" applyFill="1" applyBorder="1" applyAlignment="1">
      <alignment horizontal="right" vertical="center"/>
      <protection/>
    </xf>
    <xf numFmtId="177" fontId="2" fillId="0" borderId="94" xfId="61" applyNumberFormat="1" applyFont="1" applyFill="1" applyBorder="1" applyAlignment="1">
      <alignment horizontal="right" vertical="center"/>
      <protection/>
    </xf>
    <xf numFmtId="177" fontId="2" fillId="0" borderId="95" xfId="61" applyNumberFormat="1" applyFont="1" applyFill="1" applyBorder="1" applyAlignment="1">
      <alignment horizontal="right" vertical="center"/>
      <protection/>
    </xf>
    <xf numFmtId="177" fontId="2" fillId="34" borderId="96" xfId="61" applyNumberFormat="1" applyFont="1" applyFill="1" applyBorder="1" applyAlignment="1">
      <alignment horizontal="right" vertical="center"/>
      <protection/>
    </xf>
    <xf numFmtId="177" fontId="2" fillId="34" borderId="97" xfId="61" applyNumberFormat="1" applyFont="1" applyFill="1" applyBorder="1" applyAlignment="1">
      <alignment horizontal="right" vertical="center"/>
      <protection/>
    </xf>
    <xf numFmtId="177" fontId="2" fillId="34" borderId="98" xfId="61" applyNumberFormat="1" applyFont="1" applyFill="1" applyBorder="1" applyAlignment="1">
      <alignment horizontal="right" vertical="center"/>
      <protection/>
    </xf>
    <xf numFmtId="177" fontId="2" fillId="34" borderId="99" xfId="61" applyNumberFormat="1" applyFont="1" applyFill="1" applyBorder="1" applyAlignment="1">
      <alignment horizontal="right" vertical="center"/>
      <protection/>
    </xf>
    <xf numFmtId="177" fontId="2" fillId="33" borderId="100" xfId="61" applyNumberFormat="1" applyFont="1" applyFill="1" applyBorder="1" applyAlignment="1">
      <alignment horizontal="right" vertical="center"/>
      <protection/>
    </xf>
    <xf numFmtId="177" fontId="2" fillId="33" borderId="101" xfId="61" applyNumberFormat="1" applyFont="1" applyFill="1" applyBorder="1" applyAlignment="1">
      <alignment horizontal="right" vertical="center"/>
      <protection/>
    </xf>
    <xf numFmtId="177" fontId="2" fillId="0" borderId="102" xfId="61" applyNumberFormat="1" applyFont="1" applyFill="1" applyBorder="1" applyAlignment="1">
      <alignment horizontal="right" vertical="center"/>
      <protection/>
    </xf>
    <xf numFmtId="177" fontId="2" fillId="0" borderId="103" xfId="61" applyNumberFormat="1" applyFont="1" applyFill="1" applyBorder="1" applyAlignment="1">
      <alignment horizontal="right" vertical="center"/>
      <protection/>
    </xf>
    <xf numFmtId="177" fontId="2" fillId="0" borderId="104" xfId="61" applyNumberFormat="1" applyFont="1" applyFill="1" applyBorder="1" applyAlignment="1">
      <alignment horizontal="right" vertical="center"/>
      <protection/>
    </xf>
    <xf numFmtId="177" fontId="2" fillId="0" borderId="105" xfId="61" applyNumberFormat="1" applyFont="1" applyFill="1" applyBorder="1" applyAlignment="1">
      <alignment horizontal="right" vertical="center"/>
      <protection/>
    </xf>
    <xf numFmtId="177" fontId="2" fillId="0" borderId="106" xfId="61" applyNumberFormat="1" applyFont="1" applyFill="1" applyBorder="1" applyAlignment="1">
      <alignment horizontal="right" vertical="center"/>
      <protection/>
    </xf>
    <xf numFmtId="177" fontId="2" fillId="0" borderId="107" xfId="61" applyNumberFormat="1" applyFont="1" applyFill="1" applyBorder="1" applyAlignment="1">
      <alignment horizontal="right" vertical="center"/>
      <protection/>
    </xf>
    <xf numFmtId="177" fontId="6" fillId="34" borderId="20" xfId="61" applyNumberFormat="1" applyFont="1" applyFill="1" applyBorder="1" applyAlignment="1">
      <alignment horizontal="right" vertical="center"/>
      <protection/>
    </xf>
    <xf numFmtId="177" fontId="6" fillId="33" borderId="81" xfId="61" applyNumberFormat="1" applyFont="1" applyFill="1" applyBorder="1" applyAlignment="1">
      <alignment horizontal="right" vertical="center"/>
      <protection/>
    </xf>
    <xf numFmtId="177" fontId="6" fillId="33" borderId="108" xfId="61" applyNumberFormat="1" applyFont="1" applyFill="1" applyBorder="1" applyAlignment="1">
      <alignment horizontal="right" vertical="center"/>
      <protection/>
    </xf>
    <xf numFmtId="177" fontId="6" fillId="34" borderId="109" xfId="61" applyNumberFormat="1" applyFont="1" applyFill="1" applyBorder="1" applyAlignment="1">
      <alignment horizontal="right" vertical="center"/>
      <protection/>
    </xf>
    <xf numFmtId="177" fontId="6" fillId="34" borderId="110" xfId="61" applyNumberFormat="1" applyFont="1" applyFill="1" applyBorder="1" applyAlignment="1">
      <alignment horizontal="right" vertical="center"/>
      <protection/>
    </xf>
    <xf numFmtId="177" fontId="6" fillId="34" borderId="111" xfId="61" applyNumberFormat="1" applyFont="1" applyFill="1" applyBorder="1" applyAlignment="1">
      <alignment horizontal="right" vertical="center"/>
      <protection/>
    </xf>
    <xf numFmtId="0" fontId="0" fillId="0" borderId="0" xfId="61" applyFont="1" applyAlignment="1">
      <alignment horizontal="center"/>
      <protection/>
    </xf>
    <xf numFmtId="0" fontId="0" fillId="0" borderId="0" xfId="61" applyFont="1" applyBorder="1">
      <alignment/>
      <protection/>
    </xf>
    <xf numFmtId="3" fontId="2" fillId="34" borderId="112" xfId="0" applyNumberFormat="1" applyFont="1" applyFill="1" applyBorder="1" applyAlignment="1">
      <alignment horizontal="right" vertical="center" indent="1"/>
    </xf>
    <xf numFmtId="3" fontId="2" fillId="34" borderId="113" xfId="0" applyNumberFormat="1" applyFont="1" applyFill="1" applyBorder="1" applyAlignment="1">
      <alignment horizontal="right" vertical="center" indent="1"/>
    </xf>
    <xf numFmtId="3" fontId="2" fillId="34" borderId="114" xfId="0" applyNumberFormat="1" applyFont="1" applyFill="1" applyBorder="1" applyAlignment="1">
      <alignment horizontal="right" vertical="center" indent="1"/>
    </xf>
    <xf numFmtId="3" fontId="2" fillId="34" borderId="61" xfId="0" applyNumberFormat="1" applyFont="1" applyFill="1" applyBorder="1" applyAlignment="1">
      <alignment horizontal="right" vertical="center" indent="1"/>
    </xf>
    <xf numFmtId="0" fontId="6" fillId="37" borderId="48" xfId="61" applyFont="1" applyFill="1" applyBorder="1" applyAlignment="1">
      <alignment horizontal="distributed" vertical="center"/>
      <protection/>
    </xf>
    <xf numFmtId="0" fontId="8" fillId="37" borderId="54" xfId="61" applyFont="1" applyFill="1" applyBorder="1" applyAlignment="1">
      <alignment horizontal="distributed" vertical="center"/>
      <protection/>
    </xf>
    <xf numFmtId="0" fontId="8" fillId="37" borderId="59" xfId="61" applyFont="1" applyFill="1" applyBorder="1" applyAlignment="1">
      <alignment horizontal="center" vertical="center"/>
      <protection/>
    </xf>
    <xf numFmtId="177" fontId="6" fillId="28" borderId="86" xfId="61" applyNumberFormat="1" applyFont="1" applyFill="1" applyBorder="1" applyAlignment="1">
      <alignment horizontal="right" vertical="center"/>
      <protection/>
    </xf>
    <xf numFmtId="177" fontId="8" fillId="28" borderId="93" xfId="61" applyNumberFormat="1" applyFont="1" applyFill="1" applyBorder="1" applyAlignment="1">
      <alignment horizontal="right" vertical="center"/>
      <protection/>
    </xf>
    <xf numFmtId="177" fontId="6" fillId="38" borderId="87" xfId="61" applyNumberFormat="1" applyFont="1" applyFill="1" applyBorder="1" applyAlignment="1">
      <alignment horizontal="right" vertical="center"/>
      <protection/>
    </xf>
    <xf numFmtId="177" fontId="8" fillId="38" borderId="115" xfId="61" applyNumberFormat="1" applyFont="1" applyFill="1" applyBorder="1" applyAlignment="1">
      <alignment horizontal="right" vertical="center"/>
      <protection/>
    </xf>
    <xf numFmtId="177" fontId="8" fillId="38" borderId="95" xfId="61" applyNumberFormat="1" applyFont="1" applyFill="1" applyBorder="1" applyAlignment="1">
      <alignment horizontal="right" vertical="center"/>
      <protection/>
    </xf>
    <xf numFmtId="0" fontId="8" fillId="37" borderId="55" xfId="61" applyFont="1" applyFill="1" applyBorder="1" applyAlignment="1">
      <alignment horizontal="center" vertical="center"/>
      <protection/>
    </xf>
    <xf numFmtId="177" fontId="2" fillId="28" borderId="93" xfId="61" applyNumberFormat="1" applyFont="1" applyFill="1" applyBorder="1" applyAlignment="1">
      <alignment horizontal="right" vertical="center"/>
      <protection/>
    </xf>
    <xf numFmtId="177" fontId="2" fillId="28" borderId="94" xfId="61" applyNumberFormat="1" applyFont="1" applyFill="1" applyBorder="1" applyAlignment="1">
      <alignment horizontal="right" vertical="center"/>
      <protection/>
    </xf>
    <xf numFmtId="177" fontId="2" fillId="28" borderId="95" xfId="61" applyNumberFormat="1" applyFont="1" applyFill="1" applyBorder="1" applyAlignment="1">
      <alignment horizontal="right" vertical="center"/>
      <protection/>
    </xf>
    <xf numFmtId="0" fontId="2" fillId="0" borderId="116" xfId="0" applyFont="1" applyBorder="1" applyAlignment="1">
      <alignment horizontal="distributed" vertical="center" wrapText="1"/>
    </xf>
    <xf numFmtId="0" fontId="2" fillId="0" borderId="116" xfId="0" applyFont="1" applyBorder="1" applyAlignment="1">
      <alignment horizontal="distributed" vertical="center"/>
    </xf>
    <xf numFmtId="0" fontId="2" fillId="0" borderId="117" xfId="0" applyFont="1" applyBorder="1" applyAlignment="1">
      <alignment horizontal="distributed" vertical="center"/>
    </xf>
    <xf numFmtId="0" fontId="2" fillId="0" borderId="0" xfId="0" applyFont="1" applyAlignment="1">
      <alignment horizontal="left" vertical="top"/>
    </xf>
    <xf numFmtId="0" fontId="2" fillId="0" borderId="13" xfId="0" applyFont="1" applyBorder="1" applyAlignment="1">
      <alignment horizontal="center" vertical="center"/>
    </xf>
    <xf numFmtId="0" fontId="2" fillId="0" borderId="32"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41"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6" fillId="0" borderId="125" xfId="0" applyFont="1" applyBorder="1" applyAlignment="1">
      <alignment horizontal="distributed" vertical="center"/>
    </xf>
    <xf numFmtId="0" fontId="6" fillId="0" borderId="126" xfId="0" applyFont="1" applyBorder="1" applyAlignment="1">
      <alignment horizontal="distributed" vertical="center"/>
    </xf>
    <xf numFmtId="0" fontId="2" fillId="0" borderId="51" xfId="0" applyFont="1" applyBorder="1" applyAlignment="1">
      <alignment horizontal="distributed" vertical="center"/>
    </xf>
    <xf numFmtId="0" fontId="2" fillId="0" borderId="127" xfId="0" applyFont="1" applyBorder="1" applyAlignment="1">
      <alignment horizontal="distributed" vertical="center"/>
    </xf>
    <xf numFmtId="0" fontId="2" fillId="0" borderId="128" xfId="0" applyFont="1" applyBorder="1" applyAlignment="1">
      <alignment horizontal="distributed" vertical="center" wrapText="1"/>
    </xf>
    <xf numFmtId="0" fontId="2" fillId="0" borderId="129" xfId="0" applyFont="1" applyBorder="1" applyAlignment="1">
      <alignment horizontal="distributed"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41" xfId="0" applyFont="1" applyBorder="1" applyAlignment="1">
      <alignment horizontal="center" vertical="center"/>
    </xf>
    <xf numFmtId="0" fontId="2" fillId="0" borderId="132" xfId="0" applyFont="1" applyBorder="1" applyAlignment="1">
      <alignment horizontal="center" vertical="center"/>
    </xf>
    <xf numFmtId="0" fontId="2" fillId="0" borderId="128"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17" xfId="0" applyFont="1" applyBorder="1" applyAlignment="1">
      <alignment horizontal="center" vertical="center"/>
    </xf>
    <xf numFmtId="0" fontId="2" fillId="0" borderId="41" xfId="0" applyFont="1" applyBorder="1" applyAlignment="1">
      <alignment horizontal="left" vertical="center"/>
    </xf>
    <xf numFmtId="0" fontId="2" fillId="0" borderId="0" xfId="0" applyFont="1" applyAlignment="1">
      <alignment horizontal="left" vertical="center"/>
    </xf>
    <xf numFmtId="0" fontId="2" fillId="0" borderId="16" xfId="61" applyFont="1" applyBorder="1" applyAlignment="1">
      <alignment horizontal="distributed" vertical="center" wrapText="1"/>
      <protection/>
    </xf>
    <xf numFmtId="0" fontId="2" fillId="0" borderId="137" xfId="61" applyFont="1" applyBorder="1" applyAlignment="1">
      <alignment horizontal="distributed" vertical="center" wrapText="1"/>
      <protection/>
    </xf>
    <xf numFmtId="0" fontId="2" fillId="0" borderId="138" xfId="61" applyFont="1" applyBorder="1" applyAlignment="1">
      <alignment horizontal="distributed" vertical="center" wrapText="1"/>
      <protection/>
    </xf>
    <xf numFmtId="0" fontId="2" fillId="0" borderId="139" xfId="61" applyFont="1" applyBorder="1" applyAlignment="1">
      <alignment horizontal="center" vertical="center"/>
      <protection/>
    </xf>
    <xf numFmtId="0" fontId="2" fillId="0" borderId="140" xfId="61" applyFont="1" applyBorder="1" applyAlignment="1">
      <alignment horizontal="center" vertical="center"/>
      <protection/>
    </xf>
    <xf numFmtId="0" fontId="2" fillId="0" borderId="141" xfId="61" applyFont="1" applyBorder="1" applyAlignment="1">
      <alignment horizontal="center" vertical="center"/>
      <protection/>
    </xf>
    <xf numFmtId="0" fontId="2" fillId="0" borderId="41" xfId="61" applyFont="1" applyBorder="1" applyAlignment="1">
      <alignment horizontal="left" vertical="center"/>
      <protection/>
    </xf>
    <xf numFmtId="0" fontId="2" fillId="0" borderId="0" xfId="61" applyFont="1" applyAlignment="1">
      <alignment horizontal="left" vertical="center"/>
      <protection/>
    </xf>
    <xf numFmtId="0" fontId="2" fillId="0" borderId="121" xfId="61" applyFont="1" applyBorder="1" applyAlignment="1">
      <alignment horizontal="distributed" vertical="center"/>
      <protection/>
    </xf>
    <xf numFmtId="0" fontId="2" fillId="0" borderId="123" xfId="61" applyFont="1" applyBorder="1" applyAlignment="1">
      <alignment horizontal="distributed" vertical="center"/>
      <protection/>
    </xf>
    <xf numFmtId="0" fontId="2" fillId="0" borderId="142" xfId="61" applyFont="1" applyBorder="1" applyAlignment="1">
      <alignment horizontal="distributed" vertical="center"/>
      <protection/>
    </xf>
    <xf numFmtId="0" fontId="2" fillId="0" borderId="143" xfId="61" applyFont="1" applyBorder="1" applyAlignment="1">
      <alignment horizontal="center" vertical="center"/>
      <protection/>
    </xf>
    <xf numFmtId="0" fontId="2" fillId="0" borderId="144" xfId="61" applyFont="1" applyBorder="1" applyAlignment="1">
      <alignment horizontal="center" vertical="center"/>
      <protection/>
    </xf>
    <xf numFmtId="0" fontId="2" fillId="0" borderId="145" xfId="61" applyFont="1" applyBorder="1" applyAlignment="1">
      <alignment horizontal="center" vertical="center"/>
      <protection/>
    </xf>
    <xf numFmtId="0" fontId="2" fillId="0" borderId="146" xfId="61" applyFont="1" applyBorder="1" applyAlignment="1">
      <alignment horizontal="center" vertical="center"/>
      <protection/>
    </xf>
    <xf numFmtId="0" fontId="2" fillId="0" borderId="144" xfId="61" applyFont="1" applyBorder="1" applyAlignment="1">
      <alignment horizontal="center" vertical="center" wrapText="1"/>
      <protection/>
    </xf>
    <xf numFmtId="0" fontId="2" fillId="0" borderId="147" xfId="61" applyFont="1" applyBorder="1" applyAlignment="1">
      <alignment horizontal="left" vertical="center"/>
      <protection/>
    </xf>
    <xf numFmtId="0" fontId="2" fillId="0" borderId="143" xfId="61" applyFont="1" applyBorder="1" applyAlignment="1">
      <alignment horizontal="center" vertical="center" wrapText="1"/>
      <protection/>
    </xf>
    <xf numFmtId="0" fontId="2" fillId="0" borderId="148" xfId="61" applyFont="1" applyBorder="1" applyAlignment="1">
      <alignment horizontal="center" vertical="center"/>
      <protection/>
    </xf>
    <xf numFmtId="0" fontId="2" fillId="0" borderId="149" xfId="61" applyFont="1" applyBorder="1" applyAlignment="1">
      <alignment horizontal="center" vertical="center"/>
      <protection/>
    </xf>
    <xf numFmtId="0" fontId="2" fillId="0" borderId="150" xfId="61" applyFont="1" applyBorder="1" applyAlignment="1">
      <alignment horizontal="distributed" vertical="center" wrapText="1"/>
      <protection/>
    </xf>
    <xf numFmtId="0" fontId="2" fillId="0" borderId="151" xfId="61" applyFont="1" applyBorder="1" applyAlignment="1">
      <alignment horizontal="distributed" vertical="center"/>
      <protection/>
    </xf>
    <xf numFmtId="0" fontId="2" fillId="0" borderId="152" xfId="61" applyFont="1" applyBorder="1" applyAlignment="1">
      <alignment horizontal="distributed" vertical="center" wrapText="1"/>
      <protection/>
    </xf>
    <xf numFmtId="0" fontId="2" fillId="0" borderId="153" xfId="61" applyFont="1" applyBorder="1" applyAlignment="1">
      <alignment horizontal="distributed" vertical="center"/>
      <protection/>
    </xf>
    <xf numFmtId="0" fontId="2" fillId="0" borderId="154" xfId="61" applyFont="1" applyBorder="1" applyAlignment="1">
      <alignment horizontal="distributed" vertical="center" wrapText="1"/>
      <protection/>
    </xf>
    <xf numFmtId="0" fontId="2" fillId="0" borderId="155" xfId="61" applyFont="1" applyBorder="1" applyAlignment="1">
      <alignment horizontal="distributed" vertical="center" wrapText="1"/>
      <protection/>
    </xf>
    <xf numFmtId="0" fontId="2" fillId="0" borderId="58"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A1" sqref="A1:K1"/>
    </sheetView>
  </sheetViews>
  <sheetFormatPr defaultColWidth="5.875" defaultRowHeight="13.5"/>
  <cols>
    <col min="1" max="1" width="11.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3.125" style="1" customWidth="1"/>
    <col min="9" max="9" width="3.00390625" style="1" customWidth="1"/>
    <col min="10" max="10" width="6.75390625" style="1" customWidth="1"/>
    <col min="11" max="11" width="13.625" style="1" customWidth="1"/>
    <col min="12" max="16384" width="5.875" style="1" customWidth="1"/>
  </cols>
  <sheetData>
    <row r="1" spans="1:11" ht="15">
      <c r="A1" s="199" t="s">
        <v>0</v>
      </c>
      <c r="B1" s="199"/>
      <c r="C1" s="199"/>
      <c r="D1" s="199"/>
      <c r="E1" s="199"/>
      <c r="F1" s="199"/>
      <c r="G1" s="199"/>
      <c r="H1" s="199"/>
      <c r="I1" s="199"/>
      <c r="J1" s="199"/>
      <c r="K1" s="199"/>
    </row>
    <row r="2" spans="1:11" ht="15">
      <c r="A2" s="58"/>
      <c r="B2" s="58"/>
      <c r="C2" s="58"/>
      <c r="D2" s="58"/>
      <c r="E2" s="58"/>
      <c r="F2" s="58"/>
      <c r="G2" s="58"/>
      <c r="H2" s="58"/>
      <c r="I2" s="58"/>
      <c r="J2" s="58"/>
      <c r="K2" s="58"/>
    </row>
    <row r="3" spans="1:11" ht="12" thickBot="1">
      <c r="A3" s="187" t="s">
        <v>166</v>
      </c>
      <c r="B3" s="187"/>
      <c r="C3" s="187"/>
      <c r="D3" s="187"/>
      <c r="E3" s="187"/>
      <c r="F3" s="187"/>
      <c r="G3" s="187"/>
      <c r="H3" s="187"/>
      <c r="I3" s="187"/>
      <c r="J3" s="187"/>
      <c r="K3" s="187"/>
    </row>
    <row r="4" spans="1:11" ht="24" customHeight="1">
      <c r="A4" s="193" t="s">
        <v>1</v>
      </c>
      <c r="B4" s="194"/>
      <c r="C4" s="190" t="s">
        <v>167</v>
      </c>
      <c r="D4" s="191"/>
      <c r="E4" s="192"/>
      <c r="F4" s="190" t="s">
        <v>168</v>
      </c>
      <c r="G4" s="191"/>
      <c r="H4" s="192"/>
      <c r="I4" s="190" t="s">
        <v>169</v>
      </c>
      <c r="J4" s="191"/>
      <c r="K4" s="206"/>
    </row>
    <row r="5" spans="1:11" ht="24" customHeight="1">
      <c r="A5" s="195"/>
      <c r="B5" s="196"/>
      <c r="C5" s="188" t="s">
        <v>2</v>
      </c>
      <c r="D5" s="189"/>
      <c r="E5" s="6" t="s">
        <v>3</v>
      </c>
      <c r="F5" s="188" t="s">
        <v>2</v>
      </c>
      <c r="G5" s="189"/>
      <c r="H5" s="6" t="s">
        <v>3</v>
      </c>
      <c r="I5" s="188" t="s">
        <v>2</v>
      </c>
      <c r="J5" s="189"/>
      <c r="K5" s="15" t="s">
        <v>3</v>
      </c>
    </row>
    <row r="6" spans="1:11" ht="12" customHeight="1">
      <c r="A6" s="44"/>
      <c r="B6" s="47"/>
      <c r="C6" s="45"/>
      <c r="D6" s="37" t="s">
        <v>24</v>
      </c>
      <c r="E6" s="36" t="s">
        <v>23</v>
      </c>
      <c r="F6" s="45"/>
      <c r="G6" s="37" t="s">
        <v>24</v>
      </c>
      <c r="H6" s="36" t="s">
        <v>23</v>
      </c>
      <c r="I6" s="45"/>
      <c r="J6" s="37" t="s">
        <v>24</v>
      </c>
      <c r="K6" s="46" t="s">
        <v>23</v>
      </c>
    </row>
    <row r="7" spans="1:11" ht="30" customHeight="1">
      <c r="A7" s="184" t="s">
        <v>170</v>
      </c>
      <c r="B7" s="41" t="s">
        <v>171</v>
      </c>
      <c r="C7" s="16"/>
      <c r="D7" s="109">
        <v>79561</v>
      </c>
      <c r="E7" s="42">
        <v>48873244</v>
      </c>
      <c r="F7" s="19"/>
      <c r="G7" s="109">
        <v>376843</v>
      </c>
      <c r="H7" s="42">
        <v>4211795568</v>
      </c>
      <c r="I7" s="19"/>
      <c r="J7" s="109">
        <v>456404</v>
      </c>
      <c r="K7" s="43">
        <v>4260668812</v>
      </c>
    </row>
    <row r="8" spans="1:11" ht="30" customHeight="1">
      <c r="A8" s="185"/>
      <c r="B8" s="24" t="s">
        <v>172</v>
      </c>
      <c r="C8" s="16"/>
      <c r="D8" s="110">
        <v>150464</v>
      </c>
      <c r="E8" s="111">
        <v>45188360</v>
      </c>
      <c r="F8" s="19"/>
      <c r="G8" s="110">
        <v>159256</v>
      </c>
      <c r="H8" s="111">
        <v>64022184</v>
      </c>
      <c r="I8" s="19"/>
      <c r="J8" s="110">
        <v>309720</v>
      </c>
      <c r="K8" s="112">
        <v>109210544</v>
      </c>
    </row>
    <row r="9" spans="1:11" s="3" customFormat="1" ht="30" customHeight="1">
      <c r="A9" s="185"/>
      <c r="B9" s="25" t="s">
        <v>173</v>
      </c>
      <c r="C9" s="17"/>
      <c r="D9" s="113">
        <v>230025</v>
      </c>
      <c r="E9" s="114">
        <v>94061605</v>
      </c>
      <c r="F9" s="17"/>
      <c r="G9" s="113">
        <v>536099</v>
      </c>
      <c r="H9" s="114">
        <v>4275817752</v>
      </c>
      <c r="I9" s="17"/>
      <c r="J9" s="113">
        <v>766124</v>
      </c>
      <c r="K9" s="115">
        <v>4369879357</v>
      </c>
    </row>
    <row r="10" spans="1:11" ht="30" customHeight="1">
      <c r="A10" s="186"/>
      <c r="B10" s="26" t="s">
        <v>174</v>
      </c>
      <c r="C10" s="16"/>
      <c r="D10" s="116">
        <v>5893</v>
      </c>
      <c r="E10" s="117">
        <v>5439994</v>
      </c>
      <c r="F10" s="16"/>
      <c r="G10" s="116">
        <v>46112</v>
      </c>
      <c r="H10" s="117">
        <v>1229022101</v>
      </c>
      <c r="I10" s="16"/>
      <c r="J10" s="116">
        <v>52005</v>
      </c>
      <c r="K10" s="118">
        <v>1234462095</v>
      </c>
    </row>
    <row r="11" spans="1:11" ht="30" customHeight="1">
      <c r="A11" s="204" t="s">
        <v>175</v>
      </c>
      <c r="B11" s="59" t="s">
        <v>176</v>
      </c>
      <c r="C11" s="9"/>
      <c r="D11" s="119">
        <v>12431</v>
      </c>
      <c r="E11" s="21">
        <v>2958204</v>
      </c>
      <c r="F11" s="38"/>
      <c r="G11" s="120">
        <v>25365</v>
      </c>
      <c r="H11" s="21">
        <v>17112725</v>
      </c>
      <c r="I11" s="38"/>
      <c r="J11" s="120">
        <v>37796</v>
      </c>
      <c r="K11" s="22">
        <v>20070929</v>
      </c>
    </row>
    <row r="12" spans="1:11" ht="30" customHeight="1">
      <c r="A12" s="205"/>
      <c r="B12" s="60" t="s">
        <v>177</v>
      </c>
      <c r="C12" s="39"/>
      <c r="D12" s="110">
        <v>2331</v>
      </c>
      <c r="E12" s="111">
        <v>388222</v>
      </c>
      <c r="F12" s="40"/>
      <c r="G12" s="121">
        <v>5491</v>
      </c>
      <c r="H12" s="111">
        <v>12388865</v>
      </c>
      <c r="I12" s="40"/>
      <c r="J12" s="121">
        <v>7822</v>
      </c>
      <c r="K12" s="112">
        <v>12777087</v>
      </c>
    </row>
    <row r="13" spans="1:11" s="3" customFormat="1" ht="30" customHeight="1">
      <c r="A13" s="200" t="s">
        <v>6</v>
      </c>
      <c r="B13" s="201"/>
      <c r="C13" s="27" t="s">
        <v>14</v>
      </c>
      <c r="D13" s="122">
        <v>242791</v>
      </c>
      <c r="E13" s="123">
        <v>91191592</v>
      </c>
      <c r="F13" s="27" t="s">
        <v>14</v>
      </c>
      <c r="G13" s="122">
        <v>588277</v>
      </c>
      <c r="H13" s="123">
        <v>3051519511</v>
      </c>
      <c r="I13" s="27" t="s">
        <v>14</v>
      </c>
      <c r="J13" s="122">
        <v>831068</v>
      </c>
      <c r="K13" s="124">
        <v>3142711103</v>
      </c>
    </row>
    <row r="14" spans="1:11" ht="30" customHeight="1" thickBot="1">
      <c r="A14" s="202" t="s">
        <v>7</v>
      </c>
      <c r="B14" s="203"/>
      <c r="C14" s="18"/>
      <c r="D14" s="125">
        <v>12847</v>
      </c>
      <c r="E14" s="126">
        <v>571422</v>
      </c>
      <c r="F14" s="20"/>
      <c r="G14" s="125">
        <v>20561</v>
      </c>
      <c r="H14" s="126">
        <v>2058372</v>
      </c>
      <c r="I14" s="20"/>
      <c r="J14" s="125">
        <v>33408</v>
      </c>
      <c r="K14" s="127">
        <v>2629794</v>
      </c>
    </row>
    <row r="15" spans="1:11" s="4" customFormat="1" ht="37.5" customHeight="1">
      <c r="A15" s="57" t="s">
        <v>161</v>
      </c>
      <c r="B15" s="197" t="s">
        <v>188</v>
      </c>
      <c r="C15" s="197"/>
      <c r="D15" s="197"/>
      <c r="E15" s="197"/>
      <c r="F15" s="197"/>
      <c r="G15" s="197"/>
      <c r="H15" s="197"/>
      <c r="I15" s="197"/>
      <c r="J15" s="197"/>
      <c r="K15" s="197"/>
    </row>
    <row r="16" spans="2:11" ht="45" customHeight="1">
      <c r="B16" s="198" t="s">
        <v>189</v>
      </c>
      <c r="C16" s="198"/>
      <c r="D16" s="198"/>
      <c r="E16" s="198"/>
      <c r="F16" s="198"/>
      <c r="G16" s="198"/>
      <c r="H16" s="198"/>
      <c r="I16" s="198"/>
      <c r="J16" s="198"/>
      <c r="K16" s="198"/>
    </row>
    <row r="17" spans="1:2" ht="14.25" customHeight="1">
      <c r="A17" s="1" t="s">
        <v>162</v>
      </c>
      <c r="B17" s="1" t="s">
        <v>163</v>
      </c>
    </row>
    <row r="18" spans="1:2" ht="11.25">
      <c r="A18" s="63" t="s">
        <v>164</v>
      </c>
      <c r="B18" s="1" t="s">
        <v>165</v>
      </c>
    </row>
  </sheetData>
  <sheetProtection/>
  <mergeCells count="15">
    <mergeCell ref="B15:K15"/>
    <mergeCell ref="B16:K16"/>
    <mergeCell ref="A1:K1"/>
    <mergeCell ref="A13:B13"/>
    <mergeCell ref="A14:B14"/>
    <mergeCell ref="A11:A12"/>
    <mergeCell ref="I4:K4"/>
    <mergeCell ref="A7:A10"/>
    <mergeCell ref="A3:K3"/>
    <mergeCell ref="I5:J5"/>
    <mergeCell ref="C4:E4"/>
    <mergeCell ref="F4:H4"/>
    <mergeCell ref="C5:D5"/>
    <mergeCell ref="F5:G5"/>
    <mergeCell ref="A4:B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3" r:id="rId1"/>
  <headerFooter alignWithMargins="0">
    <oddFooter>&amp;R東京国税局
消費税
(H25)</oddFooter>
  </headerFooter>
  <ignoredErrors>
    <ignoredError sqref="A18"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
    </sheetView>
  </sheetViews>
  <sheetFormatPr defaultColWidth="9.00390625" defaultRowHeight="13.5"/>
  <cols>
    <col min="1" max="1" width="10.625" style="62" customWidth="1"/>
    <col min="2" max="2" width="15.625" style="62" customWidth="1"/>
    <col min="3" max="3" width="8.625" style="62" customWidth="1"/>
    <col min="4" max="4" width="10.625" style="62" customWidth="1"/>
    <col min="5" max="5" width="8.625" style="62" customWidth="1"/>
    <col min="6" max="6" width="12.875" style="62" bestFit="1" customWidth="1"/>
    <col min="7" max="7" width="8.625" style="62" customWidth="1"/>
    <col min="8" max="8" width="12.875" style="62" bestFit="1" customWidth="1"/>
    <col min="9" max="16384" width="9.00390625" style="62" customWidth="1"/>
  </cols>
  <sheetData>
    <row r="1" s="1" customFormat="1" ht="12" thickBot="1">
      <c r="A1" s="1" t="s">
        <v>25</v>
      </c>
    </row>
    <row r="2" spans="1:8" s="1" customFormat="1" ht="15" customHeight="1">
      <c r="A2" s="193" t="s">
        <v>1</v>
      </c>
      <c r="B2" s="194"/>
      <c r="C2" s="207" t="s">
        <v>15</v>
      </c>
      <c r="D2" s="207"/>
      <c r="E2" s="207" t="s">
        <v>18</v>
      </c>
      <c r="F2" s="207"/>
      <c r="G2" s="208" t="s">
        <v>19</v>
      </c>
      <c r="H2" s="209"/>
    </row>
    <row r="3" spans="1:8" s="1" customFormat="1" ht="15" customHeight="1">
      <c r="A3" s="195"/>
      <c r="B3" s="196"/>
      <c r="C3" s="9" t="s">
        <v>20</v>
      </c>
      <c r="D3" s="6" t="s">
        <v>21</v>
      </c>
      <c r="E3" s="9" t="s">
        <v>20</v>
      </c>
      <c r="F3" s="7" t="s">
        <v>21</v>
      </c>
      <c r="G3" s="9" t="s">
        <v>20</v>
      </c>
      <c r="H3" s="8" t="s">
        <v>21</v>
      </c>
    </row>
    <row r="4" spans="1:8" s="10" customFormat="1" ht="15" customHeight="1">
      <c r="A4" s="49"/>
      <c r="B4" s="6"/>
      <c r="C4" s="50" t="s">
        <v>4</v>
      </c>
      <c r="D4" s="51" t="s">
        <v>5</v>
      </c>
      <c r="E4" s="50" t="s">
        <v>4</v>
      </c>
      <c r="F4" s="51" t="s">
        <v>5</v>
      </c>
      <c r="G4" s="50" t="s">
        <v>4</v>
      </c>
      <c r="H4" s="52" t="s">
        <v>5</v>
      </c>
    </row>
    <row r="5" spans="1:8" s="61" customFormat="1" ht="30" customHeight="1">
      <c r="A5" s="212" t="s">
        <v>158</v>
      </c>
      <c r="B5" s="41" t="s">
        <v>12</v>
      </c>
      <c r="C5" s="48">
        <v>284859</v>
      </c>
      <c r="D5" s="42">
        <v>103763589</v>
      </c>
      <c r="E5" s="48">
        <v>569801</v>
      </c>
      <c r="F5" s="42">
        <v>4309354816</v>
      </c>
      <c r="G5" s="48">
        <v>854660</v>
      </c>
      <c r="H5" s="43">
        <v>4413118405</v>
      </c>
    </row>
    <row r="6" spans="1:8" s="61" customFormat="1" ht="30" customHeight="1">
      <c r="A6" s="213"/>
      <c r="B6" s="26" t="s">
        <v>13</v>
      </c>
      <c r="C6" s="29">
        <v>7972</v>
      </c>
      <c r="D6" s="30">
        <v>8666361</v>
      </c>
      <c r="E6" s="29">
        <v>49860</v>
      </c>
      <c r="F6" s="30">
        <v>1073664990</v>
      </c>
      <c r="G6" s="29">
        <v>57832</v>
      </c>
      <c r="H6" s="31">
        <v>1082331351</v>
      </c>
    </row>
    <row r="7" spans="1:8" s="61" customFormat="1" ht="30" customHeight="1">
      <c r="A7" s="214" t="s">
        <v>26</v>
      </c>
      <c r="B7" s="23" t="s">
        <v>12</v>
      </c>
      <c r="C7" s="28">
        <v>275049</v>
      </c>
      <c r="D7" s="21">
        <v>100206355</v>
      </c>
      <c r="E7" s="28">
        <v>561368</v>
      </c>
      <c r="F7" s="21">
        <v>4325010620</v>
      </c>
      <c r="G7" s="28">
        <v>836417</v>
      </c>
      <c r="H7" s="22">
        <v>4425216975</v>
      </c>
    </row>
    <row r="8" spans="1:8" s="61" customFormat="1" ht="30" customHeight="1">
      <c r="A8" s="215"/>
      <c r="B8" s="26" t="s">
        <v>13</v>
      </c>
      <c r="C8" s="29">
        <v>7043</v>
      </c>
      <c r="D8" s="30">
        <v>6785860</v>
      </c>
      <c r="E8" s="29">
        <v>48688</v>
      </c>
      <c r="F8" s="30">
        <v>1214221252</v>
      </c>
      <c r="G8" s="29">
        <v>55731</v>
      </c>
      <c r="H8" s="31">
        <v>1221007112</v>
      </c>
    </row>
    <row r="9" spans="1:8" s="61" customFormat="1" ht="30" customHeight="1">
      <c r="A9" s="210" t="s">
        <v>27</v>
      </c>
      <c r="B9" s="23" t="s">
        <v>12</v>
      </c>
      <c r="C9" s="28">
        <v>248682</v>
      </c>
      <c r="D9" s="21">
        <v>95315802</v>
      </c>
      <c r="E9" s="28">
        <v>545806</v>
      </c>
      <c r="F9" s="21">
        <v>4195113592</v>
      </c>
      <c r="G9" s="28">
        <v>794488</v>
      </c>
      <c r="H9" s="22">
        <v>4290429394</v>
      </c>
    </row>
    <row r="10" spans="1:8" s="61" customFormat="1" ht="30" customHeight="1">
      <c r="A10" s="213"/>
      <c r="B10" s="26" t="s">
        <v>13</v>
      </c>
      <c r="C10" s="29">
        <v>6013</v>
      </c>
      <c r="D10" s="30">
        <v>4441122</v>
      </c>
      <c r="E10" s="29">
        <v>46170</v>
      </c>
      <c r="F10" s="30">
        <v>1204316116</v>
      </c>
      <c r="G10" s="29">
        <v>52183</v>
      </c>
      <c r="H10" s="31">
        <v>1208757237</v>
      </c>
    </row>
    <row r="11" spans="1:8" s="61" customFormat="1" ht="30" customHeight="1">
      <c r="A11" s="210" t="s">
        <v>157</v>
      </c>
      <c r="B11" s="23" t="s">
        <v>12</v>
      </c>
      <c r="C11" s="28">
        <v>235575</v>
      </c>
      <c r="D11" s="21">
        <v>94392719</v>
      </c>
      <c r="E11" s="28">
        <v>538562</v>
      </c>
      <c r="F11" s="21">
        <v>4196439370</v>
      </c>
      <c r="G11" s="28">
        <v>774137</v>
      </c>
      <c r="H11" s="22">
        <v>4290832089</v>
      </c>
    </row>
    <row r="12" spans="1:8" s="61" customFormat="1" ht="30" customHeight="1">
      <c r="A12" s="213"/>
      <c r="B12" s="26" t="s">
        <v>13</v>
      </c>
      <c r="C12" s="29">
        <v>5557</v>
      </c>
      <c r="D12" s="30">
        <v>4342149</v>
      </c>
      <c r="E12" s="29">
        <v>44769</v>
      </c>
      <c r="F12" s="30">
        <v>1128974442</v>
      </c>
      <c r="G12" s="29">
        <v>50326</v>
      </c>
      <c r="H12" s="31">
        <v>1133316591</v>
      </c>
    </row>
    <row r="13" spans="1:8" s="1" customFormat="1" ht="30" customHeight="1">
      <c r="A13" s="210" t="s">
        <v>159</v>
      </c>
      <c r="B13" s="23" t="s">
        <v>12</v>
      </c>
      <c r="C13" s="28">
        <v>230025</v>
      </c>
      <c r="D13" s="21">
        <v>94061605</v>
      </c>
      <c r="E13" s="28">
        <v>536099</v>
      </c>
      <c r="F13" s="21">
        <v>4275817752</v>
      </c>
      <c r="G13" s="28">
        <v>766124</v>
      </c>
      <c r="H13" s="22">
        <v>4369879357</v>
      </c>
    </row>
    <row r="14" spans="1:8" s="1" customFormat="1" ht="30" customHeight="1" thickBot="1">
      <c r="A14" s="211"/>
      <c r="B14" s="32" t="s">
        <v>13</v>
      </c>
      <c r="C14" s="33">
        <v>5893</v>
      </c>
      <c r="D14" s="34">
        <v>5439994</v>
      </c>
      <c r="E14" s="33">
        <v>46112</v>
      </c>
      <c r="F14" s="34">
        <v>1229022101</v>
      </c>
      <c r="G14" s="33">
        <v>52005</v>
      </c>
      <c r="H14" s="35">
        <v>1234462095</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&amp;R東京国税局
消費税
(H25)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
    </sheetView>
  </sheetViews>
  <sheetFormatPr defaultColWidth="9.00390625" defaultRowHeight="13.5"/>
  <cols>
    <col min="1" max="2" width="18.625" style="62" customWidth="1"/>
    <col min="3" max="3" width="23.625" style="62" customWidth="1"/>
    <col min="4" max="4" width="18.625" style="62" customWidth="1"/>
    <col min="5" max="16384" width="9.00390625" style="62" customWidth="1"/>
  </cols>
  <sheetData>
    <row r="1" s="1" customFormat="1" ht="20.25" customHeight="1" thickBot="1">
      <c r="A1" s="1" t="s">
        <v>22</v>
      </c>
    </row>
    <row r="2" spans="1:4" s="4" customFormat="1" ht="19.5" customHeight="1">
      <c r="A2" s="11" t="s">
        <v>8</v>
      </c>
      <c r="B2" s="12" t="s">
        <v>9</v>
      </c>
      <c r="C2" s="14" t="s">
        <v>10</v>
      </c>
      <c r="D2" s="13" t="s">
        <v>17</v>
      </c>
    </row>
    <row r="3" spans="1:4" s="10" customFormat="1" ht="15" customHeight="1">
      <c r="A3" s="53" t="s">
        <v>4</v>
      </c>
      <c r="B3" s="54" t="s">
        <v>4</v>
      </c>
      <c r="C3" s="55" t="s">
        <v>4</v>
      </c>
      <c r="D3" s="56" t="s">
        <v>4</v>
      </c>
    </row>
    <row r="4" spans="1:9" s="4" customFormat="1" ht="30" customHeight="1" thickBot="1">
      <c r="A4" s="168">
        <v>834298</v>
      </c>
      <c r="B4" s="169">
        <v>32038</v>
      </c>
      <c r="C4" s="170">
        <v>6286</v>
      </c>
      <c r="D4" s="171">
        <v>872622</v>
      </c>
      <c r="E4" s="5"/>
      <c r="G4" s="5"/>
      <c r="I4" s="5"/>
    </row>
    <row r="5" spans="1:4" s="4" customFormat="1" ht="15" customHeight="1">
      <c r="A5" s="216" t="s">
        <v>160</v>
      </c>
      <c r="B5" s="216"/>
      <c r="C5" s="216"/>
      <c r="D5" s="216"/>
    </row>
    <row r="6" spans="1:4" s="4" customFormat="1" ht="15" customHeight="1">
      <c r="A6" s="217" t="s">
        <v>11</v>
      </c>
      <c r="B6" s="217"/>
      <c r="C6" s="217"/>
      <c r="D6" s="217"/>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消費税
(H25)</oddFooter>
  </headerFooter>
</worksheet>
</file>

<file path=xl/worksheets/sheet4.xml><?xml version="1.0" encoding="utf-8"?>
<worksheet xmlns="http://schemas.openxmlformats.org/spreadsheetml/2006/main" xmlns:r="http://schemas.openxmlformats.org/officeDocument/2006/relationships">
  <dimension ref="A1:O131"/>
  <sheetViews>
    <sheetView showGridLines="0" zoomScaleSheetLayoutView="115" zoomScalePageLayoutView="0" workbookViewId="0" topLeftCell="A1">
      <selection activeCell="F1" sqref="F1"/>
    </sheetView>
  </sheetViews>
  <sheetFormatPr defaultColWidth="9.00390625" defaultRowHeight="13.5"/>
  <cols>
    <col min="1" max="1" width="11.375" style="128" customWidth="1"/>
    <col min="2" max="2" width="10.625" style="128" customWidth="1"/>
    <col min="3" max="3" width="12.625" style="128" customWidth="1"/>
    <col min="4" max="4" width="10.625" style="128" customWidth="1"/>
    <col min="5" max="5" width="12.625" style="128" customWidth="1"/>
    <col min="6" max="6" width="10.625" style="128" customWidth="1"/>
    <col min="7" max="7" width="12.625" style="128" customWidth="1"/>
    <col min="8" max="8" width="10.625" style="128" customWidth="1"/>
    <col min="9" max="9" width="12.625" style="128" customWidth="1"/>
    <col min="10" max="10" width="10.625" style="128" customWidth="1"/>
    <col min="11" max="11" width="12.625" style="128" customWidth="1"/>
    <col min="12" max="12" width="10.625" style="128" customWidth="1"/>
    <col min="13" max="13" width="12.625" style="128" customWidth="1"/>
    <col min="14" max="14" width="11.375" style="128" customWidth="1"/>
    <col min="15" max="16384" width="9.00390625" style="128" customWidth="1"/>
  </cols>
  <sheetData>
    <row r="1" spans="1:14" ht="13.5">
      <c r="A1" s="64" t="s">
        <v>138</v>
      </c>
      <c r="B1" s="64"/>
      <c r="C1" s="64"/>
      <c r="D1" s="64"/>
      <c r="E1" s="64"/>
      <c r="F1" s="64"/>
      <c r="G1" s="64"/>
      <c r="H1" s="65"/>
      <c r="I1" s="65"/>
      <c r="J1" s="65"/>
      <c r="K1" s="65"/>
      <c r="L1" s="65"/>
      <c r="M1" s="65"/>
      <c r="N1" s="65"/>
    </row>
    <row r="2" spans="1:14" ht="14.25" thickBot="1">
      <c r="A2" s="225" t="s">
        <v>139</v>
      </c>
      <c r="B2" s="225"/>
      <c r="C2" s="225"/>
      <c r="D2" s="225"/>
      <c r="E2" s="225"/>
      <c r="F2" s="225"/>
      <c r="G2" s="225"/>
      <c r="H2" s="65"/>
      <c r="I2" s="65"/>
      <c r="J2" s="65"/>
      <c r="K2" s="65"/>
      <c r="L2" s="65"/>
      <c r="M2" s="65"/>
      <c r="N2" s="65"/>
    </row>
    <row r="3" spans="1:14" ht="19.5" customHeight="1">
      <c r="A3" s="226" t="s">
        <v>29</v>
      </c>
      <c r="B3" s="229" t="s">
        <v>30</v>
      </c>
      <c r="C3" s="229"/>
      <c r="D3" s="229"/>
      <c r="E3" s="229"/>
      <c r="F3" s="229"/>
      <c r="G3" s="229"/>
      <c r="H3" s="230" t="s">
        <v>13</v>
      </c>
      <c r="I3" s="231"/>
      <c r="J3" s="233" t="s">
        <v>31</v>
      </c>
      <c r="K3" s="231"/>
      <c r="L3" s="230" t="s">
        <v>32</v>
      </c>
      <c r="M3" s="231"/>
      <c r="N3" s="218" t="s">
        <v>140</v>
      </c>
    </row>
    <row r="4" spans="1:14" ht="17.25" customHeight="1">
      <c r="A4" s="227"/>
      <c r="B4" s="221" t="s">
        <v>16</v>
      </c>
      <c r="C4" s="221"/>
      <c r="D4" s="222" t="s">
        <v>34</v>
      </c>
      <c r="E4" s="223"/>
      <c r="F4" s="222" t="s">
        <v>35</v>
      </c>
      <c r="G4" s="223"/>
      <c r="H4" s="222"/>
      <c r="I4" s="232"/>
      <c r="J4" s="222"/>
      <c r="K4" s="232"/>
      <c r="L4" s="222"/>
      <c r="M4" s="232"/>
      <c r="N4" s="219"/>
    </row>
    <row r="5" spans="1:14" s="166" customFormat="1" ht="28.5" customHeight="1">
      <c r="A5" s="228"/>
      <c r="B5" s="67" t="s">
        <v>38</v>
      </c>
      <c r="C5" s="68" t="s">
        <v>141</v>
      </c>
      <c r="D5" s="67" t="s">
        <v>38</v>
      </c>
      <c r="E5" s="68" t="s">
        <v>141</v>
      </c>
      <c r="F5" s="67" t="s">
        <v>38</v>
      </c>
      <c r="G5" s="68" t="s">
        <v>142</v>
      </c>
      <c r="H5" s="67" t="s">
        <v>38</v>
      </c>
      <c r="I5" s="89" t="s">
        <v>143</v>
      </c>
      <c r="J5" s="67" t="s">
        <v>38</v>
      </c>
      <c r="K5" s="89" t="s">
        <v>144</v>
      </c>
      <c r="L5" s="67" t="s">
        <v>38</v>
      </c>
      <c r="M5" s="90" t="s">
        <v>145</v>
      </c>
      <c r="N5" s="220"/>
    </row>
    <row r="6" spans="1:14" s="95" customFormat="1" ht="10.5">
      <c r="A6" s="104"/>
      <c r="B6" s="105" t="s">
        <v>4</v>
      </c>
      <c r="C6" s="72" t="s">
        <v>5</v>
      </c>
      <c r="D6" s="105" t="s">
        <v>4</v>
      </c>
      <c r="E6" s="72" t="s">
        <v>5</v>
      </c>
      <c r="F6" s="105" t="s">
        <v>4</v>
      </c>
      <c r="G6" s="72" t="s">
        <v>5</v>
      </c>
      <c r="H6" s="105" t="s">
        <v>4</v>
      </c>
      <c r="I6" s="91" t="s">
        <v>5</v>
      </c>
      <c r="J6" s="105" t="s">
        <v>4</v>
      </c>
      <c r="K6" s="91" t="s">
        <v>5</v>
      </c>
      <c r="L6" s="105" t="s">
        <v>4</v>
      </c>
      <c r="M6" s="91" t="s">
        <v>5</v>
      </c>
      <c r="N6" s="99"/>
    </row>
    <row r="7" spans="1:14" s="96" customFormat="1" ht="15.75" customHeight="1">
      <c r="A7" s="101" t="s">
        <v>41</v>
      </c>
      <c r="B7" s="129">
        <f>_xlfn.COMPOUNDVALUE(1)</f>
        <v>943</v>
      </c>
      <c r="C7" s="130">
        <v>476866</v>
      </c>
      <c r="D7" s="129">
        <f>_xlfn.COMPOUNDVALUE(2)</f>
        <v>1613</v>
      </c>
      <c r="E7" s="130">
        <v>499826</v>
      </c>
      <c r="F7" s="129">
        <f>_xlfn.COMPOUNDVALUE(3)</f>
        <v>2556</v>
      </c>
      <c r="G7" s="130">
        <v>976692</v>
      </c>
      <c r="H7" s="129">
        <f>_xlfn.COMPOUNDVALUE(4)</f>
        <v>64</v>
      </c>
      <c r="I7" s="131">
        <v>44179</v>
      </c>
      <c r="J7" s="129">
        <v>237</v>
      </c>
      <c r="K7" s="131">
        <v>35778</v>
      </c>
      <c r="L7" s="129">
        <f>_xlfn.COMPOUNDVALUE(4)</f>
        <v>2738</v>
      </c>
      <c r="M7" s="131">
        <v>968291</v>
      </c>
      <c r="N7" s="103" t="s">
        <v>41</v>
      </c>
    </row>
    <row r="8" spans="1:14" s="96" customFormat="1" ht="15.75" customHeight="1">
      <c r="A8" s="76" t="s">
        <v>42</v>
      </c>
      <c r="B8" s="129">
        <f>_xlfn.COMPOUNDVALUE(5)</f>
        <v>860</v>
      </c>
      <c r="C8" s="130">
        <v>318181</v>
      </c>
      <c r="D8" s="129">
        <f>_xlfn.COMPOUNDVALUE(6)</f>
        <v>1594</v>
      </c>
      <c r="E8" s="130">
        <v>435578</v>
      </c>
      <c r="F8" s="129">
        <f>_xlfn.COMPOUNDVALUE(7)</f>
        <v>2454</v>
      </c>
      <c r="G8" s="130">
        <v>753759</v>
      </c>
      <c r="H8" s="129">
        <f>_xlfn.COMPOUNDVALUE(8)</f>
        <v>88</v>
      </c>
      <c r="I8" s="131">
        <v>58386</v>
      </c>
      <c r="J8" s="129">
        <v>159</v>
      </c>
      <c r="K8" s="131">
        <v>41789</v>
      </c>
      <c r="L8" s="129">
        <f>_xlfn.COMPOUNDVALUE(8)</f>
        <v>2665</v>
      </c>
      <c r="M8" s="131">
        <v>737163</v>
      </c>
      <c r="N8" s="88" t="s">
        <v>42</v>
      </c>
    </row>
    <row r="9" spans="1:14" s="96" customFormat="1" ht="15.75" customHeight="1">
      <c r="A9" s="76" t="s">
        <v>43</v>
      </c>
      <c r="B9" s="129">
        <f>_xlfn.COMPOUNDVALUE(9)</f>
        <v>1005</v>
      </c>
      <c r="C9" s="130">
        <v>454391</v>
      </c>
      <c r="D9" s="129">
        <f>_xlfn.COMPOUNDVALUE(10)</f>
        <v>1844</v>
      </c>
      <c r="E9" s="130">
        <v>536839</v>
      </c>
      <c r="F9" s="129">
        <f>_xlfn.COMPOUNDVALUE(11)</f>
        <v>2849</v>
      </c>
      <c r="G9" s="130">
        <v>991230</v>
      </c>
      <c r="H9" s="129">
        <f>_xlfn.COMPOUNDVALUE(12)</f>
        <v>108</v>
      </c>
      <c r="I9" s="131">
        <v>65712</v>
      </c>
      <c r="J9" s="129">
        <v>208</v>
      </c>
      <c r="K9" s="131">
        <v>33287</v>
      </c>
      <c r="L9" s="129">
        <f>_xlfn.COMPOUNDVALUE(12)</f>
        <v>3059</v>
      </c>
      <c r="M9" s="131">
        <v>958804</v>
      </c>
      <c r="N9" s="88" t="s">
        <v>43</v>
      </c>
    </row>
    <row r="10" spans="1:14" s="96" customFormat="1" ht="15.75" customHeight="1">
      <c r="A10" s="76" t="s">
        <v>44</v>
      </c>
      <c r="B10" s="129">
        <f>_xlfn.COMPOUNDVALUE(13)</f>
        <v>822</v>
      </c>
      <c r="C10" s="130">
        <v>356688</v>
      </c>
      <c r="D10" s="129">
        <f>_xlfn.COMPOUNDVALUE(14)</f>
        <v>2569</v>
      </c>
      <c r="E10" s="130">
        <v>612593</v>
      </c>
      <c r="F10" s="129">
        <f>_xlfn.COMPOUNDVALUE(15)</f>
        <v>3391</v>
      </c>
      <c r="G10" s="130">
        <v>969281</v>
      </c>
      <c r="H10" s="129">
        <f>_xlfn.COMPOUNDVALUE(16)</f>
        <v>63</v>
      </c>
      <c r="I10" s="131">
        <v>31548</v>
      </c>
      <c r="J10" s="129">
        <v>115</v>
      </c>
      <c r="K10" s="131">
        <v>5562</v>
      </c>
      <c r="L10" s="129">
        <f>_xlfn.COMPOUNDVALUE(16)</f>
        <v>3493</v>
      </c>
      <c r="M10" s="131">
        <v>943295</v>
      </c>
      <c r="N10" s="88" t="s">
        <v>44</v>
      </c>
    </row>
    <row r="11" spans="1:14" s="96" customFormat="1" ht="15.75" customHeight="1">
      <c r="A11" s="76" t="s">
        <v>45</v>
      </c>
      <c r="B11" s="129">
        <f>_xlfn.COMPOUNDVALUE(17)</f>
        <v>1278</v>
      </c>
      <c r="C11" s="130">
        <v>677090</v>
      </c>
      <c r="D11" s="129">
        <f>_xlfn.COMPOUNDVALUE(18)</f>
        <v>2305</v>
      </c>
      <c r="E11" s="130">
        <v>715338</v>
      </c>
      <c r="F11" s="129">
        <f>_xlfn.COMPOUNDVALUE(19)</f>
        <v>3583</v>
      </c>
      <c r="G11" s="130">
        <v>1392428</v>
      </c>
      <c r="H11" s="129">
        <f>_xlfn.COMPOUNDVALUE(20)</f>
        <v>107</v>
      </c>
      <c r="I11" s="131">
        <v>107556</v>
      </c>
      <c r="J11" s="129">
        <v>303</v>
      </c>
      <c r="K11" s="131">
        <v>30315</v>
      </c>
      <c r="L11" s="129">
        <f>_xlfn.COMPOUNDVALUE(20)</f>
        <v>3795</v>
      </c>
      <c r="M11" s="131">
        <v>1315187</v>
      </c>
      <c r="N11" s="88" t="s">
        <v>45</v>
      </c>
    </row>
    <row r="12" spans="1:14" s="96" customFormat="1" ht="15.75" customHeight="1">
      <c r="A12" s="76"/>
      <c r="B12" s="129"/>
      <c r="C12" s="130"/>
      <c r="D12" s="129"/>
      <c r="E12" s="130"/>
      <c r="F12" s="129"/>
      <c r="G12" s="130"/>
      <c r="H12" s="129"/>
      <c r="I12" s="131"/>
      <c r="J12" s="129"/>
      <c r="K12" s="131"/>
      <c r="L12" s="129"/>
      <c r="M12" s="131"/>
      <c r="N12" s="88" t="s">
        <v>40</v>
      </c>
    </row>
    <row r="13" spans="1:14" s="96" customFormat="1" ht="15.75" customHeight="1">
      <c r="A13" s="76" t="s">
        <v>46</v>
      </c>
      <c r="B13" s="129">
        <f>_xlfn.COMPOUNDVALUE(21)</f>
        <v>1034</v>
      </c>
      <c r="C13" s="130">
        <v>447756</v>
      </c>
      <c r="D13" s="129">
        <f>_xlfn.COMPOUNDVALUE(22)</f>
        <v>2149</v>
      </c>
      <c r="E13" s="130">
        <v>607642</v>
      </c>
      <c r="F13" s="129">
        <f>_xlfn.COMPOUNDVALUE(23)</f>
        <v>3183</v>
      </c>
      <c r="G13" s="130">
        <v>1055398</v>
      </c>
      <c r="H13" s="129">
        <f>_xlfn.COMPOUNDVALUE(24)</f>
        <v>71</v>
      </c>
      <c r="I13" s="131">
        <v>60945</v>
      </c>
      <c r="J13" s="129">
        <v>210</v>
      </c>
      <c r="K13" s="131">
        <v>26716</v>
      </c>
      <c r="L13" s="129">
        <f>_xlfn.COMPOUNDVALUE(24)</f>
        <v>3388</v>
      </c>
      <c r="M13" s="131">
        <v>1021168</v>
      </c>
      <c r="N13" s="88" t="s">
        <v>46</v>
      </c>
    </row>
    <row r="14" spans="1:14" s="96" customFormat="1" ht="15.75" customHeight="1">
      <c r="A14" s="76" t="s">
        <v>47</v>
      </c>
      <c r="B14" s="129">
        <f>_xlfn.COMPOUNDVALUE(25)</f>
        <v>553</v>
      </c>
      <c r="C14" s="130">
        <v>184422</v>
      </c>
      <c r="D14" s="129">
        <f>_xlfn.COMPOUNDVALUE(26)</f>
        <v>1016</v>
      </c>
      <c r="E14" s="130">
        <v>246381</v>
      </c>
      <c r="F14" s="129">
        <f>_xlfn.COMPOUNDVALUE(27)</f>
        <v>1569</v>
      </c>
      <c r="G14" s="130">
        <v>430803</v>
      </c>
      <c r="H14" s="129">
        <f>_xlfn.COMPOUNDVALUE(28)</f>
        <v>35</v>
      </c>
      <c r="I14" s="131">
        <v>15295</v>
      </c>
      <c r="J14" s="129">
        <v>64</v>
      </c>
      <c r="K14" s="131">
        <v>8149</v>
      </c>
      <c r="L14" s="129">
        <f>_xlfn.COMPOUNDVALUE(28)</f>
        <v>1648</v>
      </c>
      <c r="M14" s="131">
        <v>423657</v>
      </c>
      <c r="N14" s="88" t="s">
        <v>47</v>
      </c>
    </row>
    <row r="15" spans="1:14" s="96" customFormat="1" ht="15.75" customHeight="1">
      <c r="A15" s="76" t="s">
        <v>48</v>
      </c>
      <c r="B15" s="129">
        <f>_xlfn.COMPOUNDVALUE(29)</f>
        <v>792</v>
      </c>
      <c r="C15" s="130">
        <v>306776</v>
      </c>
      <c r="D15" s="129">
        <f>_xlfn.COMPOUNDVALUE(30)</f>
        <v>1601</v>
      </c>
      <c r="E15" s="130">
        <v>407496</v>
      </c>
      <c r="F15" s="129">
        <f>_xlfn.COMPOUNDVALUE(31)</f>
        <v>2393</v>
      </c>
      <c r="G15" s="130">
        <v>714271</v>
      </c>
      <c r="H15" s="129">
        <f>_xlfn.COMPOUNDVALUE(32)</f>
        <v>57</v>
      </c>
      <c r="I15" s="131">
        <v>18997</v>
      </c>
      <c r="J15" s="129">
        <v>206</v>
      </c>
      <c r="K15" s="131">
        <v>21181</v>
      </c>
      <c r="L15" s="129">
        <f>_xlfn.COMPOUNDVALUE(32)</f>
        <v>2536</v>
      </c>
      <c r="M15" s="131">
        <v>716456</v>
      </c>
      <c r="N15" s="88" t="s">
        <v>48</v>
      </c>
    </row>
    <row r="16" spans="1:14" s="96" customFormat="1" ht="15.75" customHeight="1">
      <c r="A16" s="78" t="s">
        <v>49</v>
      </c>
      <c r="B16" s="134">
        <f>_xlfn.COMPOUNDVALUE(33)</f>
        <v>1476</v>
      </c>
      <c r="C16" s="135">
        <v>694783</v>
      </c>
      <c r="D16" s="134">
        <f>_xlfn.COMPOUNDVALUE(34)</f>
        <v>2822</v>
      </c>
      <c r="E16" s="135">
        <v>797932</v>
      </c>
      <c r="F16" s="134">
        <f>_xlfn.COMPOUNDVALUE(35)</f>
        <v>4298</v>
      </c>
      <c r="G16" s="135">
        <v>1492715</v>
      </c>
      <c r="H16" s="134">
        <f>_xlfn.COMPOUNDVALUE(36)</f>
        <v>110</v>
      </c>
      <c r="I16" s="136">
        <v>200296</v>
      </c>
      <c r="J16" s="134">
        <v>354</v>
      </c>
      <c r="K16" s="136">
        <v>26901</v>
      </c>
      <c r="L16" s="134">
        <f>_xlfn.COMPOUNDVALUE(36)</f>
        <v>4558</v>
      </c>
      <c r="M16" s="136">
        <v>1319320</v>
      </c>
      <c r="N16" s="77" t="s">
        <v>49</v>
      </c>
    </row>
    <row r="17" spans="1:14" s="96" customFormat="1" ht="15.75" customHeight="1">
      <c r="A17" s="78" t="s">
        <v>50</v>
      </c>
      <c r="B17" s="134">
        <f>_xlfn.COMPOUNDVALUE(37)</f>
        <v>509</v>
      </c>
      <c r="C17" s="135">
        <v>228025</v>
      </c>
      <c r="D17" s="134">
        <f>_xlfn.COMPOUNDVALUE(38)</f>
        <v>1140</v>
      </c>
      <c r="E17" s="135">
        <v>261663</v>
      </c>
      <c r="F17" s="134">
        <f>_xlfn.COMPOUNDVALUE(39)</f>
        <v>1649</v>
      </c>
      <c r="G17" s="135">
        <v>489687</v>
      </c>
      <c r="H17" s="134">
        <f>_xlfn.COMPOUNDVALUE(40)</f>
        <v>36</v>
      </c>
      <c r="I17" s="136">
        <v>12266</v>
      </c>
      <c r="J17" s="134">
        <v>72</v>
      </c>
      <c r="K17" s="136">
        <v>7228</v>
      </c>
      <c r="L17" s="134">
        <f>_xlfn.COMPOUNDVALUE(40)</f>
        <v>1713</v>
      </c>
      <c r="M17" s="136">
        <v>484649</v>
      </c>
      <c r="N17" s="77" t="s">
        <v>50</v>
      </c>
    </row>
    <row r="18" spans="1:14" s="96" customFormat="1" ht="15.75" customHeight="1">
      <c r="A18" s="78"/>
      <c r="B18" s="134"/>
      <c r="C18" s="135"/>
      <c r="D18" s="134"/>
      <c r="E18" s="135"/>
      <c r="F18" s="134"/>
      <c r="G18" s="135"/>
      <c r="H18" s="134"/>
      <c r="I18" s="136"/>
      <c r="J18" s="134"/>
      <c r="K18" s="136"/>
      <c r="L18" s="134"/>
      <c r="M18" s="136"/>
      <c r="N18" s="77" t="s">
        <v>40</v>
      </c>
    </row>
    <row r="19" spans="1:14" s="96" customFormat="1" ht="15.75" customHeight="1">
      <c r="A19" s="78" t="s">
        <v>51</v>
      </c>
      <c r="B19" s="134">
        <f>_xlfn.COMPOUNDVALUE(41)</f>
        <v>674</v>
      </c>
      <c r="C19" s="135">
        <v>234730</v>
      </c>
      <c r="D19" s="134">
        <f>_xlfn.COMPOUNDVALUE(42)</f>
        <v>1316</v>
      </c>
      <c r="E19" s="135">
        <v>327840</v>
      </c>
      <c r="F19" s="134">
        <f>_xlfn.COMPOUNDVALUE(43)</f>
        <v>1990</v>
      </c>
      <c r="G19" s="135">
        <v>562570</v>
      </c>
      <c r="H19" s="134">
        <f>_xlfn.COMPOUNDVALUE(44)</f>
        <v>55</v>
      </c>
      <c r="I19" s="136">
        <v>13547</v>
      </c>
      <c r="J19" s="134">
        <v>104</v>
      </c>
      <c r="K19" s="136">
        <v>41095</v>
      </c>
      <c r="L19" s="134">
        <f>_xlfn.COMPOUNDVALUE(44)</f>
        <v>2103</v>
      </c>
      <c r="M19" s="136">
        <v>590119</v>
      </c>
      <c r="N19" s="77" t="s">
        <v>51</v>
      </c>
    </row>
    <row r="20" spans="1:14" s="96" customFormat="1" ht="15.75" customHeight="1">
      <c r="A20" s="78" t="s">
        <v>52</v>
      </c>
      <c r="B20" s="134">
        <f>_xlfn.COMPOUNDVALUE(45)</f>
        <v>1533</v>
      </c>
      <c r="C20" s="135">
        <v>542444</v>
      </c>
      <c r="D20" s="134">
        <f>_xlfn.COMPOUNDVALUE(46)</f>
        <v>3096</v>
      </c>
      <c r="E20" s="135">
        <v>769951</v>
      </c>
      <c r="F20" s="134">
        <f>_xlfn.COMPOUNDVALUE(47)</f>
        <v>4629</v>
      </c>
      <c r="G20" s="135">
        <v>1312394</v>
      </c>
      <c r="H20" s="134">
        <f>_xlfn.COMPOUNDVALUE(48)</f>
        <v>116</v>
      </c>
      <c r="I20" s="136">
        <v>67988</v>
      </c>
      <c r="J20" s="134">
        <v>261</v>
      </c>
      <c r="K20" s="136">
        <v>26983</v>
      </c>
      <c r="L20" s="134">
        <f>_xlfn.COMPOUNDVALUE(48)</f>
        <v>4870</v>
      </c>
      <c r="M20" s="136">
        <v>1271389</v>
      </c>
      <c r="N20" s="77" t="s">
        <v>52</v>
      </c>
    </row>
    <row r="21" spans="1:14" s="96" customFormat="1" ht="15.75" customHeight="1">
      <c r="A21" s="78" t="s">
        <v>53</v>
      </c>
      <c r="B21" s="134">
        <f>_xlfn.COMPOUNDVALUE(49)</f>
        <v>630</v>
      </c>
      <c r="C21" s="135">
        <v>229037</v>
      </c>
      <c r="D21" s="134">
        <f>_xlfn.COMPOUNDVALUE(50)</f>
        <v>1595</v>
      </c>
      <c r="E21" s="135">
        <v>367922</v>
      </c>
      <c r="F21" s="134">
        <f>_xlfn.COMPOUNDVALUE(51)</f>
        <v>2225</v>
      </c>
      <c r="G21" s="135">
        <v>596959</v>
      </c>
      <c r="H21" s="134">
        <f>_xlfn.COMPOUNDVALUE(52)</f>
        <v>41</v>
      </c>
      <c r="I21" s="136">
        <v>10160</v>
      </c>
      <c r="J21" s="134">
        <v>115</v>
      </c>
      <c r="K21" s="136">
        <v>6252</v>
      </c>
      <c r="L21" s="134">
        <f>_xlfn.COMPOUNDVALUE(52)</f>
        <v>2306</v>
      </c>
      <c r="M21" s="136">
        <v>593051</v>
      </c>
      <c r="N21" s="77" t="s">
        <v>53</v>
      </c>
    </row>
    <row r="22" spans="1:14" s="96" customFormat="1" ht="15.75" customHeight="1">
      <c r="A22" s="78" t="s">
        <v>178</v>
      </c>
      <c r="B22" s="134">
        <f>_xlfn.COMPOUNDVALUE(53)</f>
        <v>1486</v>
      </c>
      <c r="C22" s="135">
        <v>744015</v>
      </c>
      <c r="D22" s="134">
        <f>_xlfn.COMPOUNDVALUE(54)</f>
        <v>2900</v>
      </c>
      <c r="E22" s="135">
        <v>814911</v>
      </c>
      <c r="F22" s="134">
        <f>_xlfn.COMPOUNDVALUE(55)</f>
        <v>4386</v>
      </c>
      <c r="G22" s="135">
        <v>1558926</v>
      </c>
      <c r="H22" s="134">
        <f>_xlfn.COMPOUNDVALUE(56)</f>
        <v>94</v>
      </c>
      <c r="I22" s="136">
        <v>122587</v>
      </c>
      <c r="J22" s="134">
        <v>289</v>
      </c>
      <c r="K22" s="136">
        <v>34079</v>
      </c>
      <c r="L22" s="134">
        <f>_xlfn.COMPOUNDVALUE(56)</f>
        <v>4634</v>
      </c>
      <c r="M22" s="136">
        <v>1470418</v>
      </c>
      <c r="N22" s="77" t="s">
        <v>54</v>
      </c>
    </row>
    <row r="23" spans="1:14" s="96" customFormat="1" ht="15.75" customHeight="1">
      <c r="A23" s="79" t="s">
        <v>55</v>
      </c>
      <c r="B23" s="137">
        <v>13595</v>
      </c>
      <c r="C23" s="138">
        <v>5895202</v>
      </c>
      <c r="D23" s="137">
        <v>27560</v>
      </c>
      <c r="E23" s="138">
        <v>7401910</v>
      </c>
      <c r="F23" s="137">
        <v>41155</v>
      </c>
      <c r="G23" s="138">
        <v>13297113</v>
      </c>
      <c r="H23" s="137">
        <v>1045</v>
      </c>
      <c r="I23" s="139">
        <v>829461</v>
      </c>
      <c r="J23" s="137">
        <v>2697</v>
      </c>
      <c r="K23" s="139">
        <v>345315</v>
      </c>
      <c r="L23" s="137">
        <v>43506</v>
      </c>
      <c r="M23" s="139">
        <v>12812967</v>
      </c>
      <c r="N23" s="84" t="s">
        <v>56</v>
      </c>
    </row>
    <row r="24" spans="1:14" s="96" customFormat="1" ht="15.75" customHeight="1">
      <c r="A24" s="85"/>
      <c r="B24" s="142"/>
      <c r="C24" s="143"/>
      <c r="D24" s="142"/>
      <c r="E24" s="143"/>
      <c r="F24" s="144"/>
      <c r="G24" s="143"/>
      <c r="H24" s="144"/>
      <c r="I24" s="143"/>
      <c r="J24" s="144"/>
      <c r="K24" s="143"/>
      <c r="L24" s="144"/>
      <c r="M24" s="143"/>
      <c r="N24" s="92"/>
    </row>
    <row r="25" spans="1:14" s="96" customFormat="1" ht="15.75" customHeight="1">
      <c r="A25" s="76" t="s">
        <v>57</v>
      </c>
      <c r="B25" s="129">
        <f>_xlfn.COMPOUNDVALUE(57)</f>
        <v>996</v>
      </c>
      <c r="C25" s="130">
        <v>1936579</v>
      </c>
      <c r="D25" s="129">
        <f>_xlfn.COMPOUNDVALUE(58)</f>
        <v>1532</v>
      </c>
      <c r="E25" s="130">
        <v>703106</v>
      </c>
      <c r="F25" s="129">
        <f>_xlfn.COMPOUNDVALUE(59)</f>
        <v>2528</v>
      </c>
      <c r="G25" s="130">
        <v>2639684</v>
      </c>
      <c r="H25" s="129">
        <f>_xlfn.COMPOUNDVALUE(60)</f>
        <v>57</v>
      </c>
      <c r="I25" s="131">
        <v>121973</v>
      </c>
      <c r="J25" s="129">
        <v>153</v>
      </c>
      <c r="K25" s="131">
        <v>33494</v>
      </c>
      <c r="L25" s="129">
        <f>_xlfn.COMPOUNDVALUE(60)</f>
        <v>2602</v>
      </c>
      <c r="M25" s="131">
        <v>2551205</v>
      </c>
      <c r="N25" s="87" t="s">
        <v>57</v>
      </c>
    </row>
    <row r="26" spans="1:14" s="96" customFormat="1" ht="15.75" customHeight="1">
      <c r="A26" s="76" t="s">
        <v>58</v>
      </c>
      <c r="B26" s="129">
        <f>_xlfn.COMPOUNDVALUE(61)</f>
        <v>476</v>
      </c>
      <c r="C26" s="130">
        <v>504905</v>
      </c>
      <c r="D26" s="129">
        <f>_xlfn.COMPOUNDVALUE(62)</f>
        <v>1131</v>
      </c>
      <c r="E26" s="130">
        <v>446302</v>
      </c>
      <c r="F26" s="129">
        <f>_xlfn.COMPOUNDVALUE(63)</f>
        <v>1607</v>
      </c>
      <c r="G26" s="130">
        <v>951208</v>
      </c>
      <c r="H26" s="129">
        <f>_xlfn.COMPOUNDVALUE(64)</f>
        <v>39</v>
      </c>
      <c r="I26" s="131">
        <v>29707</v>
      </c>
      <c r="J26" s="129">
        <v>83</v>
      </c>
      <c r="K26" s="131">
        <v>8598</v>
      </c>
      <c r="L26" s="129">
        <f>_xlfn.COMPOUNDVALUE(64)</f>
        <v>1667</v>
      </c>
      <c r="M26" s="131">
        <v>930099</v>
      </c>
      <c r="N26" s="88" t="s">
        <v>58</v>
      </c>
    </row>
    <row r="27" spans="1:14" s="96" customFormat="1" ht="15.75" customHeight="1">
      <c r="A27" s="76" t="s">
        <v>59</v>
      </c>
      <c r="B27" s="129">
        <f>_xlfn.COMPOUNDVALUE(65)</f>
        <v>421</v>
      </c>
      <c r="C27" s="130">
        <v>412253</v>
      </c>
      <c r="D27" s="129">
        <f>_xlfn.COMPOUNDVALUE(66)</f>
        <v>828</v>
      </c>
      <c r="E27" s="130">
        <v>309049</v>
      </c>
      <c r="F27" s="129">
        <f>_xlfn.COMPOUNDVALUE(67)</f>
        <v>1249</v>
      </c>
      <c r="G27" s="130">
        <v>721302</v>
      </c>
      <c r="H27" s="129">
        <f>_xlfn.COMPOUNDVALUE(68)</f>
        <v>43</v>
      </c>
      <c r="I27" s="131">
        <v>34000</v>
      </c>
      <c r="J27" s="129">
        <v>63</v>
      </c>
      <c r="K27" s="131">
        <v>4339</v>
      </c>
      <c r="L27" s="129">
        <f>_xlfn.COMPOUNDVALUE(68)</f>
        <v>1308</v>
      </c>
      <c r="M27" s="131">
        <v>691641</v>
      </c>
      <c r="N27" s="88" t="s">
        <v>59</v>
      </c>
    </row>
    <row r="28" spans="1:14" s="96" customFormat="1" ht="15.75" customHeight="1">
      <c r="A28" s="76" t="s">
        <v>60</v>
      </c>
      <c r="B28" s="129">
        <f>_xlfn.COMPOUNDVALUE(69)</f>
        <v>1035</v>
      </c>
      <c r="C28" s="130">
        <v>1096192</v>
      </c>
      <c r="D28" s="129">
        <f>_xlfn.COMPOUNDVALUE(70)</f>
        <v>1417</v>
      </c>
      <c r="E28" s="130">
        <v>539016</v>
      </c>
      <c r="F28" s="129">
        <f>_xlfn.COMPOUNDVALUE(71)</f>
        <v>2452</v>
      </c>
      <c r="G28" s="130">
        <v>1635208</v>
      </c>
      <c r="H28" s="129">
        <f>_xlfn.COMPOUNDVALUE(72)</f>
        <v>98</v>
      </c>
      <c r="I28" s="131">
        <v>69764</v>
      </c>
      <c r="J28" s="129">
        <v>205</v>
      </c>
      <c r="K28" s="131">
        <v>35587</v>
      </c>
      <c r="L28" s="129">
        <f>_xlfn.COMPOUNDVALUE(72)</f>
        <v>2616</v>
      </c>
      <c r="M28" s="131">
        <v>1601030</v>
      </c>
      <c r="N28" s="88" t="s">
        <v>60</v>
      </c>
    </row>
    <row r="29" spans="1:14" s="96" customFormat="1" ht="15.75" customHeight="1">
      <c r="A29" s="76" t="s">
        <v>179</v>
      </c>
      <c r="B29" s="129">
        <f>_xlfn.COMPOUNDVALUE(73)</f>
        <v>1582</v>
      </c>
      <c r="C29" s="130">
        <v>1815773</v>
      </c>
      <c r="D29" s="129">
        <f>_xlfn.COMPOUNDVALUE(74)</f>
        <v>2168</v>
      </c>
      <c r="E29" s="130">
        <v>821107</v>
      </c>
      <c r="F29" s="129">
        <f>_xlfn.COMPOUNDVALUE(75)</f>
        <v>3750</v>
      </c>
      <c r="G29" s="130">
        <v>2636880</v>
      </c>
      <c r="H29" s="129">
        <f>_xlfn.COMPOUNDVALUE(76)</f>
        <v>122</v>
      </c>
      <c r="I29" s="131">
        <v>139649</v>
      </c>
      <c r="J29" s="129">
        <v>264</v>
      </c>
      <c r="K29" s="131">
        <v>101893</v>
      </c>
      <c r="L29" s="129">
        <f>_xlfn.COMPOUNDVALUE(76)</f>
        <v>4014</v>
      </c>
      <c r="M29" s="131">
        <v>2599124</v>
      </c>
      <c r="N29" s="88" t="s">
        <v>61</v>
      </c>
    </row>
    <row r="30" spans="1:14" s="96" customFormat="1" ht="15.75" customHeight="1">
      <c r="A30" s="76"/>
      <c r="B30" s="129"/>
      <c r="C30" s="130"/>
      <c r="D30" s="129"/>
      <c r="E30" s="130"/>
      <c r="F30" s="129"/>
      <c r="G30" s="130"/>
      <c r="H30" s="129"/>
      <c r="I30" s="131"/>
      <c r="J30" s="129"/>
      <c r="K30" s="131"/>
      <c r="L30" s="129"/>
      <c r="M30" s="131"/>
      <c r="N30" s="88" t="s">
        <v>40</v>
      </c>
    </row>
    <row r="31" spans="1:14" s="96" customFormat="1" ht="15.75" customHeight="1">
      <c r="A31" s="76" t="s">
        <v>62</v>
      </c>
      <c r="B31" s="129">
        <f>_xlfn.COMPOUNDVALUE(77)</f>
        <v>1485</v>
      </c>
      <c r="C31" s="130">
        <v>2892536</v>
      </c>
      <c r="D31" s="129">
        <f>_xlfn.COMPOUNDVALUE(78)</f>
        <v>1780</v>
      </c>
      <c r="E31" s="130">
        <v>687447</v>
      </c>
      <c r="F31" s="129">
        <f>_xlfn.COMPOUNDVALUE(79)</f>
        <v>3265</v>
      </c>
      <c r="G31" s="130">
        <v>3579983</v>
      </c>
      <c r="H31" s="129">
        <f>_xlfn.COMPOUNDVALUE(80)</f>
        <v>102</v>
      </c>
      <c r="I31" s="131">
        <v>174266</v>
      </c>
      <c r="J31" s="129">
        <v>294</v>
      </c>
      <c r="K31" s="131">
        <v>61585</v>
      </c>
      <c r="L31" s="129">
        <f>_xlfn.COMPOUNDVALUE(80)</f>
        <v>3532</v>
      </c>
      <c r="M31" s="131">
        <v>3467302</v>
      </c>
      <c r="N31" s="88" t="s">
        <v>62</v>
      </c>
    </row>
    <row r="32" spans="1:14" s="96" customFormat="1" ht="15.75" customHeight="1">
      <c r="A32" s="76" t="s">
        <v>63</v>
      </c>
      <c r="B32" s="129">
        <f>_xlfn.COMPOUNDVALUE(81)</f>
        <v>835</v>
      </c>
      <c r="C32" s="130">
        <v>530049</v>
      </c>
      <c r="D32" s="129">
        <f>_xlfn.COMPOUNDVALUE(82)</f>
        <v>1369</v>
      </c>
      <c r="E32" s="130">
        <v>477650</v>
      </c>
      <c r="F32" s="129">
        <f>_xlfn.COMPOUNDVALUE(83)</f>
        <v>2204</v>
      </c>
      <c r="G32" s="130">
        <v>1007699</v>
      </c>
      <c r="H32" s="129">
        <f>_xlfn.COMPOUNDVALUE(84)</f>
        <v>72</v>
      </c>
      <c r="I32" s="131">
        <v>30846</v>
      </c>
      <c r="J32" s="129">
        <v>130</v>
      </c>
      <c r="K32" s="131">
        <v>14727</v>
      </c>
      <c r="L32" s="129">
        <f>_xlfn.COMPOUNDVALUE(84)</f>
        <v>2327</v>
      </c>
      <c r="M32" s="131">
        <v>991580</v>
      </c>
      <c r="N32" s="88" t="s">
        <v>63</v>
      </c>
    </row>
    <row r="33" spans="1:14" s="96" customFormat="1" ht="15.75" customHeight="1">
      <c r="A33" s="76" t="s">
        <v>64</v>
      </c>
      <c r="B33" s="129">
        <f>_xlfn.COMPOUNDVALUE(85)</f>
        <v>823</v>
      </c>
      <c r="C33" s="130">
        <v>739328</v>
      </c>
      <c r="D33" s="129">
        <f>_xlfn.COMPOUNDVALUE(86)</f>
        <v>1676</v>
      </c>
      <c r="E33" s="130">
        <v>625273</v>
      </c>
      <c r="F33" s="129">
        <f>_xlfn.COMPOUNDVALUE(87)</f>
        <v>2499</v>
      </c>
      <c r="G33" s="130">
        <v>1364600</v>
      </c>
      <c r="H33" s="129">
        <f>_xlfn.COMPOUNDVALUE(88)</f>
        <v>49</v>
      </c>
      <c r="I33" s="131">
        <v>40807</v>
      </c>
      <c r="J33" s="129">
        <v>127</v>
      </c>
      <c r="K33" s="131">
        <v>31234</v>
      </c>
      <c r="L33" s="129">
        <f>_xlfn.COMPOUNDVALUE(88)</f>
        <v>2609</v>
      </c>
      <c r="M33" s="131">
        <v>1355027</v>
      </c>
      <c r="N33" s="88" t="s">
        <v>64</v>
      </c>
    </row>
    <row r="34" spans="1:14" s="96" customFormat="1" ht="15.75" customHeight="1">
      <c r="A34" s="76" t="s">
        <v>65</v>
      </c>
      <c r="B34" s="129">
        <f>_xlfn.COMPOUNDVALUE(89)</f>
        <v>960</v>
      </c>
      <c r="C34" s="130">
        <v>943238</v>
      </c>
      <c r="D34" s="129">
        <f>_xlfn.COMPOUNDVALUE(90)</f>
        <v>1556</v>
      </c>
      <c r="E34" s="130">
        <v>540819</v>
      </c>
      <c r="F34" s="129">
        <f>_xlfn.COMPOUNDVALUE(91)</f>
        <v>2516</v>
      </c>
      <c r="G34" s="130">
        <v>1484057</v>
      </c>
      <c r="H34" s="129">
        <f>_xlfn.COMPOUNDVALUE(92)</f>
        <v>61</v>
      </c>
      <c r="I34" s="131">
        <v>42257</v>
      </c>
      <c r="J34" s="129">
        <v>188</v>
      </c>
      <c r="K34" s="131">
        <v>50316</v>
      </c>
      <c r="L34" s="129">
        <f>_xlfn.COMPOUNDVALUE(92)</f>
        <v>2669</v>
      </c>
      <c r="M34" s="131">
        <v>1492116</v>
      </c>
      <c r="N34" s="88" t="s">
        <v>65</v>
      </c>
    </row>
    <row r="35" spans="1:14" s="96" customFormat="1" ht="15.75" customHeight="1">
      <c r="A35" s="76" t="s">
        <v>66</v>
      </c>
      <c r="B35" s="129">
        <f>_xlfn.COMPOUNDVALUE(93)</f>
        <v>395</v>
      </c>
      <c r="C35" s="130">
        <v>330197</v>
      </c>
      <c r="D35" s="129">
        <f>_xlfn.COMPOUNDVALUE(94)</f>
        <v>870</v>
      </c>
      <c r="E35" s="130">
        <v>281913</v>
      </c>
      <c r="F35" s="129">
        <f>_xlfn.COMPOUNDVALUE(95)</f>
        <v>1265</v>
      </c>
      <c r="G35" s="130">
        <v>612109</v>
      </c>
      <c r="H35" s="129">
        <f>_xlfn.COMPOUNDVALUE(96)</f>
        <v>33</v>
      </c>
      <c r="I35" s="131">
        <v>24614</v>
      </c>
      <c r="J35" s="129">
        <v>67</v>
      </c>
      <c r="K35" s="131">
        <v>6688</v>
      </c>
      <c r="L35" s="129">
        <f>_xlfn.COMPOUNDVALUE(96)</f>
        <v>1316</v>
      </c>
      <c r="M35" s="131">
        <v>594183</v>
      </c>
      <c r="N35" s="88" t="s">
        <v>66</v>
      </c>
    </row>
    <row r="36" spans="1:14" s="96" customFormat="1" ht="15.75" customHeight="1">
      <c r="A36" s="76"/>
      <c r="B36" s="129"/>
      <c r="C36" s="130"/>
      <c r="D36" s="129"/>
      <c r="E36" s="130"/>
      <c r="F36" s="129"/>
      <c r="G36" s="130"/>
      <c r="H36" s="129"/>
      <c r="I36" s="131"/>
      <c r="J36" s="129"/>
      <c r="K36" s="131"/>
      <c r="L36" s="129"/>
      <c r="M36" s="131"/>
      <c r="N36" s="88" t="s">
        <v>40</v>
      </c>
    </row>
    <row r="37" spans="1:14" s="96" customFormat="1" ht="15.75" customHeight="1">
      <c r="A37" s="76" t="s">
        <v>67</v>
      </c>
      <c r="B37" s="129">
        <f>_xlfn.COMPOUNDVALUE(97)</f>
        <v>413</v>
      </c>
      <c r="C37" s="130">
        <v>260013</v>
      </c>
      <c r="D37" s="129">
        <f>_xlfn.COMPOUNDVALUE(98)</f>
        <v>907</v>
      </c>
      <c r="E37" s="130">
        <v>300911</v>
      </c>
      <c r="F37" s="129">
        <f>_xlfn.COMPOUNDVALUE(99)</f>
        <v>1320</v>
      </c>
      <c r="G37" s="130">
        <v>560924</v>
      </c>
      <c r="H37" s="129">
        <f>_xlfn.COMPOUNDVALUE(100)</f>
        <v>42</v>
      </c>
      <c r="I37" s="131">
        <v>23315</v>
      </c>
      <c r="J37" s="129">
        <v>110</v>
      </c>
      <c r="K37" s="131">
        <v>14026</v>
      </c>
      <c r="L37" s="129">
        <f>_xlfn.COMPOUNDVALUE(100)</f>
        <v>1419</v>
      </c>
      <c r="M37" s="131">
        <v>551635</v>
      </c>
      <c r="N37" s="88" t="s">
        <v>67</v>
      </c>
    </row>
    <row r="38" spans="1:14" s="96" customFormat="1" ht="15.75" customHeight="1">
      <c r="A38" s="76" t="s">
        <v>68</v>
      </c>
      <c r="B38" s="129">
        <f>_xlfn.COMPOUNDVALUE(101)</f>
        <v>511</v>
      </c>
      <c r="C38" s="130">
        <v>325640</v>
      </c>
      <c r="D38" s="129">
        <f>_xlfn.COMPOUNDVALUE(102)</f>
        <v>927</v>
      </c>
      <c r="E38" s="130">
        <v>288938</v>
      </c>
      <c r="F38" s="129">
        <f>_xlfn.COMPOUNDVALUE(103)</f>
        <v>1438</v>
      </c>
      <c r="G38" s="130">
        <v>614578</v>
      </c>
      <c r="H38" s="129">
        <f>_xlfn.COMPOUNDVALUE(104)</f>
        <v>27</v>
      </c>
      <c r="I38" s="131">
        <v>552124</v>
      </c>
      <c r="J38" s="129">
        <v>101</v>
      </c>
      <c r="K38" s="131">
        <v>16859</v>
      </c>
      <c r="L38" s="129">
        <f>_xlfn.COMPOUNDVALUE(104)</f>
        <v>1517</v>
      </c>
      <c r="M38" s="131">
        <v>79313</v>
      </c>
      <c r="N38" s="88" t="s">
        <v>68</v>
      </c>
    </row>
    <row r="39" spans="1:14" s="96" customFormat="1" ht="15.75" customHeight="1">
      <c r="A39" s="76" t="s">
        <v>69</v>
      </c>
      <c r="B39" s="129">
        <f>_xlfn.COMPOUNDVALUE(105)</f>
        <v>532</v>
      </c>
      <c r="C39" s="130">
        <v>263033</v>
      </c>
      <c r="D39" s="129">
        <f>_xlfn.COMPOUNDVALUE(106)</f>
        <v>1065</v>
      </c>
      <c r="E39" s="130">
        <v>296731</v>
      </c>
      <c r="F39" s="129">
        <f>_xlfn.COMPOUNDVALUE(107)</f>
        <v>1597</v>
      </c>
      <c r="G39" s="130">
        <v>559763</v>
      </c>
      <c r="H39" s="129">
        <f>_xlfn.COMPOUNDVALUE(108)</f>
        <v>76</v>
      </c>
      <c r="I39" s="131">
        <v>24981</v>
      </c>
      <c r="J39" s="129">
        <v>65</v>
      </c>
      <c r="K39" s="131">
        <v>7398</v>
      </c>
      <c r="L39" s="129">
        <f>_xlfn.COMPOUNDVALUE(108)</f>
        <v>1700</v>
      </c>
      <c r="M39" s="131">
        <v>542181</v>
      </c>
      <c r="N39" s="88" t="s">
        <v>69</v>
      </c>
    </row>
    <row r="40" spans="1:14" s="96" customFormat="1" ht="15.75" customHeight="1">
      <c r="A40" s="76" t="s">
        <v>70</v>
      </c>
      <c r="B40" s="129">
        <f>_xlfn.COMPOUNDVALUE(109)</f>
        <v>512</v>
      </c>
      <c r="C40" s="130">
        <v>272573</v>
      </c>
      <c r="D40" s="129">
        <f>_xlfn.COMPOUNDVALUE(110)</f>
        <v>880</v>
      </c>
      <c r="E40" s="130">
        <v>263713</v>
      </c>
      <c r="F40" s="129">
        <f>_xlfn.COMPOUNDVALUE(111)</f>
        <v>1392</v>
      </c>
      <c r="G40" s="130">
        <v>536286</v>
      </c>
      <c r="H40" s="129">
        <f>_xlfn.COMPOUNDVALUE(112)</f>
        <v>76</v>
      </c>
      <c r="I40" s="131">
        <v>211865</v>
      </c>
      <c r="J40" s="129">
        <v>141</v>
      </c>
      <c r="K40" s="131">
        <v>145458</v>
      </c>
      <c r="L40" s="129">
        <f>_xlfn.COMPOUNDVALUE(112)</f>
        <v>1530</v>
      </c>
      <c r="M40" s="131">
        <v>469878</v>
      </c>
      <c r="N40" s="88" t="s">
        <v>70</v>
      </c>
    </row>
    <row r="41" spans="1:14" s="96" customFormat="1" ht="15.75" customHeight="1">
      <c r="A41" s="76" t="s">
        <v>71</v>
      </c>
      <c r="B41" s="129">
        <f>_xlfn.COMPOUNDVALUE(113)</f>
        <v>342</v>
      </c>
      <c r="C41" s="130">
        <v>118208</v>
      </c>
      <c r="D41" s="129">
        <f>_xlfn.COMPOUNDVALUE(114)</f>
        <v>621</v>
      </c>
      <c r="E41" s="130">
        <v>150673</v>
      </c>
      <c r="F41" s="129">
        <f>_xlfn.COMPOUNDVALUE(115)</f>
        <v>963</v>
      </c>
      <c r="G41" s="130">
        <v>268881</v>
      </c>
      <c r="H41" s="129">
        <f>_xlfn.COMPOUNDVALUE(116)</f>
        <v>21</v>
      </c>
      <c r="I41" s="131">
        <v>4763</v>
      </c>
      <c r="J41" s="129">
        <v>58</v>
      </c>
      <c r="K41" s="131">
        <v>7328</v>
      </c>
      <c r="L41" s="129">
        <f>_xlfn.COMPOUNDVALUE(116)</f>
        <v>1014</v>
      </c>
      <c r="M41" s="131">
        <v>271446</v>
      </c>
      <c r="N41" s="88" t="s">
        <v>71</v>
      </c>
    </row>
    <row r="42" spans="1:14" s="96" customFormat="1" ht="15.75" customHeight="1">
      <c r="A42" s="106"/>
      <c r="B42" s="129"/>
      <c r="C42" s="130"/>
      <c r="D42" s="129"/>
      <c r="E42" s="130"/>
      <c r="F42" s="129"/>
      <c r="G42" s="130"/>
      <c r="H42" s="129"/>
      <c r="I42" s="131"/>
      <c r="J42" s="129"/>
      <c r="K42" s="131"/>
      <c r="L42" s="129"/>
      <c r="M42" s="131"/>
      <c r="N42" s="108" t="s">
        <v>40</v>
      </c>
    </row>
    <row r="43" spans="1:14" s="96" customFormat="1" ht="15.75" customHeight="1">
      <c r="A43" s="102" t="s">
        <v>72</v>
      </c>
      <c r="B43" s="129">
        <f>_xlfn.COMPOUNDVALUE(117)</f>
        <v>723</v>
      </c>
      <c r="C43" s="130">
        <v>360664</v>
      </c>
      <c r="D43" s="129">
        <f>_xlfn.COMPOUNDVALUE(118)</f>
        <v>1150</v>
      </c>
      <c r="E43" s="130">
        <v>354635</v>
      </c>
      <c r="F43" s="129">
        <f>_xlfn.COMPOUNDVALUE(119)</f>
        <v>1873</v>
      </c>
      <c r="G43" s="130">
        <v>715299</v>
      </c>
      <c r="H43" s="129">
        <f>_xlfn.COMPOUNDVALUE(120)</f>
        <v>69</v>
      </c>
      <c r="I43" s="131">
        <v>46084</v>
      </c>
      <c r="J43" s="129">
        <v>106</v>
      </c>
      <c r="K43" s="131">
        <v>17227</v>
      </c>
      <c r="L43" s="129">
        <f>_xlfn.COMPOUNDVALUE(120)</f>
        <v>1999</v>
      </c>
      <c r="M43" s="131">
        <v>686441</v>
      </c>
      <c r="N43" s="88" t="s">
        <v>72</v>
      </c>
    </row>
    <row r="44" spans="1:14" s="96" customFormat="1" ht="15.75" customHeight="1">
      <c r="A44" s="76" t="s">
        <v>73</v>
      </c>
      <c r="B44" s="129">
        <f>_xlfn.COMPOUNDVALUE(121)</f>
        <v>575</v>
      </c>
      <c r="C44" s="130">
        <v>200406</v>
      </c>
      <c r="D44" s="129">
        <f>_xlfn.COMPOUNDVALUE(122)</f>
        <v>919</v>
      </c>
      <c r="E44" s="130">
        <v>239832</v>
      </c>
      <c r="F44" s="129">
        <f>_xlfn.COMPOUNDVALUE(123)</f>
        <v>1494</v>
      </c>
      <c r="G44" s="130">
        <v>440238</v>
      </c>
      <c r="H44" s="129">
        <f>_xlfn.COMPOUNDVALUE(124)</f>
        <v>30</v>
      </c>
      <c r="I44" s="131">
        <v>10897</v>
      </c>
      <c r="J44" s="129">
        <v>96</v>
      </c>
      <c r="K44" s="131">
        <v>44925</v>
      </c>
      <c r="L44" s="129">
        <f>_xlfn.COMPOUNDVALUE(124)</f>
        <v>1593</v>
      </c>
      <c r="M44" s="131">
        <v>474266</v>
      </c>
      <c r="N44" s="88" t="s">
        <v>73</v>
      </c>
    </row>
    <row r="45" spans="1:14" s="96" customFormat="1" ht="15.75" customHeight="1">
      <c r="A45" s="76" t="s">
        <v>74</v>
      </c>
      <c r="B45" s="129">
        <f>_xlfn.COMPOUNDVALUE(125)</f>
        <v>355</v>
      </c>
      <c r="C45" s="130">
        <v>127207</v>
      </c>
      <c r="D45" s="129">
        <f>_xlfn.COMPOUNDVALUE(126)</f>
        <v>780</v>
      </c>
      <c r="E45" s="130">
        <v>223106</v>
      </c>
      <c r="F45" s="129">
        <f>_xlfn.COMPOUNDVALUE(127)</f>
        <v>1135</v>
      </c>
      <c r="G45" s="130">
        <v>350312</v>
      </c>
      <c r="H45" s="129">
        <f>_xlfn.COMPOUNDVALUE(128)</f>
        <v>31</v>
      </c>
      <c r="I45" s="131">
        <v>43590</v>
      </c>
      <c r="J45" s="129">
        <v>74</v>
      </c>
      <c r="K45" s="131">
        <v>15679</v>
      </c>
      <c r="L45" s="129">
        <f>_xlfn.COMPOUNDVALUE(128)</f>
        <v>1211</v>
      </c>
      <c r="M45" s="131">
        <v>322401</v>
      </c>
      <c r="N45" s="88" t="s">
        <v>74</v>
      </c>
    </row>
    <row r="46" spans="1:14" s="96" customFormat="1" ht="15.75" customHeight="1">
      <c r="A46" s="76" t="s">
        <v>75</v>
      </c>
      <c r="B46" s="129">
        <f>_xlfn.COMPOUNDVALUE(129)</f>
        <v>1233</v>
      </c>
      <c r="C46" s="130">
        <v>1021195</v>
      </c>
      <c r="D46" s="129">
        <f>_xlfn.COMPOUNDVALUE(130)</f>
        <v>2108</v>
      </c>
      <c r="E46" s="130">
        <v>724942</v>
      </c>
      <c r="F46" s="129">
        <f>_xlfn.COMPOUNDVALUE(131)</f>
        <v>3341</v>
      </c>
      <c r="G46" s="130">
        <v>1746138</v>
      </c>
      <c r="H46" s="129">
        <f>_xlfn.COMPOUNDVALUE(132)</f>
        <v>94</v>
      </c>
      <c r="I46" s="131">
        <v>80187</v>
      </c>
      <c r="J46" s="129">
        <v>238</v>
      </c>
      <c r="K46" s="131">
        <v>60600</v>
      </c>
      <c r="L46" s="129">
        <f>_xlfn.COMPOUNDVALUE(132)</f>
        <v>3534</v>
      </c>
      <c r="M46" s="131">
        <v>1726550</v>
      </c>
      <c r="N46" s="88" t="s">
        <v>75</v>
      </c>
    </row>
    <row r="47" spans="1:14" s="96" customFormat="1" ht="15.75" customHeight="1">
      <c r="A47" s="76" t="s">
        <v>76</v>
      </c>
      <c r="B47" s="129">
        <f>_xlfn.COMPOUNDVALUE(133)</f>
        <v>570</v>
      </c>
      <c r="C47" s="130">
        <v>291876</v>
      </c>
      <c r="D47" s="129">
        <f>_xlfn.COMPOUNDVALUE(134)</f>
        <v>1198</v>
      </c>
      <c r="E47" s="130">
        <v>336519</v>
      </c>
      <c r="F47" s="129">
        <f>_xlfn.COMPOUNDVALUE(135)</f>
        <v>1768</v>
      </c>
      <c r="G47" s="130">
        <v>628395</v>
      </c>
      <c r="H47" s="129">
        <f>_xlfn.COMPOUNDVALUE(136)</f>
        <v>57</v>
      </c>
      <c r="I47" s="131">
        <v>44683</v>
      </c>
      <c r="J47" s="129">
        <v>109</v>
      </c>
      <c r="K47" s="131">
        <v>9655</v>
      </c>
      <c r="L47" s="129">
        <f>_xlfn.COMPOUNDVALUE(136)</f>
        <v>1872</v>
      </c>
      <c r="M47" s="131">
        <v>593367</v>
      </c>
      <c r="N47" s="88" t="s">
        <v>76</v>
      </c>
    </row>
    <row r="48" spans="1:14" s="96" customFormat="1" ht="15.75" customHeight="1">
      <c r="A48" s="76"/>
      <c r="B48" s="129"/>
      <c r="C48" s="130"/>
      <c r="D48" s="129"/>
      <c r="E48" s="130"/>
      <c r="F48" s="129"/>
      <c r="G48" s="130"/>
      <c r="H48" s="129"/>
      <c r="I48" s="131"/>
      <c r="J48" s="129"/>
      <c r="K48" s="131"/>
      <c r="L48" s="129"/>
      <c r="M48" s="131"/>
      <c r="N48" s="88" t="s">
        <v>40</v>
      </c>
    </row>
    <row r="49" spans="1:14" s="96" customFormat="1" ht="15.75" customHeight="1">
      <c r="A49" s="76" t="s">
        <v>77</v>
      </c>
      <c r="B49" s="129">
        <f>_xlfn.COMPOUNDVALUE(137)</f>
        <v>565</v>
      </c>
      <c r="C49" s="130">
        <v>436165</v>
      </c>
      <c r="D49" s="129">
        <f>_xlfn.COMPOUNDVALUE(138)</f>
        <v>1007</v>
      </c>
      <c r="E49" s="130">
        <v>345653</v>
      </c>
      <c r="F49" s="129">
        <f>_xlfn.COMPOUNDVALUE(139)</f>
        <v>1572</v>
      </c>
      <c r="G49" s="130">
        <v>781818</v>
      </c>
      <c r="H49" s="129">
        <f>_xlfn.COMPOUNDVALUE(140)</f>
        <v>55</v>
      </c>
      <c r="I49" s="131">
        <v>56346</v>
      </c>
      <c r="J49" s="129">
        <v>68</v>
      </c>
      <c r="K49" s="131">
        <v>1134</v>
      </c>
      <c r="L49" s="129">
        <f>_xlfn.COMPOUNDVALUE(140)</f>
        <v>1654</v>
      </c>
      <c r="M49" s="131">
        <v>726606</v>
      </c>
      <c r="N49" s="88" t="s">
        <v>77</v>
      </c>
    </row>
    <row r="50" spans="1:14" s="96" customFormat="1" ht="15.75" customHeight="1">
      <c r="A50" s="76" t="s">
        <v>78</v>
      </c>
      <c r="B50" s="129">
        <f>_xlfn.COMPOUNDVALUE(141)</f>
        <v>723</v>
      </c>
      <c r="C50" s="130">
        <v>322637</v>
      </c>
      <c r="D50" s="129">
        <f>_xlfn.COMPOUNDVALUE(142)</f>
        <v>1313</v>
      </c>
      <c r="E50" s="130">
        <v>351516</v>
      </c>
      <c r="F50" s="129">
        <f>_xlfn.COMPOUNDVALUE(143)</f>
        <v>2036</v>
      </c>
      <c r="G50" s="130">
        <v>674154</v>
      </c>
      <c r="H50" s="129">
        <f>_xlfn.COMPOUNDVALUE(144)</f>
        <v>46</v>
      </c>
      <c r="I50" s="131">
        <v>56438</v>
      </c>
      <c r="J50" s="129">
        <v>134</v>
      </c>
      <c r="K50" s="131">
        <v>27733</v>
      </c>
      <c r="L50" s="129">
        <f>_xlfn.COMPOUNDVALUE(144)</f>
        <v>2173</v>
      </c>
      <c r="M50" s="131">
        <v>645448</v>
      </c>
      <c r="N50" s="88" t="s">
        <v>78</v>
      </c>
    </row>
    <row r="51" spans="1:14" s="96" customFormat="1" ht="15.75" customHeight="1">
      <c r="A51" s="76" t="s">
        <v>79</v>
      </c>
      <c r="B51" s="129">
        <f>_xlfn.COMPOUNDVALUE(145)</f>
        <v>1149</v>
      </c>
      <c r="C51" s="130">
        <v>807249</v>
      </c>
      <c r="D51" s="129">
        <f>_xlfn.COMPOUNDVALUE(146)</f>
        <v>2050</v>
      </c>
      <c r="E51" s="130">
        <v>692623</v>
      </c>
      <c r="F51" s="129">
        <f>_xlfn.COMPOUNDVALUE(147)</f>
        <v>3199</v>
      </c>
      <c r="G51" s="130">
        <v>1499873</v>
      </c>
      <c r="H51" s="129">
        <f>_xlfn.COMPOUNDVALUE(148)</f>
        <v>89</v>
      </c>
      <c r="I51" s="131">
        <v>55027</v>
      </c>
      <c r="J51" s="129">
        <v>212</v>
      </c>
      <c r="K51" s="131">
        <v>44307</v>
      </c>
      <c r="L51" s="129">
        <f>_xlfn.COMPOUNDVALUE(148)</f>
        <v>3392</v>
      </c>
      <c r="M51" s="131">
        <v>1489153</v>
      </c>
      <c r="N51" s="88" t="s">
        <v>79</v>
      </c>
    </row>
    <row r="52" spans="1:14" s="96" customFormat="1" ht="15.75" customHeight="1">
      <c r="A52" s="76" t="s">
        <v>80</v>
      </c>
      <c r="B52" s="129">
        <f>_xlfn.COMPOUNDVALUE(149)</f>
        <v>1042</v>
      </c>
      <c r="C52" s="130">
        <v>710756</v>
      </c>
      <c r="D52" s="129">
        <f>_xlfn.COMPOUNDVALUE(150)</f>
        <v>1959</v>
      </c>
      <c r="E52" s="130">
        <v>657140</v>
      </c>
      <c r="F52" s="129">
        <f>_xlfn.COMPOUNDVALUE(151)</f>
        <v>3001</v>
      </c>
      <c r="G52" s="130">
        <v>1367897</v>
      </c>
      <c r="H52" s="129">
        <f>_xlfn.COMPOUNDVALUE(152)</f>
        <v>67</v>
      </c>
      <c r="I52" s="131">
        <v>95751</v>
      </c>
      <c r="J52" s="129">
        <v>203</v>
      </c>
      <c r="K52" s="131">
        <v>19784</v>
      </c>
      <c r="L52" s="129">
        <f>_xlfn.COMPOUNDVALUE(152)</f>
        <v>3178</v>
      </c>
      <c r="M52" s="131">
        <v>1291929</v>
      </c>
      <c r="N52" s="88" t="s">
        <v>80</v>
      </c>
    </row>
    <row r="53" spans="1:14" s="96" customFormat="1" ht="15.75" customHeight="1">
      <c r="A53" s="76" t="s">
        <v>81</v>
      </c>
      <c r="B53" s="129">
        <f>_xlfn.COMPOUNDVALUE(153)</f>
        <v>1045</v>
      </c>
      <c r="C53" s="130">
        <v>915177</v>
      </c>
      <c r="D53" s="129">
        <f>_xlfn.COMPOUNDVALUE(154)</f>
        <v>1802</v>
      </c>
      <c r="E53" s="130">
        <v>621605</v>
      </c>
      <c r="F53" s="129">
        <f>_xlfn.COMPOUNDVALUE(155)</f>
        <v>2847</v>
      </c>
      <c r="G53" s="130">
        <v>1536782</v>
      </c>
      <c r="H53" s="129">
        <f>_xlfn.COMPOUNDVALUE(156)</f>
        <v>97</v>
      </c>
      <c r="I53" s="131">
        <v>41951</v>
      </c>
      <c r="J53" s="129">
        <v>154</v>
      </c>
      <c r="K53" s="131">
        <v>15986</v>
      </c>
      <c r="L53" s="129">
        <f>_xlfn.COMPOUNDVALUE(156)</f>
        <v>3008</v>
      </c>
      <c r="M53" s="131">
        <v>1510816</v>
      </c>
      <c r="N53" s="88" t="s">
        <v>81</v>
      </c>
    </row>
    <row r="54" spans="1:14" s="96" customFormat="1" ht="15.75" customHeight="1">
      <c r="A54" s="76"/>
      <c r="B54" s="129"/>
      <c r="C54" s="130"/>
      <c r="D54" s="129"/>
      <c r="E54" s="130"/>
      <c r="F54" s="129"/>
      <c r="G54" s="130"/>
      <c r="H54" s="129"/>
      <c r="I54" s="131"/>
      <c r="J54" s="129"/>
      <c r="K54" s="131"/>
      <c r="L54" s="129"/>
      <c r="M54" s="131"/>
      <c r="N54" s="88" t="s">
        <v>40</v>
      </c>
    </row>
    <row r="55" spans="1:14" s="96" customFormat="1" ht="15.75" customHeight="1">
      <c r="A55" s="76" t="s">
        <v>82</v>
      </c>
      <c r="B55" s="129">
        <f>_xlfn.COMPOUNDVALUE(157)</f>
        <v>1871</v>
      </c>
      <c r="C55" s="130">
        <v>2315690</v>
      </c>
      <c r="D55" s="129">
        <f>_xlfn.COMPOUNDVALUE(158)</f>
        <v>3056</v>
      </c>
      <c r="E55" s="130">
        <v>1186706</v>
      </c>
      <c r="F55" s="129">
        <f>_xlfn.COMPOUNDVALUE(159)</f>
        <v>4927</v>
      </c>
      <c r="G55" s="130">
        <v>3502396</v>
      </c>
      <c r="H55" s="129">
        <f>_xlfn.COMPOUNDVALUE(160)</f>
        <v>130</v>
      </c>
      <c r="I55" s="131">
        <v>134118</v>
      </c>
      <c r="J55" s="129">
        <v>313</v>
      </c>
      <c r="K55" s="131">
        <v>50141</v>
      </c>
      <c r="L55" s="129">
        <f>_xlfn.COMPOUNDVALUE(160)</f>
        <v>5171</v>
      </c>
      <c r="M55" s="131">
        <v>3418418</v>
      </c>
      <c r="N55" s="88" t="s">
        <v>82</v>
      </c>
    </row>
    <row r="56" spans="1:14" s="96" customFormat="1" ht="15.75" customHeight="1">
      <c r="A56" s="76" t="s">
        <v>83</v>
      </c>
      <c r="B56" s="129">
        <f>_xlfn.COMPOUNDVALUE(161)</f>
        <v>929</v>
      </c>
      <c r="C56" s="130">
        <v>567502</v>
      </c>
      <c r="D56" s="129">
        <f>_xlfn.COMPOUNDVALUE(162)</f>
        <v>1713</v>
      </c>
      <c r="E56" s="130">
        <v>540035</v>
      </c>
      <c r="F56" s="129">
        <f>_xlfn.COMPOUNDVALUE(163)</f>
        <v>2642</v>
      </c>
      <c r="G56" s="130">
        <v>1107537</v>
      </c>
      <c r="H56" s="129">
        <f>_xlfn.COMPOUNDVALUE(164)</f>
        <v>82</v>
      </c>
      <c r="I56" s="131">
        <v>125192</v>
      </c>
      <c r="J56" s="129">
        <v>172</v>
      </c>
      <c r="K56" s="131">
        <v>22285</v>
      </c>
      <c r="L56" s="129">
        <f>_xlfn.COMPOUNDVALUE(164)</f>
        <v>2800</v>
      </c>
      <c r="M56" s="131">
        <v>1004630</v>
      </c>
      <c r="N56" s="88" t="s">
        <v>83</v>
      </c>
    </row>
    <row r="57" spans="1:14" s="96" customFormat="1" ht="15.75" customHeight="1">
      <c r="A57" s="76" t="s">
        <v>84</v>
      </c>
      <c r="B57" s="129">
        <f>_xlfn.COMPOUNDVALUE(165)</f>
        <v>971</v>
      </c>
      <c r="C57" s="130">
        <v>661354</v>
      </c>
      <c r="D57" s="129">
        <f>_xlfn.COMPOUNDVALUE(166)</f>
        <v>1719</v>
      </c>
      <c r="E57" s="130">
        <v>551411</v>
      </c>
      <c r="F57" s="129">
        <f>_xlfn.COMPOUNDVALUE(167)</f>
        <v>2690</v>
      </c>
      <c r="G57" s="130">
        <v>1212766</v>
      </c>
      <c r="H57" s="129">
        <f>_xlfn.COMPOUNDVALUE(168)</f>
        <v>83</v>
      </c>
      <c r="I57" s="131">
        <v>40827</v>
      </c>
      <c r="J57" s="129">
        <v>199</v>
      </c>
      <c r="K57" s="131">
        <v>39256</v>
      </c>
      <c r="L57" s="129">
        <f>_xlfn.COMPOUNDVALUE(168)</f>
        <v>2864</v>
      </c>
      <c r="M57" s="131">
        <v>1211195</v>
      </c>
      <c r="N57" s="88" t="s">
        <v>84</v>
      </c>
    </row>
    <row r="58" spans="1:14" s="96" customFormat="1" ht="15.75" customHeight="1">
      <c r="A58" s="76" t="s">
        <v>85</v>
      </c>
      <c r="B58" s="129">
        <f>_xlfn.COMPOUNDVALUE(169)</f>
        <v>676</v>
      </c>
      <c r="C58" s="130">
        <v>520079</v>
      </c>
      <c r="D58" s="129">
        <f>_xlfn.COMPOUNDVALUE(170)</f>
        <v>1457</v>
      </c>
      <c r="E58" s="130">
        <v>467959</v>
      </c>
      <c r="F58" s="129">
        <f>_xlfn.COMPOUNDVALUE(171)</f>
        <v>2133</v>
      </c>
      <c r="G58" s="130">
        <v>988038</v>
      </c>
      <c r="H58" s="129">
        <f>_xlfn.COMPOUNDVALUE(172)</f>
        <v>58</v>
      </c>
      <c r="I58" s="131">
        <v>19196</v>
      </c>
      <c r="J58" s="129">
        <v>118</v>
      </c>
      <c r="K58" s="131">
        <v>19647</v>
      </c>
      <c r="L58" s="129">
        <f>_xlfn.COMPOUNDVALUE(172)</f>
        <v>2245</v>
      </c>
      <c r="M58" s="131">
        <v>988489</v>
      </c>
      <c r="N58" s="88" t="s">
        <v>85</v>
      </c>
    </row>
    <row r="59" spans="1:14" s="96" customFormat="1" ht="15.75" customHeight="1">
      <c r="A59" s="76" t="s">
        <v>86</v>
      </c>
      <c r="B59" s="129">
        <f>_xlfn.COMPOUNDVALUE(173)</f>
        <v>1174</v>
      </c>
      <c r="C59" s="130">
        <v>944289</v>
      </c>
      <c r="D59" s="129">
        <f>_xlfn.COMPOUNDVALUE(174)</f>
        <v>2001</v>
      </c>
      <c r="E59" s="130">
        <v>713733</v>
      </c>
      <c r="F59" s="129">
        <f>_xlfn.COMPOUNDVALUE(175)</f>
        <v>3175</v>
      </c>
      <c r="G59" s="130">
        <v>1658023</v>
      </c>
      <c r="H59" s="129">
        <f>_xlfn.COMPOUNDVALUE(176)</f>
        <v>79</v>
      </c>
      <c r="I59" s="131">
        <v>25775</v>
      </c>
      <c r="J59" s="129">
        <v>212</v>
      </c>
      <c r="K59" s="131">
        <v>36770</v>
      </c>
      <c r="L59" s="129">
        <f>_xlfn.COMPOUNDVALUE(176)</f>
        <v>3347</v>
      </c>
      <c r="M59" s="131">
        <v>1669018</v>
      </c>
      <c r="N59" s="88" t="s">
        <v>86</v>
      </c>
    </row>
    <row r="60" spans="1:14" s="96" customFormat="1" ht="15.75" customHeight="1">
      <c r="A60" s="76"/>
      <c r="B60" s="129"/>
      <c r="C60" s="130"/>
      <c r="D60" s="129"/>
      <c r="E60" s="130"/>
      <c r="F60" s="129"/>
      <c r="G60" s="130"/>
      <c r="H60" s="129"/>
      <c r="I60" s="131"/>
      <c r="J60" s="129"/>
      <c r="K60" s="131"/>
      <c r="L60" s="129"/>
      <c r="M60" s="131"/>
      <c r="N60" s="88" t="s">
        <v>40</v>
      </c>
    </row>
    <row r="61" spans="1:14" s="96" customFormat="1" ht="15.75" customHeight="1">
      <c r="A61" s="76" t="s">
        <v>87</v>
      </c>
      <c r="B61" s="129">
        <f>_xlfn.COMPOUNDVALUE(177)</f>
        <v>842</v>
      </c>
      <c r="C61" s="130">
        <v>373385</v>
      </c>
      <c r="D61" s="129">
        <f>_xlfn.COMPOUNDVALUE(178)</f>
        <v>1431</v>
      </c>
      <c r="E61" s="130">
        <v>414631</v>
      </c>
      <c r="F61" s="129">
        <f>_xlfn.COMPOUNDVALUE(179)</f>
        <v>2273</v>
      </c>
      <c r="G61" s="130">
        <v>788016</v>
      </c>
      <c r="H61" s="129">
        <f>_xlfn.COMPOUNDVALUE(180)</f>
        <v>68</v>
      </c>
      <c r="I61" s="131">
        <v>30404</v>
      </c>
      <c r="J61" s="129">
        <v>147</v>
      </c>
      <c r="K61" s="131">
        <v>39910</v>
      </c>
      <c r="L61" s="129">
        <f>_xlfn.COMPOUNDVALUE(180)</f>
        <v>2443</v>
      </c>
      <c r="M61" s="131">
        <v>797522</v>
      </c>
      <c r="N61" s="88" t="s">
        <v>87</v>
      </c>
    </row>
    <row r="62" spans="1:14" s="96" customFormat="1" ht="15.75" customHeight="1">
      <c r="A62" s="76" t="s">
        <v>88</v>
      </c>
      <c r="B62" s="129">
        <f>_xlfn.COMPOUNDVALUE(181)</f>
        <v>642</v>
      </c>
      <c r="C62" s="130">
        <v>279208</v>
      </c>
      <c r="D62" s="129">
        <f>_xlfn.COMPOUNDVALUE(182)</f>
        <v>1109</v>
      </c>
      <c r="E62" s="130">
        <v>291224</v>
      </c>
      <c r="F62" s="129">
        <f>_xlfn.COMPOUNDVALUE(183)</f>
        <v>1751</v>
      </c>
      <c r="G62" s="130">
        <v>570433</v>
      </c>
      <c r="H62" s="129">
        <f>_xlfn.COMPOUNDVALUE(184)</f>
        <v>34</v>
      </c>
      <c r="I62" s="131">
        <v>12673</v>
      </c>
      <c r="J62" s="129">
        <v>55</v>
      </c>
      <c r="K62" s="131">
        <v>4253</v>
      </c>
      <c r="L62" s="129">
        <f>_xlfn.COMPOUNDVALUE(184)</f>
        <v>1819</v>
      </c>
      <c r="M62" s="131">
        <v>562013</v>
      </c>
      <c r="N62" s="88" t="s">
        <v>88</v>
      </c>
    </row>
    <row r="63" spans="1:14" s="96" customFormat="1" ht="15.75" customHeight="1">
      <c r="A63" s="76" t="s">
        <v>89</v>
      </c>
      <c r="B63" s="129">
        <f>_xlfn.COMPOUNDVALUE(185)</f>
        <v>1507</v>
      </c>
      <c r="C63" s="130">
        <v>652145</v>
      </c>
      <c r="D63" s="129">
        <f>_xlfn.COMPOUNDVALUE(186)</f>
        <v>2475</v>
      </c>
      <c r="E63" s="130">
        <v>728915</v>
      </c>
      <c r="F63" s="129">
        <f>_xlfn.COMPOUNDVALUE(187)</f>
        <v>3982</v>
      </c>
      <c r="G63" s="130">
        <v>1381060</v>
      </c>
      <c r="H63" s="129">
        <f>_xlfn.COMPOUNDVALUE(188)</f>
        <v>80</v>
      </c>
      <c r="I63" s="131">
        <v>110142</v>
      </c>
      <c r="J63" s="129">
        <v>267</v>
      </c>
      <c r="K63" s="131">
        <v>34254</v>
      </c>
      <c r="L63" s="129">
        <f>_xlfn.COMPOUNDVALUE(188)</f>
        <v>4177</v>
      </c>
      <c r="M63" s="131">
        <v>1305173</v>
      </c>
      <c r="N63" s="88" t="s">
        <v>89</v>
      </c>
    </row>
    <row r="64" spans="1:14" s="96" customFormat="1" ht="15.75" customHeight="1">
      <c r="A64" s="76" t="s">
        <v>90</v>
      </c>
      <c r="B64" s="129">
        <f>_xlfn.COMPOUNDVALUE(189)</f>
        <v>1105</v>
      </c>
      <c r="C64" s="130">
        <v>656448</v>
      </c>
      <c r="D64" s="129">
        <f>_xlfn.COMPOUNDVALUE(190)</f>
        <v>2229</v>
      </c>
      <c r="E64" s="130">
        <v>682009</v>
      </c>
      <c r="F64" s="129">
        <f>_xlfn.COMPOUNDVALUE(191)</f>
        <v>3334</v>
      </c>
      <c r="G64" s="130">
        <v>1338458</v>
      </c>
      <c r="H64" s="129">
        <f>_xlfn.COMPOUNDVALUE(192)</f>
        <v>98</v>
      </c>
      <c r="I64" s="131">
        <v>74065</v>
      </c>
      <c r="J64" s="129">
        <v>186</v>
      </c>
      <c r="K64" s="131">
        <v>24230</v>
      </c>
      <c r="L64" s="129">
        <f>_xlfn.COMPOUNDVALUE(192)</f>
        <v>3505</v>
      </c>
      <c r="M64" s="131">
        <v>1288622</v>
      </c>
      <c r="N64" s="88" t="s">
        <v>90</v>
      </c>
    </row>
    <row r="65" spans="1:14" s="96" customFormat="1" ht="15.75" customHeight="1">
      <c r="A65" s="78" t="s">
        <v>91</v>
      </c>
      <c r="B65" s="134">
        <f>_xlfn.COMPOUNDVALUE(193)</f>
        <v>769</v>
      </c>
      <c r="C65" s="135">
        <v>490238</v>
      </c>
      <c r="D65" s="134">
        <f>_xlfn.COMPOUNDVALUE(194)</f>
        <v>1556</v>
      </c>
      <c r="E65" s="135">
        <v>468689</v>
      </c>
      <c r="F65" s="134">
        <f>_xlfn.COMPOUNDVALUE(195)</f>
        <v>2325</v>
      </c>
      <c r="G65" s="135">
        <v>958927</v>
      </c>
      <c r="H65" s="134">
        <f>_xlfn.COMPOUNDVALUE(196)</f>
        <v>53</v>
      </c>
      <c r="I65" s="136">
        <v>19613</v>
      </c>
      <c r="J65" s="134">
        <v>127</v>
      </c>
      <c r="K65" s="136">
        <v>18477</v>
      </c>
      <c r="L65" s="134">
        <f>_xlfn.COMPOUNDVALUE(196)</f>
        <v>2422</v>
      </c>
      <c r="M65" s="136">
        <v>957791</v>
      </c>
      <c r="N65" s="77" t="s">
        <v>91</v>
      </c>
    </row>
    <row r="66" spans="1:14" s="96" customFormat="1" ht="15.75" customHeight="1">
      <c r="A66" s="78"/>
      <c r="B66" s="134"/>
      <c r="C66" s="135"/>
      <c r="D66" s="134"/>
      <c r="E66" s="135"/>
      <c r="F66" s="134"/>
      <c r="G66" s="135"/>
      <c r="H66" s="134"/>
      <c r="I66" s="136"/>
      <c r="J66" s="134"/>
      <c r="K66" s="136"/>
      <c r="L66" s="134"/>
      <c r="M66" s="136"/>
      <c r="N66" s="77" t="s">
        <v>40</v>
      </c>
    </row>
    <row r="67" spans="1:14" s="96" customFormat="1" ht="15.75" customHeight="1">
      <c r="A67" s="78" t="s">
        <v>92</v>
      </c>
      <c r="B67" s="134">
        <f>_xlfn.COMPOUNDVALUE(197)</f>
        <v>1215</v>
      </c>
      <c r="C67" s="135">
        <v>467632</v>
      </c>
      <c r="D67" s="134">
        <f>_xlfn.COMPOUNDVALUE(198)</f>
        <v>1986</v>
      </c>
      <c r="E67" s="135">
        <v>575713</v>
      </c>
      <c r="F67" s="134">
        <f>_xlfn.COMPOUNDVALUE(199)</f>
        <v>3201</v>
      </c>
      <c r="G67" s="135">
        <v>1043345</v>
      </c>
      <c r="H67" s="134">
        <f>_xlfn.COMPOUNDVALUE(200)</f>
        <v>85</v>
      </c>
      <c r="I67" s="136">
        <v>77087</v>
      </c>
      <c r="J67" s="134">
        <v>213</v>
      </c>
      <c r="K67" s="136">
        <v>30603</v>
      </c>
      <c r="L67" s="134">
        <f>_xlfn.COMPOUNDVALUE(200)</f>
        <v>3391</v>
      </c>
      <c r="M67" s="136">
        <v>996861</v>
      </c>
      <c r="N67" s="77" t="s">
        <v>92</v>
      </c>
    </row>
    <row r="68" spans="1:14" s="96" customFormat="1" ht="15.75" customHeight="1">
      <c r="A68" s="78" t="s">
        <v>93</v>
      </c>
      <c r="B68" s="134">
        <f>_xlfn.COMPOUNDVALUE(201)</f>
        <v>954</v>
      </c>
      <c r="C68" s="135">
        <v>349364</v>
      </c>
      <c r="D68" s="134">
        <f>_xlfn.COMPOUNDVALUE(202)</f>
        <v>1672</v>
      </c>
      <c r="E68" s="135">
        <v>457461</v>
      </c>
      <c r="F68" s="134">
        <f>_xlfn.COMPOUNDVALUE(203)</f>
        <v>2626</v>
      </c>
      <c r="G68" s="135">
        <v>806825</v>
      </c>
      <c r="H68" s="134">
        <f>_xlfn.COMPOUNDVALUE(204)</f>
        <v>42</v>
      </c>
      <c r="I68" s="136">
        <v>15866</v>
      </c>
      <c r="J68" s="134">
        <v>139</v>
      </c>
      <c r="K68" s="136">
        <v>14482</v>
      </c>
      <c r="L68" s="134">
        <f>_xlfn.COMPOUNDVALUE(204)</f>
        <v>2731</v>
      </c>
      <c r="M68" s="136">
        <v>805441</v>
      </c>
      <c r="N68" s="77" t="s">
        <v>93</v>
      </c>
    </row>
    <row r="69" spans="1:14" s="96" customFormat="1" ht="15.75" customHeight="1">
      <c r="A69" s="78" t="s">
        <v>94</v>
      </c>
      <c r="B69" s="134">
        <f>_xlfn.COMPOUNDVALUE(205)</f>
        <v>1154</v>
      </c>
      <c r="C69" s="135">
        <v>515585</v>
      </c>
      <c r="D69" s="134">
        <f>_xlfn.COMPOUNDVALUE(206)</f>
        <v>2303</v>
      </c>
      <c r="E69" s="135">
        <v>618752</v>
      </c>
      <c r="F69" s="134">
        <f>_xlfn.COMPOUNDVALUE(207)</f>
        <v>3457</v>
      </c>
      <c r="G69" s="135">
        <v>1134336</v>
      </c>
      <c r="H69" s="134">
        <f>_xlfn.COMPOUNDVALUE(208)</f>
        <v>85</v>
      </c>
      <c r="I69" s="136">
        <v>68629</v>
      </c>
      <c r="J69" s="134">
        <v>243</v>
      </c>
      <c r="K69" s="136">
        <v>27498</v>
      </c>
      <c r="L69" s="134">
        <f>_xlfn.COMPOUNDVALUE(208)</f>
        <v>3661</v>
      </c>
      <c r="M69" s="136">
        <v>1093205</v>
      </c>
      <c r="N69" s="77" t="s">
        <v>94</v>
      </c>
    </row>
    <row r="70" spans="1:14" s="96" customFormat="1" ht="15.75" customHeight="1">
      <c r="A70" s="78" t="s">
        <v>95</v>
      </c>
      <c r="B70" s="134">
        <f>_xlfn.COMPOUNDVALUE(209)</f>
        <v>1294</v>
      </c>
      <c r="C70" s="135">
        <v>680093</v>
      </c>
      <c r="D70" s="134">
        <f>_xlfn.COMPOUNDVALUE(210)</f>
        <v>2256</v>
      </c>
      <c r="E70" s="135">
        <v>627151</v>
      </c>
      <c r="F70" s="134">
        <f>_xlfn.COMPOUNDVALUE(211)</f>
        <v>3550</v>
      </c>
      <c r="G70" s="135">
        <v>1307244</v>
      </c>
      <c r="H70" s="134">
        <f>_xlfn.COMPOUNDVALUE(212)</f>
        <v>71</v>
      </c>
      <c r="I70" s="136">
        <v>51740</v>
      </c>
      <c r="J70" s="134">
        <v>228</v>
      </c>
      <c r="K70" s="136">
        <v>32786</v>
      </c>
      <c r="L70" s="134">
        <f>_xlfn.COMPOUNDVALUE(212)</f>
        <v>3737</v>
      </c>
      <c r="M70" s="136">
        <v>1288289</v>
      </c>
      <c r="N70" s="77" t="s">
        <v>95</v>
      </c>
    </row>
    <row r="71" spans="1:14" s="96" customFormat="1" ht="15.75" customHeight="1">
      <c r="A71" s="78" t="s">
        <v>96</v>
      </c>
      <c r="B71" s="134">
        <f>_xlfn.COMPOUNDVALUE(213)</f>
        <v>613</v>
      </c>
      <c r="C71" s="135">
        <v>369334</v>
      </c>
      <c r="D71" s="134">
        <f>_xlfn.COMPOUNDVALUE(214)</f>
        <v>955</v>
      </c>
      <c r="E71" s="135">
        <v>293835</v>
      </c>
      <c r="F71" s="134">
        <f>_xlfn.COMPOUNDVALUE(215)</f>
        <v>1568</v>
      </c>
      <c r="G71" s="135">
        <v>663168</v>
      </c>
      <c r="H71" s="134">
        <f>_xlfn.COMPOUNDVALUE(216)</f>
        <v>27</v>
      </c>
      <c r="I71" s="136">
        <v>10563</v>
      </c>
      <c r="J71" s="134">
        <v>103</v>
      </c>
      <c r="K71" s="136">
        <v>14638</v>
      </c>
      <c r="L71" s="134">
        <f>_xlfn.COMPOUNDVALUE(216)</f>
        <v>1630</v>
      </c>
      <c r="M71" s="136">
        <v>667243</v>
      </c>
      <c r="N71" s="77" t="s">
        <v>96</v>
      </c>
    </row>
    <row r="72" spans="1:14" s="96" customFormat="1" ht="15.75" customHeight="1">
      <c r="A72" s="79" t="s">
        <v>146</v>
      </c>
      <c r="B72" s="137">
        <v>35014</v>
      </c>
      <c r="C72" s="138">
        <v>27476195</v>
      </c>
      <c r="D72" s="137">
        <v>60931</v>
      </c>
      <c r="E72" s="138">
        <v>19898443</v>
      </c>
      <c r="F72" s="137">
        <v>95945</v>
      </c>
      <c r="G72" s="138">
        <v>47374640</v>
      </c>
      <c r="H72" s="137">
        <v>2628</v>
      </c>
      <c r="I72" s="139">
        <v>2871775</v>
      </c>
      <c r="J72" s="137">
        <v>6165</v>
      </c>
      <c r="K72" s="139">
        <v>1205790</v>
      </c>
      <c r="L72" s="137">
        <v>101397</v>
      </c>
      <c r="M72" s="139">
        <v>45708647</v>
      </c>
      <c r="N72" s="84" t="s">
        <v>98</v>
      </c>
    </row>
    <row r="73" spans="1:14" s="96" customFormat="1" ht="15.75" customHeight="1">
      <c r="A73" s="173"/>
      <c r="B73" s="176"/>
      <c r="C73" s="178"/>
      <c r="D73" s="176"/>
      <c r="E73" s="178"/>
      <c r="F73" s="176"/>
      <c r="G73" s="178"/>
      <c r="H73" s="176"/>
      <c r="I73" s="179"/>
      <c r="J73" s="176"/>
      <c r="K73" s="179"/>
      <c r="L73" s="176"/>
      <c r="M73" s="179"/>
      <c r="N73" s="174" t="s">
        <v>40</v>
      </c>
    </row>
    <row r="74" spans="1:14" s="96" customFormat="1" ht="15.75" customHeight="1">
      <c r="A74" s="76" t="s">
        <v>99</v>
      </c>
      <c r="B74" s="129">
        <f>_xlfn.COMPOUNDVALUE(217)</f>
        <v>1249</v>
      </c>
      <c r="C74" s="130">
        <v>542024</v>
      </c>
      <c r="D74" s="129">
        <f>_xlfn.COMPOUNDVALUE(218)</f>
        <v>2374</v>
      </c>
      <c r="E74" s="130">
        <v>685735</v>
      </c>
      <c r="F74" s="129">
        <f>_xlfn.COMPOUNDVALUE(219)</f>
        <v>3623</v>
      </c>
      <c r="G74" s="130">
        <v>1227758</v>
      </c>
      <c r="H74" s="129">
        <f>_xlfn.COMPOUNDVALUE(220)</f>
        <v>80</v>
      </c>
      <c r="I74" s="131">
        <v>49816</v>
      </c>
      <c r="J74" s="129">
        <v>203</v>
      </c>
      <c r="K74" s="131">
        <v>33291</v>
      </c>
      <c r="L74" s="129">
        <f>_xlfn.COMPOUNDVALUE(220)</f>
        <v>3804</v>
      </c>
      <c r="M74" s="131">
        <v>1211233</v>
      </c>
      <c r="N74" s="87" t="s">
        <v>99</v>
      </c>
    </row>
    <row r="75" spans="1:14" s="96" customFormat="1" ht="15.75" customHeight="1">
      <c r="A75" s="78" t="s">
        <v>100</v>
      </c>
      <c r="B75" s="134">
        <f>_xlfn.COMPOUNDVALUE(221)</f>
        <v>1432</v>
      </c>
      <c r="C75" s="135">
        <v>748261</v>
      </c>
      <c r="D75" s="134">
        <f>_xlfn.COMPOUNDVALUE(222)</f>
        <v>3094</v>
      </c>
      <c r="E75" s="135">
        <v>932863</v>
      </c>
      <c r="F75" s="134">
        <f>_xlfn.COMPOUNDVALUE(223)</f>
        <v>4526</v>
      </c>
      <c r="G75" s="135">
        <v>1681124</v>
      </c>
      <c r="H75" s="134">
        <f>_xlfn.COMPOUNDVALUE(224)</f>
        <v>111</v>
      </c>
      <c r="I75" s="136">
        <v>81511</v>
      </c>
      <c r="J75" s="134">
        <v>271</v>
      </c>
      <c r="K75" s="136">
        <v>51562</v>
      </c>
      <c r="L75" s="134">
        <f>_xlfn.COMPOUNDVALUE(224)</f>
        <v>4790</v>
      </c>
      <c r="M75" s="136">
        <v>1651175</v>
      </c>
      <c r="N75" s="77" t="s">
        <v>100</v>
      </c>
    </row>
    <row r="76" spans="1:14" s="96" customFormat="1" ht="15.75" customHeight="1">
      <c r="A76" s="78" t="s">
        <v>101</v>
      </c>
      <c r="B76" s="134">
        <f>_xlfn.COMPOUNDVALUE(225)</f>
        <v>1139</v>
      </c>
      <c r="C76" s="135">
        <v>1042800</v>
      </c>
      <c r="D76" s="134">
        <f>_xlfn.COMPOUNDVALUE(226)</f>
        <v>2488</v>
      </c>
      <c r="E76" s="135">
        <v>808712</v>
      </c>
      <c r="F76" s="134">
        <f>_xlfn.COMPOUNDVALUE(227)</f>
        <v>3627</v>
      </c>
      <c r="G76" s="135">
        <v>1851512</v>
      </c>
      <c r="H76" s="134">
        <f>_xlfn.COMPOUNDVALUE(228)</f>
        <v>82</v>
      </c>
      <c r="I76" s="136">
        <v>77540</v>
      </c>
      <c r="J76" s="134">
        <v>258</v>
      </c>
      <c r="K76" s="136">
        <v>25721</v>
      </c>
      <c r="L76" s="134">
        <f>_xlfn.COMPOUNDVALUE(228)</f>
        <v>3819</v>
      </c>
      <c r="M76" s="136">
        <v>1799693</v>
      </c>
      <c r="N76" s="77" t="s">
        <v>101</v>
      </c>
    </row>
    <row r="77" spans="1:14" s="96" customFormat="1" ht="15.75" customHeight="1">
      <c r="A77" s="78" t="s">
        <v>102</v>
      </c>
      <c r="B77" s="134">
        <f>_xlfn.COMPOUNDVALUE(229)</f>
        <v>1053</v>
      </c>
      <c r="C77" s="135">
        <v>455919</v>
      </c>
      <c r="D77" s="134">
        <f>_xlfn.COMPOUNDVALUE(230)</f>
        <v>2128</v>
      </c>
      <c r="E77" s="135">
        <v>564631</v>
      </c>
      <c r="F77" s="134">
        <f>_xlfn.COMPOUNDVALUE(231)</f>
        <v>3181</v>
      </c>
      <c r="G77" s="135">
        <v>1020550</v>
      </c>
      <c r="H77" s="134">
        <f>_xlfn.COMPOUNDVALUE(232)</f>
        <v>71</v>
      </c>
      <c r="I77" s="136">
        <v>22318</v>
      </c>
      <c r="J77" s="134">
        <v>190</v>
      </c>
      <c r="K77" s="136">
        <v>25817</v>
      </c>
      <c r="L77" s="134">
        <f>_xlfn.COMPOUNDVALUE(232)</f>
        <v>3380</v>
      </c>
      <c r="M77" s="136">
        <v>1024049</v>
      </c>
      <c r="N77" s="77" t="s">
        <v>102</v>
      </c>
    </row>
    <row r="78" spans="1:14" s="96" customFormat="1" ht="15.75" customHeight="1">
      <c r="A78" s="78" t="s">
        <v>103</v>
      </c>
      <c r="B78" s="134">
        <f>_xlfn.COMPOUNDVALUE(233)</f>
        <v>1289</v>
      </c>
      <c r="C78" s="135">
        <v>614191</v>
      </c>
      <c r="D78" s="134">
        <f>_xlfn.COMPOUNDVALUE(234)</f>
        <v>2523</v>
      </c>
      <c r="E78" s="135">
        <v>753166</v>
      </c>
      <c r="F78" s="134">
        <f>_xlfn.COMPOUNDVALUE(235)</f>
        <v>3812</v>
      </c>
      <c r="G78" s="135">
        <v>1367357</v>
      </c>
      <c r="H78" s="134">
        <f>_xlfn.COMPOUNDVALUE(236)</f>
        <v>87</v>
      </c>
      <c r="I78" s="136">
        <v>77425</v>
      </c>
      <c r="J78" s="134">
        <v>198</v>
      </c>
      <c r="K78" s="136">
        <v>85266</v>
      </c>
      <c r="L78" s="134">
        <f>_xlfn.COMPOUNDVALUE(236)</f>
        <v>3981</v>
      </c>
      <c r="M78" s="136">
        <v>1375198</v>
      </c>
      <c r="N78" s="77" t="s">
        <v>103</v>
      </c>
    </row>
    <row r="79" spans="1:14" s="96" customFormat="1" ht="15.75" customHeight="1">
      <c r="A79" s="106"/>
      <c r="B79" s="151"/>
      <c r="C79" s="152"/>
      <c r="D79" s="151"/>
      <c r="E79" s="152"/>
      <c r="F79" s="151"/>
      <c r="G79" s="152"/>
      <c r="H79" s="151"/>
      <c r="I79" s="153"/>
      <c r="J79" s="151"/>
      <c r="K79" s="153"/>
      <c r="L79" s="151"/>
      <c r="M79" s="152"/>
      <c r="N79" s="108" t="s">
        <v>40</v>
      </c>
    </row>
    <row r="80" spans="1:14" s="96" customFormat="1" ht="15.75" customHeight="1">
      <c r="A80" s="102" t="s">
        <v>104</v>
      </c>
      <c r="B80" s="129">
        <f>_xlfn.COMPOUNDVALUE(237)</f>
        <v>920</v>
      </c>
      <c r="C80" s="130">
        <v>501869</v>
      </c>
      <c r="D80" s="129">
        <f>_xlfn.COMPOUNDVALUE(238)</f>
        <v>1788</v>
      </c>
      <c r="E80" s="130">
        <v>554217</v>
      </c>
      <c r="F80" s="129">
        <f>_xlfn.COMPOUNDVALUE(239)</f>
        <v>2708</v>
      </c>
      <c r="G80" s="130">
        <v>1056087</v>
      </c>
      <c r="H80" s="129">
        <f>_xlfn.COMPOUNDVALUE(240)</f>
        <v>45</v>
      </c>
      <c r="I80" s="131">
        <v>32480</v>
      </c>
      <c r="J80" s="129">
        <v>182</v>
      </c>
      <c r="K80" s="131">
        <v>22886</v>
      </c>
      <c r="L80" s="129">
        <f>_xlfn.COMPOUNDVALUE(240)</f>
        <v>2856</v>
      </c>
      <c r="M80" s="130">
        <v>1046494</v>
      </c>
      <c r="N80" s="88" t="s">
        <v>104</v>
      </c>
    </row>
    <row r="81" spans="1:14" s="96" customFormat="1" ht="15.75" customHeight="1">
      <c r="A81" s="78" t="s">
        <v>105</v>
      </c>
      <c r="B81" s="134">
        <f>_xlfn.COMPOUNDVALUE(241)</f>
        <v>616</v>
      </c>
      <c r="C81" s="135">
        <v>316251</v>
      </c>
      <c r="D81" s="134">
        <f>_xlfn.COMPOUNDVALUE(242)</f>
        <v>1495</v>
      </c>
      <c r="E81" s="135">
        <v>449763</v>
      </c>
      <c r="F81" s="134">
        <f>_xlfn.COMPOUNDVALUE(243)</f>
        <v>2111</v>
      </c>
      <c r="G81" s="135">
        <v>766013</v>
      </c>
      <c r="H81" s="134">
        <f>_xlfn.COMPOUNDVALUE(244)</f>
        <v>58</v>
      </c>
      <c r="I81" s="136">
        <v>60615</v>
      </c>
      <c r="J81" s="134">
        <v>205</v>
      </c>
      <c r="K81" s="136">
        <v>26204</v>
      </c>
      <c r="L81" s="134">
        <f>_xlfn.COMPOUNDVALUE(244)</f>
        <v>2266</v>
      </c>
      <c r="M81" s="136">
        <v>731602</v>
      </c>
      <c r="N81" s="77" t="s">
        <v>105</v>
      </c>
    </row>
    <row r="82" spans="1:14" s="96" customFormat="1" ht="15.75" customHeight="1">
      <c r="A82" s="78" t="s">
        <v>106</v>
      </c>
      <c r="B82" s="134">
        <f>_xlfn.COMPOUNDVALUE(245)</f>
        <v>1544</v>
      </c>
      <c r="C82" s="135">
        <v>646861</v>
      </c>
      <c r="D82" s="134">
        <f>_xlfn.COMPOUNDVALUE(246)</f>
        <v>3042</v>
      </c>
      <c r="E82" s="135">
        <v>868747</v>
      </c>
      <c r="F82" s="134">
        <f>_xlfn.COMPOUNDVALUE(247)</f>
        <v>4586</v>
      </c>
      <c r="G82" s="135">
        <v>1515608</v>
      </c>
      <c r="H82" s="134">
        <f>_xlfn.COMPOUNDVALUE(248)</f>
        <v>88</v>
      </c>
      <c r="I82" s="136">
        <v>69893</v>
      </c>
      <c r="J82" s="134">
        <v>260</v>
      </c>
      <c r="K82" s="136">
        <v>17487</v>
      </c>
      <c r="L82" s="134">
        <f>_xlfn.COMPOUNDVALUE(248)</f>
        <v>4810</v>
      </c>
      <c r="M82" s="136">
        <v>1463202</v>
      </c>
      <c r="N82" s="77" t="s">
        <v>106</v>
      </c>
    </row>
    <row r="83" spans="1:14" s="96" customFormat="1" ht="15.75" customHeight="1">
      <c r="A83" s="79" t="s">
        <v>107</v>
      </c>
      <c r="B83" s="137">
        <v>9242</v>
      </c>
      <c r="C83" s="138">
        <v>4868176</v>
      </c>
      <c r="D83" s="137">
        <v>18932</v>
      </c>
      <c r="E83" s="138">
        <v>5617834</v>
      </c>
      <c r="F83" s="137">
        <v>28174</v>
      </c>
      <c r="G83" s="138">
        <v>10486009</v>
      </c>
      <c r="H83" s="137">
        <v>622</v>
      </c>
      <c r="I83" s="139">
        <v>471598</v>
      </c>
      <c r="J83" s="137">
        <v>1767</v>
      </c>
      <c r="K83" s="139">
        <v>288234</v>
      </c>
      <c r="L83" s="137">
        <v>29706</v>
      </c>
      <c r="M83" s="139">
        <v>10302646</v>
      </c>
      <c r="N83" s="84" t="s">
        <v>108</v>
      </c>
    </row>
    <row r="84" spans="1:14" s="96" customFormat="1" ht="15.75" customHeight="1">
      <c r="A84" s="173"/>
      <c r="B84" s="176"/>
      <c r="C84" s="178"/>
      <c r="D84" s="176"/>
      <c r="E84" s="178"/>
      <c r="F84" s="176"/>
      <c r="G84" s="178"/>
      <c r="H84" s="176"/>
      <c r="I84" s="179"/>
      <c r="J84" s="176"/>
      <c r="K84" s="179"/>
      <c r="L84" s="176"/>
      <c r="M84" s="179"/>
      <c r="N84" s="174" t="s">
        <v>40</v>
      </c>
    </row>
    <row r="85" spans="1:14" s="96" customFormat="1" ht="15.75" customHeight="1">
      <c r="A85" s="79" t="s">
        <v>147</v>
      </c>
      <c r="B85" s="137">
        <v>44256</v>
      </c>
      <c r="C85" s="138">
        <v>32344369</v>
      </c>
      <c r="D85" s="137">
        <v>79863</v>
      </c>
      <c r="E85" s="138">
        <v>25516275</v>
      </c>
      <c r="F85" s="137">
        <v>124119</v>
      </c>
      <c r="G85" s="138">
        <v>57860644</v>
      </c>
      <c r="H85" s="137">
        <v>3250</v>
      </c>
      <c r="I85" s="139">
        <v>3343375</v>
      </c>
      <c r="J85" s="137">
        <v>7932</v>
      </c>
      <c r="K85" s="139">
        <v>1494025</v>
      </c>
      <c r="L85" s="137">
        <v>131103</v>
      </c>
      <c r="M85" s="139">
        <v>56011294</v>
      </c>
      <c r="N85" s="84" t="s">
        <v>110</v>
      </c>
    </row>
    <row r="86" spans="1:14" s="96" customFormat="1" ht="15.75" customHeight="1">
      <c r="A86" s="85"/>
      <c r="B86" s="142"/>
      <c r="C86" s="143"/>
      <c r="D86" s="142"/>
      <c r="E86" s="143"/>
      <c r="F86" s="144"/>
      <c r="G86" s="143"/>
      <c r="H86" s="144"/>
      <c r="I86" s="143"/>
      <c r="J86" s="144"/>
      <c r="K86" s="143"/>
      <c r="L86" s="144"/>
      <c r="M86" s="143"/>
      <c r="N86" s="92"/>
    </row>
    <row r="87" spans="1:14" s="96" customFormat="1" ht="15.75" customHeight="1">
      <c r="A87" s="76" t="s">
        <v>111</v>
      </c>
      <c r="B87" s="129">
        <f>_xlfn.COMPOUNDVALUE(249)</f>
        <v>626</v>
      </c>
      <c r="C87" s="130">
        <v>250560</v>
      </c>
      <c r="D87" s="129">
        <f>_xlfn.COMPOUNDVALUE(250)</f>
        <v>1049</v>
      </c>
      <c r="E87" s="130">
        <v>273819</v>
      </c>
      <c r="F87" s="129">
        <f>_xlfn.COMPOUNDVALUE(251)</f>
        <v>1675</v>
      </c>
      <c r="G87" s="130">
        <v>524379</v>
      </c>
      <c r="H87" s="129">
        <f>_xlfn.COMPOUNDVALUE(252)</f>
        <v>29</v>
      </c>
      <c r="I87" s="131">
        <v>40378</v>
      </c>
      <c r="J87" s="129">
        <v>129</v>
      </c>
      <c r="K87" s="131">
        <v>11519</v>
      </c>
      <c r="L87" s="129">
        <f>_xlfn.COMPOUNDVALUE(252)</f>
        <v>1770</v>
      </c>
      <c r="M87" s="131">
        <v>495521</v>
      </c>
      <c r="N87" s="87" t="s">
        <v>111</v>
      </c>
    </row>
    <row r="88" spans="1:14" s="96" customFormat="1" ht="15.75" customHeight="1">
      <c r="A88" s="76" t="s">
        <v>112</v>
      </c>
      <c r="B88" s="129">
        <f>_xlfn.COMPOUNDVALUE(253)</f>
        <v>894</v>
      </c>
      <c r="C88" s="130">
        <v>539706</v>
      </c>
      <c r="D88" s="129">
        <f>_xlfn.COMPOUNDVALUE(254)</f>
        <v>1444</v>
      </c>
      <c r="E88" s="130">
        <v>524383</v>
      </c>
      <c r="F88" s="129">
        <f>_xlfn.COMPOUNDVALUE(255)</f>
        <v>2338</v>
      </c>
      <c r="G88" s="130">
        <v>1064090</v>
      </c>
      <c r="H88" s="129">
        <f>_xlfn.COMPOUNDVALUE(256)</f>
        <v>160</v>
      </c>
      <c r="I88" s="131">
        <v>100121</v>
      </c>
      <c r="J88" s="129">
        <v>186</v>
      </c>
      <c r="K88" s="131">
        <v>59029</v>
      </c>
      <c r="L88" s="129">
        <f>_xlfn.COMPOUNDVALUE(256)</f>
        <v>2608</v>
      </c>
      <c r="M88" s="131">
        <v>1022998</v>
      </c>
      <c r="N88" s="88" t="s">
        <v>112</v>
      </c>
    </row>
    <row r="89" spans="1:14" s="96" customFormat="1" ht="15.75" customHeight="1">
      <c r="A89" s="76" t="s">
        <v>113</v>
      </c>
      <c r="B89" s="129">
        <f>_xlfn.COMPOUNDVALUE(257)</f>
        <v>980</v>
      </c>
      <c r="C89" s="130">
        <v>416227</v>
      </c>
      <c r="D89" s="129">
        <f>_xlfn.COMPOUNDVALUE(258)</f>
        <v>2008</v>
      </c>
      <c r="E89" s="130">
        <v>569455</v>
      </c>
      <c r="F89" s="129">
        <f>_xlfn.COMPOUNDVALUE(259)</f>
        <v>2988</v>
      </c>
      <c r="G89" s="130">
        <v>985682</v>
      </c>
      <c r="H89" s="129">
        <f>_xlfn.COMPOUNDVALUE(260)</f>
        <v>69</v>
      </c>
      <c r="I89" s="131">
        <v>52308</v>
      </c>
      <c r="J89" s="129">
        <v>216</v>
      </c>
      <c r="K89" s="131">
        <v>63703</v>
      </c>
      <c r="L89" s="129">
        <f>_xlfn.COMPOUNDVALUE(260)</f>
        <v>3168</v>
      </c>
      <c r="M89" s="131">
        <v>997077</v>
      </c>
      <c r="N89" s="88" t="s">
        <v>113</v>
      </c>
    </row>
    <row r="90" spans="1:14" s="96" customFormat="1" ht="15.75" customHeight="1">
      <c r="A90" s="76" t="s">
        <v>114</v>
      </c>
      <c r="B90" s="129">
        <f>_xlfn.COMPOUNDVALUE(261)</f>
        <v>1357</v>
      </c>
      <c r="C90" s="130">
        <v>680053</v>
      </c>
      <c r="D90" s="129">
        <f>_xlfn.COMPOUNDVALUE(262)</f>
        <v>2392</v>
      </c>
      <c r="E90" s="130">
        <v>711642</v>
      </c>
      <c r="F90" s="129">
        <f>_xlfn.COMPOUNDVALUE(263)</f>
        <v>3749</v>
      </c>
      <c r="G90" s="130">
        <v>1391696</v>
      </c>
      <c r="H90" s="129">
        <f>_xlfn.COMPOUNDVALUE(264)</f>
        <v>122</v>
      </c>
      <c r="I90" s="131">
        <v>62283</v>
      </c>
      <c r="J90" s="129">
        <v>271</v>
      </c>
      <c r="K90" s="131">
        <v>34109</v>
      </c>
      <c r="L90" s="129">
        <f>_xlfn.COMPOUNDVALUE(264)</f>
        <v>3985</v>
      </c>
      <c r="M90" s="131">
        <v>1363521</v>
      </c>
      <c r="N90" s="88" t="s">
        <v>114</v>
      </c>
    </row>
    <row r="91" spans="1:14" s="96" customFormat="1" ht="15.75" customHeight="1">
      <c r="A91" s="76" t="s">
        <v>115</v>
      </c>
      <c r="B91" s="129">
        <f>_xlfn.COMPOUNDVALUE(265)</f>
        <v>1122</v>
      </c>
      <c r="C91" s="130">
        <v>856648</v>
      </c>
      <c r="D91" s="129">
        <f>_xlfn.COMPOUNDVALUE(266)</f>
        <v>2361</v>
      </c>
      <c r="E91" s="130">
        <v>728040</v>
      </c>
      <c r="F91" s="129">
        <f>_xlfn.COMPOUNDVALUE(267)</f>
        <v>3483</v>
      </c>
      <c r="G91" s="130">
        <v>1584688</v>
      </c>
      <c r="H91" s="129">
        <f>_xlfn.COMPOUNDVALUE(268)</f>
        <v>92</v>
      </c>
      <c r="I91" s="131">
        <v>123785</v>
      </c>
      <c r="J91" s="129">
        <v>212</v>
      </c>
      <c r="K91" s="131">
        <v>21579</v>
      </c>
      <c r="L91" s="129">
        <f>_xlfn.COMPOUNDVALUE(268)</f>
        <v>3639</v>
      </c>
      <c r="M91" s="131">
        <v>1482482</v>
      </c>
      <c r="N91" s="88" t="s">
        <v>115</v>
      </c>
    </row>
    <row r="92" spans="1:14" s="96" customFormat="1" ht="15.75" customHeight="1">
      <c r="A92" s="76"/>
      <c r="B92" s="129"/>
      <c r="C92" s="130"/>
      <c r="D92" s="129"/>
      <c r="E92" s="130"/>
      <c r="F92" s="129"/>
      <c r="G92" s="130"/>
      <c r="H92" s="129"/>
      <c r="I92" s="131"/>
      <c r="J92" s="129"/>
      <c r="K92" s="131"/>
      <c r="L92" s="129"/>
      <c r="M92" s="131"/>
      <c r="N92" s="88" t="s">
        <v>40</v>
      </c>
    </row>
    <row r="93" spans="1:14" s="96" customFormat="1" ht="15.75" customHeight="1">
      <c r="A93" s="76" t="s">
        <v>116</v>
      </c>
      <c r="B93" s="129">
        <f>_xlfn.COMPOUNDVALUE(269)</f>
        <v>821</v>
      </c>
      <c r="C93" s="130">
        <v>482954</v>
      </c>
      <c r="D93" s="129">
        <f>_xlfn.COMPOUNDVALUE(270)</f>
        <v>1822</v>
      </c>
      <c r="E93" s="130">
        <v>535610</v>
      </c>
      <c r="F93" s="129">
        <f>_xlfn.COMPOUNDVALUE(271)</f>
        <v>2643</v>
      </c>
      <c r="G93" s="130">
        <v>1018564</v>
      </c>
      <c r="H93" s="129">
        <f>_xlfn.COMPOUNDVALUE(272)</f>
        <v>76</v>
      </c>
      <c r="I93" s="131">
        <v>40096</v>
      </c>
      <c r="J93" s="129">
        <v>194</v>
      </c>
      <c r="K93" s="131">
        <v>24624</v>
      </c>
      <c r="L93" s="129">
        <f>_xlfn.COMPOUNDVALUE(272)</f>
        <v>2826</v>
      </c>
      <c r="M93" s="131">
        <v>1003092</v>
      </c>
      <c r="N93" s="88" t="s">
        <v>116</v>
      </c>
    </row>
    <row r="94" spans="1:14" s="96" customFormat="1" ht="15.75" customHeight="1">
      <c r="A94" s="76" t="s">
        <v>180</v>
      </c>
      <c r="B94" s="129">
        <f>_xlfn.COMPOUNDVALUE(273)</f>
        <v>1416</v>
      </c>
      <c r="C94" s="130">
        <v>1054582</v>
      </c>
      <c r="D94" s="129">
        <f>_xlfn.COMPOUNDVALUE(274)</f>
        <v>3089</v>
      </c>
      <c r="E94" s="130">
        <v>1000101</v>
      </c>
      <c r="F94" s="129">
        <f>_xlfn.COMPOUNDVALUE(275)</f>
        <v>4505</v>
      </c>
      <c r="G94" s="130">
        <v>2054683</v>
      </c>
      <c r="H94" s="129">
        <f>_xlfn.COMPOUNDVALUE(276)</f>
        <v>105</v>
      </c>
      <c r="I94" s="131">
        <v>229858</v>
      </c>
      <c r="J94" s="129">
        <v>242</v>
      </c>
      <c r="K94" s="131">
        <v>28093</v>
      </c>
      <c r="L94" s="129">
        <f>_xlfn.COMPOUNDVALUE(276)</f>
        <v>4681</v>
      </c>
      <c r="M94" s="131">
        <v>1852918</v>
      </c>
      <c r="N94" s="88" t="s">
        <v>117</v>
      </c>
    </row>
    <row r="95" spans="1:14" s="96" customFormat="1" ht="15.75" customHeight="1">
      <c r="A95" s="76" t="s">
        <v>118</v>
      </c>
      <c r="B95" s="129">
        <f>_xlfn.COMPOUNDVALUE(277)</f>
        <v>872</v>
      </c>
      <c r="C95" s="130">
        <v>345661</v>
      </c>
      <c r="D95" s="129">
        <f>_xlfn.COMPOUNDVALUE(278)</f>
        <v>1469</v>
      </c>
      <c r="E95" s="130">
        <v>416972</v>
      </c>
      <c r="F95" s="129">
        <f>_xlfn.COMPOUNDVALUE(279)</f>
        <v>2341</v>
      </c>
      <c r="G95" s="130">
        <v>762633</v>
      </c>
      <c r="H95" s="129">
        <f>_xlfn.COMPOUNDVALUE(280)</f>
        <v>65</v>
      </c>
      <c r="I95" s="131">
        <v>27908</v>
      </c>
      <c r="J95" s="129">
        <v>77</v>
      </c>
      <c r="K95" s="131">
        <v>33071</v>
      </c>
      <c r="L95" s="129">
        <f>_xlfn.COMPOUNDVALUE(280)</f>
        <v>2451</v>
      </c>
      <c r="M95" s="131">
        <v>767796</v>
      </c>
      <c r="N95" s="88" t="s">
        <v>118</v>
      </c>
    </row>
    <row r="96" spans="1:14" s="96" customFormat="1" ht="15.75" customHeight="1">
      <c r="A96" s="76" t="s">
        <v>119</v>
      </c>
      <c r="B96" s="129">
        <f>_xlfn.COMPOUNDVALUE(281)</f>
        <v>1317</v>
      </c>
      <c r="C96" s="130">
        <v>635921</v>
      </c>
      <c r="D96" s="129">
        <f>_xlfn.COMPOUNDVALUE(282)</f>
        <v>2664</v>
      </c>
      <c r="E96" s="130">
        <v>816244</v>
      </c>
      <c r="F96" s="129">
        <f>_xlfn.COMPOUNDVALUE(283)</f>
        <v>3981</v>
      </c>
      <c r="G96" s="130">
        <v>1452165</v>
      </c>
      <c r="H96" s="129">
        <f>_xlfn.COMPOUNDVALUE(284)</f>
        <v>111</v>
      </c>
      <c r="I96" s="131">
        <v>74423</v>
      </c>
      <c r="J96" s="129">
        <v>234</v>
      </c>
      <c r="K96" s="131">
        <v>27515</v>
      </c>
      <c r="L96" s="129">
        <f>_xlfn.COMPOUNDVALUE(284)</f>
        <v>4216</v>
      </c>
      <c r="M96" s="131">
        <v>1405257</v>
      </c>
      <c r="N96" s="88" t="s">
        <v>119</v>
      </c>
    </row>
    <row r="97" spans="1:14" s="96" customFormat="1" ht="15.75" customHeight="1">
      <c r="A97" s="76" t="s">
        <v>120</v>
      </c>
      <c r="B97" s="129">
        <f>_xlfn.COMPOUNDVALUE(285)</f>
        <v>795</v>
      </c>
      <c r="C97" s="130">
        <v>430830</v>
      </c>
      <c r="D97" s="129">
        <f>_xlfn.COMPOUNDVALUE(286)</f>
        <v>1496</v>
      </c>
      <c r="E97" s="130">
        <v>426220</v>
      </c>
      <c r="F97" s="129">
        <f>_xlfn.COMPOUNDVALUE(287)</f>
        <v>2291</v>
      </c>
      <c r="G97" s="130">
        <v>857051</v>
      </c>
      <c r="H97" s="129">
        <f>_xlfn.COMPOUNDVALUE(288)</f>
        <v>50</v>
      </c>
      <c r="I97" s="131">
        <v>27760</v>
      </c>
      <c r="J97" s="129">
        <v>184</v>
      </c>
      <c r="K97" s="131">
        <v>24425</v>
      </c>
      <c r="L97" s="129">
        <f>_xlfn.COMPOUNDVALUE(288)</f>
        <v>2430</v>
      </c>
      <c r="M97" s="131">
        <v>853716</v>
      </c>
      <c r="N97" s="88" t="s">
        <v>120</v>
      </c>
    </row>
    <row r="98" spans="1:14" s="96" customFormat="1" ht="15.75" customHeight="1">
      <c r="A98" s="76"/>
      <c r="B98" s="129"/>
      <c r="C98" s="130"/>
      <c r="D98" s="129"/>
      <c r="E98" s="130"/>
      <c r="F98" s="129"/>
      <c r="G98" s="130"/>
      <c r="H98" s="129"/>
      <c r="I98" s="131"/>
      <c r="J98" s="129"/>
      <c r="K98" s="131"/>
      <c r="L98" s="129"/>
      <c r="M98" s="131"/>
      <c r="N98" s="88" t="s">
        <v>40</v>
      </c>
    </row>
    <row r="99" spans="1:14" s="96" customFormat="1" ht="15.75" customHeight="1">
      <c r="A99" s="76" t="s">
        <v>121</v>
      </c>
      <c r="B99" s="129">
        <f>_xlfn.COMPOUNDVALUE(289)</f>
        <v>840</v>
      </c>
      <c r="C99" s="130">
        <v>292024</v>
      </c>
      <c r="D99" s="129">
        <f>_xlfn.COMPOUNDVALUE(290)</f>
        <v>2350</v>
      </c>
      <c r="E99" s="130">
        <v>600861</v>
      </c>
      <c r="F99" s="129">
        <f>_xlfn.COMPOUNDVALUE(291)</f>
        <v>3190</v>
      </c>
      <c r="G99" s="130">
        <v>892885</v>
      </c>
      <c r="H99" s="129">
        <f>_xlfn.COMPOUNDVALUE(292)</f>
        <v>55</v>
      </c>
      <c r="I99" s="131">
        <v>42091</v>
      </c>
      <c r="J99" s="129">
        <v>185</v>
      </c>
      <c r="K99" s="131">
        <v>12247</v>
      </c>
      <c r="L99" s="129">
        <f>_xlfn.COMPOUNDVALUE(292)</f>
        <v>3326</v>
      </c>
      <c r="M99" s="131">
        <v>863041</v>
      </c>
      <c r="N99" s="88" t="s">
        <v>121</v>
      </c>
    </row>
    <row r="100" spans="1:14" s="96" customFormat="1" ht="15.75" customHeight="1">
      <c r="A100" s="76" t="s">
        <v>122</v>
      </c>
      <c r="B100" s="129">
        <f>_xlfn.COMPOUNDVALUE(293)</f>
        <v>1021</v>
      </c>
      <c r="C100" s="130">
        <v>372788</v>
      </c>
      <c r="D100" s="129">
        <f>_xlfn.COMPOUNDVALUE(294)</f>
        <v>2361</v>
      </c>
      <c r="E100" s="130">
        <v>615419</v>
      </c>
      <c r="F100" s="129">
        <f>_xlfn.COMPOUNDVALUE(295)</f>
        <v>3382</v>
      </c>
      <c r="G100" s="130">
        <v>988207</v>
      </c>
      <c r="H100" s="129">
        <f>_xlfn.COMPOUNDVALUE(296)</f>
        <v>51</v>
      </c>
      <c r="I100" s="131">
        <v>52899</v>
      </c>
      <c r="J100" s="129">
        <v>205</v>
      </c>
      <c r="K100" s="131">
        <v>29994</v>
      </c>
      <c r="L100" s="129">
        <f>_xlfn.COMPOUNDVALUE(296)</f>
        <v>3544</v>
      </c>
      <c r="M100" s="131">
        <v>965303</v>
      </c>
      <c r="N100" s="88" t="s">
        <v>122</v>
      </c>
    </row>
    <row r="101" spans="1:14" s="96" customFormat="1" ht="15.75" customHeight="1">
      <c r="A101" s="78" t="s">
        <v>123</v>
      </c>
      <c r="B101" s="134">
        <f>_xlfn.COMPOUNDVALUE(297)</f>
        <v>661</v>
      </c>
      <c r="C101" s="135">
        <v>412329</v>
      </c>
      <c r="D101" s="134">
        <f>_xlfn.COMPOUNDVALUE(298)</f>
        <v>1455</v>
      </c>
      <c r="E101" s="135">
        <v>441868</v>
      </c>
      <c r="F101" s="134">
        <f>_xlfn.COMPOUNDVALUE(299)</f>
        <v>2116</v>
      </c>
      <c r="G101" s="135">
        <v>854197</v>
      </c>
      <c r="H101" s="134">
        <f>_xlfn.COMPOUNDVALUE(300)</f>
        <v>85</v>
      </c>
      <c r="I101" s="136">
        <v>42631</v>
      </c>
      <c r="J101" s="134">
        <v>123</v>
      </c>
      <c r="K101" s="136">
        <v>9906</v>
      </c>
      <c r="L101" s="134">
        <f>_xlfn.COMPOUNDVALUE(300)</f>
        <v>2238</v>
      </c>
      <c r="M101" s="136">
        <v>821472</v>
      </c>
      <c r="N101" s="77" t="s">
        <v>123</v>
      </c>
    </row>
    <row r="102" spans="1:14" s="96" customFormat="1" ht="15.75" customHeight="1">
      <c r="A102" s="78" t="s">
        <v>124</v>
      </c>
      <c r="B102" s="134">
        <f>_xlfn.COMPOUNDVALUE(301)</f>
        <v>1515</v>
      </c>
      <c r="C102" s="135">
        <v>796577</v>
      </c>
      <c r="D102" s="134">
        <f>_xlfn.COMPOUNDVALUE(302)</f>
        <v>2979</v>
      </c>
      <c r="E102" s="135">
        <v>852867</v>
      </c>
      <c r="F102" s="134">
        <f>_xlfn.COMPOUNDVALUE(303)</f>
        <v>4494</v>
      </c>
      <c r="G102" s="135">
        <v>1649444</v>
      </c>
      <c r="H102" s="134">
        <f>_xlfn.COMPOUNDVALUE(304)</f>
        <v>110</v>
      </c>
      <c r="I102" s="136">
        <v>97074</v>
      </c>
      <c r="J102" s="134">
        <v>289</v>
      </c>
      <c r="K102" s="136">
        <v>35432</v>
      </c>
      <c r="L102" s="134">
        <f>_xlfn.COMPOUNDVALUE(304)</f>
        <v>4729</v>
      </c>
      <c r="M102" s="136">
        <v>1587802</v>
      </c>
      <c r="N102" s="77" t="s">
        <v>124</v>
      </c>
    </row>
    <row r="103" spans="1:14" s="96" customFormat="1" ht="15.75" customHeight="1">
      <c r="A103" s="78" t="s">
        <v>125</v>
      </c>
      <c r="B103" s="134">
        <f>_xlfn.COMPOUNDVALUE(305)</f>
        <v>881</v>
      </c>
      <c r="C103" s="135">
        <v>297521</v>
      </c>
      <c r="D103" s="134">
        <f>_xlfn.COMPOUNDVALUE(306)</f>
        <v>1682</v>
      </c>
      <c r="E103" s="135">
        <v>426184</v>
      </c>
      <c r="F103" s="134">
        <f>_xlfn.COMPOUNDVALUE(307)</f>
        <v>2563</v>
      </c>
      <c r="G103" s="135">
        <v>723705</v>
      </c>
      <c r="H103" s="134">
        <f>_xlfn.COMPOUNDVALUE(308)</f>
        <v>50</v>
      </c>
      <c r="I103" s="136">
        <v>35384</v>
      </c>
      <c r="J103" s="134">
        <v>117</v>
      </c>
      <c r="K103" s="136">
        <v>20888</v>
      </c>
      <c r="L103" s="134">
        <f>_xlfn.COMPOUNDVALUE(308)</f>
        <v>2660</v>
      </c>
      <c r="M103" s="136">
        <v>709209</v>
      </c>
      <c r="N103" s="77" t="s">
        <v>125</v>
      </c>
    </row>
    <row r="104" spans="1:14" s="96" customFormat="1" ht="15.75" customHeight="1">
      <c r="A104" s="78"/>
      <c r="B104" s="134"/>
      <c r="C104" s="135"/>
      <c r="D104" s="134"/>
      <c r="E104" s="135"/>
      <c r="F104" s="134"/>
      <c r="G104" s="135"/>
      <c r="H104" s="134"/>
      <c r="I104" s="136"/>
      <c r="J104" s="134"/>
      <c r="K104" s="136"/>
      <c r="L104" s="134"/>
      <c r="M104" s="136"/>
      <c r="N104" s="77" t="s">
        <v>40</v>
      </c>
    </row>
    <row r="105" spans="1:14" s="96" customFormat="1" ht="15.75" customHeight="1">
      <c r="A105" s="78" t="s">
        <v>126</v>
      </c>
      <c r="B105" s="134">
        <f>_xlfn.COMPOUNDVALUE(309)</f>
        <v>1386</v>
      </c>
      <c r="C105" s="135">
        <v>619098</v>
      </c>
      <c r="D105" s="134">
        <f>_xlfn.COMPOUNDVALUE(310)</f>
        <v>2701</v>
      </c>
      <c r="E105" s="135">
        <v>766973</v>
      </c>
      <c r="F105" s="134">
        <f>_xlfn.COMPOUNDVALUE(311)</f>
        <v>4087</v>
      </c>
      <c r="G105" s="135">
        <v>1386070</v>
      </c>
      <c r="H105" s="134">
        <f>_xlfn.COMPOUNDVALUE(312)</f>
        <v>81</v>
      </c>
      <c r="I105" s="136">
        <v>53732</v>
      </c>
      <c r="J105" s="134">
        <v>298</v>
      </c>
      <c r="K105" s="136">
        <v>129156</v>
      </c>
      <c r="L105" s="134">
        <f>_xlfn.COMPOUNDVALUE(312)</f>
        <v>4332</v>
      </c>
      <c r="M105" s="136">
        <v>1461494</v>
      </c>
      <c r="N105" s="77" t="s">
        <v>126</v>
      </c>
    </row>
    <row r="106" spans="1:14" s="96" customFormat="1" ht="15.75" customHeight="1">
      <c r="A106" s="78" t="s">
        <v>127</v>
      </c>
      <c r="B106" s="134">
        <f>_xlfn.COMPOUNDVALUE(313)</f>
        <v>601</v>
      </c>
      <c r="C106" s="135">
        <v>291855</v>
      </c>
      <c r="D106" s="134">
        <f>_xlfn.COMPOUNDVALUE(314)</f>
        <v>1285</v>
      </c>
      <c r="E106" s="135">
        <v>356867</v>
      </c>
      <c r="F106" s="134">
        <f>_xlfn.COMPOUNDVALUE(315)</f>
        <v>1886</v>
      </c>
      <c r="G106" s="135">
        <v>648722</v>
      </c>
      <c r="H106" s="134">
        <f>_xlfn.COMPOUNDVALUE(316)</f>
        <v>29</v>
      </c>
      <c r="I106" s="136">
        <v>27658</v>
      </c>
      <c r="J106" s="134">
        <v>165</v>
      </c>
      <c r="K106" s="136">
        <v>57215</v>
      </c>
      <c r="L106" s="134">
        <f>_xlfn.COMPOUNDVALUE(316)</f>
        <v>2001</v>
      </c>
      <c r="M106" s="136">
        <v>678278</v>
      </c>
      <c r="N106" s="77" t="s">
        <v>127</v>
      </c>
    </row>
    <row r="107" spans="1:14" s="96" customFormat="1" ht="15.75" customHeight="1">
      <c r="A107" s="78" t="s">
        <v>128</v>
      </c>
      <c r="B107" s="134">
        <f>_xlfn.COMPOUNDVALUE(317)</f>
        <v>1046</v>
      </c>
      <c r="C107" s="135">
        <v>417060</v>
      </c>
      <c r="D107" s="134">
        <f>_xlfn.COMPOUNDVALUE(318)</f>
        <v>2223</v>
      </c>
      <c r="E107" s="135">
        <v>624382</v>
      </c>
      <c r="F107" s="134">
        <f>_xlfn.COMPOUNDVALUE(319)</f>
        <v>3269</v>
      </c>
      <c r="G107" s="135">
        <v>1041442</v>
      </c>
      <c r="H107" s="134">
        <f>_xlfn.COMPOUNDVALUE(320)</f>
        <v>73</v>
      </c>
      <c r="I107" s="136">
        <v>57423</v>
      </c>
      <c r="J107" s="134">
        <v>236</v>
      </c>
      <c r="K107" s="136">
        <v>60819</v>
      </c>
      <c r="L107" s="134">
        <f>_xlfn.COMPOUNDVALUE(320)</f>
        <v>3491</v>
      </c>
      <c r="M107" s="136">
        <v>1044837</v>
      </c>
      <c r="N107" s="77" t="s">
        <v>128</v>
      </c>
    </row>
    <row r="108" spans="1:14" s="96" customFormat="1" ht="15.75" customHeight="1">
      <c r="A108" s="79" t="s">
        <v>148</v>
      </c>
      <c r="B108" s="137">
        <v>18151</v>
      </c>
      <c r="C108" s="138">
        <v>9192395</v>
      </c>
      <c r="D108" s="137">
        <v>36830</v>
      </c>
      <c r="E108" s="138">
        <v>10687907</v>
      </c>
      <c r="F108" s="137">
        <v>54981</v>
      </c>
      <c r="G108" s="138">
        <v>19880302</v>
      </c>
      <c r="H108" s="137">
        <v>1413</v>
      </c>
      <c r="I108" s="139">
        <v>1187812</v>
      </c>
      <c r="J108" s="137">
        <v>3563</v>
      </c>
      <c r="K108" s="139">
        <v>683325</v>
      </c>
      <c r="L108" s="137">
        <v>58095</v>
      </c>
      <c r="M108" s="139">
        <v>19375814</v>
      </c>
      <c r="N108" s="84" t="s">
        <v>130</v>
      </c>
    </row>
    <row r="109" spans="1:14" s="96" customFormat="1" ht="15.75" customHeight="1">
      <c r="A109" s="85"/>
      <c r="B109" s="142"/>
      <c r="C109" s="143"/>
      <c r="D109" s="142"/>
      <c r="E109" s="143"/>
      <c r="F109" s="144"/>
      <c r="G109" s="143"/>
      <c r="H109" s="144"/>
      <c r="I109" s="143"/>
      <c r="J109" s="144"/>
      <c r="K109" s="143"/>
      <c r="L109" s="144"/>
      <c r="M109" s="143"/>
      <c r="N109" s="92"/>
    </row>
    <row r="110" spans="1:14" s="96" customFormat="1" ht="15.75" customHeight="1">
      <c r="A110" s="76" t="s">
        <v>131</v>
      </c>
      <c r="B110" s="129">
        <f>_xlfn.COMPOUNDVALUE(321)</f>
        <v>1805</v>
      </c>
      <c r="C110" s="130">
        <v>779776</v>
      </c>
      <c r="D110" s="129">
        <f>_xlfn.COMPOUNDVALUE(322)</f>
        <v>3018</v>
      </c>
      <c r="E110" s="130">
        <v>803156</v>
      </c>
      <c r="F110" s="129">
        <f>_xlfn.COMPOUNDVALUE(323)</f>
        <v>4823</v>
      </c>
      <c r="G110" s="130">
        <v>1582932</v>
      </c>
      <c r="H110" s="129">
        <f>_xlfn.COMPOUNDVALUE(324)</f>
        <v>103</v>
      </c>
      <c r="I110" s="131">
        <v>62311</v>
      </c>
      <c r="J110" s="129">
        <v>275</v>
      </c>
      <c r="K110" s="131">
        <v>23121</v>
      </c>
      <c r="L110" s="129">
        <f>_xlfn.COMPOUNDVALUE(324)</f>
        <v>4986</v>
      </c>
      <c r="M110" s="131">
        <v>1543741</v>
      </c>
      <c r="N110" s="87" t="s">
        <v>131</v>
      </c>
    </row>
    <row r="111" spans="1:14" s="96" customFormat="1" ht="15.75" customHeight="1">
      <c r="A111" s="78" t="s">
        <v>132</v>
      </c>
      <c r="B111" s="134">
        <f>_xlfn.COMPOUNDVALUE(325)</f>
        <v>580</v>
      </c>
      <c r="C111" s="135">
        <v>212995</v>
      </c>
      <c r="D111" s="134">
        <f>_xlfn.COMPOUNDVALUE(326)</f>
        <v>1278</v>
      </c>
      <c r="E111" s="135">
        <v>294587</v>
      </c>
      <c r="F111" s="134">
        <f>_xlfn.COMPOUNDVALUE(327)</f>
        <v>1858</v>
      </c>
      <c r="G111" s="135">
        <v>507582</v>
      </c>
      <c r="H111" s="134">
        <f>_xlfn.COMPOUNDVALUE(328)</f>
        <v>27</v>
      </c>
      <c r="I111" s="136">
        <v>2909</v>
      </c>
      <c r="J111" s="134">
        <v>87</v>
      </c>
      <c r="K111" s="136">
        <v>5010</v>
      </c>
      <c r="L111" s="134">
        <f>_xlfn.COMPOUNDVALUE(328)</f>
        <v>1911</v>
      </c>
      <c r="M111" s="136">
        <v>509683</v>
      </c>
      <c r="N111" s="77" t="s">
        <v>132</v>
      </c>
    </row>
    <row r="112" spans="1:14" s="96" customFormat="1" ht="15.75" customHeight="1">
      <c r="A112" s="78" t="s">
        <v>133</v>
      </c>
      <c r="B112" s="134">
        <f>_xlfn.COMPOUNDVALUE(329)</f>
        <v>988</v>
      </c>
      <c r="C112" s="135">
        <v>371888</v>
      </c>
      <c r="D112" s="134">
        <f>_xlfn.COMPOUNDVALUE(330)</f>
        <v>1460</v>
      </c>
      <c r="E112" s="135">
        <v>379841</v>
      </c>
      <c r="F112" s="134">
        <f>_xlfn.COMPOUNDVALUE(331)</f>
        <v>2448</v>
      </c>
      <c r="G112" s="135">
        <v>751729</v>
      </c>
      <c r="H112" s="134">
        <f>_xlfn.COMPOUNDVALUE(332)</f>
        <v>46</v>
      </c>
      <c r="I112" s="136">
        <v>10673</v>
      </c>
      <c r="J112" s="134">
        <v>112</v>
      </c>
      <c r="K112" s="136">
        <v>13880</v>
      </c>
      <c r="L112" s="134">
        <f>_xlfn.COMPOUNDVALUE(332)</f>
        <v>2528</v>
      </c>
      <c r="M112" s="136">
        <v>754935</v>
      </c>
      <c r="N112" s="77" t="s">
        <v>133</v>
      </c>
    </row>
    <row r="113" spans="1:14" s="96" customFormat="1" ht="15.75" customHeight="1">
      <c r="A113" s="78" t="s">
        <v>134</v>
      </c>
      <c r="B113" s="134">
        <f>_xlfn.COMPOUNDVALUE(333)</f>
        <v>186</v>
      </c>
      <c r="C113" s="135">
        <v>76619</v>
      </c>
      <c r="D113" s="134">
        <f>_xlfn.COMPOUNDVALUE(334)</f>
        <v>455</v>
      </c>
      <c r="E113" s="135">
        <v>104685</v>
      </c>
      <c r="F113" s="134">
        <f>_xlfn.COMPOUNDVALUE(335)</f>
        <v>641</v>
      </c>
      <c r="G113" s="135">
        <v>181304</v>
      </c>
      <c r="H113" s="134">
        <f>_xlfn.COMPOUNDVALUE(336)</f>
        <v>9</v>
      </c>
      <c r="I113" s="136">
        <v>3453</v>
      </c>
      <c r="J113" s="134">
        <v>96</v>
      </c>
      <c r="K113" s="136">
        <v>5306</v>
      </c>
      <c r="L113" s="134">
        <f>_xlfn.COMPOUNDVALUE(336)</f>
        <v>662</v>
      </c>
      <c r="M113" s="136">
        <v>183157</v>
      </c>
      <c r="N113" s="77" t="s">
        <v>134</v>
      </c>
    </row>
    <row r="114" spans="1:14" s="96" customFormat="1" ht="15.75" customHeight="1">
      <c r="A114" s="79" t="s">
        <v>135</v>
      </c>
      <c r="B114" s="137">
        <v>3559</v>
      </c>
      <c r="C114" s="138">
        <v>1441278</v>
      </c>
      <c r="D114" s="137">
        <v>6211</v>
      </c>
      <c r="E114" s="138">
        <v>1582268</v>
      </c>
      <c r="F114" s="137">
        <v>9770</v>
      </c>
      <c r="G114" s="138">
        <v>3023546</v>
      </c>
      <c r="H114" s="137">
        <v>185</v>
      </c>
      <c r="I114" s="139">
        <v>79346</v>
      </c>
      <c r="J114" s="137">
        <v>570</v>
      </c>
      <c r="K114" s="139">
        <v>47317</v>
      </c>
      <c r="L114" s="137">
        <v>10087</v>
      </c>
      <c r="M114" s="139">
        <v>2991517</v>
      </c>
      <c r="N114" s="84" t="s">
        <v>136</v>
      </c>
    </row>
    <row r="115" spans="1:15" s="96" customFormat="1" ht="15.75" customHeight="1" thickBot="1">
      <c r="A115" s="80"/>
      <c r="B115" s="154"/>
      <c r="C115" s="155"/>
      <c r="D115" s="154"/>
      <c r="E115" s="155"/>
      <c r="F115" s="156"/>
      <c r="G115" s="155"/>
      <c r="H115" s="156"/>
      <c r="I115" s="155"/>
      <c r="J115" s="156"/>
      <c r="K115" s="155"/>
      <c r="L115" s="156"/>
      <c r="M115" s="155"/>
      <c r="N115" s="93"/>
      <c r="O115" s="97"/>
    </row>
    <row r="116" spans="1:14" s="96" customFormat="1" ht="15.75" customHeight="1" thickBot="1" thickTop="1">
      <c r="A116" s="82" t="s">
        <v>149</v>
      </c>
      <c r="B116" s="160">
        <v>79561</v>
      </c>
      <c r="C116" s="161">
        <v>48873244</v>
      </c>
      <c r="D116" s="160">
        <v>150464</v>
      </c>
      <c r="E116" s="161">
        <v>45188360</v>
      </c>
      <c r="F116" s="160">
        <v>230025</v>
      </c>
      <c r="G116" s="161">
        <v>94061605</v>
      </c>
      <c r="H116" s="160">
        <v>5893</v>
      </c>
      <c r="I116" s="162">
        <v>5439994</v>
      </c>
      <c r="J116" s="160">
        <v>14762</v>
      </c>
      <c r="K116" s="162">
        <v>2569982</v>
      </c>
      <c r="L116" s="160">
        <v>242791</v>
      </c>
      <c r="M116" s="162">
        <v>91191592</v>
      </c>
      <c r="N116" s="94" t="s">
        <v>39</v>
      </c>
    </row>
    <row r="117" spans="1:14" ht="13.5">
      <c r="A117" s="224" t="s">
        <v>155</v>
      </c>
      <c r="B117" s="224"/>
      <c r="C117" s="224"/>
      <c r="D117" s="224"/>
      <c r="E117" s="224"/>
      <c r="F117" s="224"/>
      <c r="G117" s="224"/>
      <c r="H117" s="224"/>
      <c r="I117" s="224"/>
      <c r="J117" s="66"/>
      <c r="K117" s="66"/>
      <c r="L117" s="65"/>
      <c r="M117" s="65"/>
      <c r="N117" s="65"/>
    </row>
    <row r="119" spans="2:10" ht="13.5">
      <c r="B119" s="167"/>
      <c r="C119" s="167"/>
      <c r="D119" s="167"/>
      <c r="E119" s="167"/>
      <c r="F119" s="167"/>
      <c r="G119" s="167"/>
      <c r="H119" s="167"/>
      <c r="J119" s="167"/>
    </row>
    <row r="120" spans="2:10" ht="13.5">
      <c r="B120" s="167"/>
      <c r="C120" s="167"/>
      <c r="D120" s="167"/>
      <c r="E120" s="167"/>
      <c r="F120" s="167"/>
      <c r="G120" s="167"/>
      <c r="H120" s="167"/>
      <c r="J120" s="167"/>
    </row>
    <row r="121" spans="2:10" ht="13.5">
      <c r="B121" s="167"/>
      <c r="C121" s="167"/>
      <c r="D121" s="167"/>
      <c r="E121" s="167"/>
      <c r="F121" s="167"/>
      <c r="G121" s="167"/>
      <c r="H121" s="167"/>
      <c r="J121" s="167"/>
    </row>
    <row r="122" spans="2:10" ht="13.5">
      <c r="B122" s="167"/>
      <c r="C122" s="167"/>
      <c r="D122" s="167"/>
      <c r="E122" s="167"/>
      <c r="F122" s="167"/>
      <c r="G122" s="167"/>
      <c r="H122" s="167"/>
      <c r="J122" s="167"/>
    </row>
    <row r="123" spans="2:10" ht="13.5">
      <c r="B123" s="167"/>
      <c r="C123" s="167"/>
      <c r="D123" s="167"/>
      <c r="E123" s="167"/>
      <c r="F123" s="167"/>
      <c r="G123" s="167"/>
      <c r="H123" s="167"/>
      <c r="J123" s="167"/>
    </row>
    <row r="124" spans="2:10" ht="13.5">
      <c r="B124" s="167"/>
      <c r="C124" s="167"/>
      <c r="D124" s="167"/>
      <c r="E124" s="167"/>
      <c r="F124" s="167"/>
      <c r="G124" s="167"/>
      <c r="H124" s="167"/>
      <c r="J124" s="167"/>
    </row>
    <row r="125" spans="2:10" ht="13.5">
      <c r="B125" s="167"/>
      <c r="C125" s="167"/>
      <c r="D125" s="167"/>
      <c r="E125" s="167"/>
      <c r="F125" s="167"/>
      <c r="G125" s="167"/>
      <c r="H125" s="167"/>
      <c r="J125" s="167"/>
    </row>
    <row r="126" spans="2:10" ht="13.5">
      <c r="B126" s="167"/>
      <c r="C126" s="167"/>
      <c r="D126" s="167"/>
      <c r="E126" s="167"/>
      <c r="F126" s="167"/>
      <c r="G126" s="167"/>
      <c r="H126" s="167"/>
      <c r="J126" s="167"/>
    </row>
    <row r="127" spans="2:10" ht="13.5">
      <c r="B127" s="167"/>
      <c r="C127" s="167"/>
      <c r="D127" s="167"/>
      <c r="E127" s="167"/>
      <c r="F127" s="167"/>
      <c r="G127" s="167"/>
      <c r="H127" s="167"/>
      <c r="J127" s="167"/>
    </row>
    <row r="128" spans="2:10" ht="13.5">
      <c r="B128" s="167"/>
      <c r="C128" s="167"/>
      <c r="D128" s="167"/>
      <c r="E128" s="167"/>
      <c r="F128" s="167"/>
      <c r="G128" s="167"/>
      <c r="H128" s="167"/>
      <c r="J128" s="167"/>
    </row>
    <row r="129" spans="2:10" ht="13.5">
      <c r="B129" s="167"/>
      <c r="C129" s="167"/>
      <c r="D129" s="167"/>
      <c r="E129" s="167"/>
      <c r="F129" s="167"/>
      <c r="G129" s="167"/>
      <c r="H129" s="167"/>
      <c r="J129" s="167"/>
    </row>
    <row r="130" spans="2:10" ht="13.5">
      <c r="B130" s="167"/>
      <c r="C130" s="167"/>
      <c r="D130" s="167"/>
      <c r="E130" s="167"/>
      <c r="F130" s="167"/>
      <c r="G130" s="167"/>
      <c r="H130" s="167"/>
      <c r="J130" s="167"/>
    </row>
    <row r="131" spans="2:10" ht="13.5">
      <c r="B131" s="167"/>
      <c r="C131" s="167"/>
      <c r="D131" s="167"/>
      <c r="E131" s="167"/>
      <c r="F131" s="167"/>
      <c r="G131" s="167"/>
      <c r="H131" s="167"/>
      <c r="J131" s="167"/>
    </row>
  </sheetData>
  <sheetProtection/>
  <mergeCells count="11">
    <mergeCell ref="L3:M4"/>
    <mergeCell ref="N3:N5"/>
    <mergeCell ref="B4:C4"/>
    <mergeCell ref="D4:E4"/>
    <mergeCell ref="F4:G4"/>
    <mergeCell ref="A117:I117"/>
    <mergeCell ref="A2:G2"/>
    <mergeCell ref="A3:A5"/>
    <mergeCell ref="B3:G3"/>
    <mergeCell ref="H3:I4"/>
    <mergeCell ref="J3:K4"/>
  </mergeCells>
  <printOptions horizontalCentered="1"/>
  <pageMargins left="0.7874015748031497" right="0.7874015748031497" top="0.85" bottom="0.82" header="0.5118110236220472" footer="0.39"/>
  <pageSetup fitToHeight="3" horizontalDpi="600" verticalDpi="600" orientation="landscape" paperSize="9" scale="71" r:id="rId1"/>
  <headerFooter alignWithMargins="0">
    <oddFooter>&amp;R東京国税局
消費税
(H25)</oddFooter>
  </headerFooter>
  <rowBreaks count="2" manualBreakCount="2">
    <brk id="42" max="13" man="1"/>
    <brk id="79" max="13" man="1"/>
  </rowBreaks>
</worksheet>
</file>

<file path=xl/worksheets/sheet5.xml><?xml version="1.0" encoding="utf-8"?>
<worksheet xmlns="http://schemas.openxmlformats.org/spreadsheetml/2006/main" xmlns:r="http://schemas.openxmlformats.org/officeDocument/2006/relationships">
  <dimension ref="A1:N117"/>
  <sheetViews>
    <sheetView showGridLines="0" zoomScaleSheetLayoutView="85" zoomScalePageLayoutView="0" workbookViewId="0" topLeftCell="A1">
      <selection activeCell="A1" sqref="A1"/>
    </sheetView>
  </sheetViews>
  <sheetFormatPr defaultColWidth="9.00390625" defaultRowHeight="13.5"/>
  <cols>
    <col min="1" max="1" width="11.125" style="128" customWidth="1"/>
    <col min="2" max="2" width="10.625" style="128" customWidth="1"/>
    <col min="3" max="3" width="12.625" style="128" customWidth="1"/>
    <col min="4" max="4" width="10.625" style="128" customWidth="1"/>
    <col min="5" max="5" width="12.625" style="128" customWidth="1"/>
    <col min="6" max="6" width="10.625" style="128" customWidth="1"/>
    <col min="7" max="7" width="12.625" style="128" customWidth="1"/>
    <col min="8" max="8" width="10.625" style="128" customWidth="1"/>
    <col min="9" max="9" width="12.625" style="128" customWidth="1"/>
    <col min="10" max="10" width="10.625" style="128" customWidth="1"/>
    <col min="11" max="11" width="12.625" style="128" customWidth="1"/>
    <col min="12" max="12" width="10.625" style="128" customWidth="1"/>
    <col min="13" max="13" width="12.625" style="128" customWidth="1"/>
    <col min="14" max="14" width="11.375" style="128" customWidth="1"/>
    <col min="15" max="16384" width="9.00390625" style="128" customWidth="1"/>
  </cols>
  <sheetData>
    <row r="1" spans="1:13" ht="13.5">
      <c r="A1" s="64" t="s">
        <v>150</v>
      </c>
      <c r="B1" s="64"/>
      <c r="C1" s="64"/>
      <c r="D1" s="64"/>
      <c r="E1" s="64"/>
      <c r="F1" s="64"/>
      <c r="G1" s="64"/>
      <c r="H1" s="64"/>
      <c r="I1" s="64"/>
      <c r="J1" s="64"/>
      <c r="K1" s="64"/>
      <c r="L1" s="65"/>
      <c r="M1" s="65"/>
    </row>
    <row r="2" spans="1:13" ht="14.25" thickBot="1">
      <c r="A2" s="234" t="s">
        <v>137</v>
      </c>
      <c r="B2" s="234"/>
      <c r="C2" s="234"/>
      <c r="D2" s="234"/>
      <c r="E2" s="234"/>
      <c r="F2" s="234"/>
      <c r="G2" s="234"/>
      <c r="H2" s="234"/>
      <c r="I2" s="234"/>
      <c r="J2" s="66"/>
      <c r="K2" s="66"/>
      <c r="L2" s="65"/>
      <c r="M2" s="65"/>
    </row>
    <row r="3" spans="1:14" ht="19.5" customHeight="1">
      <c r="A3" s="226" t="s">
        <v>29</v>
      </c>
      <c r="B3" s="229" t="s">
        <v>30</v>
      </c>
      <c r="C3" s="229"/>
      <c r="D3" s="229"/>
      <c r="E3" s="229"/>
      <c r="F3" s="229"/>
      <c r="G3" s="229"/>
      <c r="H3" s="230" t="s">
        <v>13</v>
      </c>
      <c r="I3" s="231"/>
      <c r="J3" s="233" t="s">
        <v>31</v>
      </c>
      <c r="K3" s="231"/>
      <c r="L3" s="230" t="s">
        <v>32</v>
      </c>
      <c r="M3" s="231"/>
      <c r="N3" s="218" t="s">
        <v>33</v>
      </c>
    </row>
    <row r="4" spans="1:14" ht="17.25" customHeight="1">
      <c r="A4" s="227"/>
      <c r="B4" s="222" t="s">
        <v>16</v>
      </c>
      <c r="C4" s="223"/>
      <c r="D4" s="222" t="s">
        <v>34</v>
      </c>
      <c r="E4" s="223"/>
      <c r="F4" s="222" t="s">
        <v>35</v>
      </c>
      <c r="G4" s="223"/>
      <c r="H4" s="222"/>
      <c r="I4" s="232"/>
      <c r="J4" s="222"/>
      <c r="K4" s="232"/>
      <c r="L4" s="222"/>
      <c r="M4" s="232"/>
      <c r="N4" s="219"/>
    </row>
    <row r="5" spans="1:14" ht="28.5" customHeight="1">
      <c r="A5" s="228"/>
      <c r="B5" s="67" t="s">
        <v>38</v>
      </c>
      <c r="C5" s="68" t="s">
        <v>141</v>
      </c>
      <c r="D5" s="67" t="s">
        <v>38</v>
      </c>
      <c r="E5" s="68" t="s">
        <v>141</v>
      </c>
      <c r="F5" s="67" t="s">
        <v>38</v>
      </c>
      <c r="G5" s="68" t="s">
        <v>142</v>
      </c>
      <c r="H5" s="67" t="s">
        <v>38</v>
      </c>
      <c r="I5" s="89" t="s">
        <v>143</v>
      </c>
      <c r="J5" s="67" t="s">
        <v>38</v>
      </c>
      <c r="K5" s="89" t="s">
        <v>144</v>
      </c>
      <c r="L5" s="67" t="s">
        <v>38</v>
      </c>
      <c r="M5" s="90" t="s">
        <v>145</v>
      </c>
      <c r="N5" s="220"/>
    </row>
    <row r="6" spans="1:14" s="98" customFormat="1" ht="10.5">
      <c r="A6" s="104"/>
      <c r="B6" s="71" t="s">
        <v>4</v>
      </c>
      <c r="C6" s="72" t="s">
        <v>5</v>
      </c>
      <c r="D6" s="71" t="s">
        <v>4</v>
      </c>
      <c r="E6" s="72" t="s">
        <v>5</v>
      </c>
      <c r="F6" s="71" t="s">
        <v>4</v>
      </c>
      <c r="G6" s="72" t="s">
        <v>5</v>
      </c>
      <c r="H6" s="71" t="s">
        <v>4</v>
      </c>
      <c r="I6" s="91" t="s">
        <v>5</v>
      </c>
      <c r="J6" s="71" t="s">
        <v>4</v>
      </c>
      <c r="K6" s="91" t="s">
        <v>5</v>
      </c>
      <c r="L6" s="71" t="s">
        <v>4</v>
      </c>
      <c r="M6" s="91" t="s">
        <v>5</v>
      </c>
      <c r="N6" s="99"/>
    </row>
    <row r="7" spans="1:14" ht="15.75" customHeight="1">
      <c r="A7" s="102" t="s">
        <v>41</v>
      </c>
      <c r="B7" s="129">
        <f>_xlfn.COMPOUNDVALUE(673)</f>
        <v>4337</v>
      </c>
      <c r="C7" s="130">
        <v>21316835</v>
      </c>
      <c r="D7" s="129">
        <f>_xlfn.COMPOUNDVALUE(674)</f>
        <v>1968</v>
      </c>
      <c r="E7" s="130">
        <v>787619</v>
      </c>
      <c r="F7" s="129">
        <f>_xlfn.COMPOUNDVALUE(675)</f>
        <v>6305</v>
      </c>
      <c r="G7" s="130">
        <v>22104454</v>
      </c>
      <c r="H7" s="129">
        <f>_xlfn.COMPOUNDVALUE(676)</f>
        <v>435</v>
      </c>
      <c r="I7" s="131">
        <v>772318</v>
      </c>
      <c r="J7" s="129">
        <v>412</v>
      </c>
      <c r="K7" s="131">
        <v>30393</v>
      </c>
      <c r="L7" s="129">
        <f>_xlfn.COMPOUNDVALUE(676)</f>
        <v>6819</v>
      </c>
      <c r="M7" s="131">
        <v>21362529</v>
      </c>
      <c r="N7" s="88" t="s">
        <v>41</v>
      </c>
    </row>
    <row r="8" spans="1:14" ht="15.75" customHeight="1">
      <c r="A8" s="76" t="s">
        <v>42</v>
      </c>
      <c r="B8" s="129">
        <f>_xlfn.COMPOUNDVALUE(677)</f>
        <v>3740</v>
      </c>
      <c r="C8" s="130">
        <v>17514560</v>
      </c>
      <c r="D8" s="129">
        <f>_xlfn.COMPOUNDVALUE(678)</f>
        <v>1833</v>
      </c>
      <c r="E8" s="130">
        <v>737898</v>
      </c>
      <c r="F8" s="129">
        <f>_xlfn.COMPOUNDVALUE(679)</f>
        <v>5573</v>
      </c>
      <c r="G8" s="130">
        <v>18252458</v>
      </c>
      <c r="H8" s="129">
        <f>_xlfn.COMPOUNDVALUE(680)</f>
        <v>269</v>
      </c>
      <c r="I8" s="131">
        <v>645509</v>
      </c>
      <c r="J8" s="129">
        <v>207</v>
      </c>
      <c r="K8" s="131">
        <v>25519</v>
      </c>
      <c r="L8" s="129">
        <f>_xlfn.COMPOUNDVALUE(680)</f>
        <v>5889</v>
      </c>
      <c r="M8" s="131">
        <v>17632468</v>
      </c>
      <c r="N8" s="88" t="s">
        <v>42</v>
      </c>
    </row>
    <row r="9" spans="1:14" ht="15.75" customHeight="1">
      <c r="A9" s="76" t="s">
        <v>43</v>
      </c>
      <c r="B9" s="129">
        <f>_xlfn.COMPOUNDVALUE(681)</f>
        <v>4164</v>
      </c>
      <c r="C9" s="130">
        <v>41557181</v>
      </c>
      <c r="D9" s="129">
        <f>_xlfn.COMPOUNDVALUE(682)</f>
        <v>1901</v>
      </c>
      <c r="E9" s="130">
        <v>695278</v>
      </c>
      <c r="F9" s="129">
        <f>_xlfn.COMPOUNDVALUE(683)</f>
        <v>6065</v>
      </c>
      <c r="G9" s="130">
        <v>42252459</v>
      </c>
      <c r="H9" s="129">
        <f>_xlfn.COMPOUNDVALUE(684)</f>
        <v>407</v>
      </c>
      <c r="I9" s="131">
        <v>2245845</v>
      </c>
      <c r="J9" s="129">
        <v>335</v>
      </c>
      <c r="K9" s="131">
        <v>81170</v>
      </c>
      <c r="L9" s="129">
        <f>_xlfn.COMPOUNDVALUE(684)</f>
        <v>6554</v>
      </c>
      <c r="M9" s="131">
        <v>40087784</v>
      </c>
      <c r="N9" s="88" t="s">
        <v>43</v>
      </c>
    </row>
    <row r="10" spans="1:14" ht="15.75" customHeight="1">
      <c r="A10" s="76" t="s">
        <v>44</v>
      </c>
      <c r="B10" s="129">
        <f>_xlfn.COMPOUNDVALUE(685)</f>
        <v>1770</v>
      </c>
      <c r="C10" s="130">
        <v>5082394</v>
      </c>
      <c r="D10" s="129">
        <f>_xlfn.COMPOUNDVALUE(686)</f>
        <v>766</v>
      </c>
      <c r="E10" s="130">
        <v>282313</v>
      </c>
      <c r="F10" s="129">
        <f>_xlfn.COMPOUNDVALUE(687)</f>
        <v>2536</v>
      </c>
      <c r="G10" s="130">
        <v>5364707</v>
      </c>
      <c r="H10" s="129">
        <f>_xlfn.COMPOUNDVALUE(688)</f>
        <v>111</v>
      </c>
      <c r="I10" s="131">
        <v>458642</v>
      </c>
      <c r="J10" s="129">
        <v>171</v>
      </c>
      <c r="K10" s="131">
        <v>29592</v>
      </c>
      <c r="L10" s="129">
        <f>_xlfn.COMPOUNDVALUE(688)</f>
        <v>2671</v>
      </c>
      <c r="M10" s="131">
        <v>4935657</v>
      </c>
      <c r="N10" s="88" t="s">
        <v>44</v>
      </c>
    </row>
    <row r="11" spans="1:14" ht="15.75" customHeight="1">
      <c r="A11" s="76" t="s">
        <v>45</v>
      </c>
      <c r="B11" s="129">
        <f>_xlfn.COMPOUNDVALUE(689)</f>
        <v>4299</v>
      </c>
      <c r="C11" s="130">
        <v>27576054</v>
      </c>
      <c r="D11" s="129">
        <f>_xlfn.COMPOUNDVALUE(690)</f>
        <v>2165</v>
      </c>
      <c r="E11" s="130">
        <v>778614</v>
      </c>
      <c r="F11" s="129">
        <f>_xlfn.COMPOUNDVALUE(691)</f>
        <v>6464</v>
      </c>
      <c r="G11" s="130">
        <v>28354668</v>
      </c>
      <c r="H11" s="129">
        <f>_xlfn.COMPOUNDVALUE(692)</f>
        <v>392</v>
      </c>
      <c r="I11" s="131">
        <v>1024862</v>
      </c>
      <c r="J11" s="129">
        <v>324</v>
      </c>
      <c r="K11" s="131">
        <v>27584</v>
      </c>
      <c r="L11" s="129">
        <f>_xlfn.COMPOUNDVALUE(692)</f>
        <v>6910</v>
      </c>
      <c r="M11" s="131">
        <v>27357390</v>
      </c>
      <c r="N11" s="88" t="s">
        <v>45</v>
      </c>
    </row>
    <row r="12" spans="1:14" ht="15.75" customHeight="1">
      <c r="A12" s="76"/>
      <c r="B12" s="129"/>
      <c r="C12" s="130"/>
      <c r="D12" s="129"/>
      <c r="E12" s="130"/>
      <c r="F12" s="129"/>
      <c r="G12" s="130"/>
      <c r="H12" s="129"/>
      <c r="I12" s="131"/>
      <c r="J12" s="129"/>
      <c r="K12" s="131"/>
      <c r="L12" s="129"/>
      <c r="M12" s="131"/>
      <c r="N12" s="88" t="s">
        <v>40</v>
      </c>
    </row>
    <row r="13" spans="1:14" ht="15.75" customHeight="1">
      <c r="A13" s="76" t="s">
        <v>46</v>
      </c>
      <c r="B13" s="129">
        <f>_xlfn.COMPOUNDVALUE(693)</f>
        <v>4083</v>
      </c>
      <c r="C13" s="130">
        <v>15375991</v>
      </c>
      <c r="D13" s="129">
        <f>_xlfn.COMPOUNDVALUE(694)</f>
        <v>2007</v>
      </c>
      <c r="E13" s="130">
        <v>738048</v>
      </c>
      <c r="F13" s="129">
        <f>_xlfn.COMPOUNDVALUE(695)</f>
        <v>6090</v>
      </c>
      <c r="G13" s="130">
        <v>16114039</v>
      </c>
      <c r="H13" s="129">
        <f>_xlfn.COMPOUNDVALUE(696)</f>
        <v>370</v>
      </c>
      <c r="I13" s="131">
        <v>1399206</v>
      </c>
      <c r="J13" s="129">
        <v>270</v>
      </c>
      <c r="K13" s="131">
        <v>91242</v>
      </c>
      <c r="L13" s="129">
        <f>_xlfn.COMPOUNDVALUE(696)</f>
        <v>6519</v>
      </c>
      <c r="M13" s="131">
        <v>14806075</v>
      </c>
      <c r="N13" s="88" t="s">
        <v>46</v>
      </c>
    </row>
    <row r="14" spans="1:14" ht="15.75" customHeight="1">
      <c r="A14" s="76" t="s">
        <v>47</v>
      </c>
      <c r="B14" s="129">
        <f>_xlfn.COMPOUNDVALUE(697)</f>
        <v>1208</v>
      </c>
      <c r="C14" s="130">
        <v>2848627</v>
      </c>
      <c r="D14" s="129">
        <f>_xlfn.COMPOUNDVALUE(698)</f>
        <v>565</v>
      </c>
      <c r="E14" s="130">
        <v>200656</v>
      </c>
      <c r="F14" s="129">
        <f>_xlfn.COMPOUNDVALUE(699)</f>
        <v>1773</v>
      </c>
      <c r="G14" s="130">
        <v>3049284</v>
      </c>
      <c r="H14" s="129">
        <f>_xlfn.COMPOUNDVALUE(700)</f>
        <v>54</v>
      </c>
      <c r="I14" s="131">
        <v>58653</v>
      </c>
      <c r="J14" s="129">
        <v>71</v>
      </c>
      <c r="K14" s="131">
        <v>6018</v>
      </c>
      <c r="L14" s="129">
        <f>_xlfn.COMPOUNDVALUE(700)</f>
        <v>1847</v>
      </c>
      <c r="M14" s="131">
        <v>2996648</v>
      </c>
      <c r="N14" s="88" t="s">
        <v>47</v>
      </c>
    </row>
    <row r="15" spans="1:14" ht="15.75" customHeight="1">
      <c r="A15" s="76" t="s">
        <v>48</v>
      </c>
      <c r="B15" s="129">
        <f>_xlfn.COMPOUNDVALUE(701)</f>
        <v>2638</v>
      </c>
      <c r="C15" s="130">
        <v>8676591</v>
      </c>
      <c r="D15" s="129">
        <f>_xlfn.COMPOUNDVALUE(702)</f>
        <v>1356</v>
      </c>
      <c r="E15" s="130">
        <v>517887</v>
      </c>
      <c r="F15" s="129">
        <f>_xlfn.COMPOUNDVALUE(703)</f>
        <v>3994</v>
      </c>
      <c r="G15" s="130">
        <v>9194478</v>
      </c>
      <c r="H15" s="129">
        <f>_xlfn.COMPOUNDVALUE(704)</f>
        <v>155</v>
      </c>
      <c r="I15" s="131">
        <v>1287935</v>
      </c>
      <c r="J15" s="129">
        <v>198</v>
      </c>
      <c r="K15" s="131">
        <v>72777</v>
      </c>
      <c r="L15" s="129">
        <f>_xlfn.COMPOUNDVALUE(704)</f>
        <v>4195</v>
      </c>
      <c r="M15" s="131">
        <v>7979320</v>
      </c>
      <c r="N15" s="88" t="s">
        <v>48</v>
      </c>
    </row>
    <row r="16" spans="1:14" ht="15.75" customHeight="1">
      <c r="A16" s="78" t="s">
        <v>49</v>
      </c>
      <c r="B16" s="134">
        <f>_xlfn.COMPOUNDVALUE(705)</f>
        <v>4781</v>
      </c>
      <c r="C16" s="135">
        <v>13618193</v>
      </c>
      <c r="D16" s="134">
        <f>_xlfn.COMPOUNDVALUE(706)</f>
        <v>2671</v>
      </c>
      <c r="E16" s="135">
        <v>986021</v>
      </c>
      <c r="F16" s="134">
        <f>_xlfn.COMPOUNDVALUE(707)</f>
        <v>7452</v>
      </c>
      <c r="G16" s="135">
        <v>14604214</v>
      </c>
      <c r="H16" s="134">
        <f>_xlfn.COMPOUNDVALUE(708)</f>
        <v>443</v>
      </c>
      <c r="I16" s="136">
        <v>1371328</v>
      </c>
      <c r="J16" s="134">
        <v>507</v>
      </c>
      <c r="K16" s="136">
        <v>-133027</v>
      </c>
      <c r="L16" s="134">
        <f>_xlfn.COMPOUNDVALUE(708)</f>
        <v>8038</v>
      </c>
      <c r="M16" s="136">
        <v>13099858</v>
      </c>
      <c r="N16" s="77" t="s">
        <v>49</v>
      </c>
    </row>
    <row r="17" spans="1:14" ht="15.75" customHeight="1">
      <c r="A17" s="78" t="s">
        <v>50</v>
      </c>
      <c r="B17" s="134">
        <f>_xlfn.COMPOUNDVALUE(709)</f>
        <v>1049</v>
      </c>
      <c r="C17" s="135">
        <v>3079729</v>
      </c>
      <c r="D17" s="134">
        <f>_xlfn.COMPOUNDVALUE(710)</f>
        <v>453</v>
      </c>
      <c r="E17" s="135">
        <v>157474</v>
      </c>
      <c r="F17" s="134">
        <f>_xlfn.COMPOUNDVALUE(711)</f>
        <v>1502</v>
      </c>
      <c r="G17" s="135">
        <v>3237203</v>
      </c>
      <c r="H17" s="134">
        <f>_xlfn.COMPOUNDVALUE(712)</f>
        <v>73</v>
      </c>
      <c r="I17" s="136">
        <v>184362</v>
      </c>
      <c r="J17" s="134">
        <v>61</v>
      </c>
      <c r="K17" s="136">
        <v>4027</v>
      </c>
      <c r="L17" s="134">
        <f>_xlfn.COMPOUNDVALUE(712)</f>
        <v>1585</v>
      </c>
      <c r="M17" s="136">
        <v>3056869</v>
      </c>
      <c r="N17" s="77" t="s">
        <v>50</v>
      </c>
    </row>
    <row r="18" spans="1:14" ht="15.75" customHeight="1">
      <c r="A18" s="78"/>
      <c r="B18" s="134"/>
      <c r="C18" s="135"/>
      <c r="D18" s="134"/>
      <c r="E18" s="135"/>
      <c r="F18" s="134"/>
      <c r="G18" s="135"/>
      <c r="H18" s="134"/>
      <c r="I18" s="136"/>
      <c r="J18" s="134"/>
      <c r="K18" s="136"/>
      <c r="L18" s="134"/>
      <c r="M18" s="136"/>
      <c r="N18" s="77" t="s">
        <v>40</v>
      </c>
    </row>
    <row r="19" spans="1:14" ht="15.75" customHeight="1">
      <c r="A19" s="78" t="s">
        <v>51</v>
      </c>
      <c r="B19" s="134">
        <f>_xlfn.COMPOUNDVALUE(713)</f>
        <v>1809</v>
      </c>
      <c r="C19" s="135">
        <v>4881768</v>
      </c>
      <c r="D19" s="134">
        <f>_xlfn.COMPOUNDVALUE(714)</f>
        <v>901</v>
      </c>
      <c r="E19" s="135">
        <v>320074</v>
      </c>
      <c r="F19" s="134">
        <f>_xlfn.COMPOUNDVALUE(715)</f>
        <v>2710</v>
      </c>
      <c r="G19" s="135">
        <v>5201842</v>
      </c>
      <c r="H19" s="134">
        <f>_xlfn.COMPOUNDVALUE(716)</f>
        <v>125</v>
      </c>
      <c r="I19" s="136">
        <v>144799</v>
      </c>
      <c r="J19" s="134">
        <v>120</v>
      </c>
      <c r="K19" s="136">
        <v>2639</v>
      </c>
      <c r="L19" s="134">
        <f>_xlfn.COMPOUNDVALUE(716)</f>
        <v>2861</v>
      </c>
      <c r="M19" s="136">
        <v>5059681</v>
      </c>
      <c r="N19" s="77" t="s">
        <v>51</v>
      </c>
    </row>
    <row r="20" spans="1:14" ht="15.75" customHeight="1">
      <c r="A20" s="78" t="s">
        <v>52</v>
      </c>
      <c r="B20" s="134">
        <f>_xlfn.COMPOUNDVALUE(717)</f>
        <v>5009</v>
      </c>
      <c r="C20" s="135">
        <v>15014431</v>
      </c>
      <c r="D20" s="134">
        <f>_xlfn.COMPOUNDVALUE(718)</f>
        <v>2315</v>
      </c>
      <c r="E20" s="135">
        <v>864980</v>
      </c>
      <c r="F20" s="134">
        <f>_xlfn.COMPOUNDVALUE(719)</f>
        <v>7324</v>
      </c>
      <c r="G20" s="135">
        <v>15879410</v>
      </c>
      <c r="H20" s="134">
        <f>_xlfn.COMPOUNDVALUE(720)</f>
        <v>856</v>
      </c>
      <c r="I20" s="136">
        <v>6477278</v>
      </c>
      <c r="J20" s="134">
        <v>503</v>
      </c>
      <c r="K20" s="136">
        <v>42166</v>
      </c>
      <c r="L20" s="134">
        <f>_xlfn.COMPOUNDVALUE(720)</f>
        <v>8309</v>
      </c>
      <c r="M20" s="136">
        <v>9444298</v>
      </c>
      <c r="N20" s="77" t="s">
        <v>52</v>
      </c>
    </row>
    <row r="21" spans="1:14" ht="15.75" customHeight="1">
      <c r="A21" s="78" t="s">
        <v>53</v>
      </c>
      <c r="B21" s="134">
        <f>_xlfn.COMPOUNDVALUE(721)</f>
        <v>1786</v>
      </c>
      <c r="C21" s="135">
        <v>4333371</v>
      </c>
      <c r="D21" s="134">
        <f>_xlfn.COMPOUNDVALUE(722)</f>
        <v>822</v>
      </c>
      <c r="E21" s="135">
        <v>284467</v>
      </c>
      <c r="F21" s="134">
        <f>_xlfn.COMPOUNDVALUE(723)</f>
        <v>2608</v>
      </c>
      <c r="G21" s="135">
        <v>4617838</v>
      </c>
      <c r="H21" s="134">
        <f>_xlfn.COMPOUNDVALUE(724)</f>
        <v>114</v>
      </c>
      <c r="I21" s="136">
        <v>164148</v>
      </c>
      <c r="J21" s="134">
        <v>175</v>
      </c>
      <c r="K21" s="136">
        <v>12463</v>
      </c>
      <c r="L21" s="134">
        <f>_xlfn.COMPOUNDVALUE(724)</f>
        <v>2754</v>
      </c>
      <c r="M21" s="136">
        <v>4466153</v>
      </c>
      <c r="N21" s="77" t="s">
        <v>53</v>
      </c>
    </row>
    <row r="22" spans="1:14" ht="15.75" customHeight="1">
      <c r="A22" s="78" t="s">
        <v>178</v>
      </c>
      <c r="B22" s="134">
        <f>_xlfn.COMPOUNDVALUE(725)</f>
        <v>4767</v>
      </c>
      <c r="C22" s="135">
        <v>15482126</v>
      </c>
      <c r="D22" s="134">
        <f>_xlfn.COMPOUNDVALUE(726)</f>
        <v>2457</v>
      </c>
      <c r="E22" s="135">
        <v>897170</v>
      </c>
      <c r="F22" s="134">
        <f>_xlfn.COMPOUNDVALUE(727)</f>
        <v>7224</v>
      </c>
      <c r="G22" s="135">
        <v>16379296</v>
      </c>
      <c r="H22" s="134">
        <f>_xlfn.COMPOUNDVALUE(728)</f>
        <v>452</v>
      </c>
      <c r="I22" s="136">
        <v>988200</v>
      </c>
      <c r="J22" s="134">
        <v>326</v>
      </c>
      <c r="K22" s="136">
        <v>51297</v>
      </c>
      <c r="L22" s="134">
        <f>_xlfn.COMPOUNDVALUE(728)</f>
        <v>7770</v>
      </c>
      <c r="M22" s="136">
        <v>15442393</v>
      </c>
      <c r="N22" s="77" t="s">
        <v>54</v>
      </c>
    </row>
    <row r="23" spans="1:14" ht="15.75" customHeight="1">
      <c r="A23" s="79" t="s">
        <v>181</v>
      </c>
      <c r="B23" s="137">
        <v>45440</v>
      </c>
      <c r="C23" s="138">
        <v>196357850</v>
      </c>
      <c r="D23" s="137">
        <v>22180</v>
      </c>
      <c r="E23" s="138">
        <v>8248500</v>
      </c>
      <c r="F23" s="137">
        <v>67620</v>
      </c>
      <c r="G23" s="138">
        <v>204606350</v>
      </c>
      <c r="H23" s="137">
        <v>4256</v>
      </c>
      <c r="I23" s="139">
        <v>17223086</v>
      </c>
      <c r="J23" s="137">
        <v>3680</v>
      </c>
      <c r="K23" s="139">
        <v>343860</v>
      </c>
      <c r="L23" s="137">
        <v>72721</v>
      </c>
      <c r="M23" s="139">
        <v>187727123</v>
      </c>
      <c r="N23" s="84" t="s">
        <v>56</v>
      </c>
    </row>
    <row r="24" spans="1:14" ht="15.75" customHeight="1">
      <c r="A24" s="85"/>
      <c r="B24" s="142"/>
      <c r="C24" s="143"/>
      <c r="D24" s="142"/>
      <c r="E24" s="143"/>
      <c r="F24" s="144"/>
      <c r="G24" s="143"/>
      <c r="H24" s="144"/>
      <c r="I24" s="143"/>
      <c r="J24" s="144"/>
      <c r="K24" s="143"/>
      <c r="L24" s="144"/>
      <c r="M24" s="143"/>
      <c r="N24" s="92"/>
    </row>
    <row r="25" spans="1:14" ht="15.75" customHeight="1">
      <c r="A25" s="76" t="s">
        <v>57</v>
      </c>
      <c r="B25" s="129">
        <v>9147</v>
      </c>
      <c r="C25" s="130">
        <v>645338076</v>
      </c>
      <c r="D25" s="129">
        <f>_xlfn.COMPOUNDVALUE(729)</f>
        <v>1644</v>
      </c>
      <c r="E25" s="130">
        <v>1162991</v>
      </c>
      <c r="F25" s="129">
        <f>_xlfn.COMPOUNDVALUE(730)</f>
        <v>10791</v>
      </c>
      <c r="G25" s="130">
        <v>646501068</v>
      </c>
      <c r="H25" s="129">
        <f>_xlfn.COMPOUNDVALUE(731)</f>
        <v>2813</v>
      </c>
      <c r="I25" s="131">
        <v>278061706</v>
      </c>
      <c r="J25" s="129">
        <v>1007</v>
      </c>
      <c r="K25" s="131">
        <v>1723661</v>
      </c>
      <c r="L25" s="129">
        <f>_xlfn.COMPOUNDVALUE(731)</f>
        <v>13718</v>
      </c>
      <c r="M25" s="131">
        <v>370163023</v>
      </c>
      <c r="N25" s="87" t="s">
        <v>57</v>
      </c>
    </row>
    <row r="26" spans="1:14" ht="15.75" customHeight="1">
      <c r="A26" s="76" t="s">
        <v>58</v>
      </c>
      <c r="B26" s="129">
        <f>_xlfn.COMPOUNDVALUE(732)</f>
        <v>10873</v>
      </c>
      <c r="C26" s="130">
        <v>162469659</v>
      </c>
      <c r="D26" s="129">
        <f>_xlfn.COMPOUNDVALUE(733)</f>
        <v>2464</v>
      </c>
      <c r="E26" s="130">
        <v>1124854</v>
      </c>
      <c r="F26" s="129">
        <f>_xlfn.COMPOUNDVALUE(734)</f>
        <v>13337</v>
      </c>
      <c r="G26" s="130">
        <v>163594513</v>
      </c>
      <c r="H26" s="129">
        <f>_xlfn.COMPOUNDVALUE(735)</f>
        <v>2055</v>
      </c>
      <c r="I26" s="131">
        <v>41114727</v>
      </c>
      <c r="J26" s="129">
        <v>917</v>
      </c>
      <c r="K26" s="131">
        <v>-289760</v>
      </c>
      <c r="L26" s="129">
        <f>_xlfn.COMPOUNDVALUE(735)</f>
        <v>15531</v>
      </c>
      <c r="M26" s="131">
        <v>122190026</v>
      </c>
      <c r="N26" s="88" t="s">
        <v>58</v>
      </c>
    </row>
    <row r="27" spans="1:14" ht="15.75" customHeight="1">
      <c r="A27" s="76" t="s">
        <v>59</v>
      </c>
      <c r="B27" s="129">
        <f>_xlfn.COMPOUNDVALUE(736)</f>
        <v>8480</v>
      </c>
      <c r="C27" s="130">
        <v>202999385</v>
      </c>
      <c r="D27" s="129">
        <f>_xlfn.COMPOUNDVALUE(737)</f>
        <v>1824</v>
      </c>
      <c r="E27" s="130">
        <v>1442044</v>
      </c>
      <c r="F27" s="129">
        <f>_xlfn.COMPOUNDVALUE(738)</f>
        <v>10304</v>
      </c>
      <c r="G27" s="130">
        <v>204441429</v>
      </c>
      <c r="H27" s="129">
        <f>_xlfn.COMPOUNDVALUE(739)</f>
        <v>2036</v>
      </c>
      <c r="I27" s="131">
        <v>46233765</v>
      </c>
      <c r="J27" s="129">
        <v>809</v>
      </c>
      <c r="K27" s="131">
        <v>427776</v>
      </c>
      <c r="L27" s="129">
        <f>_xlfn.COMPOUNDVALUE(739)</f>
        <v>12464</v>
      </c>
      <c r="M27" s="131">
        <v>158635439</v>
      </c>
      <c r="N27" s="88" t="s">
        <v>59</v>
      </c>
    </row>
    <row r="28" spans="1:14" ht="15.75" customHeight="1">
      <c r="A28" s="76" t="s">
        <v>60</v>
      </c>
      <c r="B28" s="129">
        <f>_xlfn.COMPOUNDVALUE(740)</f>
        <v>11139</v>
      </c>
      <c r="C28" s="130">
        <v>217996806</v>
      </c>
      <c r="D28" s="129">
        <f>_xlfn.COMPOUNDVALUE(741)</f>
        <v>2509</v>
      </c>
      <c r="E28" s="130">
        <v>2666781</v>
      </c>
      <c r="F28" s="129">
        <f>_xlfn.COMPOUNDVALUE(742)</f>
        <v>13648</v>
      </c>
      <c r="G28" s="130">
        <v>220663587</v>
      </c>
      <c r="H28" s="129">
        <f>_xlfn.COMPOUNDVALUE(743)</f>
        <v>1989</v>
      </c>
      <c r="I28" s="131">
        <v>98701790</v>
      </c>
      <c r="J28" s="129">
        <v>1062</v>
      </c>
      <c r="K28" s="131">
        <v>-116032</v>
      </c>
      <c r="L28" s="129">
        <f>_xlfn.COMPOUNDVALUE(743)</f>
        <v>15768</v>
      </c>
      <c r="M28" s="131">
        <v>121845766</v>
      </c>
      <c r="N28" s="88" t="s">
        <v>60</v>
      </c>
    </row>
    <row r="29" spans="1:14" ht="15.75" customHeight="1">
      <c r="A29" s="76" t="s">
        <v>179</v>
      </c>
      <c r="B29" s="129">
        <f>_xlfn.COMPOUNDVALUE(744)</f>
        <v>13727</v>
      </c>
      <c r="C29" s="130">
        <v>523285481</v>
      </c>
      <c r="D29" s="129">
        <f>_xlfn.COMPOUNDVALUE(745)</f>
        <v>2913</v>
      </c>
      <c r="E29" s="130">
        <v>1418407</v>
      </c>
      <c r="F29" s="129">
        <f>_xlfn.COMPOUNDVALUE(746)</f>
        <v>16640</v>
      </c>
      <c r="G29" s="130">
        <v>524703888</v>
      </c>
      <c r="H29" s="129">
        <f>_xlfn.COMPOUNDVALUE(747)</f>
        <v>3820</v>
      </c>
      <c r="I29" s="131">
        <v>242319475</v>
      </c>
      <c r="J29" s="129">
        <v>1384</v>
      </c>
      <c r="K29" s="131">
        <v>-418114</v>
      </c>
      <c r="L29" s="129">
        <f>_xlfn.COMPOUNDVALUE(747)</f>
        <v>20670</v>
      </c>
      <c r="M29" s="131">
        <v>281966300</v>
      </c>
      <c r="N29" s="88" t="s">
        <v>61</v>
      </c>
    </row>
    <row r="30" spans="1:14" ht="15.75" customHeight="1">
      <c r="A30" s="76"/>
      <c r="B30" s="129"/>
      <c r="C30" s="130"/>
      <c r="D30" s="129"/>
      <c r="E30" s="130"/>
      <c r="F30" s="129"/>
      <c r="G30" s="130"/>
      <c r="H30" s="129"/>
      <c r="I30" s="131"/>
      <c r="J30" s="129"/>
      <c r="K30" s="131"/>
      <c r="L30" s="129"/>
      <c r="M30" s="131"/>
      <c r="N30" s="88" t="s">
        <v>40</v>
      </c>
    </row>
    <row r="31" spans="1:14" ht="15.75" customHeight="1">
      <c r="A31" s="76" t="s">
        <v>62</v>
      </c>
      <c r="B31" s="129">
        <f>_xlfn.COMPOUNDVALUE(748)</f>
        <v>12412</v>
      </c>
      <c r="C31" s="130">
        <v>192577788</v>
      </c>
      <c r="D31" s="129">
        <f>_xlfn.COMPOUNDVALUE(749)</f>
        <v>3018</v>
      </c>
      <c r="E31" s="130">
        <v>1713568</v>
      </c>
      <c r="F31" s="129">
        <f>_xlfn.COMPOUNDVALUE(750)</f>
        <v>15430</v>
      </c>
      <c r="G31" s="130">
        <v>194291356</v>
      </c>
      <c r="H31" s="129">
        <f>_xlfn.COMPOUNDVALUE(751)</f>
        <v>2499</v>
      </c>
      <c r="I31" s="131">
        <v>127741462</v>
      </c>
      <c r="J31" s="129">
        <v>1089</v>
      </c>
      <c r="K31" s="131">
        <v>623714</v>
      </c>
      <c r="L31" s="129">
        <f>_xlfn.COMPOUNDVALUE(751)</f>
        <v>18177</v>
      </c>
      <c r="M31" s="131">
        <v>67173607</v>
      </c>
      <c r="N31" s="88" t="s">
        <v>62</v>
      </c>
    </row>
    <row r="32" spans="1:14" ht="15.75" customHeight="1">
      <c r="A32" s="76" t="s">
        <v>63</v>
      </c>
      <c r="B32" s="129">
        <f>_xlfn.COMPOUNDVALUE(752)</f>
        <v>6465</v>
      </c>
      <c r="C32" s="130">
        <v>137151406</v>
      </c>
      <c r="D32" s="129">
        <f>_xlfn.COMPOUNDVALUE(753)</f>
        <v>1915</v>
      </c>
      <c r="E32" s="130">
        <v>785345</v>
      </c>
      <c r="F32" s="129">
        <f>_xlfn.COMPOUNDVALUE(754)</f>
        <v>8380</v>
      </c>
      <c r="G32" s="130">
        <v>137936751</v>
      </c>
      <c r="H32" s="129">
        <f>_xlfn.COMPOUNDVALUE(755)</f>
        <v>1177</v>
      </c>
      <c r="I32" s="131">
        <v>32673588</v>
      </c>
      <c r="J32" s="129">
        <v>534</v>
      </c>
      <c r="K32" s="131">
        <v>-437983</v>
      </c>
      <c r="L32" s="129">
        <f>_xlfn.COMPOUNDVALUE(755)</f>
        <v>9659</v>
      </c>
      <c r="M32" s="131">
        <v>104825180</v>
      </c>
      <c r="N32" s="88" t="s">
        <v>63</v>
      </c>
    </row>
    <row r="33" spans="1:14" ht="15.75" customHeight="1">
      <c r="A33" s="76" t="s">
        <v>64</v>
      </c>
      <c r="B33" s="129">
        <f>_xlfn.COMPOUNDVALUE(756)</f>
        <v>7366</v>
      </c>
      <c r="C33" s="130">
        <v>75968388</v>
      </c>
      <c r="D33" s="129">
        <f>_xlfn.COMPOUNDVALUE(757)</f>
        <v>2409</v>
      </c>
      <c r="E33" s="130">
        <v>1087666</v>
      </c>
      <c r="F33" s="129">
        <f>_xlfn.COMPOUNDVALUE(758)</f>
        <v>9775</v>
      </c>
      <c r="G33" s="130">
        <v>77056055</v>
      </c>
      <c r="H33" s="129">
        <f>_xlfn.COMPOUNDVALUE(759)</f>
        <v>874</v>
      </c>
      <c r="I33" s="131">
        <v>4045962</v>
      </c>
      <c r="J33" s="129">
        <v>600</v>
      </c>
      <c r="K33" s="131">
        <v>330972</v>
      </c>
      <c r="L33" s="129">
        <f>_xlfn.COMPOUNDVALUE(759)</f>
        <v>10742</v>
      </c>
      <c r="M33" s="131">
        <v>73341064</v>
      </c>
      <c r="N33" s="88" t="s">
        <v>64</v>
      </c>
    </row>
    <row r="34" spans="1:14" ht="15.75" customHeight="1">
      <c r="A34" s="76" t="s">
        <v>65</v>
      </c>
      <c r="B34" s="129">
        <f>_xlfn.COMPOUNDVALUE(760)</f>
        <v>8301</v>
      </c>
      <c r="C34" s="130">
        <v>200518265</v>
      </c>
      <c r="D34" s="129">
        <f>_xlfn.COMPOUNDVALUE(761)</f>
        <v>2438</v>
      </c>
      <c r="E34" s="130">
        <v>1279221</v>
      </c>
      <c r="F34" s="129">
        <f>_xlfn.COMPOUNDVALUE(762)</f>
        <v>10739</v>
      </c>
      <c r="G34" s="130">
        <v>201797486</v>
      </c>
      <c r="H34" s="129">
        <f>_xlfn.COMPOUNDVALUE(763)</f>
        <v>1291</v>
      </c>
      <c r="I34" s="131">
        <v>44504154</v>
      </c>
      <c r="J34" s="129">
        <v>846</v>
      </c>
      <c r="K34" s="131">
        <v>66121</v>
      </c>
      <c r="L34" s="129">
        <f>_xlfn.COMPOUNDVALUE(763)</f>
        <v>12202</v>
      </c>
      <c r="M34" s="131">
        <v>157359452</v>
      </c>
      <c r="N34" s="88" t="s">
        <v>65</v>
      </c>
    </row>
    <row r="35" spans="1:14" ht="15.75" customHeight="1">
      <c r="A35" s="76" t="s">
        <v>66</v>
      </c>
      <c r="B35" s="129">
        <f>_xlfn.COMPOUNDVALUE(764)</f>
        <v>2463</v>
      </c>
      <c r="C35" s="130">
        <v>37696463</v>
      </c>
      <c r="D35" s="129">
        <f>_xlfn.COMPOUNDVALUE(765)</f>
        <v>1045</v>
      </c>
      <c r="E35" s="130">
        <v>390285</v>
      </c>
      <c r="F35" s="129">
        <f>_xlfn.COMPOUNDVALUE(766)</f>
        <v>3508</v>
      </c>
      <c r="G35" s="130">
        <v>38086748</v>
      </c>
      <c r="H35" s="129">
        <f>_xlfn.COMPOUNDVALUE(767)</f>
        <v>285</v>
      </c>
      <c r="I35" s="131">
        <v>7507914</v>
      </c>
      <c r="J35" s="129">
        <v>233</v>
      </c>
      <c r="K35" s="131">
        <v>66444</v>
      </c>
      <c r="L35" s="129">
        <f>_xlfn.COMPOUNDVALUE(767)</f>
        <v>3830</v>
      </c>
      <c r="M35" s="131">
        <v>30645278</v>
      </c>
      <c r="N35" s="88" t="s">
        <v>66</v>
      </c>
    </row>
    <row r="36" spans="1:14" ht="15.75" customHeight="1">
      <c r="A36" s="76"/>
      <c r="B36" s="129"/>
      <c r="C36" s="130"/>
      <c r="D36" s="129"/>
      <c r="E36" s="130"/>
      <c r="F36" s="129"/>
      <c r="G36" s="130"/>
      <c r="H36" s="129"/>
      <c r="I36" s="131"/>
      <c r="J36" s="129"/>
      <c r="K36" s="131"/>
      <c r="L36" s="129"/>
      <c r="M36" s="131"/>
      <c r="N36" s="88" t="s">
        <v>40</v>
      </c>
    </row>
    <row r="37" spans="1:14" ht="15.75" customHeight="1">
      <c r="A37" s="76" t="s">
        <v>67</v>
      </c>
      <c r="B37" s="129">
        <f>_xlfn.COMPOUNDVALUE(768)</f>
        <v>3304</v>
      </c>
      <c r="C37" s="130">
        <v>29463760</v>
      </c>
      <c r="D37" s="129">
        <f>_xlfn.COMPOUNDVALUE(769)</f>
        <v>1154</v>
      </c>
      <c r="E37" s="130">
        <v>434953</v>
      </c>
      <c r="F37" s="129">
        <f>_xlfn.COMPOUNDVALUE(770)</f>
        <v>4458</v>
      </c>
      <c r="G37" s="130">
        <v>29898713</v>
      </c>
      <c r="H37" s="129">
        <f>_xlfn.COMPOUNDVALUE(771)</f>
        <v>394</v>
      </c>
      <c r="I37" s="131">
        <v>1568361</v>
      </c>
      <c r="J37" s="129">
        <v>229</v>
      </c>
      <c r="K37" s="131">
        <v>31467</v>
      </c>
      <c r="L37" s="129">
        <f>_xlfn.COMPOUNDVALUE(771)</f>
        <v>4895</v>
      </c>
      <c r="M37" s="131">
        <v>28361820</v>
      </c>
      <c r="N37" s="88" t="s">
        <v>67</v>
      </c>
    </row>
    <row r="38" spans="1:14" ht="15.75" customHeight="1">
      <c r="A38" s="76" t="s">
        <v>68</v>
      </c>
      <c r="B38" s="129">
        <f>_xlfn.COMPOUNDVALUE(772)</f>
        <v>4997</v>
      </c>
      <c r="C38" s="130">
        <v>51325807</v>
      </c>
      <c r="D38" s="129">
        <f>_xlfn.COMPOUNDVALUE(773)</f>
        <v>1666</v>
      </c>
      <c r="E38" s="130">
        <v>633247</v>
      </c>
      <c r="F38" s="129">
        <f>_xlfn.COMPOUNDVALUE(774)</f>
        <v>6663</v>
      </c>
      <c r="G38" s="130">
        <v>51959054</v>
      </c>
      <c r="H38" s="129">
        <f>_xlfn.COMPOUNDVALUE(775)</f>
        <v>831</v>
      </c>
      <c r="I38" s="131">
        <v>4910588</v>
      </c>
      <c r="J38" s="129">
        <v>461</v>
      </c>
      <c r="K38" s="131">
        <v>-550313</v>
      </c>
      <c r="L38" s="129">
        <f>_xlfn.COMPOUNDVALUE(775)</f>
        <v>7553</v>
      </c>
      <c r="M38" s="131">
        <v>46498152</v>
      </c>
      <c r="N38" s="88" t="s">
        <v>68</v>
      </c>
    </row>
    <row r="39" spans="1:14" ht="15.75" customHeight="1">
      <c r="A39" s="76" t="s">
        <v>69</v>
      </c>
      <c r="B39" s="129">
        <f>_xlfn.COMPOUNDVALUE(776)</f>
        <v>4962</v>
      </c>
      <c r="C39" s="130">
        <v>48571305</v>
      </c>
      <c r="D39" s="129">
        <f>_xlfn.COMPOUNDVALUE(777)</f>
        <v>1866</v>
      </c>
      <c r="E39" s="130">
        <v>628186</v>
      </c>
      <c r="F39" s="129">
        <f>_xlfn.COMPOUNDVALUE(778)</f>
        <v>6828</v>
      </c>
      <c r="G39" s="130">
        <v>49199492</v>
      </c>
      <c r="H39" s="129">
        <f>_xlfn.COMPOUNDVALUE(779)</f>
        <v>644</v>
      </c>
      <c r="I39" s="131">
        <v>3496203</v>
      </c>
      <c r="J39" s="129">
        <v>358</v>
      </c>
      <c r="K39" s="131">
        <v>32111</v>
      </c>
      <c r="L39" s="129">
        <f>_xlfn.COMPOUNDVALUE(779)</f>
        <v>7540</v>
      </c>
      <c r="M39" s="131">
        <v>45735399</v>
      </c>
      <c r="N39" s="88" t="s">
        <v>69</v>
      </c>
    </row>
    <row r="40" spans="1:14" ht="15.75" customHeight="1">
      <c r="A40" s="76" t="s">
        <v>70</v>
      </c>
      <c r="B40" s="129">
        <f>_xlfn.COMPOUNDVALUE(780)</f>
        <v>4168</v>
      </c>
      <c r="C40" s="130">
        <v>58531100</v>
      </c>
      <c r="D40" s="129">
        <f>_xlfn.COMPOUNDVALUE(781)</f>
        <v>1503</v>
      </c>
      <c r="E40" s="130">
        <v>517386</v>
      </c>
      <c r="F40" s="129">
        <f>_xlfn.COMPOUNDVALUE(782)</f>
        <v>5671</v>
      </c>
      <c r="G40" s="130">
        <v>59048486</v>
      </c>
      <c r="H40" s="129">
        <f>_xlfn.COMPOUNDVALUE(783)</f>
        <v>430</v>
      </c>
      <c r="I40" s="131">
        <v>3155320</v>
      </c>
      <c r="J40" s="129">
        <v>295</v>
      </c>
      <c r="K40" s="131">
        <v>-38408</v>
      </c>
      <c r="L40" s="129">
        <f>_xlfn.COMPOUNDVALUE(783)</f>
        <v>6142</v>
      </c>
      <c r="M40" s="131">
        <v>55854758</v>
      </c>
      <c r="N40" s="88" t="s">
        <v>70</v>
      </c>
    </row>
    <row r="41" spans="1:14" ht="15.75" customHeight="1">
      <c r="A41" s="76" t="s">
        <v>71</v>
      </c>
      <c r="B41" s="129">
        <f>_xlfn.COMPOUNDVALUE(784)</f>
        <v>1494</v>
      </c>
      <c r="C41" s="130">
        <v>6780098</v>
      </c>
      <c r="D41" s="129">
        <f>_xlfn.COMPOUNDVALUE(785)</f>
        <v>868</v>
      </c>
      <c r="E41" s="130">
        <v>262031</v>
      </c>
      <c r="F41" s="129">
        <f>_xlfn.COMPOUNDVALUE(786)</f>
        <v>2362</v>
      </c>
      <c r="G41" s="130">
        <v>7042129</v>
      </c>
      <c r="H41" s="129">
        <f>_xlfn.COMPOUNDVALUE(787)</f>
        <v>89</v>
      </c>
      <c r="I41" s="131">
        <v>263810</v>
      </c>
      <c r="J41" s="129">
        <v>151</v>
      </c>
      <c r="K41" s="131">
        <v>-49194</v>
      </c>
      <c r="L41" s="129">
        <f>_xlfn.COMPOUNDVALUE(787)</f>
        <v>2484</v>
      </c>
      <c r="M41" s="131">
        <v>6729124</v>
      </c>
      <c r="N41" s="88" t="s">
        <v>71</v>
      </c>
    </row>
    <row r="42" spans="1:14" ht="15.75" customHeight="1">
      <c r="A42" s="106"/>
      <c r="B42" s="129"/>
      <c r="C42" s="130"/>
      <c r="D42" s="129"/>
      <c r="E42" s="130"/>
      <c r="F42" s="129"/>
      <c r="G42" s="130"/>
      <c r="H42" s="129"/>
      <c r="I42" s="131"/>
      <c r="J42" s="129"/>
      <c r="K42" s="131"/>
      <c r="L42" s="129"/>
      <c r="M42" s="131"/>
      <c r="N42" s="108" t="s">
        <v>40</v>
      </c>
    </row>
    <row r="43" spans="1:14" ht="15.75" customHeight="1">
      <c r="A43" s="102" t="s">
        <v>72</v>
      </c>
      <c r="B43" s="129">
        <f>_xlfn.COMPOUNDVALUE(788)</f>
        <v>4562</v>
      </c>
      <c r="C43" s="130">
        <v>89313914</v>
      </c>
      <c r="D43" s="129">
        <f>_xlfn.COMPOUNDVALUE(789)</f>
        <v>1595</v>
      </c>
      <c r="E43" s="130">
        <v>549107</v>
      </c>
      <c r="F43" s="129">
        <f>_xlfn.COMPOUNDVALUE(790)</f>
        <v>6157</v>
      </c>
      <c r="G43" s="130">
        <v>89863021</v>
      </c>
      <c r="H43" s="129">
        <f>_xlfn.COMPOUNDVALUE(791)</f>
        <v>532</v>
      </c>
      <c r="I43" s="131">
        <v>6430901</v>
      </c>
      <c r="J43" s="129">
        <v>351</v>
      </c>
      <c r="K43" s="131">
        <v>278867</v>
      </c>
      <c r="L43" s="129">
        <f>_xlfn.COMPOUNDVALUE(791)</f>
        <v>6766</v>
      </c>
      <c r="M43" s="131">
        <v>83710987</v>
      </c>
      <c r="N43" s="88" t="s">
        <v>72</v>
      </c>
    </row>
    <row r="44" spans="1:14" ht="15.75" customHeight="1">
      <c r="A44" s="76" t="s">
        <v>73</v>
      </c>
      <c r="B44" s="129">
        <f>_xlfn.COMPOUNDVALUE(792)</f>
        <v>2497</v>
      </c>
      <c r="C44" s="130">
        <v>37930392</v>
      </c>
      <c r="D44" s="129">
        <f>_xlfn.COMPOUNDVALUE(793)</f>
        <v>1198</v>
      </c>
      <c r="E44" s="130">
        <v>444198</v>
      </c>
      <c r="F44" s="129">
        <f>_xlfn.COMPOUNDVALUE(794)</f>
        <v>3695</v>
      </c>
      <c r="G44" s="130">
        <v>38374590</v>
      </c>
      <c r="H44" s="129">
        <f>_xlfn.COMPOUNDVALUE(795)</f>
        <v>287</v>
      </c>
      <c r="I44" s="131">
        <v>1831828</v>
      </c>
      <c r="J44" s="129">
        <v>300</v>
      </c>
      <c r="K44" s="131">
        <v>95670</v>
      </c>
      <c r="L44" s="129">
        <f>_xlfn.COMPOUNDVALUE(795)</f>
        <v>4021</v>
      </c>
      <c r="M44" s="131">
        <v>36638432</v>
      </c>
      <c r="N44" s="88" t="s">
        <v>73</v>
      </c>
    </row>
    <row r="45" spans="1:14" ht="15.75" customHeight="1">
      <c r="A45" s="76" t="s">
        <v>74</v>
      </c>
      <c r="B45" s="129">
        <f>_xlfn.COMPOUNDVALUE(796)</f>
        <v>1747</v>
      </c>
      <c r="C45" s="130">
        <v>7383729</v>
      </c>
      <c r="D45" s="129">
        <f>_xlfn.COMPOUNDVALUE(797)</f>
        <v>1002</v>
      </c>
      <c r="E45" s="130">
        <v>339059</v>
      </c>
      <c r="F45" s="129">
        <f>_xlfn.COMPOUNDVALUE(798)</f>
        <v>2749</v>
      </c>
      <c r="G45" s="130">
        <v>7722788</v>
      </c>
      <c r="H45" s="129">
        <f>_xlfn.COMPOUNDVALUE(799)</f>
        <v>177</v>
      </c>
      <c r="I45" s="131">
        <v>1261092</v>
      </c>
      <c r="J45" s="129">
        <v>163</v>
      </c>
      <c r="K45" s="131">
        <v>29363</v>
      </c>
      <c r="L45" s="129">
        <f>_xlfn.COMPOUNDVALUE(799)</f>
        <v>2970</v>
      </c>
      <c r="M45" s="131">
        <v>6491059</v>
      </c>
      <c r="N45" s="88" t="s">
        <v>74</v>
      </c>
    </row>
    <row r="46" spans="1:14" ht="15.75" customHeight="1">
      <c r="A46" s="76" t="s">
        <v>75</v>
      </c>
      <c r="B46" s="129">
        <f>_xlfn.COMPOUNDVALUE(800)</f>
        <v>5239</v>
      </c>
      <c r="C46" s="130">
        <v>38830594</v>
      </c>
      <c r="D46" s="129">
        <f>_xlfn.COMPOUNDVALUE(801)</f>
        <v>2187</v>
      </c>
      <c r="E46" s="130">
        <v>879070</v>
      </c>
      <c r="F46" s="129">
        <f>_xlfn.COMPOUNDVALUE(802)</f>
        <v>7426</v>
      </c>
      <c r="G46" s="130">
        <v>39709665</v>
      </c>
      <c r="H46" s="129">
        <f>_xlfn.COMPOUNDVALUE(803)</f>
        <v>546</v>
      </c>
      <c r="I46" s="131">
        <v>2771346</v>
      </c>
      <c r="J46" s="129">
        <v>440</v>
      </c>
      <c r="K46" s="131">
        <v>97895</v>
      </c>
      <c r="L46" s="129">
        <f>_xlfn.COMPOUNDVALUE(803)</f>
        <v>8045</v>
      </c>
      <c r="M46" s="131">
        <v>37036214</v>
      </c>
      <c r="N46" s="88" t="s">
        <v>75</v>
      </c>
    </row>
    <row r="47" spans="1:14" ht="15.75" customHeight="1">
      <c r="A47" s="76" t="s">
        <v>76</v>
      </c>
      <c r="B47" s="129">
        <f>_xlfn.COMPOUNDVALUE(804)</f>
        <v>3708</v>
      </c>
      <c r="C47" s="130">
        <v>21877682</v>
      </c>
      <c r="D47" s="129">
        <f>_xlfn.COMPOUNDVALUE(805)</f>
        <v>1701</v>
      </c>
      <c r="E47" s="130">
        <v>570562</v>
      </c>
      <c r="F47" s="129">
        <f>_xlfn.COMPOUNDVALUE(806)</f>
        <v>5409</v>
      </c>
      <c r="G47" s="130">
        <v>22448243</v>
      </c>
      <c r="H47" s="129">
        <f>_xlfn.COMPOUNDVALUE(807)</f>
        <v>333</v>
      </c>
      <c r="I47" s="131">
        <v>6892931</v>
      </c>
      <c r="J47" s="129">
        <v>287</v>
      </c>
      <c r="K47" s="131">
        <v>86143</v>
      </c>
      <c r="L47" s="129">
        <f>_xlfn.COMPOUNDVALUE(807)</f>
        <v>5802</v>
      </c>
      <c r="M47" s="131">
        <v>15641455</v>
      </c>
      <c r="N47" s="88" t="s">
        <v>76</v>
      </c>
    </row>
    <row r="48" spans="1:14" ht="15.75" customHeight="1">
      <c r="A48" s="76"/>
      <c r="B48" s="129"/>
      <c r="C48" s="130"/>
      <c r="D48" s="129"/>
      <c r="E48" s="130"/>
      <c r="F48" s="129"/>
      <c r="G48" s="130"/>
      <c r="H48" s="129"/>
      <c r="I48" s="131"/>
      <c r="J48" s="129"/>
      <c r="K48" s="131"/>
      <c r="L48" s="129"/>
      <c r="M48" s="131"/>
      <c r="N48" s="88" t="s">
        <v>40</v>
      </c>
    </row>
    <row r="49" spans="1:14" ht="15.75" customHeight="1">
      <c r="A49" s="76" t="s">
        <v>77</v>
      </c>
      <c r="B49" s="129">
        <f>_xlfn.COMPOUNDVALUE(808)</f>
        <v>1901</v>
      </c>
      <c r="C49" s="130">
        <v>6500148</v>
      </c>
      <c r="D49" s="129">
        <f>_xlfn.COMPOUNDVALUE(809)</f>
        <v>985</v>
      </c>
      <c r="E49" s="130">
        <v>341448</v>
      </c>
      <c r="F49" s="129">
        <f>_xlfn.COMPOUNDVALUE(810)</f>
        <v>2886</v>
      </c>
      <c r="G49" s="130">
        <v>6841596</v>
      </c>
      <c r="H49" s="129">
        <f>_xlfn.COMPOUNDVALUE(811)</f>
        <v>220</v>
      </c>
      <c r="I49" s="131">
        <v>2700761</v>
      </c>
      <c r="J49" s="129">
        <v>115</v>
      </c>
      <c r="K49" s="131">
        <v>30607</v>
      </c>
      <c r="L49" s="129">
        <f>_xlfn.COMPOUNDVALUE(811)</f>
        <v>3129</v>
      </c>
      <c r="M49" s="131">
        <v>4171442</v>
      </c>
      <c r="N49" s="88" t="s">
        <v>77</v>
      </c>
    </row>
    <row r="50" spans="1:14" ht="15.75" customHeight="1">
      <c r="A50" s="76" t="s">
        <v>78</v>
      </c>
      <c r="B50" s="129">
        <f>_xlfn.COMPOUNDVALUE(812)</f>
        <v>3900</v>
      </c>
      <c r="C50" s="130">
        <v>39442067</v>
      </c>
      <c r="D50" s="129">
        <f>_xlfn.COMPOUNDVALUE(813)</f>
        <v>2195</v>
      </c>
      <c r="E50" s="130">
        <v>743500</v>
      </c>
      <c r="F50" s="129">
        <f>_xlfn.COMPOUNDVALUE(814)</f>
        <v>6095</v>
      </c>
      <c r="G50" s="130">
        <v>40185567</v>
      </c>
      <c r="H50" s="129">
        <f>_xlfn.COMPOUNDVALUE(815)</f>
        <v>294</v>
      </c>
      <c r="I50" s="131">
        <v>35905771</v>
      </c>
      <c r="J50" s="129">
        <v>372</v>
      </c>
      <c r="K50" s="131">
        <v>60808</v>
      </c>
      <c r="L50" s="129">
        <f>_xlfn.COMPOUNDVALUE(815)</f>
        <v>6459</v>
      </c>
      <c r="M50" s="131">
        <v>4340604</v>
      </c>
      <c r="N50" s="88" t="s">
        <v>78</v>
      </c>
    </row>
    <row r="51" spans="1:14" ht="15.75" customHeight="1">
      <c r="A51" s="76" t="s">
        <v>79</v>
      </c>
      <c r="B51" s="129">
        <f>_xlfn.COMPOUNDVALUE(816)</f>
        <v>3606</v>
      </c>
      <c r="C51" s="130">
        <v>12512018</v>
      </c>
      <c r="D51" s="129">
        <f>_xlfn.COMPOUNDVALUE(817)</f>
        <v>1878</v>
      </c>
      <c r="E51" s="130">
        <v>683089</v>
      </c>
      <c r="F51" s="129">
        <f>_xlfn.COMPOUNDVALUE(818)</f>
        <v>5484</v>
      </c>
      <c r="G51" s="130">
        <v>13195107</v>
      </c>
      <c r="H51" s="129">
        <f>_xlfn.COMPOUNDVALUE(819)</f>
        <v>371</v>
      </c>
      <c r="I51" s="131">
        <v>869974</v>
      </c>
      <c r="J51" s="129">
        <v>217</v>
      </c>
      <c r="K51" s="131">
        <v>88983</v>
      </c>
      <c r="L51" s="129">
        <f>_xlfn.COMPOUNDVALUE(819)</f>
        <v>5904</v>
      </c>
      <c r="M51" s="131">
        <v>12414117</v>
      </c>
      <c r="N51" s="88" t="s">
        <v>79</v>
      </c>
    </row>
    <row r="52" spans="1:14" ht="15.75" customHeight="1">
      <c r="A52" s="76" t="s">
        <v>80</v>
      </c>
      <c r="B52" s="129">
        <f>_xlfn.COMPOUNDVALUE(820)</f>
        <v>3173</v>
      </c>
      <c r="C52" s="130">
        <v>10962430</v>
      </c>
      <c r="D52" s="129">
        <f>_xlfn.COMPOUNDVALUE(821)</f>
        <v>1772</v>
      </c>
      <c r="E52" s="130">
        <v>646886</v>
      </c>
      <c r="F52" s="129">
        <f>_xlfn.COMPOUNDVALUE(822)</f>
        <v>4945</v>
      </c>
      <c r="G52" s="130">
        <v>11609315</v>
      </c>
      <c r="H52" s="129">
        <f>_xlfn.COMPOUNDVALUE(823)</f>
        <v>231</v>
      </c>
      <c r="I52" s="131">
        <v>443151</v>
      </c>
      <c r="J52" s="129">
        <v>271</v>
      </c>
      <c r="K52" s="131">
        <v>13999</v>
      </c>
      <c r="L52" s="129">
        <f>_xlfn.COMPOUNDVALUE(823)</f>
        <v>5252</v>
      </c>
      <c r="M52" s="131">
        <v>11180163</v>
      </c>
      <c r="N52" s="88" t="s">
        <v>80</v>
      </c>
    </row>
    <row r="53" spans="1:14" ht="15.75" customHeight="1">
      <c r="A53" s="76" t="s">
        <v>81</v>
      </c>
      <c r="B53" s="129">
        <f>_xlfn.COMPOUNDVALUE(824)</f>
        <v>3181</v>
      </c>
      <c r="C53" s="130">
        <v>17137565</v>
      </c>
      <c r="D53" s="129">
        <f>_xlfn.COMPOUNDVALUE(825)</f>
        <v>1607</v>
      </c>
      <c r="E53" s="130">
        <v>590008</v>
      </c>
      <c r="F53" s="129">
        <f>_xlfn.COMPOUNDVALUE(826)</f>
        <v>4788</v>
      </c>
      <c r="G53" s="130">
        <v>17727573</v>
      </c>
      <c r="H53" s="129">
        <f>_xlfn.COMPOUNDVALUE(827)</f>
        <v>400</v>
      </c>
      <c r="I53" s="131">
        <v>1415888</v>
      </c>
      <c r="J53" s="129">
        <v>304</v>
      </c>
      <c r="K53" s="131">
        <v>22155</v>
      </c>
      <c r="L53" s="129">
        <f>_xlfn.COMPOUNDVALUE(827)</f>
        <v>5264</v>
      </c>
      <c r="M53" s="131">
        <v>16333839</v>
      </c>
      <c r="N53" s="88" t="s">
        <v>81</v>
      </c>
    </row>
    <row r="54" spans="1:14" ht="15.75" customHeight="1">
      <c r="A54" s="76"/>
      <c r="B54" s="129"/>
      <c r="C54" s="130"/>
      <c r="D54" s="129"/>
      <c r="E54" s="130"/>
      <c r="F54" s="129"/>
      <c r="G54" s="130"/>
      <c r="H54" s="129"/>
      <c r="I54" s="131"/>
      <c r="J54" s="129"/>
      <c r="K54" s="131"/>
      <c r="L54" s="129"/>
      <c r="M54" s="131"/>
      <c r="N54" s="88" t="s">
        <v>40</v>
      </c>
    </row>
    <row r="55" spans="1:14" ht="15.75" customHeight="1">
      <c r="A55" s="76" t="s">
        <v>82</v>
      </c>
      <c r="B55" s="129">
        <f>_xlfn.COMPOUNDVALUE(828)</f>
        <v>18254</v>
      </c>
      <c r="C55" s="130">
        <v>268772358</v>
      </c>
      <c r="D55" s="129">
        <f>_xlfn.COMPOUNDVALUE(829)</f>
        <v>5123</v>
      </c>
      <c r="E55" s="130">
        <v>2422467</v>
      </c>
      <c r="F55" s="129">
        <f>_xlfn.COMPOUNDVALUE(830)</f>
        <v>23377</v>
      </c>
      <c r="G55" s="130">
        <v>271194825</v>
      </c>
      <c r="H55" s="129">
        <f>_xlfn.COMPOUNDVALUE(831)</f>
        <v>2134</v>
      </c>
      <c r="I55" s="131">
        <v>16886470</v>
      </c>
      <c r="J55" s="129">
        <v>1446</v>
      </c>
      <c r="K55" s="131">
        <v>643373</v>
      </c>
      <c r="L55" s="129">
        <f>_xlfn.COMPOUNDVALUE(831)</f>
        <v>25839</v>
      </c>
      <c r="M55" s="131">
        <v>254951728</v>
      </c>
      <c r="N55" s="88" t="s">
        <v>82</v>
      </c>
    </row>
    <row r="56" spans="1:14" ht="15.75" customHeight="1">
      <c r="A56" s="76" t="s">
        <v>83</v>
      </c>
      <c r="B56" s="129">
        <f>_xlfn.COMPOUNDVALUE(832)</f>
        <v>3995</v>
      </c>
      <c r="C56" s="130">
        <v>44123578</v>
      </c>
      <c r="D56" s="129">
        <f>_xlfn.COMPOUNDVALUE(833)</f>
        <v>1885</v>
      </c>
      <c r="E56" s="130">
        <v>711844</v>
      </c>
      <c r="F56" s="129">
        <f>_xlfn.COMPOUNDVALUE(834)</f>
        <v>5880</v>
      </c>
      <c r="G56" s="130">
        <v>44835422</v>
      </c>
      <c r="H56" s="129">
        <f>_xlfn.COMPOUNDVALUE(835)</f>
        <v>410</v>
      </c>
      <c r="I56" s="131">
        <v>987331</v>
      </c>
      <c r="J56" s="129">
        <v>354</v>
      </c>
      <c r="K56" s="131">
        <v>53313</v>
      </c>
      <c r="L56" s="129">
        <f>_xlfn.COMPOUNDVALUE(835)</f>
        <v>6375</v>
      </c>
      <c r="M56" s="131">
        <v>43901404</v>
      </c>
      <c r="N56" s="88" t="s">
        <v>83</v>
      </c>
    </row>
    <row r="57" spans="1:14" ht="15.75" customHeight="1">
      <c r="A57" s="76" t="s">
        <v>84</v>
      </c>
      <c r="B57" s="129">
        <f>_xlfn.COMPOUNDVALUE(836)</f>
        <v>3040</v>
      </c>
      <c r="C57" s="130">
        <v>14223473</v>
      </c>
      <c r="D57" s="129">
        <f>_xlfn.COMPOUNDVALUE(837)</f>
        <v>1606</v>
      </c>
      <c r="E57" s="130">
        <v>597887</v>
      </c>
      <c r="F57" s="129">
        <f>_xlfn.COMPOUNDVALUE(838)</f>
        <v>4646</v>
      </c>
      <c r="G57" s="130">
        <v>14821361</v>
      </c>
      <c r="H57" s="129">
        <f>_xlfn.COMPOUNDVALUE(839)</f>
        <v>325</v>
      </c>
      <c r="I57" s="131">
        <v>1070204</v>
      </c>
      <c r="J57" s="129">
        <v>234</v>
      </c>
      <c r="K57" s="131">
        <v>32504</v>
      </c>
      <c r="L57" s="129">
        <f>_xlfn.COMPOUNDVALUE(839)</f>
        <v>5020</v>
      </c>
      <c r="M57" s="131">
        <v>13783661</v>
      </c>
      <c r="N57" s="88" t="s">
        <v>84</v>
      </c>
    </row>
    <row r="58" spans="1:14" ht="15.75" customHeight="1">
      <c r="A58" s="76" t="s">
        <v>85</v>
      </c>
      <c r="B58" s="129">
        <f>_xlfn.COMPOUNDVALUE(840)</f>
        <v>2308</v>
      </c>
      <c r="C58" s="130">
        <v>9294575</v>
      </c>
      <c r="D58" s="129">
        <f>_xlfn.COMPOUNDVALUE(841)</f>
        <v>1206</v>
      </c>
      <c r="E58" s="130">
        <v>456971</v>
      </c>
      <c r="F58" s="129">
        <f>_xlfn.COMPOUNDVALUE(842)</f>
        <v>3514</v>
      </c>
      <c r="G58" s="130">
        <v>9751546</v>
      </c>
      <c r="H58" s="129">
        <f>_xlfn.COMPOUNDVALUE(843)</f>
        <v>271</v>
      </c>
      <c r="I58" s="131">
        <v>562377</v>
      </c>
      <c r="J58" s="129">
        <v>210</v>
      </c>
      <c r="K58" s="131">
        <v>19630</v>
      </c>
      <c r="L58" s="129">
        <f>_xlfn.COMPOUNDVALUE(843)</f>
        <v>3836</v>
      </c>
      <c r="M58" s="131">
        <v>9208799</v>
      </c>
      <c r="N58" s="88" t="s">
        <v>85</v>
      </c>
    </row>
    <row r="59" spans="1:14" ht="15.75" customHeight="1">
      <c r="A59" s="76" t="s">
        <v>86</v>
      </c>
      <c r="B59" s="129">
        <f>_xlfn.COMPOUNDVALUE(844)</f>
        <v>7702</v>
      </c>
      <c r="C59" s="130">
        <v>73840061</v>
      </c>
      <c r="D59" s="129">
        <f>_xlfn.COMPOUNDVALUE(845)</f>
        <v>2762</v>
      </c>
      <c r="E59" s="130">
        <v>1101652</v>
      </c>
      <c r="F59" s="129">
        <f>_xlfn.COMPOUNDVALUE(846)</f>
        <v>10464</v>
      </c>
      <c r="G59" s="130">
        <v>74941713</v>
      </c>
      <c r="H59" s="129">
        <f>_xlfn.COMPOUNDVALUE(847)</f>
        <v>1042</v>
      </c>
      <c r="I59" s="131">
        <v>4557435</v>
      </c>
      <c r="J59" s="129">
        <v>683</v>
      </c>
      <c r="K59" s="131">
        <v>8817</v>
      </c>
      <c r="L59" s="129">
        <f>_xlfn.COMPOUNDVALUE(847)</f>
        <v>11676</v>
      </c>
      <c r="M59" s="131">
        <v>70393095</v>
      </c>
      <c r="N59" s="88" t="s">
        <v>86</v>
      </c>
    </row>
    <row r="60" spans="1:14" ht="15.75" customHeight="1">
      <c r="A60" s="76"/>
      <c r="B60" s="129"/>
      <c r="C60" s="130"/>
      <c r="D60" s="129"/>
      <c r="E60" s="130"/>
      <c r="F60" s="129"/>
      <c r="G60" s="130"/>
      <c r="H60" s="129"/>
      <c r="I60" s="131"/>
      <c r="J60" s="129"/>
      <c r="K60" s="131"/>
      <c r="L60" s="129"/>
      <c r="M60" s="131"/>
      <c r="N60" s="88" t="s">
        <v>40</v>
      </c>
    </row>
    <row r="61" spans="1:14" ht="15.75" customHeight="1">
      <c r="A61" s="76" t="s">
        <v>87</v>
      </c>
      <c r="B61" s="129">
        <f>_xlfn.COMPOUNDVALUE(848)</f>
        <v>3623</v>
      </c>
      <c r="C61" s="130">
        <v>31623660</v>
      </c>
      <c r="D61" s="129">
        <f>_xlfn.COMPOUNDVALUE(849)</f>
        <v>1876</v>
      </c>
      <c r="E61" s="130">
        <v>665982</v>
      </c>
      <c r="F61" s="129">
        <f>_xlfn.COMPOUNDVALUE(850)</f>
        <v>5499</v>
      </c>
      <c r="G61" s="130">
        <v>32289642</v>
      </c>
      <c r="H61" s="129">
        <f>_xlfn.COMPOUNDVALUE(851)</f>
        <v>359</v>
      </c>
      <c r="I61" s="131">
        <v>1727569</v>
      </c>
      <c r="J61" s="129">
        <v>209</v>
      </c>
      <c r="K61" s="131">
        <v>62848</v>
      </c>
      <c r="L61" s="129">
        <f>_xlfn.COMPOUNDVALUE(851)</f>
        <v>5905</v>
      </c>
      <c r="M61" s="131">
        <v>30624921</v>
      </c>
      <c r="N61" s="88" t="s">
        <v>87</v>
      </c>
    </row>
    <row r="62" spans="1:14" ht="15.75" customHeight="1">
      <c r="A62" s="76" t="s">
        <v>88</v>
      </c>
      <c r="B62" s="129">
        <f>_xlfn.COMPOUNDVALUE(852)</f>
        <v>3222</v>
      </c>
      <c r="C62" s="130">
        <v>17911554</v>
      </c>
      <c r="D62" s="129">
        <f>_xlfn.COMPOUNDVALUE(853)</f>
        <v>1552</v>
      </c>
      <c r="E62" s="130">
        <v>528187</v>
      </c>
      <c r="F62" s="129">
        <f>_xlfn.COMPOUNDVALUE(854)</f>
        <v>4774</v>
      </c>
      <c r="G62" s="130">
        <v>18439741</v>
      </c>
      <c r="H62" s="129">
        <f>_xlfn.COMPOUNDVALUE(855)</f>
        <v>303</v>
      </c>
      <c r="I62" s="131">
        <v>627026</v>
      </c>
      <c r="J62" s="129">
        <v>247</v>
      </c>
      <c r="K62" s="131">
        <v>185368</v>
      </c>
      <c r="L62" s="129">
        <f>_xlfn.COMPOUNDVALUE(855)</f>
        <v>5134</v>
      </c>
      <c r="M62" s="131">
        <v>17998083</v>
      </c>
      <c r="N62" s="88" t="s">
        <v>88</v>
      </c>
    </row>
    <row r="63" spans="1:14" ht="15.75" customHeight="1">
      <c r="A63" s="76" t="s">
        <v>89</v>
      </c>
      <c r="B63" s="129">
        <f>_xlfn.COMPOUNDVALUE(856)</f>
        <v>5821</v>
      </c>
      <c r="C63" s="130">
        <v>27451696</v>
      </c>
      <c r="D63" s="129">
        <f>_xlfn.COMPOUNDVALUE(857)</f>
        <v>2743</v>
      </c>
      <c r="E63" s="130">
        <v>956511</v>
      </c>
      <c r="F63" s="129">
        <f>_xlfn.COMPOUNDVALUE(858)</f>
        <v>8564</v>
      </c>
      <c r="G63" s="130">
        <v>28408207</v>
      </c>
      <c r="H63" s="129">
        <f>_xlfn.COMPOUNDVALUE(859)</f>
        <v>461</v>
      </c>
      <c r="I63" s="131">
        <v>2265535</v>
      </c>
      <c r="J63" s="129">
        <v>472</v>
      </c>
      <c r="K63" s="131">
        <v>58639</v>
      </c>
      <c r="L63" s="129">
        <f>_xlfn.COMPOUNDVALUE(859)</f>
        <v>9113</v>
      </c>
      <c r="M63" s="131">
        <v>26201311</v>
      </c>
      <c r="N63" s="88" t="s">
        <v>89</v>
      </c>
    </row>
    <row r="64" spans="1:14" ht="15.75" customHeight="1">
      <c r="A64" s="76" t="s">
        <v>90</v>
      </c>
      <c r="B64" s="129">
        <f>_xlfn.COMPOUNDVALUE(860)</f>
        <v>4067</v>
      </c>
      <c r="C64" s="130">
        <v>11697631</v>
      </c>
      <c r="D64" s="129">
        <f>_xlfn.COMPOUNDVALUE(861)</f>
        <v>2020</v>
      </c>
      <c r="E64" s="130">
        <v>705657</v>
      </c>
      <c r="F64" s="129">
        <f>_xlfn.COMPOUNDVALUE(862)</f>
        <v>6087</v>
      </c>
      <c r="G64" s="130">
        <v>12403288</v>
      </c>
      <c r="H64" s="129">
        <f>_xlfn.COMPOUNDVALUE(863)</f>
        <v>310</v>
      </c>
      <c r="I64" s="131">
        <v>1933114</v>
      </c>
      <c r="J64" s="129">
        <v>346</v>
      </c>
      <c r="K64" s="131">
        <v>6918</v>
      </c>
      <c r="L64" s="129">
        <f>_xlfn.COMPOUNDVALUE(863)</f>
        <v>6472</v>
      </c>
      <c r="M64" s="131">
        <v>10477091</v>
      </c>
      <c r="N64" s="88" t="s">
        <v>90</v>
      </c>
    </row>
    <row r="65" spans="1:14" ht="15.75" customHeight="1">
      <c r="A65" s="78" t="s">
        <v>91</v>
      </c>
      <c r="B65" s="134">
        <f>_xlfn.COMPOUNDVALUE(864)</f>
        <v>2327</v>
      </c>
      <c r="C65" s="135">
        <v>5251657</v>
      </c>
      <c r="D65" s="134">
        <f>_xlfn.COMPOUNDVALUE(865)</f>
        <v>1296</v>
      </c>
      <c r="E65" s="135">
        <v>476580</v>
      </c>
      <c r="F65" s="134">
        <f>_xlfn.COMPOUNDVALUE(866)</f>
        <v>3623</v>
      </c>
      <c r="G65" s="135">
        <v>5728237</v>
      </c>
      <c r="H65" s="134">
        <f>_xlfn.COMPOUNDVALUE(867)</f>
        <v>186</v>
      </c>
      <c r="I65" s="136">
        <v>374353</v>
      </c>
      <c r="J65" s="134">
        <v>165</v>
      </c>
      <c r="K65" s="136">
        <v>7658</v>
      </c>
      <c r="L65" s="134">
        <f>_xlfn.COMPOUNDVALUE(867)</f>
        <v>3847</v>
      </c>
      <c r="M65" s="136">
        <v>5361542</v>
      </c>
      <c r="N65" s="77" t="s">
        <v>91</v>
      </c>
    </row>
    <row r="66" spans="1:14" ht="15.75" customHeight="1">
      <c r="A66" s="78"/>
      <c r="B66" s="134"/>
      <c r="C66" s="135"/>
      <c r="D66" s="134"/>
      <c r="E66" s="135"/>
      <c r="F66" s="134"/>
      <c r="G66" s="135"/>
      <c r="H66" s="134"/>
      <c r="I66" s="136"/>
      <c r="J66" s="134"/>
      <c r="K66" s="136"/>
      <c r="L66" s="134"/>
      <c r="M66" s="136"/>
      <c r="N66" s="77" t="s">
        <v>40</v>
      </c>
    </row>
    <row r="67" spans="1:14" ht="15.75" customHeight="1">
      <c r="A67" s="78" t="s">
        <v>92</v>
      </c>
      <c r="B67" s="134">
        <f>_xlfn.COMPOUNDVALUE(868)</f>
        <v>4337</v>
      </c>
      <c r="C67" s="135">
        <v>14686185</v>
      </c>
      <c r="D67" s="134">
        <f>_xlfn.COMPOUNDVALUE(869)</f>
        <v>1969</v>
      </c>
      <c r="E67" s="135">
        <v>723831</v>
      </c>
      <c r="F67" s="134">
        <f>_xlfn.COMPOUNDVALUE(870)</f>
        <v>6306</v>
      </c>
      <c r="G67" s="135">
        <v>15410016</v>
      </c>
      <c r="H67" s="134">
        <f>_xlfn.COMPOUNDVALUE(871)</f>
        <v>346</v>
      </c>
      <c r="I67" s="136">
        <v>1689345</v>
      </c>
      <c r="J67" s="134">
        <v>357</v>
      </c>
      <c r="K67" s="136">
        <v>48793</v>
      </c>
      <c r="L67" s="134">
        <f>_xlfn.COMPOUNDVALUE(871)</f>
        <v>6749</v>
      </c>
      <c r="M67" s="136">
        <v>13769464</v>
      </c>
      <c r="N67" s="77" t="s">
        <v>92</v>
      </c>
    </row>
    <row r="68" spans="1:14" ht="15.75" customHeight="1">
      <c r="A68" s="78" t="s">
        <v>93</v>
      </c>
      <c r="B68" s="134">
        <f>_xlfn.COMPOUNDVALUE(872)</f>
        <v>3503</v>
      </c>
      <c r="C68" s="135">
        <v>11116729</v>
      </c>
      <c r="D68" s="134">
        <f>_xlfn.COMPOUNDVALUE(873)</f>
        <v>1651</v>
      </c>
      <c r="E68" s="135">
        <v>585200</v>
      </c>
      <c r="F68" s="134">
        <f>_xlfn.COMPOUNDVALUE(874)</f>
        <v>5154</v>
      </c>
      <c r="G68" s="135">
        <v>11701929</v>
      </c>
      <c r="H68" s="134">
        <f>_xlfn.COMPOUNDVALUE(875)</f>
        <v>230</v>
      </c>
      <c r="I68" s="136">
        <v>683626</v>
      </c>
      <c r="J68" s="134">
        <v>242</v>
      </c>
      <c r="K68" s="136">
        <v>-1869</v>
      </c>
      <c r="L68" s="134">
        <f>_xlfn.COMPOUNDVALUE(875)</f>
        <v>5436</v>
      </c>
      <c r="M68" s="136">
        <v>11016433</v>
      </c>
      <c r="N68" s="77" t="s">
        <v>93</v>
      </c>
    </row>
    <row r="69" spans="1:14" ht="15.75" customHeight="1">
      <c r="A69" s="78" t="s">
        <v>94</v>
      </c>
      <c r="B69" s="134">
        <f>_xlfn.COMPOUNDVALUE(876)</f>
        <v>4806</v>
      </c>
      <c r="C69" s="135">
        <v>13801488</v>
      </c>
      <c r="D69" s="134">
        <f>_xlfn.COMPOUNDVALUE(877)</f>
        <v>2494</v>
      </c>
      <c r="E69" s="135">
        <v>858694</v>
      </c>
      <c r="F69" s="134">
        <f>_xlfn.COMPOUNDVALUE(878)</f>
        <v>7300</v>
      </c>
      <c r="G69" s="135">
        <v>14660182</v>
      </c>
      <c r="H69" s="134">
        <f>_xlfn.COMPOUNDVALUE(879)</f>
        <v>417</v>
      </c>
      <c r="I69" s="136">
        <v>1089332</v>
      </c>
      <c r="J69" s="134">
        <v>503</v>
      </c>
      <c r="K69" s="136">
        <v>58416</v>
      </c>
      <c r="L69" s="134">
        <f>_xlfn.COMPOUNDVALUE(879)</f>
        <v>7820</v>
      </c>
      <c r="M69" s="136">
        <v>13629266</v>
      </c>
      <c r="N69" s="77" t="s">
        <v>94</v>
      </c>
    </row>
    <row r="70" spans="1:14" ht="15.75" customHeight="1">
      <c r="A70" s="78" t="s">
        <v>95</v>
      </c>
      <c r="B70" s="134">
        <f>_xlfn.COMPOUNDVALUE(880)</f>
        <v>5250</v>
      </c>
      <c r="C70" s="135">
        <v>15144228</v>
      </c>
      <c r="D70" s="134">
        <f>_xlfn.COMPOUNDVALUE(881)</f>
        <v>2640</v>
      </c>
      <c r="E70" s="135">
        <v>917928</v>
      </c>
      <c r="F70" s="134">
        <f>_xlfn.COMPOUNDVALUE(882)</f>
        <v>7890</v>
      </c>
      <c r="G70" s="135">
        <v>16062156</v>
      </c>
      <c r="H70" s="134">
        <f>_xlfn.COMPOUNDVALUE(883)</f>
        <v>371</v>
      </c>
      <c r="I70" s="136">
        <v>1171521</v>
      </c>
      <c r="J70" s="134">
        <v>270</v>
      </c>
      <c r="K70" s="136">
        <v>39291</v>
      </c>
      <c r="L70" s="134">
        <f>_xlfn.COMPOUNDVALUE(883)</f>
        <v>8308</v>
      </c>
      <c r="M70" s="136">
        <v>14929926</v>
      </c>
      <c r="N70" s="77" t="s">
        <v>95</v>
      </c>
    </row>
    <row r="71" spans="1:14" ht="15.75" customHeight="1">
      <c r="A71" s="78" t="s">
        <v>96</v>
      </c>
      <c r="B71" s="134">
        <f>_xlfn.COMPOUNDVALUE(884)</f>
        <v>2493</v>
      </c>
      <c r="C71" s="135">
        <v>9980253</v>
      </c>
      <c r="D71" s="134">
        <f>_xlfn.COMPOUNDVALUE(885)</f>
        <v>1019</v>
      </c>
      <c r="E71" s="135">
        <v>400689</v>
      </c>
      <c r="F71" s="134">
        <f>_xlfn.COMPOUNDVALUE(886)</f>
        <v>3512</v>
      </c>
      <c r="G71" s="135">
        <v>10380942</v>
      </c>
      <c r="H71" s="134">
        <f>_xlfn.COMPOUNDVALUE(887)</f>
        <v>180</v>
      </c>
      <c r="I71" s="136">
        <v>649167</v>
      </c>
      <c r="J71" s="134">
        <v>187</v>
      </c>
      <c r="K71" s="136">
        <v>39295</v>
      </c>
      <c r="L71" s="134">
        <f>_xlfn.COMPOUNDVALUE(887)</f>
        <v>3735</v>
      </c>
      <c r="M71" s="136">
        <v>9771069</v>
      </c>
      <c r="N71" s="77" t="s">
        <v>96</v>
      </c>
    </row>
    <row r="72" spans="1:14" ht="15.75" customHeight="1">
      <c r="A72" s="172" t="s">
        <v>182</v>
      </c>
      <c r="B72" s="175">
        <v>217560</v>
      </c>
      <c r="C72" s="177">
        <v>3441483452</v>
      </c>
      <c r="D72" s="137">
        <v>77198</v>
      </c>
      <c r="E72" s="138">
        <v>33443972</v>
      </c>
      <c r="F72" s="137">
        <v>294758</v>
      </c>
      <c r="G72" s="138">
        <v>3474927427</v>
      </c>
      <c r="H72" s="137">
        <v>31963</v>
      </c>
      <c r="I72" s="139">
        <v>1033096873</v>
      </c>
      <c r="J72" s="137">
        <v>18720</v>
      </c>
      <c r="K72" s="139">
        <v>3469946</v>
      </c>
      <c r="L72" s="137">
        <v>330252</v>
      </c>
      <c r="M72" s="139">
        <v>2445300493</v>
      </c>
      <c r="N72" s="84" t="s">
        <v>98</v>
      </c>
    </row>
    <row r="73" spans="1:14" ht="15.75" customHeight="1">
      <c r="A73" s="173"/>
      <c r="B73" s="176"/>
      <c r="C73" s="178"/>
      <c r="D73" s="176"/>
      <c r="E73" s="178"/>
      <c r="F73" s="176"/>
      <c r="G73" s="178"/>
      <c r="H73" s="176"/>
      <c r="I73" s="179"/>
      <c r="J73" s="176"/>
      <c r="K73" s="179"/>
      <c r="L73" s="176"/>
      <c r="M73" s="179"/>
      <c r="N73" s="174" t="s">
        <v>40</v>
      </c>
    </row>
    <row r="74" spans="1:14" ht="15.75" customHeight="1">
      <c r="A74" s="76" t="s">
        <v>99</v>
      </c>
      <c r="B74" s="129">
        <f>_xlfn.COMPOUNDVALUE(888)</f>
        <v>4499</v>
      </c>
      <c r="C74" s="130">
        <v>17213838</v>
      </c>
      <c r="D74" s="129">
        <f>_xlfn.COMPOUNDVALUE(889)</f>
        <v>2314</v>
      </c>
      <c r="E74" s="130">
        <v>867897</v>
      </c>
      <c r="F74" s="129">
        <f>_xlfn.COMPOUNDVALUE(890)</f>
        <v>6813</v>
      </c>
      <c r="G74" s="130">
        <v>18081736</v>
      </c>
      <c r="H74" s="129">
        <f>_xlfn.COMPOUNDVALUE(891)</f>
        <v>334</v>
      </c>
      <c r="I74" s="131">
        <v>2158228</v>
      </c>
      <c r="J74" s="129">
        <v>300</v>
      </c>
      <c r="K74" s="131">
        <v>42201</v>
      </c>
      <c r="L74" s="129">
        <f>_xlfn.COMPOUNDVALUE(891)</f>
        <v>7233</v>
      </c>
      <c r="M74" s="131">
        <v>15965709</v>
      </c>
      <c r="N74" s="87" t="s">
        <v>99</v>
      </c>
    </row>
    <row r="75" spans="1:14" ht="15.75" customHeight="1">
      <c r="A75" s="78" t="s">
        <v>100</v>
      </c>
      <c r="B75" s="134">
        <f>_xlfn.COMPOUNDVALUE(892)</f>
        <v>5474</v>
      </c>
      <c r="C75" s="135">
        <v>24211594</v>
      </c>
      <c r="D75" s="134">
        <f>_xlfn.COMPOUNDVALUE(893)</f>
        <v>2789</v>
      </c>
      <c r="E75" s="135">
        <v>1070245</v>
      </c>
      <c r="F75" s="134">
        <f>_xlfn.COMPOUNDVALUE(894)</f>
        <v>8263</v>
      </c>
      <c r="G75" s="135">
        <v>25281839</v>
      </c>
      <c r="H75" s="134">
        <f>_xlfn.COMPOUNDVALUE(895)</f>
        <v>409</v>
      </c>
      <c r="I75" s="136">
        <v>986016</v>
      </c>
      <c r="J75" s="134">
        <v>359</v>
      </c>
      <c r="K75" s="136">
        <v>123045</v>
      </c>
      <c r="L75" s="134">
        <f>_xlfn.COMPOUNDVALUE(895)</f>
        <v>8750</v>
      </c>
      <c r="M75" s="136">
        <v>24418867</v>
      </c>
      <c r="N75" s="77" t="s">
        <v>100</v>
      </c>
    </row>
    <row r="76" spans="1:14" ht="15.75" customHeight="1">
      <c r="A76" s="78" t="s">
        <v>101</v>
      </c>
      <c r="B76" s="134">
        <f>_xlfn.COMPOUNDVALUE(896)</f>
        <v>3779</v>
      </c>
      <c r="C76" s="135">
        <v>22522190</v>
      </c>
      <c r="D76" s="134">
        <f>_xlfn.COMPOUNDVALUE(897)</f>
        <v>1994</v>
      </c>
      <c r="E76" s="135">
        <v>745955</v>
      </c>
      <c r="F76" s="134">
        <f>_xlfn.COMPOUNDVALUE(898)</f>
        <v>5773</v>
      </c>
      <c r="G76" s="135">
        <v>23268145</v>
      </c>
      <c r="H76" s="134">
        <f>_xlfn.COMPOUNDVALUE(899)</f>
        <v>380</v>
      </c>
      <c r="I76" s="136">
        <v>2836448</v>
      </c>
      <c r="J76" s="134">
        <v>278</v>
      </c>
      <c r="K76" s="136">
        <v>41839</v>
      </c>
      <c r="L76" s="134">
        <f>_xlfn.COMPOUNDVALUE(899)</f>
        <v>6220</v>
      </c>
      <c r="M76" s="136">
        <v>20473536</v>
      </c>
      <c r="N76" s="77" t="s">
        <v>101</v>
      </c>
    </row>
    <row r="77" spans="1:14" ht="15.75" customHeight="1">
      <c r="A77" s="78" t="s">
        <v>102</v>
      </c>
      <c r="B77" s="134">
        <f>_xlfn.COMPOUNDVALUE(900)</f>
        <v>3225</v>
      </c>
      <c r="C77" s="135">
        <v>12200251</v>
      </c>
      <c r="D77" s="134">
        <f>_xlfn.COMPOUNDVALUE(901)</f>
        <v>1668</v>
      </c>
      <c r="E77" s="135">
        <v>620417</v>
      </c>
      <c r="F77" s="134">
        <f>_xlfn.COMPOUNDVALUE(902)</f>
        <v>4893</v>
      </c>
      <c r="G77" s="135">
        <v>12820668</v>
      </c>
      <c r="H77" s="134">
        <f>_xlfn.COMPOUNDVALUE(903)</f>
        <v>200</v>
      </c>
      <c r="I77" s="136">
        <v>1100929</v>
      </c>
      <c r="J77" s="134">
        <v>172</v>
      </c>
      <c r="K77" s="136">
        <v>21113</v>
      </c>
      <c r="L77" s="134">
        <f>_xlfn.COMPOUNDVALUE(903)</f>
        <v>5137</v>
      </c>
      <c r="M77" s="136">
        <v>11740852</v>
      </c>
      <c r="N77" s="77" t="s">
        <v>102</v>
      </c>
    </row>
    <row r="78" spans="1:14" ht="15.75" customHeight="1">
      <c r="A78" s="78" t="s">
        <v>103</v>
      </c>
      <c r="B78" s="134">
        <f>_xlfn.COMPOUNDVALUE(904)</f>
        <v>4340</v>
      </c>
      <c r="C78" s="135">
        <v>24576975</v>
      </c>
      <c r="D78" s="134">
        <f>_xlfn.COMPOUNDVALUE(905)</f>
        <v>2330</v>
      </c>
      <c r="E78" s="135">
        <v>858417</v>
      </c>
      <c r="F78" s="134">
        <f>_xlfn.COMPOUNDVALUE(906)</f>
        <v>6670</v>
      </c>
      <c r="G78" s="135">
        <v>25435392</v>
      </c>
      <c r="H78" s="134">
        <f>_xlfn.COMPOUNDVALUE(907)</f>
        <v>348</v>
      </c>
      <c r="I78" s="136">
        <v>1645789</v>
      </c>
      <c r="J78" s="134">
        <v>258</v>
      </c>
      <c r="K78" s="136">
        <v>35214</v>
      </c>
      <c r="L78" s="134">
        <f>_xlfn.COMPOUNDVALUE(907)</f>
        <v>7089</v>
      </c>
      <c r="M78" s="136">
        <v>23824817</v>
      </c>
      <c r="N78" s="77" t="s">
        <v>103</v>
      </c>
    </row>
    <row r="79" spans="1:14" ht="15.75" customHeight="1">
      <c r="A79" s="107"/>
      <c r="B79" s="151"/>
      <c r="C79" s="152"/>
      <c r="D79" s="151"/>
      <c r="E79" s="152"/>
      <c r="F79" s="151"/>
      <c r="G79" s="152"/>
      <c r="H79" s="151"/>
      <c r="I79" s="153"/>
      <c r="J79" s="151"/>
      <c r="K79" s="153"/>
      <c r="L79" s="151"/>
      <c r="M79" s="153"/>
      <c r="N79" s="108" t="s">
        <v>40</v>
      </c>
    </row>
    <row r="80" spans="1:14" ht="15.75" customHeight="1">
      <c r="A80" s="102" t="s">
        <v>104</v>
      </c>
      <c r="B80" s="129">
        <f>_xlfn.COMPOUNDVALUE(908)</f>
        <v>2984</v>
      </c>
      <c r="C80" s="130">
        <v>9119517</v>
      </c>
      <c r="D80" s="129">
        <f>_xlfn.COMPOUNDVALUE(909)</f>
        <v>1696</v>
      </c>
      <c r="E80" s="130">
        <v>626132</v>
      </c>
      <c r="F80" s="129">
        <f>_xlfn.COMPOUNDVALUE(910)</f>
        <v>4680</v>
      </c>
      <c r="G80" s="130">
        <v>9745649</v>
      </c>
      <c r="H80" s="129">
        <f>_xlfn.COMPOUNDVALUE(911)</f>
        <v>257</v>
      </c>
      <c r="I80" s="131">
        <v>589031</v>
      </c>
      <c r="J80" s="129">
        <v>263</v>
      </c>
      <c r="K80" s="131">
        <v>16693</v>
      </c>
      <c r="L80" s="129">
        <f>_xlfn.COMPOUNDVALUE(911)</f>
        <v>4983</v>
      </c>
      <c r="M80" s="131">
        <v>9173310</v>
      </c>
      <c r="N80" s="88" t="s">
        <v>104</v>
      </c>
    </row>
    <row r="81" spans="1:14" ht="15.75" customHeight="1">
      <c r="A81" s="78" t="s">
        <v>105</v>
      </c>
      <c r="B81" s="134">
        <f>_xlfn.COMPOUNDVALUE(912)</f>
        <v>2342</v>
      </c>
      <c r="C81" s="135">
        <v>12264066</v>
      </c>
      <c r="D81" s="134">
        <f>_xlfn.COMPOUNDVALUE(913)</f>
        <v>1168</v>
      </c>
      <c r="E81" s="135">
        <v>431649</v>
      </c>
      <c r="F81" s="134">
        <f>_xlfn.COMPOUNDVALUE(914)</f>
        <v>3510</v>
      </c>
      <c r="G81" s="135">
        <v>12695715</v>
      </c>
      <c r="H81" s="134">
        <f>_xlfn.COMPOUNDVALUE(915)</f>
        <v>177</v>
      </c>
      <c r="I81" s="136">
        <v>3562905</v>
      </c>
      <c r="J81" s="134">
        <v>181</v>
      </c>
      <c r="K81" s="136">
        <v>42757</v>
      </c>
      <c r="L81" s="134">
        <f>_xlfn.COMPOUNDVALUE(915)</f>
        <v>3723</v>
      </c>
      <c r="M81" s="136">
        <v>9175567</v>
      </c>
      <c r="N81" s="77" t="s">
        <v>105</v>
      </c>
    </row>
    <row r="82" spans="1:14" ht="15.75" customHeight="1">
      <c r="A82" s="78" t="s">
        <v>106</v>
      </c>
      <c r="B82" s="134">
        <f>_xlfn.COMPOUNDVALUE(916)</f>
        <v>4438</v>
      </c>
      <c r="C82" s="135">
        <v>14949595</v>
      </c>
      <c r="D82" s="134">
        <f>_xlfn.COMPOUNDVALUE(917)</f>
        <v>2488</v>
      </c>
      <c r="E82" s="135">
        <v>892502</v>
      </c>
      <c r="F82" s="134">
        <f>_xlfn.COMPOUNDVALUE(918)</f>
        <v>6926</v>
      </c>
      <c r="G82" s="135">
        <v>15842097</v>
      </c>
      <c r="H82" s="134">
        <f>_xlfn.COMPOUNDVALUE(919)</f>
        <v>321</v>
      </c>
      <c r="I82" s="136">
        <v>2194379</v>
      </c>
      <c r="J82" s="134">
        <v>296</v>
      </c>
      <c r="K82" s="136">
        <v>-373</v>
      </c>
      <c r="L82" s="134">
        <f>_xlfn.COMPOUNDVALUE(919)</f>
        <v>7328</v>
      </c>
      <c r="M82" s="136">
        <v>13647345</v>
      </c>
      <c r="N82" s="77" t="s">
        <v>106</v>
      </c>
    </row>
    <row r="83" spans="1:14" ht="15.75" customHeight="1">
      <c r="A83" s="79" t="s">
        <v>183</v>
      </c>
      <c r="B83" s="137">
        <v>31081</v>
      </c>
      <c r="C83" s="138">
        <v>137058026</v>
      </c>
      <c r="D83" s="137">
        <v>16447</v>
      </c>
      <c r="E83" s="138">
        <v>6113214</v>
      </c>
      <c r="F83" s="137">
        <v>47528</v>
      </c>
      <c r="G83" s="138">
        <v>143171241</v>
      </c>
      <c r="H83" s="137">
        <v>2426</v>
      </c>
      <c r="I83" s="139">
        <v>15073725</v>
      </c>
      <c r="J83" s="137">
        <v>2107</v>
      </c>
      <c r="K83" s="139">
        <v>322489</v>
      </c>
      <c r="L83" s="137">
        <v>50463</v>
      </c>
      <c r="M83" s="139">
        <v>128420003</v>
      </c>
      <c r="N83" s="84" t="s">
        <v>108</v>
      </c>
    </row>
    <row r="84" spans="1:14" ht="15.75" customHeight="1">
      <c r="A84" s="173"/>
      <c r="B84" s="176"/>
      <c r="C84" s="178"/>
      <c r="D84" s="176"/>
      <c r="E84" s="178"/>
      <c r="F84" s="176"/>
      <c r="G84" s="178"/>
      <c r="H84" s="176"/>
      <c r="I84" s="179"/>
      <c r="J84" s="176"/>
      <c r="K84" s="179"/>
      <c r="L84" s="176"/>
      <c r="M84" s="179"/>
      <c r="N84" s="174" t="s">
        <v>40</v>
      </c>
    </row>
    <row r="85" spans="1:14" ht="15.75" customHeight="1">
      <c r="A85" s="79" t="s">
        <v>184</v>
      </c>
      <c r="B85" s="137">
        <v>248641</v>
      </c>
      <c r="C85" s="138">
        <v>3578541479</v>
      </c>
      <c r="D85" s="137">
        <v>93645</v>
      </c>
      <c r="E85" s="138">
        <v>39557190</v>
      </c>
      <c r="F85" s="137">
        <v>342286</v>
      </c>
      <c r="G85" s="138">
        <v>3618098669</v>
      </c>
      <c r="H85" s="137">
        <v>34389</v>
      </c>
      <c r="I85" s="139">
        <v>1048170601</v>
      </c>
      <c r="J85" s="137">
        <v>20827</v>
      </c>
      <c r="K85" s="139">
        <v>3792433</v>
      </c>
      <c r="L85" s="137">
        <v>380715</v>
      </c>
      <c r="M85" s="139">
        <v>2573720500</v>
      </c>
      <c r="N85" s="84" t="s">
        <v>110</v>
      </c>
    </row>
    <row r="86" spans="1:14" ht="15.75" customHeight="1">
      <c r="A86" s="85"/>
      <c r="B86" s="142"/>
      <c r="C86" s="143"/>
      <c r="D86" s="142"/>
      <c r="E86" s="143"/>
      <c r="F86" s="144"/>
      <c r="G86" s="143"/>
      <c r="H86" s="144"/>
      <c r="I86" s="143"/>
      <c r="J86" s="144"/>
      <c r="K86" s="143"/>
      <c r="L86" s="144"/>
      <c r="M86" s="143"/>
      <c r="N86" s="92"/>
    </row>
    <row r="87" spans="1:14" ht="15.75" customHeight="1">
      <c r="A87" s="76" t="s">
        <v>111</v>
      </c>
      <c r="B87" s="129">
        <f>_xlfn.COMPOUNDVALUE(920)</f>
        <v>2844</v>
      </c>
      <c r="C87" s="130">
        <v>15395163</v>
      </c>
      <c r="D87" s="129">
        <f>_xlfn.COMPOUNDVALUE(921)</f>
        <v>1494</v>
      </c>
      <c r="E87" s="130">
        <v>541216</v>
      </c>
      <c r="F87" s="129">
        <f>_xlfn.COMPOUNDVALUE(922)</f>
        <v>4338</v>
      </c>
      <c r="G87" s="130">
        <v>15936379</v>
      </c>
      <c r="H87" s="129">
        <f>_xlfn.COMPOUNDVALUE(923)</f>
        <v>213</v>
      </c>
      <c r="I87" s="131">
        <v>1223743</v>
      </c>
      <c r="J87" s="129">
        <v>261</v>
      </c>
      <c r="K87" s="131">
        <v>29861</v>
      </c>
      <c r="L87" s="129">
        <f>_xlfn.COMPOUNDVALUE(923)</f>
        <v>4600</v>
      </c>
      <c r="M87" s="131">
        <v>14742497</v>
      </c>
      <c r="N87" s="87" t="s">
        <v>111</v>
      </c>
    </row>
    <row r="88" spans="1:14" ht="15.75" customHeight="1">
      <c r="A88" s="76" t="s">
        <v>112</v>
      </c>
      <c r="B88" s="129">
        <f>_xlfn.COMPOUNDVALUE(924)</f>
        <v>6626</v>
      </c>
      <c r="C88" s="130">
        <v>77939699</v>
      </c>
      <c r="D88" s="129">
        <f>_xlfn.COMPOUNDVALUE(925)</f>
        <v>2433</v>
      </c>
      <c r="E88" s="130">
        <v>971118</v>
      </c>
      <c r="F88" s="129">
        <f>_xlfn.COMPOUNDVALUE(926)</f>
        <v>9059</v>
      </c>
      <c r="G88" s="130">
        <v>78910817</v>
      </c>
      <c r="H88" s="129">
        <f>_xlfn.COMPOUNDVALUE(927)</f>
        <v>1234</v>
      </c>
      <c r="I88" s="131">
        <v>10240530</v>
      </c>
      <c r="J88" s="129">
        <v>587</v>
      </c>
      <c r="K88" s="131">
        <v>229653</v>
      </c>
      <c r="L88" s="129">
        <f>_xlfn.COMPOUNDVALUE(927)</f>
        <v>10389</v>
      </c>
      <c r="M88" s="131">
        <v>68899940</v>
      </c>
      <c r="N88" s="88" t="s">
        <v>112</v>
      </c>
    </row>
    <row r="89" spans="1:14" ht="15.75" customHeight="1">
      <c r="A89" s="76" t="s">
        <v>113</v>
      </c>
      <c r="B89" s="129">
        <f>_xlfn.COMPOUNDVALUE(928)</f>
        <v>3889</v>
      </c>
      <c r="C89" s="130">
        <v>14369337</v>
      </c>
      <c r="D89" s="129">
        <f>_xlfn.COMPOUNDVALUE(929)</f>
        <v>2141</v>
      </c>
      <c r="E89" s="130">
        <v>779482</v>
      </c>
      <c r="F89" s="129">
        <f>_xlfn.COMPOUNDVALUE(930)</f>
        <v>6030</v>
      </c>
      <c r="G89" s="130">
        <v>15148819</v>
      </c>
      <c r="H89" s="129">
        <f>_xlfn.COMPOUNDVALUE(931)</f>
        <v>277</v>
      </c>
      <c r="I89" s="131">
        <v>1882930</v>
      </c>
      <c r="J89" s="129">
        <v>271</v>
      </c>
      <c r="K89" s="131">
        <v>8961</v>
      </c>
      <c r="L89" s="129">
        <f>_xlfn.COMPOUNDVALUE(931)</f>
        <v>6380</v>
      </c>
      <c r="M89" s="131">
        <v>13274849</v>
      </c>
      <c r="N89" s="88" t="s">
        <v>113</v>
      </c>
    </row>
    <row r="90" spans="1:14" ht="15.75" customHeight="1">
      <c r="A90" s="76" t="s">
        <v>114</v>
      </c>
      <c r="B90" s="129">
        <f>_xlfn.COMPOUNDVALUE(932)</f>
        <v>5525</v>
      </c>
      <c r="C90" s="130">
        <v>19202226</v>
      </c>
      <c r="D90" s="129">
        <f>_xlfn.COMPOUNDVALUE(933)</f>
        <v>3040</v>
      </c>
      <c r="E90" s="130">
        <v>1066001</v>
      </c>
      <c r="F90" s="129">
        <f>_xlfn.COMPOUNDVALUE(934)</f>
        <v>8565</v>
      </c>
      <c r="G90" s="130">
        <v>20268228</v>
      </c>
      <c r="H90" s="129">
        <f>_xlfn.COMPOUNDVALUE(935)</f>
        <v>544</v>
      </c>
      <c r="I90" s="131">
        <v>2165423</v>
      </c>
      <c r="J90" s="129">
        <v>394</v>
      </c>
      <c r="K90" s="131">
        <v>62714</v>
      </c>
      <c r="L90" s="129">
        <f>_xlfn.COMPOUNDVALUE(935)</f>
        <v>9196</v>
      </c>
      <c r="M90" s="131">
        <v>18165519</v>
      </c>
      <c r="N90" s="88" t="s">
        <v>114</v>
      </c>
    </row>
    <row r="91" spans="1:14" ht="15.75" customHeight="1">
      <c r="A91" s="76" t="s">
        <v>115</v>
      </c>
      <c r="B91" s="129">
        <f>_xlfn.COMPOUNDVALUE(936)</f>
        <v>6118</v>
      </c>
      <c r="C91" s="130">
        <v>44419483</v>
      </c>
      <c r="D91" s="129">
        <f>_xlfn.COMPOUNDVALUE(937)</f>
        <v>2868</v>
      </c>
      <c r="E91" s="130">
        <v>1087563</v>
      </c>
      <c r="F91" s="129">
        <f>_xlfn.COMPOUNDVALUE(938)</f>
        <v>8986</v>
      </c>
      <c r="G91" s="130">
        <v>45507045</v>
      </c>
      <c r="H91" s="129">
        <f>_xlfn.COMPOUNDVALUE(939)</f>
        <v>836</v>
      </c>
      <c r="I91" s="131">
        <v>86285999</v>
      </c>
      <c r="J91" s="129">
        <v>438</v>
      </c>
      <c r="K91" s="131">
        <v>-16724</v>
      </c>
      <c r="L91" s="129">
        <f>_xlfn.COMPOUNDVALUE(939)</f>
        <v>9893</v>
      </c>
      <c r="M91" s="131">
        <v>-40795678</v>
      </c>
      <c r="N91" s="88" t="s">
        <v>115</v>
      </c>
    </row>
    <row r="92" spans="1:14" ht="15.75" customHeight="1">
      <c r="A92" s="76"/>
      <c r="B92" s="129"/>
      <c r="C92" s="130"/>
      <c r="D92" s="129"/>
      <c r="E92" s="130"/>
      <c r="F92" s="129"/>
      <c r="G92" s="130"/>
      <c r="H92" s="129"/>
      <c r="I92" s="131"/>
      <c r="J92" s="129"/>
      <c r="K92" s="131"/>
      <c r="L92" s="129"/>
      <c r="M92" s="131"/>
      <c r="N92" s="88" t="s">
        <v>40</v>
      </c>
    </row>
    <row r="93" spans="1:14" ht="15.75" customHeight="1">
      <c r="A93" s="76" t="s">
        <v>116</v>
      </c>
      <c r="B93" s="129">
        <f>_xlfn.COMPOUNDVALUE(940)</f>
        <v>3112</v>
      </c>
      <c r="C93" s="130">
        <v>12688505</v>
      </c>
      <c r="D93" s="129">
        <f>_xlfn.COMPOUNDVALUE(941)</f>
        <v>1710</v>
      </c>
      <c r="E93" s="130">
        <v>628814</v>
      </c>
      <c r="F93" s="129">
        <f>_xlfn.COMPOUNDVALUE(942)</f>
        <v>4822</v>
      </c>
      <c r="G93" s="130">
        <v>13317319</v>
      </c>
      <c r="H93" s="129">
        <f>_xlfn.COMPOUNDVALUE(943)</f>
        <v>217</v>
      </c>
      <c r="I93" s="131">
        <v>3554033</v>
      </c>
      <c r="J93" s="129">
        <v>245</v>
      </c>
      <c r="K93" s="131">
        <v>26326</v>
      </c>
      <c r="L93" s="129">
        <f>_xlfn.COMPOUNDVALUE(943)</f>
        <v>5068</v>
      </c>
      <c r="M93" s="131">
        <v>9789611</v>
      </c>
      <c r="N93" s="88" t="s">
        <v>116</v>
      </c>
    </row>
    <row r="94" spans="1:14" ht="15.75" customHeight="1">
      <c r="A94" s="76" t="s">
        <v>180</v>
      </c>
      <c r="B94" s="129">
        <f>_xlfn.COMPOUNDVALUE(944)</f>
        <v>5359</v>
      </c>
      <c r="C94" s="130">
        <v>17855597</v>
      </c>
      <c r="D94" s="129">
        <f>_xlfn.COMPOUNDVALUE(945)</f>
        <v>2764</v>
      </c>
      <c r="E94" s="130">
        <v>1042838</v>
      </c>
      <c r="F94" s="129">
        <f>_xlfn.COMPOUNDVALUE(946)</f>
        <v>8123</v>
      </c>
      <c r="G94" s="130">
        <v>18898435</v>
      </c>
      <c r="H94" s="129">
        <f>_xlfn.COMPOUNDVALUE(947)</f>
        <v>578</v>
      </c>
      <c r="I94" s="131">
        <v>1770386</v>
      </c>
      <c r="J94" s="129">
        <v>386</v>
      </c>
      <c r="K94" s="131">
        <v>75449</v>
      </c>
      <c r="L94" s="129">
        <f>_xlfn.COMPOUNDVALUE(947)</f>
        <v>8787</v>
      </c>
      <c r="M94" s="131">
        <v>17203498</v>
      </c>
      <c r="N94" s="88" t="s">
        <v>117</v>
      </c>
    </row>
    <row r="95" spans="1:14" ht="15.75" customHeight="1">
      <c r="A95" s="76" t="s">
        <v>118</v>
      </c>
      <c r="B95" s="129">
        <f>_xlfn.COMPOUNDVALUE(948)</f>
        <v>4425</v>
      </c>
      <c r="C95" s="130">
        <v>57109352</v>
      </c>
      <c r="D95" s="129">
        <f>_xlfn.COMPOUNDVALUE(949)</f>
        <v>2096</v>
      </c>
      <c r="E95" s="130">
        <v>917982</v>
      </c>
      <c r="F95" s="129">
        <f>_xlfn.COMPOUNDVALUE(950)</f>
        <v>6521</v>
      </c>
      <c r="G95" s="130">
        <v>58027334</v>
      </c>
      <c r="H95" s="129">
        <f>_xlfn.COMPOUNDVALUE(951)</f>
        <v>350</v>
      </c>
      <c r="I95" s="131">
        <v>19092841</v>
      </c>
      <c r="J95" s="129">
        <v>296</v>
      </c>
      <c r="K95" s="131">
        <v>-16999</v>
      </c>
      <c r="L95" s="129">
        <f>_xlfn.COMPOUNDVALUE(951)</f>
        <v>6918</v>
      </c>
      <c r="M95" s="131">
        <v>38917494</v>
      </c>
      <c r="N95" s="88" t="s">
        <v>118</v>
      </c>
    </row>
    <row r="96" spans="1:14" ht="15.75" customHeight="1">
      <c r="A96" s="76" t="s">
        <v>119</v>
      </c>
      <c r="B96" s="129">
        <f>_xlfn.COMPOUNDVALUE(952)</f>
        <v>4948</v>
      </c>
      <c r="C96" s="130">
        <v>33675436</v>
      </c>
      <c r="D96" s="129">
        <f>_xlfn.COMPOUNDVALUE(953)</f>
        <v>2794</v>
      </c>
      <c r="E96" s="130">
        <v>1023830</v>
      </c>
      <c r="F96" s="129">
        <f>_xlfn.COMPOUNDVALUE(954)</f>
        <v>7742</v>
      </c>
      <c r="G96" s="130">
        <v>34699266</v>
      </c>
      <c r="H96" s="129">
        <f>_xlfn.COMPOUNDVALUE(955)</f>
        <v>348</v>
      </c>
      <c r="I96" s="131">
        <v>14525271</v>
      </c>
      <c r="J96" s="129">
        <v>316</v>
      </c>
      <c r="K96" s="131">
        <v>-157425</v>
      </c>
      <c r="L96" s="129">
        <f>_xlfn.COMPOUNDVALUE(955)</f>
        <v>8156</v>
      </c>
      <c r="M96" s="131">
        <v>20016570</v>
      </c>
      <c r="N96" s="88" t="s">
        <v>119</v>
      </c>
    </row>
    <row r="97" spans="1:14" ht="15.75" customHeight="1">
      <c r="A97" s="76" t="s">
        <v>120</v>
      </c>
      <c r="B97" s="129">
        <f>_xlfn.COMPOUNDVALUE(956)</f>
        <v>2136</v>
      </c>
      <c r="C97" s="130">
        <v>4581715</v>
      </c>
      <c r="D97" s="129">
        <f>_xlfn.COMPOUNDVALUE(957)</f>
        <v>1235</v>
      </c>
      <c r="E97" s="130">
        <v>452692</v>
      </c>
      <c r="F97" s="129">
        <f>_xlfn.COMPOUNDVALUE(958)</f>
        <v>3371</v>
      </c>
      <c r="G97" s="130">
        <v>5034407</v>
      </c>
      <c r="H97" s="129">
        <f>_xlfn.COMPOUNDVALUE(959)</f>
        <v>204</v>
      </c>
      <c r="I97" s="131">
        <v>1095051</v>
      </c>
      <c r="J97" s="129">
        <v>157</v>
      </c>
      <c r="K97" s="131">
        <v>13007</v>
      </c>
      <c r="L97" s="129">
        <f>_xlfn.COMPOUNDVALUE(959)</f>
        <v>3615</v>
      </c>
      <c r="M97" s="131">
        <v>3952363</v>
      </c>
      <c r="N97" s="88" t="s">
        <v>120</v>
      </c>
    </row>
    <row r="98" spans="1:14" ht="15.75" customHeight="1">
      <c r="A98" s="76"/>
      <c r="B98" s="129"/>
      <c r="C98" s="130"/>
      <c r="D98" s="129"/>
      <c r="E98" s="130"/>
      <c r="F98" s="129"/>
      <c r="G98" s="130"/>
      <c r="H98" s="129"/>
      <c r="I98" s="131"/>
      <c r="J98" s="129"/>
      <c r="K98" s="131"/>
      <c r="L98" s="129"/>
      <c r="M98" s="131"/>
      <c r="N98" s="88" t="s">
        <v>40</v>
      </c>
    </row>
    <row r="99" spans="1:14" ht="15.75" customHeight="1">
      <c r="A99" s="76" t="s">
        <v>121</v>
      </c>
      <c r="B99" s="129">
        <f>_xlfn.COMPOUNDVALUE(960)</f>
        <v>3102</v>
      </c>
      <c r="C99" s="130">
        <v>9884222</v>
      </c>
      <c r="D99" s="129">
        <f>_xlfn.COMPOUNDVALUE(961)</f>
        <v>1914</v>
      </c>
      <c r="E99" s="130">
        <v>710813</v>
      </c>
      <c r="F99" s="129">
        <f>_xlfn.COMPOUNDVALUE(962)</f>
        <v>5016</v>
      </c>
      <c r="G99" s="130">
        <v>10595035</v>
      </c>
      <c r="H99" s="129">
        <f>_xlfn.COMPOUNDVALUE(963)</f>
        <v>216</v>
      </c>
      <c r="I99" s="131">
        <v>313156</v>
      </c>
      <c r="J99" s="129">
        <v>262</v>
      </c>
      <c r="K99" s="131">
        <v>10016</v>
      </c>
      <c r="L99" s="129">
        <f>_xlfn.COMPOUNDVALUE(963)</f>
        <v>5277</v>
      </c>
      <c r="M99" s="131">
        <v>10291895</v>
      </c>
      <c r="N99" s="88" t="s">
        <v>121</v>
      </c>
    </row>
    <row r="100" spans="1:14" ht="15.75" customHeight="1">
      <c r="A100" s="76" t="s">
        <v>122</v>
      </c>
      <c r="B100" s="129">
        <f>_xlfn.COMPOUNDVALUE(964)</f>
        <v>4130</v>
      </c>
      <c r="C100" s="130">
        <v>19238098</v>
      </c>
      <c r="D100" s="129">
        <f>_xlfn.COMPOUNDVALUE(965)</f>
        <v>2572</v>
      </c>
      <c r="E100" s="130">
        <v>907157</v>
      </c>
      <c r="F100" s="129">
        <f>_xlfn.COMPOUNDVALUE(966)</f>
        <v>6702</v>
      </c>
      <c r="G100" s="130">
        <v>20145255</v>
      </c>
      <c r="H100" s="129">
        <f>_xlfn.COMPOUNDVALUE(967)</f>
        <v>305</v>
      </c>
      <c r="I100" s="131">
        <v>946957</v>
      </c>
      <c r="J100" s="129">
        <v>272</v>
      </c>
      <c r="K100" s="131">
        <v>-5927</v>
      </c>
      <c r="L100" s="129">
        <f>_xlfn.COMPOUNDVALUE(967)</f>
        <v>7055</v>
      </c>
      <c r="M100" s="131">
        <v>19192371</v>
      </c>
      <c r="N100" s="88" t="s">
        <v>122</v>
      </c>
    </row>
    <row r="101" spans="1:14" ht="15.75" customHeight="1">
      <c r="A101" s="78" t="s">
        <v>123</v>
      </c>
      <c r="B101" s="134">
        <f>_xlfn.COMPOUNDVALUE(968)</f>
        <v>1991</v>
      </c>
      <c r="C101" s="135">
        <v>5600263</v>
      </c>
      <c r="D101" s="134">
        <f>_xlfn.COMPOUNDVALUE(969)</f>
        <v>1417</v>
      </c>
      <c r="E101" s="135">
        <v>485720</v>
      </c>
      <c r="F101" s="134">
        <f>_xlfn.COMPOUNDVALUE(970)</f>
        <v>3408</v>
      </c>
      <c r="G101" s="135">
        <v>6085983</v>
      </c>
      <c r="H101" s="134">
        <f>_xlfn.COMPOUNDVALUE(971)</f>
        <v>166</v>
      </c>
      <c r="I101" s="136">
        <v>324918</v>
      </c>
      <c r="J101" s="134">
        <v>204</v>
      </c>
      <c r="K101" s="136">
        <v>32904</v>
      </c>
      <c r="L101" s="134">
        <f>_xlfn.COMPOUNDVALUE(971)</f>
        <v>3610</v>
      </c>
      <c r="M101" s="136">
        <v>5793969</v>
      </c>
      <c r="N101" s="77" t="s">
        <v>123</v>
      </c>
    </row>
    <row r="102" spans="1:14" ht="15.75" customHeight="1">
      <c r="A102" s="78" t="s">
        <v>124</v>
      </c>
      <c r="B102" s="134">
        <f>_xlfn.COMPOUNDVALUE(972)</f>
        <v>4903</v>
      </c>
      <c r="C102" s="135">
        <v>17288218</v>
      </c>
      <c r="D102" s="134">
        <f>_xlfn.COMPOUNDVALUE(973)</f>
        <v>2785</v>
      </c>
      <c r="E102" s="135">
        <v>1009747</v>
      </c>
      <c r="F102" s="134">
        <f>_xlfn.COMPOUNDVALUE(974)</f>
        <v>7688</v>
      </c>
      <c r="G102" s="135">
        <v>18297965</v>
      </c>
      <c r="H102" s="134">
        <f>_xlfn.COMPOUNDVALUE(975)</f>
        <v>375</v>
      </c>
      <c r="I102" s="136">
        <v>1501951</v>
      </c>
      <c r="J102" s="134">
        <v>406</v>
      </c>
      <c r="K102" s="136">
        <v>73002</v>
      </c>
      <c r="L102" s="134">
        <f>_xlfn.COMPOUNDVALUE(975)</f>
        <v>8139</v>
      </c>
      <c r="M102" s="136">
        <v>16869016</v>
      </c>
      <c r="N102" s="77" t="s">
        <v>124</v>
      </c>
    </row>
    <row r="103" spans="1:14" ht="15.75" customHeight="1">
      <c r="A103" s="78" t="s">
        <v>125</v>
      </c>
      <c r="B103" s="134">
        <f>_xlfn.COMPOUNDVALUE(976)</f>
        <v>3331</v>
      </c>
      <c r="C103" s="135">
        <v>11663818</v>
      </c>
      <c r="D103" s="134">
        <f>_xlfn.COMPOUNDVALUE(977)</f>
        <v>1859</v>
      </c>
      <c r="E103" s="135">
        <v>656739</v>
      </c>
      <c r="F103" s="134">
        <f>_xlfn.COMPOUNDVALUE(978)</f>
        <v>5190</v>
      </c>
      <c r="G103" s="135">
        <v>12320557</v>
      </c>
      <c r="H103" s="134">
        <f>_xlfn.COMPOUNDVALUE(979)</f>
        <v>185</v>
      </c>
      <c r="I103" s="136">
        <v>1161811</v>
      </c>
      <c r="J103" s="134">
        <v>179</v>
      </c>
      <c r="K103" s="136">
        <v>27438</v>
      </c>
      <c r="L103" s="134">
        <f>_xlfn.COMPOUNDVALUE(979)</f>
        <v>5409</v>
      </c>
      <c r="M103" s="136">
        <v>11186184</v>
      </c>
      <c r="N103" s="77" t="s">
        <v>125</v>
      </c>
    </row>
    <row r="104" spans="1:14" ht="15.75" customHeight="1">
      <c r="A104" s="78"/>
      <c r="B104" s="134"/>
      <c r="C104" s="135"/>
      <c r="D104" s="134"/>
      <c r="E104" s="135"/>
      <c r="F104" s="134"/>
      <c r="G104" s="135"/>
      <c r="H104" s="134"/>
      <c r="I104" s="136"/>
      <c r="J104" s="134"/>
      <c r="K104" s="136"/>
      <c r="L104" s="134"/>
      <c r="M104" s="136"/>
      <c r="N104" s="77" t="s">
        <v>40</v>
      </c>
    </row>
    <row r="105" spans="1:14" ht="15.75" customHeight="1">
      <c r="A105" s="78" t="s">
        <v>126</v>
      </c>
      <c r="B105" s="134">
        <f>_xlfn.COMPOUNDVALUE(980)</f>
        <v>5468</v>
      </c>
      <c r="C105" s="135">
        <v>18578188</v>
      </c>
      <c r="D105" s="134">
        <f>_xlfn.COMPOUNDVALUE(981)</f>
        <v>3057</v>
      </c>
      <c r="E105" s="135">
        <v>1148367</v>
      </c>
      <c r="F105" s="134">
        <f>_xlfn.COMPOUNDVALUE(982)</f>
        <v>8525</v>
      </c>
      <c r="G105" s="135">
        <v>19726555</v>
      </c>
      <c r="H105" s="134">
        <f>_xlfn.COMPOUNDVALUE(983)</f>
        <v>417</v>
      </c>
      <c r="I105" s="136">
        <v>8282184</v>
      </c>
      <c r="J105" s="134">
        <v>372</v>
      </c>
      <c r="K105" s="136">
        <v>40709</v>
      </c>
      <c r="L105" s="134">
        <f>_xlfn.COMPOUNDVALUE(983)</f>
        <v>9018</v>
      </c>
      <c r="M105" s="136">
        <v>11485080</v>
      </c>
      <c r="N105" s="77" t="s">
        <v>126</v>
      </c>
    </row>
    <row r="106" spans="1:14" ht="15.75" customHeight="1">
      <c r="A106" s="78" t="s">
        <v>127</v>
      </c>
      <c r="B106" s="134">
        <f>_xlfn.COMPOUNDVALUE(984)</f>
        <v>2606</v>
      </c>
      <c r="C106" s="135">
        <v>12977234</v>
      </c>
      <c r="D106" s="134">
        <f>_xlfn.COMPOUNDVALUE(985)</f>
        <v>1347</v>
      </c>
      <c r="E106" s="135">
        <v>520523</v>
      </c>
      <c r="F106" s="134">
        <f>_xlfn.COMPOUNDVALUE(986)</f>
        <v>3953</v>
      </c>
      <c r="G106" s="135">
        <v>13497757</v>
      </c>
      <c r="H106" s="134">
        <f>_xlfn.COMPOUNDVALUE(987)</f>
        <v>194</v>
      </c>
      <c r="I106" s="136">
        <v>1546561</v>
      </c>
      <c r="J106" s="134">
        <v>230</v>
      </c>
      <c r="K106" s="136">
        <v>56188</v>
      </c>
      <c r="L106" s="134">
        <f>_xlfn.COMPOUNDVALUE(987)</f>
        <v>4177</v>
      </c>
      <c r="M106" s="136">
        <v>12007384</v>
      </c>
      <c r="N106" s="77" t="s">
        <v>127</v>
      </c>
    </row>
    <row r="107" spans="1:14" ht="15.75" customHeight="1">
      <c r="A107" s="78" t="s">
        <v>128</v>
      </c>
      <c r="B107" s="134">
        <f>_xlfn.COMPOUNDVALUE(988)</f>
        <v>4163</v>
      </c>
      <c r="C107" s="135">
        <v>15251555</v>
      </c>
      <c r="D107" s="134">
        <f>_xlfn.COMPOUNDVALUE(989)</f>
        <v>2265</v>
      </c>
      <c r="E107" s="135">
        <v>879211</v>
      </c>
      <c r="F107" s="134">
        <f>_xlfn.COMPOUNDVALUE(990)</f>
        <v>6428</v>
      </c>
      <c r="G107" s="135">
        <v>16130767</v>
      </c>
      <c r="H107" s="134">
        <f>_xlfn.COMPOUNDVALUE(991)</f>
        <v>367</v>
      </c>
      <c r="I107" s="136">
        <v>2718163</v>
      </c>
      <c r="J107" s="134">
        <v>324</v>
      </c>
      <c r="K107" s="136">
        <v>53988</v>
      </c>
      <c r="L107" s="134">
        <f>_xlfn.COMPOUNDVALUE(991)</f>
        <v>6867</v>
      </c>
      <c r="M107" s="136">
        <v>13466591</v>
      </c>
      <c r="N107" s="77" t="s">
        <v>128</v>
      </c>
    </row>
    <row r="108" spans="1:14" ht="15.75" customHeight="1">
      <c r="A108" s="79" t="s">
        <v>185</v>
      </c>
      <c r="B108" s="137">
        <v>74676</v>
      </c>
      <c r="C108" s="138">
        <v>407718111</v>
      </c>
      <c r="D108" s="137">
        <v>39791</v>
      </c>
      <c r="E108" s="138">
        <v>14829813</v>
      </c>
      <c r="F108" s="137">
        <v>114467</v>
      </c>
      <c r="G108" s="138">
        <v>422547923</v>
      </c>
      <c r="H108" s="137">
        <v>7026</v>
      </c>
      <c r="I108" s="139">
        <v>158631908</v>
      </c>
      <c r="J108" s="137">
        <v>5600</v>
      </c>
      <c r="K108" s="139">
        <v>543141</v>
      </c>
      <c r="L108" s="137">
        <v>122554</v>
      </c>
      <c r="M108" s="139">
        <v>264459156</v>
      </c>
      <c r="N108" s="84" t="s">
        <v>130</v>
      </c>
    </row>
    <row r="109" spans="1:14" ht="15.75" customHeight="1">
      <c r="A109" s="85"/>
      <c r="B109" s="142"/>
      <c r="C109" s="143"/>
      <c r="D109" s="142"/>
      <c r="E109" s="143"/>
      <c r="F109" s="144"/>
      <c r="G109" s="143"/>
      <c r="H109" s="144"/>
      <c r="I109" s="143"/>
      <c r="J109" s="144"/>
      <c r="K109" s="143"/>
      <c r="L109" s="144"/>
      <c r="M109" s="143"/>
      <c r="N109" s="92"/>
    </row>
    <row r="110" spans="1:14" ht="15.75" customHeight="1">
      <c r="A110" s="76" t="s">
        <v>131</v>
      </c>
      <c r="B110" s="129">
        <f>_xlfn.COMPOUNDVALUE(992)</f>
        <v>4584</v>
      </c>
      <c r="C110" s="130">
        <v>18466593</v>
      </c>
      <c r="D110" s="129">
        <f>_xlfn.COMPOUNDVALUE(993)</f>
        <v>1937</v>
      </c>
      <c r="E110" s="130">
        <v>755569</v>
      </c>
      <c r="F110" s="129">
        <f>_xlfn.COMPOUNDVALUE(994)</f>
        <v>6521</v>
      </c>
      <c r="G110" s="130">
        <v>19222163</v>
      </c>
      <c r="H110" s="129">
        <f>_xlfn.COMPOUNDVALUE(995)</f>
        <v>270</v>
      </c>
      <c r="I110" s="131">
        <v>1420918</v>
      </c>
      <c r="J110" s="129">
        <v>421</v>
      </c>
      <c r="K110" s="131">
        <v>68404</v>
      </c>
      <c r="L110" s="129">
        <f>_xlfn.COMPOUNDVALUE(995)</f>
        <v>6859</v>
      </c>
      <c r="M110" s="131">
        <v>17869649</v>
      </c>
      <c r="N110" s="87" t="s">
        <v>131</v>
      </c>
    </row>
    <row r="111" spans="1:14" ht="15.75" customHeight="1">
      <c r="A111" s="78" t="s">
        <v>132</v>
      </c>
      <c r="B111" s="134">
        <f>_xlfn.COMPOUNDVALUE(996)</f>
        <v>1100</v>
      </c>
      <c r="C111" s="135">
        <v>3185797</v>
      </c>
      <c r="D111" s="134">
        <f>_xlfn.COMPOUNDVALUE(997)</f>
        <v>465</v>
      </c>
      <c r="E111" s="135">
        <v>170311</v>
      </c>
      <c r="F111" s="134">
        <f>_xlfn.COMPOUNDVALUE(998)</f>
        <v>1565</v>
      </c>
      <c r="G111" s="135">
        <v>3356108</v>
      </c>
      <c r="H111" s="134">
        <f>_xlfn.COMPOUNDVALUE(999)</f>
        <v>62</v>
      </c>
      <c r="I111" s="136">
        <v>411645</v>
      </c>
      <c r="J111" s="134">
        <v>96</v>
      </c>
      <c r="K111" s="136">
        <v>13140</v>
      </c>
      <c r="L111" s="134">
        <f>_xlfn.COMPOUNDVALUE(999)</f>
        <v>1644</v>
      </c>
      <c r="M111" s="136">
        <v>2957603</v>
      </c>
      <c r="N111" s="77" t="s">
        <v>132</v>
      </c>
    </row>
    <row r="112" spans="1:14" ht="15.75" customHeight="1">
      <c r="A112" s="78" t="s">
        <v>133</v>
      </c>
      <c r="B112" s="134">
        <f>_xlfn.COMPOUNDVALUE(1000)</f>
        <v>1930</v>
      </c>
      <c r="C112" s="135">
        <v>6124161</v>
      </c>
      <c r="D112" s="134">
        <f>_xlfn.COMPOUNDVALUE(1001)</f>
        <v>1005</v>
      </c>
      <c r="E112" s="135">
        <v>373231</v>
      </c>
      <c r="F112" s="134">
        <f>_xlfn.COMPOUNDVALUE(1002)</f>
        <v>2935</v>
      </c>
      <c r="G112" s="135">
        <v>6497392</v>
      </c>
      <c r="H112" s="134">
        <f>_xlfn.COMPOUNDVALUE(1003)</f>
        <v>96</v>
      </c>
      <c r="I112" s="136">
        <v>3151304</v>
      </c>
      <c r="J112" s="134">
        <v>194</v>
      </c>
      <c r="K112" s="136">
        <v>-41951</v>
      </c>
      <c r="L112" s="134">
        <f>_xlfn.COMPOUNDVALUE(1003)</f>
        <v>3061</v>
      </c>
      <c r="M112" s="136">
        <v>3304137</v>
      </c>
      <c r="N112" s="77" t="s">
        <v>133</v>
      </c>
    </row>
    <row r="113" spans="1:14" ht="15.75" customHeight="1">
      <c r="A113" s="78" t="s">
        <v>134</v>
      </c>
      <c r="B113" s="134">
        <f>_xlfn.COMPOUNDVALUE(1004)</f>
        <v>472</v>
      </c>
      <c r="C113" s="135">
        <v>1401577</v>
      </c>
      <c r="D113" s="134">
        <f>_xlfn.COMPOUNDVALUE(1005)</f>
        <v>233</v>
      </c>
      <c r="E113" s="135">
        <v>87571</v>
      </c>
      <c r="F113" s="134">
        <f>_xlfn.COMPOUNDVALUE(1006)</f>
        <v>705</v>
      </c>
      <c r="G113" s="135">
        <v>1489148</v>
      </c>
      <c r="H113" s="134">
        <f>_xlfn.COMPOUNDVALUE(1007)</f>
        <v>13</v>
      </c>
      <c r="I113" s="136">
        <v>12639</v>
      </c>
      <c r="J113" s="134">
        <v>38</v>
      </c>
      <c r="K113" s="136">
        <v>4834</v>
      </c>
      <c r="L113" s="134">
        <f>_xlfn.COMPOUNDVALUE(1007)</f>
        <v>723</v>
      </c>
      <c r="M113" s="136">
        <v>1481342</v>
      </c>
      <c r="N113" s="77" t="s">
        <v>134</v>
      </c>
    </row>
    <row r="114" spans="1:14" ht="15.75" customHeight="1">
      <c r="A114" s="79" t="s">
        <v>186</v>
      </c>
      <c r="B114" s="137">
        <v>8086</v>
      </c>
      <c r="C114" s="138">
        <v>29178128</v>
      </c>
      <c r="D114" s="137">
        <v>3640</v>
      </c>
      <c r="E114" s="138">
        <v>1386682</v>
      </c>
      <c r="F114" s="137">
        <v>11726</v>
      </c>
      <c r="G114" s="138">
        <v>30564810</v>
      </c>
      <c r="H114" s="137">
        <v>441</v>
      </c>
      <c r="I114" s="139">
        <v>4996505</v>
      </c>
      <c r="J114" s="137">
        <v>749</v>
      </c>
      <c r="K114" s="139">
        <v>44426</v>
      </c>
      <c r="L114" s="137">
        <v>12287</v>
      </c>
      <c r="M114" s="139">
        <v>25612731</v>
      </c>
      <c r="N114" s="84" t="s">
        <v>136</v>
      </c>
    </row>
    <row r="115" spans="1:14" ht="15.75" customHeight="1" thickBot="1">
      <c r="A115" s="80"/>
      <c r="B115" s="154"/>
      <c r="C115" s="155"/>
      <c r="D115" s="154"/>
      <c r="E115" s="155"/>
      <c r="F115" s="156"/>
      <c r="G115" s="155"/>
      <c r="H115" s="156"/>
      <c r="I115" s="155"/>
      <c r="J115" s="156"/>
      <c r="K115" s="155"/>
      <c r="L115" s="156"/>
      <c r="M115" s="155"/>
      <c r="N115" s="93"/>
    </row>
    <row r="116" spans="1:14" ht="15.75" customHeight="1" thickBot="1" thickTop="1">
      <c r="A116" s="82" t="s">
        <v>187</v>
      </c>
      <c r="B116" s="160">
        <v>376843</v>
      </c>
      <c r="C116" s="161">
        <v>4211795568</v>
      </c>
      <c r="D116" s="160">
        <v>159256</v>
      </c>
      <c r="E116" s="161">
        <v>64022184</v>
      </c>
      <c r="F116" s="160">
        <v>536099</v>
      </c>
      <c r="G116" s="161">
        <v>4275817752</v>
      </c>
      <c r="H116" s="160">
        <v>46112</v>
      </c>
      <c r="I116" s="162">
        <v>1229022101</v>
      </c>
      <c r="J116" s="160">
        <v>30856</v>
      </c>
      <c r="K116" s="162">
        <v>4723860</v>
      </c>
      <c r="L116" s="160">
        <v>588277</v>
      </c>
      <c r="M116" s="162">
        <v>3051519511</v>
      </c>
      <c r="N116" s="94" t="s">
        <v>39</v>
      </c>
    </row>
    <row r="117" spans="1:14" ht="13.5">
      <c r="A117" s="224" t="s">
        <v>155</v>
      </c>
      <c r="B117" s="224"/>
      <c r="C117" s="224"/>
      <c r="D117" s="224"/>
      <c r="E117" s="224"/>
      <c r="F117" s="224"/>
      <c r="G117" s="224"/>
      <c r="H117" s="224"/>
      <c r="I117" s="224"/>
      <c r="J117" s="66"/>
      <c r="K117" s="66"/>
      <c r="L117" s="65"/>
      <c r="M117" s="65"/>
      <c r="N117" s="65"/>
    </row>
  </sheetData>
  <sheetProtection/>
  <mergeCells count="11">
    <mergeCell ref="L3:M4"/>
    <mergeCell ref="N3:N5"/>
    <mergeCell ref="B4:C4"/>
    <mergeCell ref="D4:E4"/>
    <mergeCell ref="F4:G4"/>
    <mergeCell ref="A117:I117"/>
    <mergeCell ref="A2:I2"/>
    <mergeCell ref="A3:A5"/>
    <mergeCell ref="B3:G3"/>
    <mergeCell ref="H3:I4"/>
    <mergeCell ref="J3:K4"/>
  </mergeCells>
  <printOptions horizontalCentered="1"/>
  <pageMargins left="0.7874015748031497" right="0.7874015748031497" top="0.8" bottom="0.83" header="0.5118110236220472" footer="0.33"/>
  <pageSetup fitToHeight="3" horizontalDpi="600" verticalDpi="600" orientation="landscape" paperSize="9" scale="71" r:id="rId1"/>
  <headerFooter alignWithMargins="0">
    <oddFooter>&amp;R東京国税局
消費税
(H25)</oddFooter>
  </headerFooter>
  <rowBreaks count="2" manualBreakCount="2">
    <brk id="42" max="13" man="1"/>
    <brk id="79" max="13" man="1"/>
  </rowBreaks>
</worksheet>
</file>

<file path=xl/worksheets/sheet6.xml><?xml version="1.0" encoding="utf-8"?>
<worksheet xmlns="http://schemas.openxmlformats.org/spreadsheetml/2006/main" xmlns:r="http://schemas.openxmlformats.org/officeDocument/2006/relationships">
  <sheetPr>
    <pageSetUpPr fitToPage="1"/>
  </sheetPr>
  <dimension ref="A1:R117"/>
  <sheetViews>
    <sheetView showGridLines="0" zoomScaleSheetLayoutView="100" zoomScalePageLayoutView="0" workbookViewId="0" topLeftCell="E100">
      <selection activeCell="A1" sqref="A1"/>
    </sheetView>
  </sheetViews>
  <sheetFormatPr defaultColWidth="9.00390625" defaultRowHeight="13.5"/>
  <cols>
    <col min="1" max="1" width="10.375" style="128" customWidth="1"/>
    <col min="2" max="2" width="10.625" style="128" customWidth="1"/>
    <col min="3" max="3" width="12.625" style="128" customWidth="1"/>
    <col min="4" max="4" width="10.625" style="128" customWidth="1"/>
    <col min="5" max="5" width="12.625" style="128" customWidth="1"/>
    <col min="6" max="6" width="10.625" style="128" customWidth="1"/>
    <col min="7" max="7" width="12.625" style="128" customWidth="1"/>
    <col min="8" max="8" width="10.625" style="128" customWidth="1"/>
    <col min="9" max="9" width="12.625" style="128" customWidth="1"/>
    <col min="10" max="10" width="10.625" style="128" customWidth="1"/>
    <col min="11" max="11" width="12.625" style="128" customWidth="1"/>
    <col min="12" max="12" width="10.625" style="128" customWidth="1"/>
    <col min="13" max="13" width="12.625" style="128" customWidth="1"/>
    <col min="14" max="17" width="10.625" style="128" customWidth="1"/>
    <col min="18" max="18" width="10.375" style="128" customWidth="1"/>
    <col min="19" max="16384" width="9.00390625" style="128" customWidth="1"/>
  </cols>
  <sheetData>
    <row r="1" spans="1:16" ht="13.5">
      <c r="A1" s="64" t="s">
        <v>150</v>
      </c>
      <c r="B1" s="64"/>
      <c r="C1" s="64"/>
      <c r="D1" s="64"/>
      <c r="E1" s="64"/>
      <c r="F1" s="64"/>
      <c r="G1" s="64"/>
      <c r="H1" s="64"/>
      <c r="I1" s="64"/>
      <c r="J1" s="64"/>
      <c r="K1" s="64"/>
      <c r="L1" s="65"/>
      <c r="M1" s="65"/>
      <c r="N1" s="65"/>
      <c r="O1" s="65"/>
      <c r="P1" s="65"/>
    </row>
    <row r="2" spans="1:16" ht="14.25" thickBot="1">
      <c r="A2" s="234" t="s">
        <v>28</v>
      </c>
      <c r="B2" s="234"/>
      <c r="C2" s="234"/>
      <c r="D2" s="234"/>
      <c r="E2" s="234"/>
      <c r="F2" s="234"/>
      <c r="G2" s="234"/>
      <c r="H2" s="234"/>
      <c r="I2" s="234"/>
      <c r="J2" s="66"/>
      <c r="K2" s="66"/>
      <c r="L2" s="65"/>
      <c r="M2" s="65"/>
      <c r="N2" s="65"/>
      <c r="O2" s="65"/>
      <c r="P2" s="65"/>
    </row>
    <row r="3" spans="1:18" ht="19.5" customHeight="1">
      <c r="A3" s="226" t="s">
        <v>29</v>
      </c>
      <c r="B3" s="229" t="s">
        <v>30</v>
      </c>
      <c r="C3" s="229"/>
      <c r="D3" s="229"/>
      <c r="E3" s="229"/>
      <c r="F3" s="229"/>
      <c r="G3" s="229"/>
      <c r="H3" s="229" t="s">
        <v>13</v>
      </c>
      <c r="I3" s="229"/>
      <c r="J3" s="235" t="s">
        <v>31</v>
      </c>
      <c r="K3" s="229"/>
      <c r="L3" s="229" t="s">
        <v>32</v>
      </c>
      <c r="M3" s="229"/>
      <c r="N3" s="236" t="s">
        <v>151</v>
      </c>
      <c r="O3" s="237"/>
      <c r="P3" s="237"/>
      <c r="Q3" s="237"/>
      <c r="R3" s="218" t="s">
        <v>33</v>
      </c>
    </row>
    <row r="4" spans="1:18" ht="17.25" customHeight="1">
      <c r="A4" s="227"/>
      <c r="B4" s="221" t="s">
        <v>16</v>
      </c>
      <c r="C4" s="221"/>
      <c r="D4" s="221" t="s">
        <v>34</v>
      </c>
      <c r="E4" s="221"/>
      <c r="F4" s="221" t="s">
        <v>35</v>
      </c>
      <c r="G4" s="221"/>
      <c r="H4" s="221"/>
      <c r="I4" s="221"/>
      <c r="J4" s="221"/>
      <c r="K4" s="221"/>
      <c r="L4" s="221"/>
      <c r="M4" s="221"/>
      <c r="N4" s="238" t="s">
        <v>36</v>
      </c>
      <c r="O4" s="240" t="s">
        <v>152</v>
      </c>
      <c r="P4" s="242" t="s">
        <v>153</v>
      </c>
      <c r="Q4" s="232" t="s">
        <v>37</v>
      </c>
      <c r="R4" s="219"/>
    </row>
    <row r="5" spans="1:18" ht="28.5" customHeight="1">
      <c r="A5" s="228"/>
      <c r="B5" s="67" t="s">
        <v>38</v>
      </c>
      <c r="C5" s="68" t="s">
        <v>141</v>
      </c>
      <c r="D5" s="67" t="s">
        <v>38</v>
      </c>
      <c r="E5" s="68" t="s">
        <v>141</v>
      </c>
      <c r="F5" s="67" t="s">
        <v>38</v>
      </c>
      <c r="G5" s="68" t="s">
        <v>142</v>
      </c>
      <c r="H5" s="67" t="s">
        <v>38</v>
      </c>
      <c r="I5" s="68" t="s">
        <v>143</v>
      </c>
      <c r="J5" s="67" t="s">
        <v>38</v>
      </c>
      <c r="K5" s="68" t="s">
        <v>144</v>
      </c>
      <c r="L5" s="67" t="s">
        <v>38</v>
      </c>
      <c r="M5" s="69" t="s">
        <v>154</v>
      </c>
      <c r="N5" s="239"/>
      <c r="O5" s="241"/>
      <c r="P5" s="243"/>
      <c r="Q5" s="244"/>
      <c r="R5" s="220"/>
    </row>
    <row r="6" spans="1:18" s="98" customFormat="1" ht="10.5">
      <c r="A6" s="70"/>
      <c r="B6" s="71" t="s">
        <v>4</v>
      </c>
      <c r="C6" s="72" t="s">
        <v>5</v>
      </c>
      <c r="D6" s="71" t="s">
        <v>4</v>
      </c>
      <c r="E6" s="72" t="s">
        <v>5</v>
      </c>
      <c r="F6" s="71" t="s">
        <v>4</v>
      </c>
      <c r="G6" s="72" t="s">
        <v>5</v>
      </c>
      <c r="H6" s="71" t="s">
        <v>4</v>
      </c>
      <c r="I6" s="72" t="s">
        <v>5</v>
      </c>
      <c r="J6" s="71" t="s">
        <v>4</v>
      </c>
      <c r="K6" s="72" t="s">
        <v>5</v>
      </c>
      <c r="L6" s="71" t="s">
        <v>4</v>
      </c>
      <c r="M6" s="72" t="s">
        <v>5</v>
      </c>
      <c r="N6" s="71" t="s">
        <v>4</v>
      </c>
      <c r="O6" s="73" t="s">
        <v>4</v>
      </c>
      <c r="P6" s="73" t="s">
        <v>4</v>
      </c>
      <c r="Q6" s="74" t="s">
        <v>4</v>
      </c>
      <c r="R6" s="75"/>
    </row>
    <row r="7" spans="1:18" ht="15.75" customHeight="1">
      <c r="A7" s="101" t="s">
        <v>41</v>
      </c>
      <c r="B7" s="129">
        <f>_xlfn.COMPOUNDVALUE(337)</f>
        <v>5280</v>
      </c>
      <c r="C7" s="130">
        <v>21793701</v>
      </c>
      <c r="D7" s="129">
        <f>_xlfn.COMPOUNDVALUE(338)</f>
        <v>3581</v>
      </c>
      <c r="E7" s="130">
        <v>1287445</v>
      </c>
      <c r="F7" s="129">
        <f>_xlfn.COMPOUNDVALUE(339)</f>
        <v>8861</v>
      </c>
      <c r="G7" s="130">
        <v>23081146</v>
      </c>
      <c r="H7" s="129">
        <f>_xlfn.COMPOUNDVALUE(340)</f>
        <v>499</v>
      </c>
      <c r="I7" s="131">
        <v>816497</v>
      </c>
      <c r="J7" s="129">
        <v>649</v>
      </c>
      <c r="K7" s="131">
        <v>66171</v>
      </c>
      <c r="L7" s="129">
        <f>_xlfn.COMPOUNDVALUE(340)</f>
        <v>9557</v>
      </c>
      <c r="M7" s="131">
        <v>22330820</v>
      </c>
      <c r="N7" s="129">
        <v>9878</v>
      </c>
      <c r="O7" s="132">
        <v>275</v>
      </c>
      <c r="P7" s="132">
        <v>33</v>
      </c>
      <c r="Q7" s="133">
        <v>10186</v>
      </c>
      <c r="R7" s="100" t="s">
        <v>41</v>
      </c>
    </row>
    <row r="8" spans="1:18" ht="15.75" customHeight="1">
      <c r="A8" s="76" t="s">
        <v>42</v>
      </c>
      <c r="B8" s="129">
        <f>_xlfn.COMPOUNDVALUE(341)</f>
        <v>4600</v>
      </c>
      <c r="C8" s="130">
        <v>17832741</v>
      </c>
      <c r="D8" s="129">
        <f>_xlfn.COMPOUNDVALUE(342)</f>
        <v>3427</v>
      </c>
      <c r="E8" s="130">
        <v>1173476</v>
      </c>
      <c r="F8" s="129">
        <f>_xlfn.COMPOUNDVALUE(343)</f>
        <v>8027</v>
      </c>
      <c r="G8" s="130">
        <v>19006218</v>
      </c>
      <c r="H8" s="129">
        <f>_xlfn.COMPOUNDVALUE(344)</f>
        <v>357</v>
      </c>
      <c r="I8" s="131">
        <v>703895</v>
      </c>
      <c r="J8" s="129">
        <v>366</v>
      </c>
      <c r="K8" s="131">
        <v>67308</v>
      </c>
      <c r="L8" s="129">
        <f>_xlfn.COMPOUNDVALUE(344)</f>
        <v>8554</v>
      </c>
      <c r="M8" s="131">
        <v>18369631</v>
      </c>
      <c r="N8" s="129">
        <v>8873</v>
      </c>
      <c r="O8" s="132">
        <v>203</v>
      </c>
      <c r="P8" s="132">
        <v>22</v>
      </c>
      <c r="Q8" s="133">
        <v>9098</v>
      </c>
      <c r="R8" s="77" t="s">
        <v>42</v>
      </c>
    </row>
    <row r="9" spans="1:18" ht="15.75" customHeight="1">
      <c r="A9" s="76" t="s">
        <v>43</v>
      </c>
      <c r="B9" s="129">
        <f>_xlfn.COMPOUNDVALUE(345)</f>
        <v>5169</v>
      </c>
      <c r="C9" s="130">
        <v>42011572</v>
      </c>
      <c r="D9" s="129">
        <f>_xlfn.COMPOUNDVALUE(346)</f>
        <v>3745</v>
      </c>
      <c r="E9" s="130">
        <v>1232118</v>
      </c>
      <c r="F9" s="129">
        <f>_xlfn.COMPOUNDVALUE(347)</f>
        <v>8914</v>
      </c>
      <c r="G9" s="130">
        <v>43243689</v>
      </c>
      <c r="H9" s="129">
        <f>_xlfn.COMPOUNDVALUE(348)</f>
        <v>515</v>
      </c>
      <c r="I9" s="131">
        <v>2311558</v>
      </c>
      <c r="J9" s="129">
        <v>543</v>
      </c>
      <c r="K9" s="131">
        <v>114457</v>
      </c>
      <c r="L9" s="129">
        <f>_xlfn.COMPOUNDVALUE(348)</f>
        <v>9613</v>
      </c>
      <c r="M9" s="131">
        <v>41046588</v>
      </c>
      <c r="N9" s="129">
        <v>9718</v>
      </c>
      <c r="O9" s="132">
        <v>318</v>
      </c>
      <c r="P9" s="132">
        <v>27</v>
      </c>
      <c r="Q9" s="133">
        <v>10063</v>
      </c>
      <c r="R9" s="77" t="s">
        <v>43</v>
      </c>
    </row>
    <row r="10" spans="1:18" ht="15.75" customHeight="1">
      <c r="A10" s="76" t="s">
        <v>44</v>
      </c>
      <c r="B10" s="129">
        <f>_xlfn.COMPOUNDVALUE(349)</f>
        <v>2592</v>
      </c>
      <c r="C10" s="130">
        <v>5439081</v>
      </c>
      <c r="D10" s="129">
        <f>_xlfn.COMPOUNDVALUE(350)</f>
        <v>3335</v>
      </c>
      <c r="E10" s="130">
        <v>894906</v>
      </c>
      <c r="F10" s="129">
        <f>_xlfn.COMPOUNDVALUE(351)</f>
        <v>5927</v>
      </c>
      <c r="G10" s="130">
        <v>6333988</v>
      </c>
      <c r="H10" s="129">
        <f>_xlfn.COMPOUNDVALUE(352)</f>
        <v>174</v>
      </c>
      <c r="I10" s="131">
        <v>490190</v>
      </c>
      <c r="J10" s="129">
        <v>286</v>
      </c>
      <c r="K10" s="131">
        <v>35154</v>
      </c>
      <c r="L10" s="129">
        <f>_xlfn.COMPOUNDVALUE(352)</f>
        <v>6164</v>
      </c>
      <c r="M10" s="131">
        <v>5878952</v>
      </c>
      <c r="N10" s="129">
        <v>6217</v>
      </c>
      <c r="O10" s="132">
        <v>91</v>
      </c>
      <c r="P10" s="132">
        <v>13</v>
      </c>
      <c r="Q10" s="133">
        <v>6321</v>
      </c>
      <c r="R10" s="77" t="s">
        <v>44</v>
      </c>
    </row>
    <row r="11" spans="1:18" ht="15.75" customHeight="1">
      <c r="A11" s="76" t="s">
        <v>45</v>
      </c>
      <c r="B11" s="129">
        <f>_xlfn.COMPOUNDVALUE(353)</f>
        <v>5577</v>
      </c>
      <c r="C11" s="130">
        <v>28253143</v>
      </c>
      <c r="D11" s="129">
        <f>_xlfn.COMPOUNDVALUE(354)</f>
        <v>4470</v>
      </c>
      <c r="E11" s="130">
        <v>1493953</v>
      </c>
      <c r="F11" s="129">
        <f>_xlfn.COMPOUNDVALUE(355)</f>
        <v>10047</v>
      </c>
      <c r="G11" s="130">
        <v>29747096</v>
      </c>
      <c r="H11" s="129">
        <f>_xlfn.COMPOUNDVALUE(356)</f>
        <v>499</v>
      </c>
      <c r="I11" s="131">
        <v>1132418</v>
      </c>
      <c r="J11" s="129">
        <v>627</v>
      </c>
      <c r="K11" s="131">
        <v>57900</v>
      </c>
      <c r="L11" s="129">
        <f>_xlfn.COMPOUNDVALUE(356)</f>
        <v>10705</v>
      </c>
      <c r="M11" s="131">
        <v>28672577</v>
      </c>
      <c r="N11" s="129">
        <v>11043</v>
      </c>
      <c r="O11" s="132">
        <v>313</v>
      </c>
      <c r="P11" s="132">
        <v>35</v>
      </c>
      <c r="Q11" s="133">
        <v>11391</v>
      </c>
      <c r="R11" s="77" t="s">
        <v>45</v>
      </c>
    </row>
    <row r="12" spans="1:18" ht="15.75" customHeight="1">
      <c r="A12" s="76"/>
      <c r="B12" s="129"/>
      <c r="C12" s="130"/>
      <c r="D12" s="129"/>
      <c r="E12" s="130"/>
      <c r="F12" s="129"/>
      <c r="G12" s="130"/>
      <c r="H12" s="129"/>
      <c r="I12" s="131"/>
      <c r="J12" s="129"/>
      <c r="K12" s="131"/>
      <c r="L12" s="129"/>
      <c r="M12" s="131"/>
      <c r="N12" s="129"/>
      <c r="O12" s="132"/>
      <c r="P12" s="132"/>
      <c r="Q12" s="133"/>
      <c r="R12" s="77" t="s">
        <v>40</v>
      </c>
    </row>
    <row r="13" spans="1:18" ht="15.75" customHeight="1">
      <c r="A13" s="76" t="s">
        <v>46</v>
      </c>
      <c r="B13" s="129">
        <f>_xlfn.COMPOUNDVALUE(357)</f>
        <v>5117</v>
      </c>
      <c r="C13" s="130">
        <v>15823747</v>
      </c>
      <c r="D13" s="129">
        <f>_xlfn.COMPOUNDVALUE(358)</f>
        <v>4156</v>
      </c>
      <c r="E13" s="130">
        <v>1345690</v>
      </c>
      <c r="F13" s="129">
        <f>_xlfn.COMPOUNDVALUE(359)</f>
        <v>9273</v>
      </c>
      <c r="G13" s="130">
        <v>17169437</v>
      </c>
      <c r="H13" s="129">
        <f>_xlfn.COMPOUNDVALUE(360)</f>
        <v>441</v>
      </c>
      <c r="I13" s="131">
        <v>1460152</v>
      </c>
      <c r="J13" s="129">
        <v>480</v>
      </c>
      <c r="K13" s="131">
        <v>117958</v>
      </c>
      <c r="L13" s="129">
        <f>_xlfn.COMPOUNDVALUE(360)</f>
        <v>9907</v>
      </c>
      <c r="M13" s="131">
        <v>15827243</v>
      </c>
      <c r="N13" s="129">
        <v>9870</v>
      </c>
      <c r="O13" s="132">
        <v>281</v>
      </c>
      <c r="P13" s="132">
        <v>30</v>
      </c>
      <c r="Q13" s="133">
        <v>10181</v>
      </c>
      <c r="R13" s="77" t="s">
        <v>46</v>
      </c>
    </row>
    <row r="14" spans="1:18" ht="15.75" customHeight="1">
      <c r="A14" s="76" t="s">
        <v>47</v>
      </c>
      <c r="B14" s="129">
        <f>_xlfn.COMPOUNDVALUE(361)</f>
        <v>1761</v>
      </c>
      <c r="C14" s="130">
        <v>3033049</v>
      </c>
      <c r="D14" s="129">
        <f>_xlfn.COMPOUNDVALUE(362)</f>
        <v>1581</v>
      </c>
      <c r="E14" s="130">
        <v>447038</v>
      </c>
      <c r="F14" s="129">
        <f>_xlfn.COMPOUNDVALUE(363)</f>
        <v>3342</v>
      </c>
      <c r="G14" s="130">
        <v>3480086</v>
      </c>
      <c r="H14" s="129">
        <f>_xlfn.COMPOUNDVALUE(364)</f>
        <v>89</v>
      </c>
      <c r="I14" s="131">
        <v>73948</v>
      </c>
      <c r="J14" s="129">
        <v>135</v>
      </c>
      <c r="K14" s="131">
        <v>14167</v>
      </c>
      <c r="L14" s="129">
        <f>_xlfn.COMPOUNDVALUE(364)</f>
        <v>3495</v>
      </c>
      <c r="M14" s="131">
        <v>3420305</v>
      </c>
      <c r="N14" s="129">
        <v>3520</v>
      </c>
      <c r="O14" s="132">
        <v>64</v>
      </c>
      <c r="P14" s="132">
        <v>7</v>
      </c>
      <c r="Q14" s="133">
        <v>3591</v>
      </c>
      <c r="R14" s="77" t="s">
        <v>47</v>
      </c>
    </row>
    <row r="15" spans="1:18" ht="15.75" customHeight="1">
      <c r="A15" s="76" t="s">
        <v>48</v>
      </c>
      <c r="B15" s="129">
        <f>_xlfn.COMPOUNDVALUE(365)</f>
        <v>3430</v>
      </c>
      <c r="C15" s="130">
        <v>8983367</v>
      </c>
      <c r="D15" s="129">
        <f>_xlfn.COMPOUNDVALUE(366)</f>
        <v>2957</v>
      </c>
      <c r="E15" s="130">
        <v>925382</v>
      </c>
      <c r="F15" s="129">
        <f>_xlfn.COMPOUNDVALUE(367)</f>
        <v>6387</v>
      </c>
      <c r="G15" s="130">
        <v>9908749</v>
      </c>
      <c r="H15" s="129">
        <f>_xlfn.COMPOUNDVALUE(368)</f>
        <v>212</v>
      </c>
      <c r="I15" s="131">
        <v>1306932</v>
      </c>
      <c r="J15" s="129">
        <v>404</v>
      </c>
      <c r="K15" s="131">
        <v>93958</v>
      </c>
      <c r="L15" s="129">
        <f>_xlfn.COMPOUNDVALUE(368)</f>
        <v>6731</v>
      </c>
      <c r="M15" s="131">
        <v>8695775</v>
      </c>
      <c r="N15" s="129">
        <v>7043</v>
      </c>
      <c r="O15" s="132">
        <v>141</v>
      </c>
      <c r="P15" s="132">
        <v>13</v>
      </c>
      <c r="Q15" s="133">
        <v>7197</v>
      </c>
      <c r="R15" s="77" t="s">
        <v>48</v>
      </c>
    </row>
    <row r="16" spans="1:18" ht="15.75" customHeight="1">
      <c r="A16" s="78" t="s">
        <v>49</v>
      </c>
      <c r="B16" s="134">
        <f>_xlfn.COMPOUNDVALUE(369)</f>
        <v>6257</v>
      </c>
      <c r="C16" s="135">
        <v>14312976</v>
      </c>
      <c r="D16" s="134">
        <f>_xlfn.COMPOUNDVALUE(370)</f>
        <v>5493</v>
      </c>
      <c r="E16" s="135">
        <v>1783952</v>
      </c>
      <c r="F16" s="134">
        <f>_xlfn.COMPOUNDVALUE(371)</f>
        <v>11750</v>
      </c>
      <c r="G16" s="135">
        <v>16096929</v>
      </c>
      <c r="H16" s="134">
        <f>_xlfn.COMPOUNDVALUE(372)</f>
        <v>553</v>
      </c>
      <c r="I16" s="136">
        <v>1571624</v>
      </c>
      <c r="J16" s="134">
        <v>861</v>
      </c>
      <c r="K16" s="136">
        <v>-106126</v>
      </c>
      <c r="L16" s="134">
        <f>_xlfn.COMPOUNDVALUE(372)</f>
        <v>12596</v>
      </c>
      <c r="M16" s="136">
        <v>14419178</v>
      </c>
      <c r="N16" s="129">
        <v>12457</v>
      </c>
      <c r="O16" s="132">
        <v>342</v>
      </c>
      <c r="P16" s="132">
        <v>36</v>
      </c>
      <c r="Q16" s="133">
        <v>12835</v>
      </c>
      <c r="R16" s="77" t="s">
        <v>49</v>
      </c>
    </row>
    <row r="17" spans="1:18" ht="15.75" customHeight="1">
      <c r="A17" s="78" t="s">
        <v>50</v>
      </c>
      <c r="B17" s="134">
        <f>_xlfn.COMPOUNDVALUE(373)</f>
        <v>1558</v>
      </c>
      <c r="C17" s="135">
        <v>3307754</v>
      </c>
      <c r="D17" s="134">
        <f>_xlfn.COMPOUNDVALUE(374)</f>
        <v>1593</v>
      </c>
      <c r="E17" s="135">
        <v>419137</v>
      </c>
      <c r="F17" s="134">
        <f>_xlfn.COMPOUNDVALUE(375)</f>
        <v>3151</v>
      </c>
      <c r="G17" s="135">
        <v>3726890</v>
      </c>
      <c r="H17" s="134">
        <f>_xlfn.COMPOUNDVALUE(376)</f>
        <v>109</v>
      </c>
      <c r="I17" s="136">
        <v>196627</v>
      </c>
      <c r="J17" s="134">
        <v>133</v>
      </c>
      <c r="K17" s="136">
        <v>11255</v>
      </c>
      <c r="L17" s="134">
        <f>_xlfn.COMPOUNDVALUE(376)</f>
        <v>3298</v>
      </c>
      <c r="M17" s="136">
        <v>3541518</v>
      </c>
      <c r="N17" s="129">
        <v>3355</v>
      </c>
      <c r="O17" s="132">
        <v>58</v>
      </c>
      <c r="P17" s="132">
        <v>6</v>
      </c>
      <c r="Q17" s="133">
        <v>3419</v>
      </c>
      <c r="R17" s="77" t="s">
        <v>50</v>
      </c>
    </row>
    <row r="18" spans="1:18" ht="15.75" customHeight="1">
      <c r="A18" s="78"/>
      <c r="B18" s="134"/>
      <c r="C18" s="135"/>
      <c r="D18" s="134"/>
      <c r="E18" s="135"/>
      <c r="F18" s="134"/>
      <c r="G18" s="135"/>
      <c r="H18" s="134"/>
      <c r="I18" s="136"/>
      <c r="J18" s="134"/>
      <c r="K18" s="136"/>
      <c r="L18" s="134"/>
      <c r="M18" s="136"/>
      <c r="N18" s="129"/>
      <c r="O18" s="132"/>
      <c r="P18" s="132"/>
      <c r="Q18" s="133"/>
      <c r="R18" s="77" t="s">
        <v>40</v>
      </c>
    </row>
    <row r="19" spans="1:18" ht="15.75" customHeight="1">
      <c r="A19" s="78" t="s">
        <v>51</v>
      </c>
      <c r="B19" s="134">
        <f>_xlfn.COMPOUNDVALUE(377)</f>
        <v>2483</v>
      </c>
      <c r="C19" s="135">
        <v>5116498</v>
      </c>
      <c r="D19" s="134">
        <f>_xlfn.COMPOUNDVALUE(378)</f>
        <v>2217</v>
      </c>
      <c r="E19" s="135">
        <v>647914</v>
      </c>
      <c r="F19" s="134">
        <f>_xlfn.COMPOUNDVALUE(379)</f>
        <v>4700</v>
      </c>
      <c r="G19" s="135">
        <v>5764412</v>
      </c>
      <c r="H19" s="134">
        <f>_xlfn.COMPOUNDVALUE(380)</f>
        <v>180</v>
      </c>
      <c r="I19" s="136">
        <v>158346</v>
      </c>
      <c r="J19" s="134">
        <v>224</v>
      </c>
      <c r="K19" s="136">
        <v>43734</v>
      </c>
      <c r="L19" s="134">
        <f>_xlfn.COMPOUNDVALUE(380)</f>
        <v>4964</v>
      </c>
      <c r="M19" s="136">
        <v>5649800</v>
      </c>
      <c r="N19" s="129">
        <v>5056</v>
      </c>
      <c r="O19" s="132">
        <v>112</v>
      </c>
      <c r="P19" s="132">
        <v>5</v>
      </c>
      <c r="Q19" s="133">
        <v>5173</v>
      </c>
      <c r="R19" s="77" t="s">
        <v>51</v>
      </c>
    </row>
    <row r="20" spans="1:18" ht="15.75" customHeight="1">
      <c r="A20" s="78" t="s">
        <v>52</v>
      </c>
      <c r="B20" s="134">
        <f>_xlfn.COMPOUNDVALUE(381)</f>
        <v>6542</v>
      </c>
      <c r="C20" s="135">
        <v>15556874</v>
      </c>
      <c r="D20" s="134">
        <f>_xlfn.COMPOUNDVALUE(382)</f>
        <v>5411</v>
      </c>
      <c r="E20" s="135">
        <v>1634930</v>
      </c>
      <c r="F20" s="134">
        <f>_xlfn.COMPOUNDVALUE(383)</f>
        <v>11953</v>
      </c>
      <c r="G20" s="135">
        <v>17191804</v>
      </c>
      <c r="H20" s="134">
        <f>_xlfn.COMPOUNDVALUE(384)</f>
        <v>972</v>
      </c>
      <c r="I20" s="136">
        <v>6545266</v>
      </c>
      <c r="J20" s="134">
        <v>764</v>
      </c>
      <c r="K20" s="136">
        <v>69149</v>
      </c>
      <c r="L20" s="134">
        <f>_xlfn.COMPOUNDVALUE(384)</f>
        <v>13179</v>
      </c>
      <c r="M20" s="136">
        <v>10715688</v>
      </c>
      <c r="N20" s="129">
        <v>13363</v>
      </c>
      <c r="O20" s="132">
        <v>544</v>
      </c>
      <c r="P20" s="132">
        <v>49</v>
      </c>
      <c r="Q20" s="133">
        <v>13956</v>
      </c>
      <c r="R20" s="77" t="s">
        <v>52</v>
      </c>
    </row>
    <row r="21" spans="1:18" ht="15.75" customHeight="1">
      <c r="A21" s="78" t="s">
        <v>53</v>
      </c>
      <c r="B21" s="134">
        <f>_xlfn.COMPOUNDVALUE(385)</f>
        <v>2416</v>
      </c>
      <c r="C21" s="135">
        <v>4562408</v>
      </c>
      <c r="D21" s="134">
        <f>_xlfn.COMPOUNDVALUE(386)</f>
        <v>2417</v>
      </c>
      <c r="E21" s="135">
        <v>652389</v>
      </c>
      <c r="F21" s="134">
        <f>_xlfn.COMPOUNDVALUE(387)</f>
        <v>4833</v>
      </c>
      <c r="G21" s="135">
        <v>5214797</v>
      </c>
      <c r="H21" s="134">
        <f>_xlfn.COMPOUNDVALUE(388)</f>
        <v>155</v>
      </c>
      <c r="I21" s="136">
        <v>174307</v>
      </c>
      <c r="J21" s="134">
        <v>290</v>
      </c>
      <c r="K21" s="136">
        <v>18715</v>
      </c>
      <c r="L21" s="134">
        <f>_xlfn.COMPOUNDVALUE(388)</f>
        <v>5060</v>
      </c>
      <c r="M21" s="136">
        <v>5059204</v>
      </c>
      <c r="N21" s="129">
        <v>5186</v>
      </c>
      <c r="O21" s="132">
        <v>144</v>
      </c>
      <c r="P21" s="132">
        <v>14</v>
      </c>
      <c r="Q21" s="133">
        <v>5344</v>
      </c>
      <c r="R21" s="77" t="s">
        <v>53</v>
      </c>
    </row>
    <row r="22" spans="1:18" ht="15.75" customHeight="1">
      <c r="A22" s="78" t="s">
        <v>178</v>
      </c>
      <c r="B22" s="134">
        <f>_xlfn.COMPOUNDVALUE(389)</f>
        <v>6253</v>
      </c>
      <c r="C22" s="135">
        <v>16226142</v>
      </c>
      <c r="D22" s="134">
        <f>_xlfn.COMPOUNDVALUE(390)</f>
        <v>5357</v>
      </c>
      <c r="E22" s="135">
        <v>1712081</v>
      </c>
      <c r="F22" s="134">
        <f>_xlfn.COMPOUNDVALUE(391)</f>
        <v>11610</v>
      </c>
      <c r="G22" s="135">
        <v>17938222</v>
      </c>
      <c r="H22" s="134">
        <f>_xlfn.COMPOUNDVALUE(392)</f>
        <v>546</v>
      </c>
      <c r="I22" s="136">
        <v>1110787</v>
      </c>
      <c r="J22" s="134">
        <v>615</v>
      </c>
      <c r="K22" s="136">
        <v>85377</v>
      </c>
      <c r="L22" s="134">
        <f>_xlfn.COMPOUNDVALUE(392)</f>
        <v>12404</v>
      </c>
      <c r="M22" s="136">
        <v>16912812</v>
      </c>
      <c r="N22" s="129">
        <v>12413</v>
      </c>
      <c r="O22" s="132">
        <v>394</v>
      </c>
      <c r="P22" s="132">
        <v>34</v>
      </c>
      <c r="Q22" s="133">
        <v>12841</v>
      </c>
      <c r="R22" s="77" t="s">
        <v>54</v>
      </c>
    </row>
    <row r="23" spans="1:18" ht="15.75" customHeight="1">
      <c r="A23" s="79" t="s">
        <v>55</v>
      </c>
      <c r="B23" s="137">
        <v>59035</v>
      </c>
      <c r="C23" s="138">
        <v>202253052</v>
      </c>
      <c r="D23" s="137">
        <v>49740</v>
      </c>
      <c r="E23" s="138">
        <v>15650410</v>
      </c>
      <c r="F23" s="137">
        <v>108775</v>
      </c>
      <c r="G23" s="138">
        <v>217903462</v>
      </c>
      <c r="H23" s="137">
        <v>5301</v>
      </c>
      <c r="I23" s="139">
        <v>18052547</v>
      </c>
      <c r="J23" s="137">
        <v>6377</v>
      </c>
      <c r="K23" s="139">
        <v>689175</v>
      </c>
      <c r="L23" s="137">
        <v>116227</v>
      </c>
      <c r="M23" s="139">
        <v>200540090</v>
      </c>
      <c r="N23" s="137">
        <v>117992</v>
      </c>
      <c r="O23" s="140">
        <v>3280</v>
      </c>
      <c r="P23" s="140">
        <v>324</v>
      </c>
      <c r="Q23" s="141">
        <v>121596</v>
      </c>
      <c r="R23" s="84" t="s">
        <v>56</v>
      </c>
    </row>
    <row r="24" spans="1:18" ht="15.75" customHeight="1">
      <c r="A24" s="85"/>
      <c r="B24" s="142"/>
      <c r="C24" s="143"/>
      <c r="D24" s="142"/>
      <c r="E24" s="143"/>
      <c r="F24" s="144"/>
      <c r="G24" s="143"/>
      <c r="H24" s="144"/>
      <c r="I24" s="143"/>
      <c r="J24" s="144"/>
      <c r="K24" s="143"/>
      <c r="L24" s="144"/>
      <c r="M24" s="143"/>
      <c r="N24" s="145"/>
      <c r="O24" s="146"/>
      <c r="P24" s="146"/>
      <c r="Q24" s="147"/>
      <c r="R24" s="86" t="s">
        <v>40</v>
      </c>
    </row>
    <row r="25" spans="1:18" ht="15.75" customHeight="1">
      <c r="A25" s="76" t="s">
        <v>57</v>
      </c>
      <c r="B25" s="129">
        <f>_xlfn.COMPOUNDVALUE(393)</f>
        <v>10143</v>
      </c>
      <c r="C25" s="130">
        <v>647274655</v>
      </c>
      <c r="D25" s="129">
        <f>_xlfn.COMPOUNDVALUE(394)</f>
        <v>3176</v>
      </c>
      <c r="E25" s="130">
        <v>1866097</v>
      </c>
      <c r="F25" s="129">
        <f>_xlfn.COMPOUNDVALUE(395)</f>
        <v>13319</v>
      </c>
      <c r="G25" s="130">
        <v>649140752</v>
      </c>
      <c r="H25" s="129">
        <f>_xlfn.COMPOUNDVALUE(396)</f>
        <v>2870</v>
      </c>
      <c r="I25" s="131">
        <v>278183679</v>
      </c>
      <c r="J25" s="129">
        <v>1160</v>
      </c>
      <c r="K25" s="131">
        <v>1757155</v>
      </c>
      <c r="L25" s="129">
        <f>_xlfn.COMPOUNDVALUE(396)</f>
        <v>16320</v>
      </c>
      <c r="M25" s="131">
        <v>372714228</v>
      </c>
      <c r="N25" s="129">
        <v>13162</v>
      </c>
      <c r="O25" s="132">
        <v>2471</v>
      </c>
      <c r="P25" s="132">
        <v>388</v>
      </c>
      <c r="Q25" s="133">
        <v>16021</v>
      </c>
      <c r="R25" s="77" t="s">
        <v>57</v>
      </c>
    </row>
    <row r="26" spans="1:18" ht="15.75" customHeight="1">
      <c r="A26" s="76" t="s">
        <v>58</v>
      </c>
      <c r="B26" s="129">
        <f>_xlfn.COMPOUNDVALUE(397)</f>
        <v>11349</v>
      </c>
      <c r="C26" s="130">
        <v>162974564</v>
      </c>
      <c r="D26" s="129">
        <f>_xlfn.COMPOUNDVALUE(398)</f>
        <v>3595</v>
      </c>
      <c r="E26" s="130">
        <v>1571157</v>
      </c>
      <c r="F26" s="129">
        <f>_xlfn.COMPOUNDVALUE(399)</f>
        <v>14944</v>
      </c>
      <c r="G26" s="130">
        <v>164545721</v>
      </c>
      <c r="H26" s="129">
        <f>_xlfn.COMPOUNDVALUE(400)</f>
        <v>2094</v>
      </c>
      <c r="I26" s="131">
        <v>41144434</v>
      </c>
      <c r="J26" s="129">
        <v>1000</v>
      </c>
      <c r="K26" s="131">
        <v>-281162</v>
      </c>
      <c r="L26" s="129">
        <f>_xlfn.COMPOUNDVALUE(400)</f>
        <v>17198</v>
      </c>
      <c r="M26" s="131">
        <v>123120125</v>
      </c>
      <c r="N26" s="129">
        <v>15843</v>
      </c>
      <c r="O26" s="132">
        <v>1138</v>
      </c>
      <c r="P26" s="132">
        <v>290</v>
      </c>
      <c r="Q26" s="133">
        <v>17271</v>
      </c>
      <c r="R26" s="77" t="s">
        <v>58</v>
      </c>
    </row>
    <row r="27" spans="1:18" ht="15.75" customHeight="1">
      <c r="A27" s="76" t="s">
        <v>59</v>
      </c>
      <c r="B27" s="129">
        <f>_xlfn.COMPOUNDVALUE(401)</f>
        <v>8901</v>
      </c>
      <c r="C27" s="130">
        <v>203411638</v>
      </c>
      <c r="D27" s="129">
        <f>_xlfn.COMPOUNDVALUE(402)</f>
        <v>2652</v>
      </c>
      <c r="E27" s="130">
        <v>1751093</v>
      </c>
      <c r="F27" s="129">
        <f>_xlfn.COMPOUNDVALUE(403)</f>
        <v>11553</v>
      </c>
      <c r="G27" s="130">
        <v>205162731</v>
      </c>
      <c r="H27" s="129">
        <f>_xlfn.COMPOUNDVALUE(404)</f>
        <v>2079</v>
      </c>
      <c r="I27" s="131">
        <v>46267766</v>
      </c>
      <c r="J27" s="129">
        <v>872</v>
      </c>
      <c r="K27" s="131">
        <v>432114</v>
      </c>
      <c r="L27" s="129">
        <f>_xlfn.COMPOUNDVALUE(404)</f>
        <v>13772</v>
      </c>
      <c r="M27" s="131">
        <v>159327080</v>
      </c>
      <c r="N27" s="129">
        <v>12002</v>
      </c>
      <c r="O27" s="132">
        <v>1306</v>
      </c>
      <c r="P27" s="132">
        <v>294</v>
      </c>
      <c r="Q27" s="133">
        <v>13602</v>
      </c>
      <c r="R27" s="77" t="s">
        <v>59</v>
      </c>
    </row>
    <row r="28" spans="1:18" ht="15.75" customHeight="1">
      <c r="A28" s="76" t="s">
        <v>60</v>
      </c>
      <c r="B28" s="129">
        <f>_xlfn.COMPOUNDVALUE(405)</f>
        <v>12174</v>
      </c>
      <c r="C28" s="130">
        <v>219092998</v>
      </c>
      <c r="D28" s="129">
        <f>_xlfn.COMPOUNDVALUE(406)</f>
        <v>3926</v>
      </c>
      <c r="E28" s="130">
        <v>3205797</v>
      </c>
      <c r="F28" s="129">
        <f>_xlfn.COMPOUNDVALUE(407)</f>
        <v>16100</v>
      </c>
      <c r="G28" s="130">
        <v>222298795</v>
      </c>
      <c r="H28" s="129">
        <f>_xlfn.COMPOUNDVALUE(408)</f>
        <v>2087</v>
      </c>
      <c r="I28" s="131">
        <v>98771554</v>
      </c>
      <c r="J28" s="129">
        <v>1267</v>
      </c>
      <c r="K28" s="131">
        <v>-80445</v>
      </c>
      <c r="L28" s="129">
        <f>_xlfn.COMPOUNDVALUE(408)</f>
        <v>18384</v>
      </c>
      <c r="M28" s="131">
        <v>123446796</v>
      </c>
      <c r="N28" s="129">
        <v>18382</v>
      </c>
      <c r="O28" s="132">
        <v>1062</v>
      </c>
      <c r="P28" s="132">
        <v>367</v>
      </c>
      <c r="Q28" s="133">
        <v>19811</v>
      </c>
      <c r="R28" s="77" t="s">
        <v>60</v>
      </c>
    </row>
    <row r="29" spans="1:18" ht="15.75" customHeight="1">
      <c r="A29" s="76" t="s">
        <v>179</v>
      </c>
      <c r="B29" s="129">
        <f>_xlfn.COMPOUNDVALUE(409)</f>
        <v>15309</v>
      </c>
      <c r="C29" s="130">
        <v>525101254</v>
      </c>
      <c r="D29" s="129">
        <f>_xlfn.COMPOUNDVALUE(410)</f>
        <v>5081</v>
      </c>
      <c r="E29" s="130">
        <v>2239514</v>
      </c>
      <c r="F29" s="129">
        <f>_xlfn.COMPOUNDVALUE(411)</f>
        <v>20390</v>
      </c>
      <c r="G29" s="130">
        <v>527340768</v>
      </c>
      <c r="H29" s="129">
        <f>_xlfn.COMPOUNDVALUE(412)</f>
        <v>3942</v>
      </c>
      <c r="I29" s="131">
        <v>242459123</v>
      </c>
      <c r="J29" s="129">
        <v>1648</v>
      </c>
      <c r="K29" s="131">
        <v>-316221</v>
      </c>
      <c r="L29" s="129">
        <f>_xlfn.COMPOUNDVALUE(412)</f>
        <v>24684</v>
      </c>
      <c r="M29" s="131">
        <v>284565424</v>
      </c>
      <c r="N29" s="129">
        <v>21964</v>
      </c>
      <c r="O29" s="132">
        <v>2619</v>
      </c>
      <c r="P29" s="132">
        <v>562</v>
      </c>
      <c r="Q29" s="133">
        <v>25145</v>
      </c>
      <c r="R29" s="77" t="s">
        <v>61</v>
      </c>
    </row>
    <row r="30" spans="1:18" ht="15.75" customHeight="1">
      <c r="A30" s="76"/>
      <c r="B30" s="129"/>
      <c r="C30" s="130"/>
      <c r="D30" s="129"/>
      <c r="E30" s="130"/>
      <c r="F30" s="129"/>
      <c r="G30" s="130"/>
      <c r="H30" s="129"/>
      <c r="I30" s="131"/>
      <c r="J30" s="129"/>
      <c r="K30" s="131"/>
      <c r="L30" s="129"/>
      <c r="M30" s="131"/>
      <c r="N30" s="129"/>
      <c r="O30" s="132"/>
      <c r="P30" s="132"/>
      <c r="Q30" s="133"/>
      <c r="R30" s="77" t="s">
        <v>40</v>
      </c>
    </row>
    <row r="31" spans="1:18" ht="15.75" customHeight="1">
      <c r="A31" s="76" t="s">
        <v>62</v>
      </c>
      <c r="B31" s="129">
        <f>_xlfn.COMPOUNDVALUE(413)</f>
        <v>13897</v>
      </c>
      <c r="C31" s="130">
        <v>195470325</v>
      </c>
      <c r="D31" s="129">
        <f>_xlfn.COMPOUNDVALUE(414)</f>
        <v>4798</v>
      </c>
      <c r="E31" s="130">
        <v>2401015</v>
      </c>
      <c r="F31" s="129">
        <f>_xlfn.COMPOUNDVALUE(415)</f>
        <v>18695</v>
      </c>
      <c r="G31" s="130">
        <v>197871339</v>
      </c>
      <c r="H31" s="129">
        <f>_xlfn.COMPOUNDVALUE(416)</f>
        <v>2601</v>
      </c>
      <c r="I31" s="131">
        <v>127915729</v>
      </c>
      <c r="J31" s="129">
        <v>1383</v>
      </c>
      <c r="K31" s="131">
        <v>685299</v>
      </c>
      <c r="L31" s="129">
        <f>_xlfn.COMPOUNDVALUE(416)</f>
        <v>21709</v>
      </c>
      <c r="M31" s="131">
        <v>70640909</v>
      </c>
      <c r="N31" s="129">
        <v>22956</v>
      </c>
      <c r="O31" s="132">
        <v>1902</v>
      </c>
      <c r="P31" s="132">
        <v>585</v>
      </c>
      <c r="Q31" s="133">
        <v>25443</v>
      </c>
      <c r="R31" s="77" t="s">
        <v>62</v>
      </c>
    </row>
    <row r="32" spans="1:18" ht="15.75" customHeight="1">
      <c r="A32" s="76" t="s">
        <v>63</v>
      </c>
      <c r="B32" s="129">
        <f>_xlfn.COMPOUNDVALUE(417)</f>
        <v>7300</v>
      </c>
      <c r="C32" s="130">
        <v>137681455</v>
      </c>
      <c r="D32" s="129">
        <f>_xlfn.COMPOUNDVALUE(418)</f>
        <v>3284</v>
      </c>
      <c r="E32" s="130">
        <v>1262995</v>
      </c>
      <c r="F32" s="129">
        <f>_xlfn.COMPOUNDVALUE(419)</f>
        <v>10584</v>
      </c>
      <c r="G32" s="130">
        <v>138944450</v>
      </c>
      <c r="H32" s="129">
        <f>_xlfn.COMPOUNDVALUE(420)</f>
        <v>1249</v>
      </c>
      <c r="I32" s="131">
        <v>32704434</v>
      </c>
      <c r="J32" s="129">
        <v>664</v>
      </c>
      <c r="K32" s="131">
        <v>-423256</v>
      </c>
      <c r="L32" s="129">
        <f>_xlfn.COMPOUNDVALUE(420)</f>
        <v>11986</v>
      </c>
      <c r="M32" s="131">
        <v>105816760</v>
      </c>
      <c r="N32" s="129">
        <v>11116</v>
      </c>
      <c r="O32" s="132">
        <v>721</v>
      </c>
      <c r="P32" s="132">
        <v>191</v>
      </c>
      <c r="Q32" s="133">
        <v>12028</v>
      </c>
      <c r="R32" s="77" t="s">
        <v>63</v>
      </c>
    </row>
    <row r="33" spans="1:18" ht="15.75" customHeight="1">
      <c r="A33" s="76" t="s">
        <v>64</v>
      </c>
      <c r="B33" s="129">
        <f>_xlfn.COMPOUNDVALUE(421)</f>
        <v>8189</v>
      </c>
      <c r="C33" s="130">
        <v>76707716</v>
      </c>
      <c r="D33" s="129">
        <f>_xlfn.COMPOUNDVALUE(422)</f>
        <v>4085</v>
      </c>
      <c r="E33" s="130">
        <v>1712939</v>
      </c>
      <c r="F33" s="129">
        <f>_xlfn.COMPOUNDVALUE(423)</f>
        <v>12274</v>
      </c>
      <c r="G33" s="130">
        <v>78420655</v>
      </c>
      <c r="H33" s="129">
        <f>_xlfn.COMPOUNDVALUE(424)</f>
        <v>923</v>
      </c>
      <c r="I33" s="131">
        <v>4086770</v>
      </c>
      <c r="J33" s="129">
        <v>727</v>
      </c>
      <c r="K33" s="131">
        <v>362206</v>
      </c>
      <c r="L33" s="129">
        <f>_xlfn.COMPOUNDVALUE(424)</f>
        <v>13351</v>
      </c>
      <c r="M33" s="131">
        <v>74696091</v>
      </c>
      <c r="N33" s="129">
        <v>13755</v>
      </c>
      <c r="O33" s="132">
        <v>551</v>
      </c>
      <c r="P33" s="132">
        <v>197</v>
      </c>
      <c r="Q33" s="133">
        <v>14503</v>
      </c>
      <c r="R33" s="77" t="s">
        <v>64</v>
      </c>
    </row>
    <row r="34" spans="1:18" ht="15.75" customHeight="1">
      <c r="A34" s="76" t="s">
        <v>65</v>
      </c>
      <c r="B34" s="129">
        <f>_xlfn.COMPOUNDVALUE(425)</f>
        <v>9261</v>
      </c>
      <c r="C34" s="130">
        <v>201461503</v>
      </c>
      <c r="D34" s="129">
        <f>_xlfn.COMPOUNDVALUE(426)</f>
        <v>3994</v>
      </c>
      <c r="E34" s="130">
        <v>1820040</v>
      </c>
      <c r="F34" s="129">
        <f>_xlfn.COMPOUNDVALUE(427)</f>
        <v>13255</v>
      </c>
      <c r="G34" s="130">
        <v>203281542</v>
      </c>
      <c r="H34" s="129">
        <f>_xlfn.COMPOUNDVALUE(428)</f>
        <v>1352</v>
      </c>
      <c r="I34" s="131">
        <v>44546411</v>
      </c>
      <c r="J34" s="129">
        <v>1034</v>
      </c>
      <c r="K34" s="131">
        <v>116437</v>
      </c>
      <c r="L34" s="129">
        <f>_xlfn.COMPOUNDVALUE(428)</f>
        <v>14871</v>
      </c>
      <c r="M34" s="131">
        <v>158851568</v>
      </c>
      <c r="N34" s="129">
        <v>14967</v>
      </c>
      <c r="O34" s="132">
        <v>762</v>
      </c>
      <c r="P34" s="132">
        <v>305</v>
      </c>
      <c r="Q34" s="133">
        <v>16034</v>
      </c>
      <c r="R34" s="77" t="s">
        <v>65</v>
      </c>
    </row>
    <row r="35" spans="1:18" ht="15.75" customHeight="1">
      <c r="A35" s="76" t="s">
        <v>66</v>
      </c>
      <c r="B35" s="129">
        <f>_xlfn.COMPOUNDVALUE(429)</f>
        <v>2858</v>
      </c>
      <c r="C35" s="130">
        <v>38026659</v>
      </c>
      <c r="D35" s="129">
        <f>_xlfn.COMPOUNDVALUE(430)</f>
        <v>1915</v>
      </c>
      <c r="E35" s="130">
        <v>672198</v>
      </c>
      <c r="F35" s="129">
        <f>_xlfn.COMPOUNDVALUE(431)</f>
        <v>4773</v>
      </c>
      <c r="G35" s="130">
        <v>38698857</v>
      </c>
      <c r="H35" s="129">
        <f>_xlfn.COMPOUNDVALUE(432)</f>
        <v>318</v>
      </c>
      <c r="I35" s="131">
        <v>7532528</v>
      </c>
      <c r="J35" s="129">
        <v>300</v>
      </c>
      <c r="K35" s="131">
        <v>73132</v>
      </c>
      <c r="L35" s="129">
        <f>_xlfn.COMPOUNDVALUE(432)</f>
        <v>5146</v>
      </c>
      <c r="M35" s="131">
        <v>31239461</v>
      </c>
      <c r="N35" s="129">
        <v>5065</v>
      </c>
      <c r="O35" s="132">
        <v>260</v>
      </c>
      <c r="P35" s="132">
        <v>48</v>
      </c>
      <c r="Q35" s="133">
        <v>5373</v>
      </c>
      <c r="R35" s="77" t="s">
        <v>66</v>
      </c>
    </row>
    <row r="36" spans="1:18" ht="15.75" customHeight="1">
      <c r="A36" s="76"/>
      <c r="B36" s="129"/>
      <c r="C36" s="130"/>
      <c r="D36" s="129"/>
      <c r="E36" s="130"/>
      <c r="F36" s="129"/>
      <c r="G36" s="130"/>
      <c r="H36" s="129"/>
      <c r="I36" s="131"/>
      <c r="J36" s="129"/>
      <c r="K36" s="131"/>
      <c r="L36" s="129"/>
      <c r="M36" s="131"/>
      <c r="N36" s="129"/>
      <c r="O36" s="132"/>
      <c r="P36" s="132"/>
      <c r="Q36" s="133"/>
      <c r="R36" s="77" t="s">
        <v>40</v>
      </c>
    </row>
    <row r="37" spans="1:18" ht="15.75" customHeight="1">
      <c r="A37" s="76" t="s">
        <v>67</v>
      </c>
      <c r="B37" s="129">
        <f>_xlfn.COMPOUNDVALUE(433)</f>
        <v>3717</v>
      </c>
      <c r="C37" s="130">
        <v>29723773</v>
      </c>
      <c r="D37" s="129">
        <f>_xlfn.COMPOUNDVALUE(434)</f>
        <v>2061</v>
      </c>
      <c r="E37" s="130">
        <v>735865</v>
      </c>
      <c r="F37" s="129">
        <f>_xlfn.COMPOUNDVALUE(435)</f>
        <v>5778</v>
      </c>
      <c r="G37" s="130">
        <v>30459637</v>
      </c>
      <c r="H37" s="129">
        <f>_xlfn.COMPOUNDVALUE(436)</f>
        <v>436</v>
      </c>
      <c r="I37" s="131">
        <v>1591676</v>
      </c>
      <c r="J37" s="129">
        <v>339</v>
      </c>
      <c r="K37" s="131">
        <v>45493</v>
      </c>
      <c r="L37" s="129">
        <f>_xlfn.COMPOUNDVALUE(436)</f>
        <v>6314</v>
      </c>
      <c r="M37" s="131">
        <v>28913455</v>
      </c>
      <c r="N37" s="129">
        <v>6146</v>
      </c>
      <c r="O37" s="132">
        <v>246</v>
      </c>
      <c r="P37" s="132">
        <v>45</v>
      </c>
      <c r="Q37" s="133">
        <v>6437</v>
      </c>
      <c r="R37" s="77" t="s">
        <v>67</v>
      </c>
    </row>
    <row r="38" spans="1:18" ht="15.75" customHeight="1">
      <c r="A38" s="76" t="s">
        <v>68</v>
      </c>
      <c r="B38" s="129">
        <f>_xlfn.COMPOUNDVALUE(437)</f>
        <v>5508</v>
      </c>
      <c r="C38" s="130">
        <v>51651447</v>
      </c>
      <c r="D38" s="129">
        <f>_xlfn.COMPOUNDVALUE(438)</f>
        <v>2593</v>
      </c>
      <c r="E38" s="130">
        <v>922185</v>
      </c>
      <c r="F38" s="129">
        <f>_xlfn.COMPOUNDVALUE(439)</f>
        <v>8101</v>
      </c>
      <c r="G38" s="130">
        <v>52573632</v>
      </c>
      <c r="H38" s="129">
        <f>_xlfn.COMPOUNDVALUE(440)</f>
        <v>858</v>
      </c>
      <c r="I38" s="131">
        <v>5462712</v>
      </c>
      <c r="J38" s="129">
        <v>562</v>
      </c>
      <c r="K38" s="131">
        <v>-533455</v>
      </c>
      <c r="L38" s="129">
        <f>_xlfn.COMPOUNDVALUE(440)</f>
        <v>9070</v>
      </c>
      <c r="M38" s="131">
        <v>46577465</v>
      </c>
      <c r="N38" s="129">
        <v>8846</v>
      </c>
      <c r="O38" s="132">
        <v>330</v>
      </c>
      <c r="P38" s="132">
        <v>91</v>
      </c>
      <c r="Q38" s="133">
        <v>9267</v>
      </c>
      <c r="R38" s="77" t="s">
        <v>68</v>
      </c>
    </row>
    <row r="39" spans="1:18" ht="15.75" customHeight="1">
      <c r="A39" s="76" t="s">
        <v>69</v>
      </c>
      <c r="B39" s="129">
        <f>_xlfn.COMPOUNDVALUE(441)</f>
        <v>5494</v>
      </c>
      <c r="C39" s="130">
        <v>48834338</v>
      </c>
      <c r="D39" s="129">
        <f>_xlfn.COMPOUNDVALUE(442)</f>
        <v>2931</v>
      </c>
      <c r="E39" s="130">
        <v>924917</v>
      </c>
      <c r="F39" s="129">
        <f>_xlfn.COMPOUNDVALUE(443)</f>
        <v>8425</v>
      </c>
      <c r="G39" s="130">
        <v>49759255</v>
      </c>
      <c r="H39" s="129">
        <f>_xlfn.COMPOUNDVALUE(444)</f>
        <v>720</v>
      </c>
      <c r="I39" s="131">
        <v>3521184</v>
      </c>
      <c r="J39" s="129">
        <v>423</v>
      </c>
      <c r="K39" s="131">
        <v>39509</v>
      </c>
      <c r="L39" s="129">
        <f>_xlfn.COMPOUNDVALUE(444)</f>
        <v>9240</v>
      </c>
      <c r="M39" s="131">
        <v>46277580</v>
      </c>
      <c r="N39" s="129">
        <v>9156</v>
      </c>
      <c r="O39" s="132">
        <v>317</v>
      </c>
      <c r="P39" s="132">
        <v>59</v>
      </c>
      <c r="Q39" s="133">
        <v>9532</v>
      </c>
      <c r="R39" s="77" t="s">
        <v>69</v>
      </c>
    </row>
    <row r="40" spans="1:18" ht="15.75" customHeight="1">
      <c r="A40" s="76" t="s">
        <v>70</v>
      </c>
      <c r="B40" s="129">
        <f>_xlfn.COMPOUNDVALUE(445)</f>
        <v>4680</v>
      </c>
      <c r="C40" s="130">
        <v>58803673</v>
      </c>
      <c r="D40" s="129">
        <f>_xlfn.COMPOUNDVALUE(446)</f>
        <v>2383</v>
      </c>
      <c r="E40" s="130">
        <v>781100</v>
      </c>
      <c r="F40" s="129">
        <f>_xlfn.COMPOUNDVALUE(447)</f>
        <v>7063</v>
      </c>
      <c r="G40" s="130">
        <v>59584772</v>
      </c>
      <c r="H40" s="129">
        <f>_xlfn.COMPOUNDVALUE(448)</f>
        <v>506</v>
      </c>
      <c r="I40" s="131">
        <v>3367185</v>
      </c>
      <c r="J40" s="129">
        <v>436</v>
      </c>
      <c r="K40" s="131">
        <v>107049</v>
      </c>
      <c r="L40" s="129">
        <f>_xlfn.COMPOUNDVALUE(448)</f>
        <v>7672</v>
      </c>
      <c r="M40" s="131">
        <v>56324636</v>
      </c>
      <c r="N40" s="129">
        <v>8121</v>
      </c>
      <c r="O40" s="132">
        <v>223</v>
      </c>
      <c r="P40" s="132">
        <v>51</v>
      </c>
      <c r="Q40" s="133">
        <v>8395</v>
      </c>
      <c r="R40" s="77" t="s">
        <v>70</v>
      </c>
    </row>
    <row r="41" spans="1:18" ht="15.75" customHeight="1">
      <c r="A41" s="76" t="s">
        <v>71</v>
      </c>
      <c r="B41" s="129">
        <f>_xlfn.COMPOUNDVALUE(449)</f>
        <v>1836</v>
      </c>
      <c r="C41" s="130">
        <v>6898306</v>
      </c>
      <c r="D41" s="129">
        <f>_xlfn.COMPOUNDVALUE(450)</f>
        <v>1489</v>
      </c>
      <c r="E41" s="130">
        <v>412704</v>
      </c>
      <c r="F41" s="129">
        <f>_xlfn.COMPOUNDVALUE(451)</f>
        <v>3325</v>
      </c>
      <c r="G41" s="130">
        <v>7311010</v>
      </c>
      <c r="H41" s="129">
        <f>_xlfn.COMPOUNDVALUE(452)</f>
        <v>110</v>
      </c>
      <c r="I41" s="131">
        <v>268574</v>
      </c>
      <c r="J41" s="129">
        <v>209</v>
      </c>
      <c r="K41" s="131">
        <v>-41866</v>
      </c>
      <c r="L41" s="129">
        <f>_xlfn.COMPOUNDVALUE(452)</f>
        <v>3498</v>
      </c>
      <c r="M41" s="131">
        <v>7000570</v>
      </c>
      <c r="N41" s="129">
        <v>3434</v>
      </c>
      <c r="O41" s="132">
        <v>64</v>
      </c>
      <c r="P41" s="132">
        <v>12</v>
      </c>
      <c r="Q41" s="133">
        <v>3510</v>
      </c>
      <c r="R41" s="77" t="s">
        <v>71</v>
      </c>
    </row>
    <row r="42" spans="1:18" ht="15.75" customHeight="1">
      <c r="A42" s="106"/>
      <c r="B42" s="129"/>
      <c r="C42" s="130"/>
      <c r="D42" s="129"/>
      <c r="E42" s="130"/>
      <c r="F42" s="129"/>
      <c r="G42" s="130"/>
      <c r="H42" s="129"/>
      <c r="I42" s="131"/>
      <c r="J42" s="129"/>
      <c r="K42" s="131"/>
      <c r="L42" s="129"/>
      <c r="M42" s="131"/>
      <c r="N42" s="129"/>
      <c r="O42" s="132"/>
      <c r="P42" s="132"/>
      <c r="Q42" s="133"/>
      <c r="R42" s="108" t="s">
        <v>40</v>
      </c>
    </row>
    <row r="43" spans="1:18" ht="15.75" customHeight="1">
      <c r="A43" s="102" t="s">
        <v>72</v>
      </c>
      <c r="B43" s="129">
        <f>_xlfn.COMPOUNDVALUE(453)</f>
        <v>5285</v>
      </c>
      <c r="C43" s="130">
        <v>89674578</v>
      </c>
      <c r="D43" s="129">
        <f>_xlfn.COMPOUNDVALUE(454)</f>
        <v>2745</v>
      </c>
      <c r="E43" s="130">
        <v>903742</v>
      </c>
      <c r="F43" s="129">
        <f>_xlfn.COMPOUNDVALUE(455)</f>
        <v>8030</v>
      </c>
      <c r="G43" s="130">
        <v>90578320</v>
      </c>
      <c r="H43" s="129">
        <f>_xlfn.COMPOUNDVALUE(456)</f>
        <v>601</v>
      </c>
      <c r="I43" s="131">
        <v>6476986</v>
      </c>
      <c r="J43" s="129">
        <v>457</v>
      </c>
      <c r="K43" s="131">
        <v>296094</v>
      </c>
      <c r="L43" s="129">
        <f>_xlfn.COMPOUNDVALUE(456)</f>
        <v>8765</v>
      </c>
      <c r="M43" s="131">
        <v>84397429</v>
      </c>
      <c r="N43" s="129">
        <v>8799</v>
      </c>
      <c r="O43" s="132">
        <v>377</v>
      </c>
      <c r="P43" s="132">
        <v>63</v>
      </c>
      <c r="Q43" s="133">
        <v>9239</v>
      </c>
      <c r="R43" s="88" t="s">
        <v>72</v>
      </c>
    </row>
    <row r="44" spans="1:18" ht="15.75" customHeight="1">
      <c r="A44" s="76" t="s">
        <v>73</v>
      </c>
      <c r="B44" s="129">
        <f>_xlfn.COMPOUNDVALUE(457)</f>
        <v>3072</v>
      </c>
      <c r="C44" s="130">
        <v>38130798</v>
      </c>
      <c r="D44" s="129">
        <f>_xlfn.COMPOUNDVALUE(458)</f>
        <v>2117</v>
      </c>
      <c r="E44" s="130">
        <v>684030</v>
      </c>
      <c r="F44" s="129">
        <f>_xlfn.COMPOUNDVALUE(459)</f>
        <v>5189</v>
      </c>
      <c r="G44" s="130">
        <v>38814828</v>
      </c>
      <c r="H44" s="129">
        <f>_xlfn.COMPOUNDVALUE(460)</f>
        <v>317</v>
      </c>
      <c r="I44" s="131">
        <v>1842725</v>
      </c>
      <c r="J44" s="129">
        <v>396</v>
      </c>
      <c r="K44" s="131">
        <v>140595</v>
      </c>
      <c r="L44" s="129">
        <f>_xlfn.COMPOUNDVALUE(460)</f>
        <v>5614</v>
      </c>
      <c r="M44" s="131">
        <v>37112698</v>
      </c>
      <c r="N44" s="129">
        <v>5448</v>
      </c>
      <c r="O44" s="132">
        <v>203</v>
      </c>
      <c r="P44" s="132">
        <v>36</v>
      </c>
      <c r="Q44" s="133">
        <v>5687</v>
      </c>
      <c r="R44" s="77" t="s">
        <v>73</v>
      </c>
    </row>
    <row r="45" spans="1:18" ht="15.75" customHeight="1">
      <c r="A45" s="76" t="s">
        <v>74</v>
      </c>
      <c r="B45" s="129">
        <f>_xlfn.COMPOUNDVALUE(461)</f>
        <v>2102</v>
      </c>
      <c r="C45" s="130">
        <v>7510936</v>
      </c>
      <c r="D45" s="129">
        <f>_xlfn.COMPOUNDVALUE(462)</f>
        <v>1782</v>
      </c>
      <c r="E45" s="130">
        <v>562165</v>
      </c>
      <c r="F45" s="129">
        <f>_xlfn.COMPOUNDVALUE(463)</f>
        <v>3884</v>
      </c>
      <c r="G45" s="130">
        <v>8073101</v>
      </c>
      <c r="H45" s="129">
        <f>_xlfn.COMPOUNDVALUE(464)</f>
        <v>208</v>
      </c>
      <c r="I45" s="131">
        <v>1304683</v>
      </c>
      <c r="J45" s="129">
        <v>237</v>
      </c>
      <c r="K45" s="131">
        <v>45042</v>
      </c>
      <c r="L45" s="129">
        <f>_xlfn.COMPOUNDVALUE(464)</f>
        <v>4181</v>
      </c>
      <c r="M45" s="131">
        <v>6813460</v>
      </c>
      <c r="N45" s="129">
        <v>4223</v>
      </c>
      <c r="O45" s="132">
        <v>95</v>
      </c>
      <c r="P45" s="132">
        <v>18</v>
      </c>
      <c r="Q45" s="133">
        <v>4336</v>
      </c>
      <c r="R45" s="77" t="s">
        <v>74</v>
      </c>
    </row>
    <row r="46" spans="1:18" ht="15.75" customHeight="1">
      <c r="A46" s="76" t="s">
        <v>75</v>
      </c>
      <c r="B46" s="129">
        <f>_xlfn.COMPOUNDVALUE(465)</f>
        <v>6472</v>
      </c>
      <c r="C46" s="130">
        <v>39851790</v>
      </c>
      <c r="D46" s="129">
        <f>_xlfn.COMPOUNDVALUE(466)</f>
        <v>4295</v>
      </c>
      <c r="E46" s="130">
        <v>1604012</v>
      </c>
      <c r="F46" s="129">
        <f>_xlfn.COMPOUNDVALUE(467)</f>
        <v>10767</v>
      </c>
      <c r="G46" s="130">
        <v>41455802</v>
      </c>
      <c r="H46" s="129">
        <f>_xlfn.COMPOUNDVALUE(468)</f>
        <v>640</v>
      </c>
      <c r="I46" s="131">
        <v>2851533</v>
      </c>
      <c r="J46" s="129">
        <v>678</v>
      </c>
      <c r="K46" s="131">
        <v>158495</v>
      </c>
      <c r="L46" s="129">
        <f>_xlfn.COMPOUNDVALUE(468)</f>
        <v>11579</v>
      </c>
      <c r="M46" s="131">
        <v>38762765</v>
      </c>
      <c r="N46" s="129">
        <v>11752</v>
      </c>
      <c r="O46" s="132">
        <v>426</v>
      </c>
      <c r="P46" s="132">
        <v>106</v>
      </c>
      <c r="Q46" s="133">
        <v>12284</v>
      </c>
      <c r="R46" s="77" t="s">
        <v>75</v>
      </c>
    </row>
    <row r="47" spans="1:18" ht="15.75" customHeight="1">
      <c r="A47" s="76" t="s">
        <v>76</v>
      </c>
      <c r="B47" s="129">
        <f>_xlfn.COMPOUNDVALUE(469)</f>
        <v>4278</v>
      </c>
      <c r="C47" s="130">
        <v>22169557</v>
      </c>
      <c r="D47" s="129">
        <f>_xlfn.COMPOUNDVALUE(470)</f>
        <v>2899</v>
      </c>
      <c r="E47" s="130">
        <v>907081</v>
      </c>
      <c r="F47" s="129">
        <f>_xlfn.COMPOUNDVALUE(471)</f>
        <v>7177</v>
      </c>
      <c r="G47" s="130">
        <v>23076638</v>
      </c>
      <c r="H47" s="129">
        <f>_xlfn.COMPOUNDVALUE(472)</f>
        <v>390</v>
      </c>
      <c r="I47" s="131">
        <v>6937613</v>
      </c>
      <c r="J47" s="129">
        <v>396</v>
      </c>
      <c r="K47" s="131">
        <v>95798</v>
      </c>
      <c r="L47" s="129">
        <f>_xlfn.COMPOUNDVALUE(472)</f>
        <v>7674</v>
      </c>
      <c r="M47" s="131">
        <v>16234823</v>
      </c>
      <c r="N47" s="129">
        <v>7739</v>
      </c>
      <c r="O47" s="132">
        <v>219</v>
      </c>
      <c r="P47" s="132">
        <v>29</v>
      </c>
      <c r="Q47" s="133">
        <v>7987</v>
      </c>
      <c r="R47" s="77" t="s">
        <v>76</v>
      </c>
    </row>
    <row r="48" spans="1:18" ht="15.75" customHeight="1">
      <c r="A48" s="76"/>
      <c r="B48" s="129"/>
      <c r="C48" s="130"/>
      <c r="D48" s="129"/>
      <c r="E48" s="130"/>
      <c r="F48" s="129"/>
      <c r="G48" s="130"/>
      <c r="H48" s="129"/>
      <c r="I48" s="131"/>
      <c r="J48" s="129"/>
      <c r="K48" s="131"/>
      <c r="L48" s="129"/>
      <c r="M48" s="131"/>
      <c r="N48" s="129"/>
      <c r="O48" s="132"/>
      <c r="P48" s="132"/>
      <c r="Q48" s="133"/>
      <c r="R48" s="77" t="s">
        <v>40</v>
      </c>
    </row>
    <row r="49" spans="1:18" ht="15.75" customHeight="1">
      <c r="A49" s="76" t="s">
        <v>77</v>
      </c>
      <c r="B49" s="129">
        <f>_xlfn.COMPOUNDVALUE(473)</f>
        <v>2466</v>
      </c>
      <c r="C49" s="130">
        <v>6936313</v>
      </c>
      <c r="D49" s="129">
        <f>_xlfn.COMPOUNDVALUE(474)</f>
        <v>1992</v>
      </c>
      <c r="E49" s="130">
        <v>687101</v>
      </c>
      <c r="F49" s="129">
        <f>_xlfn.COMPOUNDVALUE(475)</f>
        <v>4458</v>
      </c>
      <c r="G49" s="130">
        <v>7623414</v>
      </c>
      <c r="H49" s="129">
        <f>_xlfn.COMPOUNDVALUE(476)</f>
        <v>275</v>
      </c>
      <c r="I49" s="131">
        <v>2757107</v>
      </c>
      <c r="J49" s="129">
        <v>183</v>
      </c>
      <c r="K49" s="131">
        <v>31741</v>
      </c>
      <c r="L49" s="129">
        <f>_xlfn.COMPOUNDVALUE(476)</f>
        <v>4783</v>
      </c>
      <c r="M49" s="131">
        <v>4898048</v>
      </c>
      <c r="N49" s="129">
        <v>4750</v>
      </c>
      <c r="O49" s="132">
        <v>167</v>
      </c>
      <c r="P49" s="132">
        <v>21</v>
      </c>
      <c r="Q49" s="133">
        <v>4938</v>
      </c>
      <c r="R49" s="77" t="s">
        <v>77</v>
      </c>
    </row>
    <row r="50" spans="1:18" ht="15.75" customHeight="1">
      <c r="A50" s="76" t="s">
        <v>78</v>
      </c>
      <c r="B50" s="129">
        <f>_xlfn.COMPOUNDVALUE(477)</f>
        <v>4623</v>
      </c>
      <c r="C50" s="130">
        <v>39764704</v>
      </c>
      <c r="D50" s="129">
        <f>_xlfn.COMPOUNDVALUE(478)</f>
        <v>3508</v>
      </c>
      <c r="E50" s="130">
        <v>1095017</v>
      </c>
      <c r="F50" s="129">
        <f>_xlfn.COMPOUNDVALUE(479)</f>
        <v>8131</v>
      </c>
      <c r="G50" s="130">
        <v>40859721</v>
      </c>
      <c r="H50" s="129">
        <f>_xlfn.COMPOUNDVALUE(480)</f>
        <v>340</v>
      </c>
      <c r="I50" s="131">
        <v>35962210</v>
      </c>
      <c r="J50" s="129">
        <v>506</v>
      </c>
      <c r="K50" s="131">
        <v>88541</v>
      </c>
      <c r="L50" s="129">
        <f>_xlfn.COMPOUNDVALUE(480)</f>
        <v>8632</v>
      </c>
      <c r="M50" s="131">
        <v>4986052</v>
      </c>
      <c r="N50" s="129">
        <v>8825</v>
      </c>
      <c r="O50" s="132">
        <v>201</v>
      </c>
      <c r="P50" s="132">
        <v>24</v>
      </c>
      <c r="Q50" s="133">
        <v>9050</v>
      </c>
      <c r="R50" s="77" t="s">
        <v>78</v>
      </c>
    </row>
    <row r="51" spans="1:18" ht="15.75" customHeight="1">
      <c r="A51" s="76" t="s">
        <v>79</v>
      </c>
      <c r="B51" s="129">
        <f>_xlfn.COMPOUNDVALUE(481)</f>
        <v>4755</v>
      </c>
      <c r="C51" s="130">
        <v>13319267</v>
      </c>
      <c r="D51" s="129">
        <f>_xlfn.COMPOUNDVALUE(482)</f>
        <v>3928</v>
      </c>
      <c r="E51" s="130">
        <v>1375712</v>
      </c>
      <c r="F51" s="129">
        <f>_xlfn.COMPOUNDVALUE(483)</f>
        <v>8683</v>
      </c>
      <c r="G51" s="130">
        <v>14694980</v>
      </c>
      <c r="H51" s="129">
        <f>_xlfn.COMPOUNDVALUE(484)</f>
        <v>460</v>
      </c>
      <c r="I51" s="131">
        <v>925001</v>
      </c>
      <c r="J51" s="129">
        <v>429</v>
      </c>
      <c r="K51" s="131">
        <v>133291</v>
      </c>
      <c r="L51" s="129">
        <f>_xlfn.COMPOUNDVALUE(484)</f>
        <v>9296</v>
      </c>
      <c r="M51" s="131">
        <v>13903270</v>
      </c>
      <c r="N51" s="129">
        <v>9801</v>
      </c>
      <c r="O51" s="132">
        <v>309</v>
      </c>
      <c r="P51" s="132">
        <v>51</v>
      </c>
      <c r="Q51" s="133">
        <v>10161</v>
      </c>
      <c r="R51" s="77" t="s">
        <v>79</v>
      </c>
    </row>
    <row r="52" spans="1:18" ht="15.75" customHeight="1">
      <c r="A52" s="76" t="s">
        <v>80</v>
      </c>
      <c r="B52" s="129">
        <f>_xlfn.COMPOUNDVALUE(485)</f>
        <v>4215</v>
      </c>
      <c r="C52" s="130">
        <v>11673186</v>
      </c>
      <c r="D52" s="129">
        <f>_xlfn.COMPOUNDVALUE(486)</f>
        <v>3731</v>
      </c>
      <c r="E52" s="130">
        <v>1304026</v>
      </c>
      <c r="F52" s="129">
        <f>_xlfn.COMPOUNDVALUE(487)</f>
        <v>7946</v>
      </c>
      <c r="G52" s="130">
        <v>12977212</v>
      </c>
      <c r="H52" s="129">
        <f>_xlfn.COMPOUNDVALUE(488)</f>
        <v>298</v>
      </c>
      <c r="I52" s="131">
        <v>538903</v>
      </c>
      <c r="J52" s="129">
        <v>474</v>
      </c>
      <c r="K52" s="131">
        <v>33783</v>
      </c>
      <c r="L52" s="129">
        <f>_xlfn.COMPOUNDVALUE(488)</f>
        <v>8430</v>
      </c>
      <c r="M52" s="131">
        <v>12472092</v>
      </c>
      <c r="N52" s="129">
        <v>8960</v>
      </c>
      <c r="O52" s="132">
        <v>237</v>
      </c>
      <c r="P52" s="132">
        <v>31</v>
      </c>
      <c r="Q52" s="133">
        <v>9228</v>
      </c>
      <c r="R52" s="77" t="s">
        <v>80</v>
      </c>
    </row>
    <row r="53" spans="1:18" ht="15.75" customHeight="1">
      <c r="A53" s="76" t="s">
        <v>81</v>
      </c>
      <c r="B53" s="129">
        <f>_xlfn.COMPOUNDVALUE(489)</f>
        <v>4226</v>
      </c>
      <c r="C53" s="130">
        <v>18052741</v>
      </c>
      <c r="D53" s="129">
        <f>_xlfn.COMPOUNDVALUE(490)</f>
        <v>3409</v>
      </c>
      <c r="E53" s="130">
        <v>1211613</v>
      </c>
      <c r="F53" s="129">
        <f>_xlfn.COMPOUNDVALUE(491)</f>
        <v>7635</v>
      </c>
      <c r="G53" s="130">
        <v>19264354</v>
      </c>
      <c r="H53" s="129">
        <f>_xlfn.COMPOUNDVALUE(492)</f>
        <v>497</v>
      </c>
      <c r="I53" s="131">
        <v>1457839</v>
      </c>
      <c r="J53" s="129">
        <v>458</v>
      </c>
      <c r="K53" s="131">
        <v>38141</v>
      </c>
      <c r="L53" s="129">
        <f>_xlfn.COMPOUNDVALUE(492)</f>
        <v>8272</v>
      </c>
      <c r="M53" s="131">
        <v>17844656</v>
      </c>
      <c r="N53" s="129">
        <v>8354</v>
      </c>
      <c r="O53" s="132">
        <v>283</v>
      </c>
      <c r="P53" s="132">
        <v>36</v>
      </c>
      <c r="Q53" s="133">
        <v>8673</v>
      </c>
      <c r="R53" s="77" t="s">
        <v>81</v>
      </c>
    </row>
    <row r="54" spans="1:18" ht="15.75" customHeight="1">
      <c r="A54" s="76"/>
      <c r="B54" s="129"/>
      <c r="C54" s="130"/>
      <c r="D54" s="129"/>
      <c r="E54" s="130"/>
      <c r="F54" s="129"/>
      <c r="G54" s="130"/>
      <c r="H54" s="129"/>
      <c r="I54" s="131"/>
      <c r="J54" s="129"/>
      <c r="K54" s="131"/>
      <c r="L54" s="129"/>
      <c r="M54" s="131"/>
      <c r="N54" s="129"/>
      <c r="O54" s="132"/>
      <c r="P54" s="132"/>
      <c r="Q54" s="133"/>
      <c r="R54" s="77" t="s">
        <v>40</v>
      </c>
    </row>
    <row r="55" spans="1:18" ht="15.75" customHeight="1">
      <c r="A55" s="76" t="s">
        <v>82</v>
      </c>
      <c r="B55" s="129">
        <f>_xlfn.COMPOUNDVALUE(493)</f>
        <v>20125</v>
      </c>
      <c r="C55" s="130">
        <v>271088048</v>
      </c>
      <c r="D55" s="129">
        <f>_xlfn.COMPOUNDVALUE(494)</f>
        <v>8179</v>
      </c>
      <c r="E55" s="130">
        <v>3609173</v>
      </c>
      <c r="F55" s="129">
        <f>_xlfn.COMPOUNDVALUE(495)</f>
        <v>28304</v>
      </c>
      <c r="G55" s="130">
        <v>274697221</v>
      </c>
      <c r="H55" s="129">
        <f>_xlfn.COMPOUNDVALUE(496)</f>
        <v>2264</v>
      </c>
      <c r="I55" s="131">
        <v>17020589</v>
      </c>
      <c r="J55" s="129">
        <v>1759</v>
      </c>
      <c r="K55" s="131">
        <v>693514</v>
      </c>
      <c r="L55" s="129">
        <f>_xlfn.COMPOUNDVALUE(496)</f>
        <v>31010</v>
      </c>
      <c r="M55" s="131">
        <v>258370146</v>
      </c>
      <c r="N55" s="129">
        <v>32023</v>
      </c>
      <c r="O55" s="132">
        <v>1353</v>
      </c>
      <c r="P55" s="132">
        <v>569</v>
      </c>
      <c r="Q55" s="133">
        <v>33945</v>
      </c>
      <c r="R55" s="77" t="s">
        <v>82</v>
      </c>
    </row>
    <row r="56" spans="1:18" ht="15.75" customHeight="1">
      <c r="A56" s="76" t="s">
        <v>83</v>
      </c>
      <c r="B56" s="129">
        <f>_xlfn.COMPOUNDVALUE(497)</f>
        <v>4924</v>
      </c>
      <c r="C56" s="130">
        <v>44691080</v>
      </c>
      <c r="D56" s="129">
        <f>_xlfn.COMPOUNDVALUE(498)</f>
        <v>3598</v>
      </c>
      <c r="E56" s="130">
        <v>1251878</v>
      </c>
      <c r="F56" s="129">
        <f>_xlfn.COMPOUNDVALUE(499)</f>
        <v>8522</v>
      </c>
      <c r="G56" s="130">
        <v>45942958</v>
      </c>
      <c r="H56" s="129">
        <f>_xlfn.COMPOUNDVALUE(500)</f>
        <v>492</v>
      </c>
      <c r="I56" s="131">
        <v>1112523</v>
      </c>
      <c r="J56" s="129">
        <v>526</v>
      </c>
      <c r="K56" s="131">
        <v>75598</v>
      </c>
      <c r="L56" s="129">
        <f>_xlfn.COMPOUNDVALUE(500)</f>
        <v>9175</v>
      </c>
      <c r="M56" s="131">
        <v>44906033</v>
      </c>
      <c r="N56" s="129">
        <v>9523</v>
      </c>
      <c r="O56" s="132">
        <v>316</v>
      </c>
      <c r="P56" s="132">
        <v>67</v>
      </c>
      <c r="Q56" s="133">
        <v>9906</v>
      </c>
      <c r="R56" s="77" t="s">
        <v>83</v>
      </c>
    </row>
    <row r="57" spans="1:18" ht="15.75" customHeight="1">
      <c r="A57" s="76" t="s">
        <v>84</v>
      </c>
      <c r="B57" s="129">
        <f>_xlfn.COMPOUNDVALUE(501)</f>
        <v>4011</v>
      </c>
      <c r="C57" s="130">
        <v>14884828</v>
      </c>
      <c r="D57" s="129">
        <f>_xlfn.COMPOUNDVALUE(502)</f>
        <v>3325</v>
      </c>
      <c r="E57" s="130">
        <v>1149299</v>
      </c>
      <c r="F57" s="129">
        <f>_xlfn.COMPOUNDVALUE(503)</f>
        <v>7336</v>
      </c>
      <c r="G57" s="130">
        <v>16034126</v>
      </c>
      <c r="H57" s="129">
        <f>_xlfn.COMPOUNDVALUE(504)</f>
        <v>408</v>
      </c>
      <c r="I57" s="131">
        <v>1111031</v>
      </c>
      <c r="J57" s="129">
        <v>433</v>
      </c>
      <c r="K57" s="131">
        <v>71761</v>
      </c>
      <c r="L57" s="129">
        <f>_xlfn.COMPOUNDVALUE(504)</f>
        <v>7884</v>
      </c>
      <c r="M57" s="131">
        <v>14994856</v>
      </c>
      <c r="N57" s="129">
        <v>7984</v>
      </c>
      <c r="O57" s="132">
        <v>262</v>
      </c>
      <c r="P57" s="132">
        <v>34</v>
      </c>
      <c r="Q57" s="133">
        <v>8280</v>
      </c>
      <c r="R57" s="77" t="s">
        <v>84</v>
      </c>
    </row>
    <row r="58" spans="1:18" ht="15.75" customHeight="1">
      <c r="A58" s="76" t="s">
        <v>85</v>
      </c>
      <c r="B58" s="129">
        <f>_xlfn.COMPOUNDVALUE(505)</f>
        <v>2984</v>
      </c>
      <c r="C58" s="130">
        <v>9814654</v>
      </c>
      <c r="D58" s="129">
        <f>_xlfn.COMPOUNDVALUE(506)</f>
        <v>2663</v>
      </c>
      <c r="E58" s="130">
        <v>924930</v>
      </c>
      <c r="F58" s="129">
        <f>_xlfn.COMPOUNDVALUE(507)</f>
        <v>5647</v>
      </c>
      <c r="G58" s="130">
        <v>10739584</v>
      </c>
      <c r="H58" s="129">
        <f>_xlfn.COMPOUNDVALUE(508)</f>
        <v>329</v>
      </c>
      <c r="I58" s="131">
        <v>581573</v>
      </c>
      <c r="J58" s="129">
        <v>328</v>
      </c>
      <c r="K58" s="131">
        <v>39277</v>
      </c>
      <c r="L58" s="129">
        <f>_xlfn.COMPOUNDVALUE(508)</f>
        <v>6081</v>
      </c>
      <c r="M58" s="131">
        <v>10197288</v>
      </c>
      <c r="N58" s="129">
        <v>5980</v>
      </c>
      <c r="O58" s="132">
        <v>227</v>
      </c>
      <c r="P58" s="132">
        <v>29</v>
      </c>
      <c r="Q58" s="133">
        <v>6236</v>
      </c>
      <c r="R58" s="77" t="s">
        <v>85</v>
      </c>
    </row>
    <row r="59" spans="1:18" ht="15.75" customHeight="1">
      <c r="A59" s="76" t="s">
        <v>86</v>
      </c>
      <c r="B59" s="129">
        <f>_xlfn.COMPOUNDVALUE(509)</f>
        <v>8876</v>
      </c>
      <c r="C59" s="130">
        <v>74784350</v>
      </c>
      <c r="D59" s="129">
        <f>_xlfn.COMPOUNDVALUE(510)</f>
        <v>4763</v>
      </c>
      <c r="E59" s="130">
        <v>1815386</v>
      </c>
      <c r="F59" s="129">
        <f>_xlfn.COMPOUNDVALUE(511)</f>
        <v>13639</v>
      </c>
      <c r="G59" s="130">
        <v>76599736</v>
      </c>
      <c r="H59" s="129">
        <f>_xlfn.COMPOUNDVALUE(512)</f>
        <v>1121</v>
      </c>
      <c r="I59" s="131">
        <v>4583210</v>
      </c>
      <c r="J59" s="129">
        <v>895</v>
      </c>
      <c r="K59" s="131">
        <v>45587</v>
      </c>
      <c r="L59" s="129">
        <f>_xlfn.COMPOUNDVALUE(512)</f>
        <v>15023</v>
      </c>
      <c r="M59" s="131">
        <v>72062113</v>
      </c>
      <c r="N59" s="129">
        <v>14822</v>
      </c>
      <c r="O59" s="132">
        <v>549</v>
      </c>
      <c r="P59" s="132">
        <v>149</v>
      </c>
      <c r="Q59" s="133">
        <v>15520</v>
      </c>
      <c r="R59" s="77" t="s">
        <v>86</v>
      </c>
    </row>
    <row r="60" spans="1:18" ht="15.75" customHeight="1">
      <c r="A60" s="76"/>
      <c r="B60" s="129"/>
      <c r="C60" s="130"/>
      <c r="D60" s="129"/>
      <c r="E60" s="130"/>
      <c r="F60" s="129"/>
      <c r="G60" s="130"/>
      <c r="H60" s="129"/>
      <c r="I60" s="131"/>
      <c r="J60" s="129"/>
      <c r="K60" s="131"/>
      <c r="L60" s="129"/>
      <c r="M60" s="131"/>
      <c r="N60" s="129"/>
      <c r="O60" s="132"/>
      <c r="P60" s="132"/>
      <c r="Q60" s="133"/>
      <c r="R60" s="77" t="s">
        <v>40</v>
      </c>
    </row>
    <row r="61" spans="1:18" ht="15.75" customHeight="1">
      <c r="A61" s="76" t="s">
        <v>87</v>
      </c>
      <c r="B61" s="129">
        <f>_xlfn.COMPOUNDVALUE(513)</f>
        <v>4465</v>
      </c>
      <c r="C61" s="130">
        <v>31997046</v>
      </c>
      <c r="D61" s="129">
        <f>_xlfn.COMPOUNDVALUE(514)</f>
        <v>3307</v>
      </c>
      <c r="E61" s="130">
        <v>1080613</v>
      </c>
      <c r="F61" s="129">
        <f>_xlfn.COMPOUNDVALUE(515)</f>
        <v>7772</v>
      </c>
      <c r="G61" s="130">
        <v>33077658</v>
      </c>
      <c r="H61" s="129">
        <f>_xlfn.COMPOUNDVALUE(516)</f>
        <v>427</v>
      </c>
      <c r="I61" s="131">
        <v>1757973</v>
      </c>
      <c r="J61" s="129">
        <v>356</v>
      </c>
      <c r="K61" s="131">
        <v>102759</v>
      </c>
      <c r="L61" s="129">
        <f>_xlfn.COMPOUNDVALUE(516)</f>
        <v>8348</v>
      </c>
      <c r="M61" s="131">
        <v>31422444</v>
      </c>
      <c r="N61" s="129">
        <v>8446</v>
      </c>
      <c r="O61" s="132">
        <v>208</v>
      </c>
      <c r="P61" s="132">
        <v>27</v>
      </c>
      <c r="Q61" s="133">
        <v>8681</v>
      </c>
      <c r="R61" s="77" t="s">
        <v>87</v>
      </c>
    </row>
    <row r="62" spans="1:18" ht="15.75" customHeight="1">
      <c r="A62" s="76" t="s">
        <v>88</v>
      </c>
      <c r="B62" s="129">
        <f>_xlfn.COMPOUNDVALUE(517)</f>
        <v>3864</v>
      </c>
      <c r="C62" s="130">
        <v>18190763</v>
      </c>
      <c r="D62" s="129">
        <f>_xlfn.COMPOUNDVALUE(518)</f>
        <v>2661</v>
      </c>
      <c r="E62" s="130">
        <v>819412</v>
      </c>
      <c r="F62" s="129">
        <f>_xlfn.COMPOUNDVALUE(519)</f>
        <v>6525</v>
      </c>
      <c r="G62" s="130">
        <v>19010174</v>
      </c>
      <c r="H62" s="129">
        <f>_xlfn.COMPOUNDVALUE(520)</f>
        <v>337</v>
      </c>
      <c r="I62" s="131">
        <v>639699</v>
      </c>
      <c r="J62" s="129">
        <v>302</v>
      </c>
      <c r="K62" s="131">
        <v>189621</v>
      </c>
      <c r="L62" s="129">
        <f>_xlfn.COMPOUNDVALUE(520)</f>
        <v>6953</v>
      </c>
      <c r="M62" s="131">
        <v>18560096</v>
      </c>
      <c r="N62" s="129">
        <v>7017</v>
      </c>
      <c r="O62" s="132">
        <v>179</v>
      </c>
      <c r="P62" s="132">
        <v>32</v>
      </c>
      <c r="Q62" s="133">
        <v>7228</v>
      </c>
      <c r="R62" s="77" t="s">
        <v>88</v>
      </c>
    </row>
    <row r="63" spans="1:18" ht="15.75" customHeight="1">
      <c r="A63" s="76" t="s">
        <v>89</v>
      </c>
      <c r="B63" s="129">
        <f>_xlfn.COMPOUNDVALUE(521)</f>
        <v>7328</v>
      </c>
      <c r="C63" s="130">
        <v>28103841</v>
      </c>
      <c r="D63" s="129">
        <f>_xlfn.COMPOUNDVALUE(522)</f>
        <v>5218</v>
      </c>
      <c r="E63" s="130">
        <v>1685426</v>
      </c>
      <c r="F63" s="129">
        <f>_xlfn.COMPOUNDVALUE(523)</f>
        <v>12546</v>
      </c>
      <c r="G63" s="130">
        <v>29789267</v>
      </c>
      <c r="H63" s="129">
        <f>_xlfn.COMPOUNDVALUE(524)</f>
        <v>541</v>
      </c>
      <c r="I63" s="131">
        <v>2375677</v>
      </c>
      <c r="J63" s="129">
        <v>739</v>
      </c>
      <c r="K63" s="131">
        <v>92894</v>
      </c>
      <c r="L63" s="129">
        <f>_xlfn.COMPOUNDVALUE(524)</f>
        <v>13290</v>
      </c>
      <c r="M63" s="131">
        <v>27506484</v>
      </c>
      <c r="N63" s="129">
        <v>13768</v>
      </c>
      <c r="O63" s="132">
        <v>319</v>
      </c>
      <c r="P63" s="132">
        <v>44</v>
      </c>
      <c r="Q63" s="133">
        <v>14131</v>
      </c>
      <c r="R63" s="77" t="s">
        <v>89</v>
      </c>
    </row>
    <row r="64" spans="1:18" ht="15.75" customHeight="1">
      <c r="A64" s="76" t="s">
        <v>90</v>
      </c>
      <c r="B64" s="129">
        <f>_xlfn.COMPOUNDVALUE(525)</f>
        <v>5172</v>
      </c>
      <c r="C64" s="130">
        <v>12354079</v>
      </c>
      <c r="D64" s="129">
        <f>_xlfn.COMPOUNDVALUE(526)</f>
        <v>4249</v>
      </c>
      <c r="E64" s="130">
        <v>1387666</v>
      </c>
      <c r="F64" s="129">
        <f>_xlfn.COMPOUNDVALUE(527)</f>
        <v>9421</v>
      </c>
      <c r="G64" s="130">
        <v>13741745</v>
      </c>
      <c r="H64" s="129">
        <f>_xlfn.COMPOUNDVALUE(528)</f>
        <v>408</v>
      </c>
      <c r="I64" s="131">
        <v>2007179</v>
      </c>
      <c r="J64" s="129">
        <v>532</v>
      </c>
      <c r="K64" s="131">
        <v>31148</v>
      </c>
      <c r="L64" s="129">
        <f>_xlfn.COMPOUNDVALUE(528)</f>
        <v>9977</v>
      </c>
      <c r="M64" s="131">
        <v>11765714</v>
      </c>
      <c r="N64" s="129">
        <v>10035</v>
      </c>
      <c r="O64" s="132">
        <v>286</v>
      </c>
      <c r="P64" s="132">
        <v>28</v>
      </c>
      <c r="Q64" s="133">
        <v>10349</v>
      </c>
      <c r="R64" s="77" t="s">
        <v>90</v>
      </c>
    </row>
    <row r="65" spans="1:18" ht="15.75" customHeight="1">
      <c r="A65" s="78" t="s">
        <v>91</v>
      </c>
      <c r="B65" s="134">
        <f>_xlfn.COMPOUNDVALUE(529)</f>
        <v>3096</v>
      </c>
      <c r="C65" s="135">
        <v>5741896</v>
      </c>
      <c r="D65" s="134">
        <f>_xlfn.COMPOUNDVALUE(530)</f>
        <v>2852</v>
      </c>
      <c r="E65" s="135">
        <v>945269</v>
      </c>
      <c r="F65" s="134">
        <f>_xlfn.COMPOUNDVALUE(531)</f>
        <v>5948</v>
      </c>
      <c r="G65" s="135">
        <v>6687164</v>
      </c>
      <c r="H65" s="134">
        <f>_xlfn.COMPOUNDVALUE(532)</f>
        <v>239</v>
      </c>
      <c r="I65" s="136">
        <v>393967</v>
      </c>
      <c r="J65" s="134">
        <v>292</v>
      </c>
      <c r="K65" s="136">
        <v>26135</v>
      </c>
      <c r="L65" s="134">
        <f>_xlfn.COMPOUNDVALUE(532)</f>
        <v>6269</v>
      </c>
      <c r="M65" s="136">
        <v>6319333</v>
      </c>
      <c r="N65" s="129">
        <v>6406</v>
      </c>
      <c r="O65" s="132">
        <v>151</v>
      </c>
      <c r="P65" s="132">
        <v>14</v>
      </c>
      <c r="Q65" s="133">
        <v>6571</v>
      </c>
      <c r="R65" s="77" t="s">
        <v>91</v>
      </c>
    </row>
    <row r="66" spans="1:18" ht="15.75" customHeight="1">
      <c r="A66" s="78"/>
      <c r="B66" s="134"/>
      <c r="C66" s="135"/>
      <c r="D66" s="134"/>
      <c r="E66" s="135"/>
      <c r="F66" s="134"/>
      <c r="G66" s="135"/>
      <c r="H66" s="134"/>
      <c r="I66" s="136"/>
      <c r="J66" s="134"/>
      <c r="K66" s="136"/>
      <c r="L66" s="134"/>
      <c r="M66" s="136"/>
      <c r="N66" s="129"/>
      <c r="O66" s="132"/>
      <c r="P66" s="132"/>
      <c r="Q66" s="133"/>
      <c r="R66" s="77" t="s">
        <v>40</v>
      </c>
    </row>
    <row r="67" spans="1:18" ht="15.75" customHeight="1">
      <c r="A67" s="78" t="s">
        <v>92</v>
      </c>
      <c r="B67" s="134">
        <f>_xlfn.COMPOUNDVALUE(533)</f>
        <v>5552</v>
      </c>
      <c r="C67" s="135">
        <v>15153817</v>
      </c>
      <c r="D67" s="134">
        <f>_xlfn.COMPOUNDVALUE(534)</f>
        <v>3955</v>
      </c>
      <c r="E67" s="135">
        <v>1299544</v>
      </c>
      <c r="F67" s="134">
        <f>_xlfn.COMPOUNDVALUE(535)</f>
        <v>9507</v>
      </c>
      <c r="G67" s="135">
        <v>16453361</v>
      </c>
      <c r="H67" s="134">
        <f>_xlfn.COMPOUNDVALUE(536)</f>
        <v>431</v>
      </c>
      <c r="I67" s="136">
        <v>1766432</v>
      </c>
      <c r="J67" s="134">
        <v>570</v>
      </c>
      <c r="K67" s="136">
        <v>79396</v>
      </c>
      <c r="L67" s="134">
        <f>_xlfn.COMPOUNDVALUE(536)</f>
        <v>10140</v>
      </c>
      <c r="M67" s="136">
        <v>14766325</v>
      </c>
      <c r="N67" s="129">
        <v>10153</v>
      </c>
      <c r="O67" s="132">
        <v>208</v>
      </c>
      <c r="P67" s="132">
        <v>36</v>
      </c>
      <c r="Q67" s="133">
        <v>10397</v>
      </c>
      <c r="R67" s="77" t="s">
        <v>92</v>
      </c>
    </row>
    <row r="68" spans="1:18" ht="15.75" customHeight="1">
      <c r="A68" s="78" t="s">
        <v>93</v>
      </c>
      <c r="B68" s="134">
        <f>_xlfn.COMPOUNDVALUE(537)</f>
        <v>4457</v>
      </c>
      <c r="C68" s="135">
        <v>11466093</v>
      </c>
      <c r="D68" s="134">
        <f>_xlfn.COMPOUNDVALUE(538)</f>
        <v>3323</v>
      </c>
      <c r="E68" s="135">
        <v>1042661</v>
      </c>
      <c r="F68" s="134">
        <f>_xlfn.COMPOUNDVALUE(539)</f>
        <v>7780</v>
      </c>
      <c r="G68" s="135">
        <v>12508754</v>
      </c>
      <c r="H68" s="134">
        <f>_xlfn.COMPOUNDVALUE(540)</f>
        <v>272</v>
      </c>
      <c r="I68" s="136">
        <v>699492</v>
      </c>
      <c r="J68" s="134">
        <v>381</v>
      </c>
      <c r="K68" s="136">
        <v>12613</v>
      </c>
      <c r="L68" s="134">
        <f>_xlfn.COMPOUNDVALUE(540)</f>
        <v>8167</v>
      </c>
      <c r="M68" s="136">
        <v>11821874</v>
      </c>
      <c r="N68" s="129">
        <v>8391</v>
      </c>
      <c r="O68" s="132">
        <v>133</v>
      </c>
      <c r="P68" s="132">
        <v>29</v>
      </c>
      <c r="Q68" s="133">
        <v>8553</v>
      </c>
      <c r="R68" s="77" t="s">
        <v>93</v>
      </c>
    </row>
    <row r="69" spans="1:18" ht="15.75" customHeight="1">
      <c r="A69" s="78" t="s">
        <v>94</v>
      </c>
      <c r="B69" s="134">
        <f>_xlfn.COMPOUNDVALUE(541)</f>
        <v>5960</v>
      </c>
      <c r="C69" s="135">
        <v>14317072</v>
      </c>
      <c r="D69" s="134">
        <f>_xlfn.COMPOUNDVALUE(542)</f>
        <v>4797</v>
      </c>
      <c r="E69" s="135">
        <v>1477446</v>
      </c>
      <c r="F69" s="134">
        <f>_xlfn.COMPOUNDVALUE(543)</f>
        <v>10757</v>
      </c>
      <c r="G69" s="135">
        <v>15794518</v>
      </c>
      <c r="H69" s="134">
        <f>_xlfn.COMPOUNDVALUE(544)</f>
        <v>502</v>
      </c>
      <c r="I69" s="136">
        <v>1157961</v>
      </c>
      <c r="J69" s="134">
        <v>746</v>
      </c>
      <c r="K69" s="136">
        <v>85914</v>
      </c>
      <c r="L69" s="134">
        <f>_xlfn.COMPOUNDVALUE(544)</f>
        <v>11481</v>
      </c>
      <c r="M69" s="136">
        <v>14722471</v>
      </c>
      <c r="N69" s="129">
        <v>11687</v>
      </c>
      <c r="O69" s="132">
        <v>235</v>
      </c>
      <c r="P69" s="132">
        <v>33</v>
      </c>
      <c r="Q69" s="133">
        <v>11955</v>
      </c>
      <c r="R69" s="77" t="s">
        <v>94</v>
      </c>
    </row>
    <row r="70" spans="1:18" ht="15.75" customHeight="1">
      <c r="A70" s="78" t="s">
        <v>95</v>
      </c>
      <c r="B70" s="134">
        <f>_xlfn.COMPOUNDVALUE(545)</f>
        <v>6544</v>
      </c>
      <c r="C70" s="135">
        <v>15824321</v>
      </c>
      <c r="D70" s="134">
        <f>_xlfn.COMPOUNDVALUE(546)</f>
        <v>4896</v>
      </c>
      <c r="E70" s="135">
        <v>1545079</v>
      </c>
      <c r="F70" s="134">
        <f>_xlfn.COMPOUNDVALUE(547)</f>
        <v>11440</v>
      </c>
      <c r="G70" s="135">
        <v>17369400</v>
      </c>
      <c r="H70" s="134">
        <f>_xlfn.COMPOUNDVALUE(548)</f>
        <v>442</v>
      </c>
      <c r="I70" s="136">
        <v>1223261</v>
      </c>
      <c r="J70" s="134">
        <v>498</v>
      </c>
      <c r="K70" s="136">
        <v>72076</v>
      </c>
      <c r="L70" s="134">
        <f>_xlfn.COMPOUNDVALUE(548)</f>
        <v>12045</v>
      </c>
      <c r="M70" s="136">
        <v>16218215</v>
      </c>
      <c r="N70" s="129">
        <v>12270</v>
      </c>
      <c r="O70" s="132">
        <v>222</v>
      </c>
      <c r="P70" s="132">
        <v>28</v>
      </c>
      <c r="Q70" s="133">
        <v>12520</v>
      </c>
      <c r="R70" s="77" t="s">
        <v>95</v>
      </c>
    </row>
    <row r="71" spans="1:18" ht="15.75" customHeight="1">
      <c r="A71" s="78" t="s">
        <v>96</v>
      </c>
      <c r="B71" s="134">
        <f>_xlfn.COMPOUNDVALUE(549)</f>
        <v>3106</v>
      </c>
      <c r="C71" s="135">
        <v>10349586</v>
      </c>
      <c r="D71" s="134">
        <f>_xlfn.COMPOUNDVALUE(550)</f>
        <v>1974</v>
      </c>
      <c r="E71" s="135">
        <v>694524</v>
      </c>
      <c r="F71" s="134">
        <f>_xlfn.COMPOUNDVALUE(551)</f>
        <v>5080</v>
      </c>
      <c r="G71" s="135">
        <v>11044110</v>
      </c>
      <c r="H71" s="134">
        <f>_xlfn.COMPOUNDVALUE(552)</f>
        <v>207</v>
      </c>
      <c r="I71" s="136">
        <v>659730</v>
      </c>
      <c r="J71" s="134">
        <v>290</v>
      </c>
      <c r="K71" s="136">
        <v>53932</v>
      </c>
      <c r="L71" s="134">
        <f>_xlfn.COMPOUNDVALUE(552)</f>
        <v>5365</v>
      </c>
      <c r="M71" s="136">
        <v>10438313</v>
      </c>
      <c r="N71" s="129">
        <v>5564</v>
      </c>
      <c r="O71" s="132">
        <v>164</v>
      </c>
      <c r="P71" s="132">
        <v>19</v>
      </c>
      <c r="Q71" s="133">
        <v>5747</v>
      </c>
      <c r="R71" s="77" t="s">
        <v>96</v>
      </c>
    </row>
    <row r="72" spans="1:18" ht="15.75" customHeight="1">
      <c r="A72" s="79" t="s">
        <v>97</v>
      </c>
      <c r="B72" s="137">
        <v>252574</v>
      </c>
      <c r="C72" s="138">
        <v>3468959648</v>
      </c>
      <c r="D72" s="137">
        <v>138129</v>
      </c>
      <c r="E72" s="138">
        <v>53342421</v>
      </c>
      <c r="F72" s="137">
        <v>390703</v>
      </c>
      <c r="G72" s="138">
        <v>3522302062</v>
      </c>
      <c r="H72" s="137">
        <v>34591</v>
      </c>
      <c r="I72" s="139">
        <v>1035968656</v>
      </c>
      <c r="J72" s="137">
        <v>24885</v>
      </c>
      <c r="K72" s="139">
        <v>4675735</v>
      </c>
      <c r="L72" s="137">
        <v>431649</v>
      </c>
      <c r="M72" s="139">
        <v>2491009146</v>
      </c>
      <c r="N72" s="137">
        <v>427635</v>
      </c>
      <c r="O72" s="140">
        <v>21301</v>
      </c>
      <c r="P72" s="140">
        <v>5038</v>
      </c>
      <c r="Q72" s="141">
        <v>453974</v>
      </c>
      <c r="R72" s="84" t="s">
        <v>98</v>
      </c>
    </row>
    <row r="73" spans="1:18" ht="15.75" customHeight="1">
      <c r="A73" s="173"/>
      <c r="B73" s="176"/>
      <c r="C73" s="178"/>
      <c r="D73" s="176"/>
      <c r="E73" s="178"/>
      <c r="F73" s="176"/>
      <c r="G73" s="178"/>
      <c r="H73" s="176"/>
      <c r="I73" s="179"/>
      <c r="J73" s="176"/>
      <c r="K73" s="179"/>
      <c r="L73" s="176"/>
      <c r="M73" s="179"/>
      <c r="N73" s="181"/>
      <c r="O73" s="182"/>
      <c r="P73" s="182"/>
      <c r="Q73" s="183"/>
      <c r="R73" s="180" t="s">
        <v>40</v>
      </c>
    </row>
    <row r="74" spans="1:18" ht="15.75" customHeight="1">
      <c r="A74" s="76" t="s">
        <v>99</v>
      </c>
      <c r="B74" s="129">
        <f>_xlfn.COMPOUNDVALUE(553)</f>
        <v>5748</v>
      </c>
      <c r="C74" s="130">
        <v>17755862</v>
      </c>
      <c r="D74" s="129">
        <f>_xlfn.COMPOUNDVALUE(554)</f>
        <v>4688</v>
      </c>
      <c r="E74" s="130">
        <v>1553632</v>
      </c>
      <c r="F74" s="129">
        <f>_xlfn.COMPOUNDVALUE(555)</f>
        <v>10436</v>
      </c>
      <c r="G74" s="130">
        <v>19309494</v>
      </c>
      <c r="H74" s="129">
        <f>_xlfn.COMPOUNDVALUE(556)</f>
        <v>414</v>
      </c>
      <c r="I74" s="131">
        <v>2208044</v>
      </c>
      <c r="J74" s="129">
        <v>503</v>
      </c>
      <c r="K74" s="131">
        <v>75493</v>
      </c>
      <c r="L74" s="129">
        <f>_xlfn.COMPOUNDVALUE(556)</f>
        <v>11037</v>
      </c>
      <c r="M74" s="131">
        <v>17176943</v>
      </c>
      <c r="N74" s="148">
        <v>11204</v>
      </c>
      <c r="O74" s="149">
        <v>283</v>
      </c>
      <c r="P74" s="149">
        <v>32</v>
      </c>
      <c r="Q74" s="150">
        <v>11519</v>
      </c>
      <c r="R74" s="87" t="s">
        <v>99</v>
      </c>
    </row>
    <row r="75" spans="1:18" ht="15.75" customHeight="1">
      <c r="A75" s="78" t="s">
        <v>100</v>
      </c>
      <c r="B75" s="134">
        <f>_xlfn.COMPOUNDVALUE(557)</f>
        <v>6906</v>
      </c>
      <c r="C75" s="135">
        <v>24959855</v>
      </c>
      <c r="D75" s="134">
        <f>_xlfn.COMPOUNDVALUE(558)</f>
        <v>5883</v>
      </c>
      <c r="E75" s="135">
        <v>2003108</v>
      </c>
      <c r="F75" s="134">
        <f>_xlfn.COMPOUNDVALUE(559)</f>
        <v>12789</v>
      </c>
      <c r="G75" s="135">
        <v>26962962</v>
      </c>
      <c r="H75" s="134">
        <f>_xlfn.COMPOUNDVALUE(560)</f>
        <v>520</v>
      </c>
      <c r="I75" s="136">
        <v>1067527</v>
      </c>
      <c r="J75" s="134">
        <v>630</v>
      </c>
      <c r="K75" s="136">
        <v>174607</v>
      </c>
      <c r="L75" s="134">
        <f>_xlfn.COMPOUNDVALUE(560)</f>
        <v>13540</v>
      </c>
      <c r="M75" s="136">
        <v>26070042</v>
      </c>
      <c r="N75" s="129">
        <v>13933</v>
      </c>
      <c r="O75" s="132">
        <v>336</v>
      </c>
      <c r="P75" s="132">
        <v>35</v>
      </c>
      <c r="Q75" s="133">
        <v>14304</v>
      </c>
      <c r="R75" s="77" t="s">
        <v>100</v>
      </c>
    </row>
    <row r="76" spans="1:18" ht="15.75" customHeight="1">
      <c r="A76" s="78" t="s">
        <v>101</v>
      </c>
      <c r="B76" s="134">
        <f>_xlfn.COMPOUNDVALUE(561)</f>
        <v>4918</v>
      </c>
      <c r="C76" s="135">
        <v>23564991</v>
      </c>
      <c r="D76" s="134">
        <f>_xlfn.COMPOUNDVALUE(562)</f>
        <v>4482</v>
      </c>
      <c r="E76" s="135">
        <v>1554667</v>
      </c>
      <c r="F76" s="134">
        <f>_xlfn.COMPOUNDVALUE(563)</f>
        <v>9400</v>
      </c>
      <c r="G76" s="135">
        <v>25119657</v>
      </c>
      <c r="H76" s="134">
        <f>_xlfn.COMPOUNDVALUE(564)</f>
        <v>462</v>
      </c>
      <c r="I76" s="136">
        <v>2913988</v>
      </c>
      <c r="J76" s="134">
        <v>536</v>
      </c>
      <c r="K76" s="136">
        <v>67560</v>
      </c>
      <c r="L76" s="134">
        <f>_xlfn.COMPOUNDVALUE(564)</f>
        <v>10039</v>
      </c>
      <c r="M76" s="136">
        <v>22273229</v>
      </c>
      <c r="N76" s="129">
        <v>9972</v>
      </c>
      <c r="O76" s="132">
        <v>266</v>
      </c>
      <c r="P76" s="132">
        <v>32</v>
      </c>
      <c r="Q76" s="133">
        <v>10270</v>
      </c>
      <c r="R76" s="77" t="s">
        <v>101</v>
      </c>
    </row>
    <row r="77" spans="1:18" ht="15.75" customHeight="1">
      <c r="A77" s="78" t="s">
        <v>102</v>
      </c>
      <c r="B77" s="134">
        <f>_xlfn.COMPOUNDVALUE(565)</f>
        <v>4278</v>
      </c>
      <c r="C77" s="135">
        <v>12656169</v>
      </c>
      <c r="D77" s="134">
        <f>_xlfn.COMPOUNDVALUE(566)</f>
        <v>3796</v>
      </c>
      <c r="E77" s="135">
        <v>1185048</v>
      </c>
      <c r="F77" s="134">
        <f>_xlfn.COMPOUNDVALUE(567)</f>
        <v>8074</v>
      </c>
      <c r="G77" s="135">
        <v>13841217</v>
      </c>
      <c r="H77" s="134">
        <f>_xlfn.COMPOUNDVALUE(568)</f>
        <v>271</v>
      </c>
      <c r="I77" s="136">
        <v>1123247</v>
      </c>
      <c r="J77" s="134">
        <v>362</v>
      </c>
      <c r="K77" s="136">
        <v>46930</v>
      </c>
      <c r="L77" s="134">
        <f>_xlfn.COMPOUNDVALUE(568)</f>
        <v>8517</v>
      </c>
      <c r="M77" s="136">
        <v>12764900</v>
      </c>
      <c r="N77" s="129">
        <v>8740</v>
      </c>
      <c r="O77" s="132">
        <v>157</v>
      </c>
      <c r="P77" s="132">
        <v>9</v>
      </c>
      <c r="Q77" s="133">
        <v>8906</v>
      </c>
      <c r="R77" s="77" t="s">
        <v>102</v>
      </c>
    </row>
    <row r="78" spans="1:18" ht="15.75" customHeight="1">
      <c r="A78" s="78" t="s">
        <v>103</v>
      </c>
      <c r="B78" s="134">
        <f>_xlfn.COMPOUNDVALUE(569)</f>
        <v>5629</v>
      </c>
      <c r="C78" s="135">
        <v>25191166</v>
      </c>
      <c r="D78" s="134">
        <f>_xlfn.COMPOUNDVALUE(570)</f>
        <v>4853</v>
      </c>
      <c r="E78" s="135">
        <v>1611583</v>
      </c>
      <c r="F78" s="134">
        <f>_xlfn.COMPOUNDVALUE(571)</f>
        <v>10482</v>
      </c>
      <c r="G78" s="135">
        <v>26802749</v>
      </c>
      <c r="H78" s="134">
        <f>_xlfn.COMPOUNDVALUE(572)</f>
        <v>435</v>
      </c>
      <c r="I78" s="136">
        <v>1723214</v>
      </c>
      <c r="J78" s="134">
        <v>456</v>
      </c>
      <c r="K78" s="136">
        <v>120480</v>
      </c>
      <c r="L78" s="134">
        <f>_xlfn.COMPOUNDVALUE(572)</f>
        <v>11070</v>
      </c>
      <c r="M78" s="136">
        <v>25200014</v>
      </c>
      <c r="N78" s="129">
        <v>11340</v>
      </c>
      <c r="O78" s="132">
        <v>275</v>
      </c>
      <c r="P78" s="132">
        <v>30</v>
      </c>
      <c r="Q78" s="133">
        <v>11645</v>
      </c>
      <c r="R78" s="77" t="s">
        <v>103</v>
      </c>
    </row>
    <row r="79" spans="1:18" ht="15.75" customHeight="1">
      <c r="A79" s="106"/>
      <c r="B79" s="151"/>
      <c r="C79" s="152"/>
      <c r="D79" s="151"/>
      <c r="E79" s="152"/>
      <c r="F79" s="151"/>
      <c r="G79" s="152"/>
      <c r="H79" s="151"/>
      <c r="I79" s="153"/>
      <c r="J79" s="151"/>
      <c r="K79" s="153"/>
      <c r="L79" s="151"/>
      <c r="M79" s="152"/>
      <c r="N79" s="129"/>
      <c r="O79" s="132"/>
      <c r="P79" s="132"/>
      <c r="Q79" s="133"/>
      <c r="R79" s="108" t="s">
        <v>40</v>
      </c>
    </row>
    <row r="80" spans="1:18" ht="15.75" customHeight="1">
      <c r="A80" s="76" t="s">
        <v>104</v>
      </c>
      <c r="B80" s="129">
        <f>_xlfn.COMPOUNDVALUE(573)</f>
        <v>3904</v>
      </c>
      <c r="C80" s="130">
        <v>9621387</v>
      </c>
      <c r="D80" s="129">
        <f>_xlfn.COMPOUNDVALUE(574)</f>
        <v>3484</v>
      </c>
      <c r="E80" s="130">
        <v>1180349</v>
      </c>
      <c r="F80" s="129">
        <f>_xlfn.COMPOUNDVALUE(575)</f>
        <v>7388</v>
      </c>
      <c r="G80" s="130">
        <v>10801736</v>
      </c>
      <c r="H80" s="129">
        <f>_xlfn.COMPOUNDVALUE(576)</f>
        <v>302</v>
      </c>
      <c r="I80" s="131">
        <v>621511</v>
      </c>
      <c r="J80" s="129">
        <v>445</v>
      </c>
      <c r="K80" s="131">
        <v>39579</v>
      </c>
      <c r="L80" s="129">
        <f>_xlfn.COMPOUNDVALUE(576)</f>
        <v>7839</v>
      </c>
      <c r="M80" s="130">
        <v>10219804</v>
      </c>
      <c r="N80" s="129">
        <v>8154</v>
      </c>
      <c r="O80" s="132">
        <v>209</v>
      </c>
      <c r="P80" s="132">
        <v>33</v>
      </c>
      <c r="Q80" s="133">
        <v>8396</v>
      </c>
      <c r="R80" s="88" t="s">
        <v>104</v>
      </c>
    </row>
    <row r="81" spans="1:18" ht="15.75" customHeight="1">
      <c r="A81" s="78" t="s">
        <v>105</v>
      </c>
      <c r="B81" s="134">
        <f>_xlfn.COMPOUNDVALUE(577)</f>
        <v>2958</v>
      </c>
      <c r="C81" s="135">
        <v>12580316</v>
      </c>
      <c r="D81" s="134">
        <f>_xlfn.COMPOUNDVALUE(578)</f>
        <v>2663</v>
      </c>
      <c r="E81" s="135">
        <v>881412</v>
      </c>
      <c r="F81" s="134">
        <f>_xlfn.COMPOUNDVALUE(579)</f>
        <v>5621</v>
      </c>
      <c r="G81" s="135">
        <v>13461728</v>
      </c>
      <c r="H81" s="134">
        <f>_xlfn.COMPOUNDVALUE(580)</f>
        <v>235</v>
      </c>
      <c r="I81" s="136">
        <v>3623520</v>
      </c>
      <c r="J81" s="134">
        <v>386</v>
      </c>
      <c r="K81" s="136">
        <v>68961</v>
      </c>
      <c r="L81" s="134">
        <f>_xlfn.COMPOUNDVALUE(580)</f>
        <v>5989</v>
      </c>
      <c r="M81" s="136">
        <v>9907169</v>
      </c>
      <c r="N81" s="129">
        <v>6245</v>
      </c>
      <c r="O81" s="132">
        <v>151</v>
      </c>
      <c r="P81" s="132">
        <v>21</v>
      </c>
      <c r="Q81" s="133">
        <v>6417</v>
      </c>
      <c r="R81" s="77" t="s">
        <v>105</v>
      </c>
    </row>
    <row r="82" spans="1:18" ht="15.75" customHeight="1">
      <c r="A82" s="78" t="s">
        <v>106</v>
      </c>
      <c r="B82" s="134">
        <f>_xlfn.COMPOUNDVALUE(581)</f>
        <v>5982</v>
      </c>
      <c r="C82" s="135">
        <v>15596456</v>
      </c>
      <c r="D82" s="134">
        <f>_xlfn.COMPOUNDVALUE(582)</f>
        <v>5530</v>
      </c>
      <c r="E82" s="135">
        <v>1761249</v>
      </c>
      <c r="F82" s="134">
        <f>_xlfn.COMPOUNDVALUE(583)</f>
        <v>11512</v>
      </c>
      <c r="G82" s="135">
        <v>17357705</v>
      </c>
      <c r="H82" s="134">
        <f>_xlfn.COMPOUNDVALUE(584)</f>
        <v>409</v>
      </c>
      <c r="I82" s="136">
        <v>2264272</v>
      </c>
      <c r="J82" s="134">
        <v>556</v>
      </c>
      <c r="K82" s="136">
        <v>17114</v>
      </c>
      <c r="L82" s="134">
        <f>_xlfn.COMPOUNDVALUE(584)</f>
        <v>12138</v>
      </c>
      <c r="M82" s="136">
        <v>15110547</v>
      </c>
      <c r="N82" s="129">
        <v>12181</v>
      </c>
      <c r="O82" s="132">
        <v>265</v>
      </c>
      <c r="P82" s="132">
        <v>30</v>
      </c>
      <c r="Q82" s="133">
        <v>12476</v>
      </c>
      <c r="R82" s="77" t="s">
        <v>106</v>
      </c>
    </row>
    <row r="83" spans="1:18" ht="15.75" customHeight="1">
      <c r="A83" s="79" t="s">
        <v>107</v>
      </c>
      <c r="B83" s="137">
        <v>40323</v>
      </c>
      <c r="C83" s="138">
        <v>141926202</v>
      </c>
      <c r="D83" s="137">
        <v>35379</v>
      </c>
      <c r="E83" s="138">
        <v>11731048</v>
      </c>
      <c r="F83" s="137">
        <v>75702</v>
      </c>
      <c r="G83" s="138">
        <v>153657248</v>
      </c>
      <c r="H83" s="137">
        <v>3048</v>
      </c>
      <c r="I83" s="139">
        <v>15545323</v>
      </c>
      <c r="J83" s="137">
        <v>3874</v>
      </c>
      <c r="K83" s="139">
        <v>610724</v>
      </c>
      <c r="L83" s="137">
        <v>80169</v>
      </c>
      <c r="M83" s="139">
        <v>138722648</v>
      </c>
      <c r="N83" s="137">
        <v>81769</v>
      </c>
      <c r="O83" s="140">
        <v>1942</v>
      </c>
      <c r="P83" s="140">
        <v>222</v>
      </c>
      <c r="Q83" s="141">
        <v>83933</v>
      </c>
      <c r="R83" s="84" t="s">
        <v>108</v>
      </c>
    </row>
    <row r="84" spans="1:18" ht="15.75" customHeight="1">
      <c r="A84" s="173"/>
      <c r="B84" s="176"/>
      <c r="C84" s="178"/>
      <c r="D84" s="176"/>
      <c r="E84" s="178"/>
      <c r="F84" s="176"/>
      <c r="G84" s="178"/>
      <c r="H84" s="176"/>
      <c r="I84" s="179"/>
      <c r="J84" s="176"/>
      <c r="K84" s="179"/>
      <c r="L84" s="176"/>
      <c r="M84" s="179"/>
      <c r="N84" s="181"/>
      <c r="O84" s="182"/>
      <c r="P84" s="182"/>
      <c r="Q84" s="183"/>
      <c r="R84" s="180" t="s">
        <v>40</v>
      </c>
    </row>
    <row r="85" spans="1:18" ht="15.75" customHeight="1">
      <c r="A85" s="79" t="s">
        <v>109</v>
      </c>
      <c r="B85" s="137">
        <v>292897</v>
      </c>
      <c r="C85" s="138">
        <v>3610885848</v>
      </c>
      <c r="D85" s="137">
        <v>173508</v>
      </c>
      <c r="E85" s="138">
        <v>65073465</v>
      </c>
      <c r="F85" s="137">
        <v>466405</v>
      </c>
      <c r="G85" s="138">
        <v>3675959313</v>
      </c>
      <c r="H85" s="137">
        <v>37639</v>
      </c>
      <c r="I85" s="139">
        <v>1051513976</v>
      </c>
      <c r="J85" s="137">
        <v>28759</v>
      </c>
      <c r="K85" s="139">
        <v>5286458</v>
      </c>
      <c r="L85" s="137">
        <v>511818</v>
      </c>
      <c r="M85" s="139">
        <v>2629731794</v>
      </c>
      <c r="N85" s="137">
        <v>509404</v>
      </c>
      <c r="O85" s="140">
        <v>23243</v>
      </c>
      <c r="P85" s="140">
        <v>5260</v>
      </c>
      <c r="Q85" s="141">
        <v>537907</v>
      </c>
      <c r="R85" s="84" t="s">
        <v>110</v>
      </c>
    </row>
    <row r="86" spans="1:18" ht="15.75" customHeight="1">
      <c r="A86" s="85"/>
      <c r="B86" s="142"/>
      <c r="C86" s="143"/>
      <c r="D86" s="142"/>
      <c r="E86" s="143"/>
      <c r="F86" s="144"/>
      <c r="G86" s="143"/>
      <c r="H86" s="144"/>
      <c r="I86" s="143"/>
      <c r="J86" s="144"/>
      <c r="K86" s="143"/>
      <c r="L86" s="144"/>
      <c r="M86" s="143"/>
      <c r="N86" s="145"/>
      <c r="O86" s="146"/>
      <c r="P86" s="146"/>
      <c r="Q86" s="147"/>
      <c r="R86" s="86" t="s">
        <v>40</v>
      </c>
    </row>
    <row r="87" spans="1:18" ht="15.75" customHeight="1">
      <c r="A87" s="76" t="s">
        <v>111</v>
      </c>
      <c r="B87" s="129">
        <f>_xlfn.COMPOUNDVALUE(585)</f>
        <v>3470</v>
      </c>
      <c r="C87" s="130">
        <v>15645723</v>
      </c>
      <c r="D87" s="129">
        <f>_xlfn.COMPOUNDVALUE(586)</f>
        <v>2543</v>
      </c>
      <c r="E87" s="130">
        <v>815035</v>
      </c>
      <c r="F87" s="129">
        <f>_xlfn.COMPOUNDVALUE(587)</f>
        <v>6013</v>
      </c>
      <c r="G87" s="130">
        <v>16460758</v>
      </c>
      <c r="H87" s="129">
        <f>_xlfn.COMPOUNDVALUE(588)</f>
        <v>242</v>
      </c>
      <c r="I87" s="131">
        <v>1264121</v>
      </c>
      <c r="J87" s="129">
        <v>390</v>
      </c>
      <c r="K87" s="131">
        <v>41381</v>
      </c>
      <c r="L87" s="129">
        <f>_xlfn.COMPOUNDVALUE(588)</f>
        <v>6370</v>
      </c>
      <c r="M87" s="131">
        <v>15238018</v>
      </c>
      <c r="N87" s="129">
        <v>6300</v>
      </c>
      <c r="O87" s="132">
        <v>180</v>
      </c>
      <c r="P87" s="132">
        <v>21</v>
      </c>
      <c r="Q87" s="133">
        <v>6501</v>
      </c>
      <c r="R87" s="77" t="s">
        <v>111</v>
      </c>
    </row>
    <row r="88" spans="1:18" ht="15.75" customHeight="1">
      <c r="A88" s="76" t="s">
        <v>112</v>
      </c>
      <c r="B88" s="129">
        <f>_xlfn.COMPOUNDVALUE(589)</f>
        <v>7520</v>
      </c>
      <c r="C88" s="130">
        <v>78479406</v>
      </c>
      <c r="D88" s="129">
        <f>_xlfn.COMPOUNDVALUE(590)</f>
        <v>3877</v>
      </c>
      <c r="E88" s="130">
        <v>1495501</v>
      </c>
      <c r="F88" s="129">
        <f>_xlfn.COMPOUNDVALUE(591)</f>
        <v>11397</v>
      </c>
      <c r="G88" s="130">
        <v>79974907</v>
      </c>
      <c r="H88" s="129">
        <f>_xlfn.COMPOUNDVALUE(592)</f>
        <v>1394</v>
      </c>
      <c r="I88" s="131">
        <v>10340652</v>
      </c>
      <c r="J88" s="129">
        <v>773</v>
      </c>
      <c r="K88" s="131">
        <v>288683</v>
      </c>
      <c r="L88" s="129">
        <f>_xlfn.COMPOUNDVALUE(592)</f>
        <v>12997</v>
      </c>
      <c r="M88" s="131">
        <v>69922938</v>
      </c>
      <c r="N88" s="129">
        <v>12449</v>
      </c>
      <c r="O88" s="132">
        <v>630</v>
      </c>
      <c r="P88" s="132">
        <v>126</v>
      </c>
      <c r="Q88" s="133">
        <v>13205</v>
      </c>
      <c r="R88" s="77" t="s">
        <v>112</v>
      </c>
    </row>
    <row r="89" spans="1:18" ht="15.75" customHeight="1">
      <c r="A89" s="76" t="s">
        <v>113</v>
      </c>
      <c r="B89" s="129">
        <f>_xlfn.COMPOUNDVALUE(593)</f>
        <v>4869</v>
      </c>
      <c r="C89" s="130">
        <v>14785564</v>
      </c>
      <c r="D89" s="129">
        <f>_xlfn.COMPOUNDVALUE(594)</f>
        <v>4149</v>
      </c>
      <c r="E89" s="130">
        <v>1348937</v>
      </c>
      <c r="F89" s="129">
        <f>_xlfn.COMPOUNDVALUE(595)</f>
        <v>9018</v>
      </c>
      <c r="G89" s="130">
        <v>16134501</v>
      </c>
      <c r="H89" s="129">
        <f>_xlfn.COMPOUNDVALUE(596)</f>
        <v>346</v>
      </c>
      <c r="I89" s="131">
        <v>1935239</v>
      </c>
      <c r="J89" s="129">
        <v>487</v>
      </c>
      <c r="K89" s="131">
        <v>72664</v>
      </c>
      <c r="L89" s="129">
        <f>_xlfn.COMPOUNDVALUE(596)</f>
        <v>9548</v>
      </c>
      <c r="M89" s="131">
        <v>14271926</v>
      </c>
      <c r="N89" s="129">
        <v>9926</v>
      </c>
      <c r="O89" s="132">
        <v>221</v>
      </c>
      <c r="P89" s="132">
        <v>22</v>
      </c>
      <c r="Q89" s="133">
        <v>10169</v>
      </c>
      <c r="R89" s="77" t="s">
        <v>113</v>
      </c>
    </row>
    <row r="90" spans="1:18" ht="15.75" customHeight="1">
      <c r="A90" s="76" t="s">
        <v>114</v>
      </c>
      <c r="B90" s="129">
        <f>_xlfn.COMPOUNDVALUE(597)</f>
        <v>6882</v>
      </c>
      <c r="C90" s="130">
        <v>19882280</v>
      </c>
      <c r="D90" s="129">
        <f>_xlfn.COMPOUNDVALUE(598)</f>
        <v>5432</v>
      </c>
      <c r="E90" s="130">
        <v>1777644</v>
      </c>
      <c r="F90" s="129">
        <f>_xlfn.COMPOUNDVALUE(599)</f>
        <v>12314</v>
      </c>
      <c r="G90" s="130">
        <v>21659923</v>
      </c>
      <c r="H90" s="129">
        <f>_xlfn.COMPOUNDVALUE(600)</f>
        <v>666</v>
      </c>
      <c r="I90" s="131">
        <v>2227705</v>
      </c>
      <c r="J90" s="129">
        <v>665</v>
      </c>
      <c r="K90" s="131">
        <v>96823</v>
      </c>
      <c r="L90" s="129">
        <f>_xlfn.COMPOUNDVALUE(600)</f>
        <v>13181</v>
      </c>
      <c r="M90" s="131">
        <v>19529040</v>
      </c>
      <c r="N90" s="129">
        <v>13397</v>
      </c>
      <c r="O90" s="132">
        <v>333</v>
      </c>
      <c r="P90" s="132">
        <v>27</v>
      </c>
      <c r="Q90" s="133">
        <v>13757</v>
      </c>
      <c r="R90" s="77" t="s">
        <v>114</v>
      </c>
    </row>
    <row r="91" spans="1:18" ht="15.75" customHeight="1">
      <c r="A91" s="76" t="s">
        <v>115</v>
      </c>
      <c r="B91" s="129">
        <f>_xlfn.COMPOUNDVALUE(601)</f>
        <v>7240</v>
      </c>
      <c r="C91" s="130">
        <v>45276131</v>
      </c>
      <c r="D91" s="129">
        <f>_xlfn.COMPOUNDVALUE(602)</f>
        <v>5229</v>
      </c>
      <c r="E91" s="130">
        <v>1815603</v>
      </c>
      <c r="F91" s="129">
        <f>_xlfn.COMPOUNDVALUE(603)</f>
        <v>12469</v>
      </c>
      <c r="G91" s="130">
        <v>47091733</v>
      </c>
      <c r="H91" s="129">
        <f>_xlfn.COMPOUNDVALUE(604)</f>
        <v>928</v>
      </c>
      <c r="I91" s="131">
        <v>86409784</v>
      </c>
      <c r="J91" s="129">
        <v>650</v>
      </c>
      <c r="K91" s="131">
        <v>4855</v>
      </c>
      <c r="L91" s="129">
        <f>_xlfn.COMPOUNDVALUE(604)</f>
        <v>13532</v>
      </c>
      <c r="M91" s="131">
        <v>-39313196</v>
      </c>
      <c r="N91" s="129">
        <v>13544</v>
      </c>
      <c r="O91" s="132">
        <v>492</v>
      </c>
      <c r="P91" s="132">
        <v>79</v>
      </c>
      <c r="Q91" s="133">
        <v>14115</v>
      </c>
      <c r="R91" s="77" t="s">
        <v>115</v>
      </c>
    </row>
    <row r="92" spans="1:18" ht="15.75" customHeight="1">
      <c r="A92" s="76"/>
      <c r="B92" s="129"/>
      <c r="C92" s="130"/>
      <c r="D92" s="129"/>
      <c r="E92" s="130"/>
      <c r="F92" s="129"/>
      <c r="G92" s="130"/>
      <c r="H92" s="129"/>
      <c r="I92" s="131"/>
      <c r="J92" s="129"/>
      <c r="K92" s="131"/>
      <c r="L92" s="129"/>
      <c r="M92" s="131"/>
      <c r="N92" s="129"/>
      <c r="O92" s="132"/>
      <c r="P92" s="132"/>
      <c r="Q92" s="133"/>
      <c r="R92" s="77" t="s">
        <v>40</v>
      </c>
    </row>
    <row r="93" spans="1:18" ht="15.75" customHeight="1">
      <c r="A93" s="76" t="s">
        <v>116</v>
      </c>
      <c r="B93" s="129">
        <f>_xlfn.COMPOUNDVALUE(605)</f>
        <v>3933</v>
      </c>
      <c r="C93" s="130">
        <v>13171459</v>
      </c>
      <c r="D93" s="129">
        <f>_xlfn.COMPOUNDVALUE(606)</f>
        <v>3532</v>
      </c>
      <c r="E93" s="130">
        <v>1164424</v>
      </c>
      <c r="F93" s="129">
        <f>_xlfn.COMPOUNDVALUE(607)</f>
        <v>7465</v>
      </c>
      <c r="G93" s="130">
        <v>14335883</v>
      </c>
      <c r="H93" s="129">
        <f>_xlfn.COMPOUNDVALUE(608)</f>
        <v>293</v>
      </c>
      <c r="I93" s="131">
        <v>3594129</v>
      </c>
      <c r="J93" s="129">
        <v>439</v>
      </c>
      <c r="K93" s="131">
        <v>50950</v>
      </c>
      <c r="L93" s="129">
        <f>_xlfn.COMPOUNDVALUE(608)</f>
        <v>7894</v>
      </c>
      <c r="M93" s="131">
        <v>10792703</v>
      </c>
      <c r="N93" s="129">
        <v>8212</v>
      </c>
      <c r="O93" s="132">
        <v>241</v>
      </c>
      <c r="P93" s="132">
        <v>36</v>
      </c>
      <c r="Q93" s="133">
        <v>8489</v>
      </c>
      <c r="R93" s="77" t="s">
        <v>116</v>
      </c>
    </row>
    <row r="94" spans="1:18" ht="15.75" customHeight="1">
      <c r="A94" s="76" t="s">
        <v>180</v>
      </c>
      <c r="B94" s="129">
        <f>_xlfn.COMPOUNDVALUE(609)</f>
        <v>6775</v>
      </c>
      <c r="C94" s="130">
        <v>18910179</v>
      </c>
      <c r="D94" s="129">
        <f>_xlfn.COMPOUNDVALUE(610)</f>
        <v>5853</v>
      </c>
      <c r="E94" s="130">
        <v>2042939</v>
      </c>
      <c r="F94" s="129">
        <f>_xlfn.COMPOUNDVALUE(611)</f>
        <v>12628</v>
      </c>
      <c r="G94" s="130">
        <v>20953118</v>
      </c>
      <c r="H94" s="129">
        <f>_xlfn.COMPOUNDVALUE(612)</f>
        <v>683</v>
      </c>
      <c r="I94" s="131">
        <v>2000244</v>
      </c>
      <c r="J94" s="129">
        <v>628</v>
      </c>
      <c r="K94" s="131">
        <v>103542</v>
      </c>
      <c r="L94" s="129">
        <f>_xlfn.COMPOUNDVALUE(612)</f>
        <v>13468</v>
      </c>
      <c r="M94" s="131">
        <v>19056417</v>
      </c>
      <c r="N94" s="129">
        <v>13923</v>
      </c>
      <c r="O94" s="132">
        <v>440</v>
      </c>
      <c r="P94" s="132">
        <v>53</v>
      </c>
      <c r="Q94" s="133">
        <v>14416</v>
      </c>
      <c r="R94" s="77" t="s">
        <v>117</v>
      </c>
    </row>
    <row r="95" spans="1:18" ht="15.75" customHeight="1">
      <c r="A95" s="76" t="s">
        <v>118</v>
      </c>
      <c r="B95" s="129">
        <f>_xlfn.COMPOUNDVALUE(613)</f>
        <v>5297</v>
      </c>
      <c r="C95" s="130">
        <v>57455012</v>
      </c>
      <c r="D95" s="129">
        <f>_xlfn.COMPOUNDVALUE(614)</f>
        <v>3565</v>
      </c>
      <c r="E95" s="130">
        <v>1334955</v>
      </c>
      <c r="F95" s="129">
        <f>_xlfn.COMPOUNDVALUE(615)</f>
        <v>8862</v>
      </c>
      <c r="G95" s="130">
        <v>58789967</v>
      </c>
      <c r="H95" s="129">
        <f>_xlfn.COMPOUNDVALUE(616)</f>
        <v>415</v>
      </c>
      <c r="I95" s="131">
        <v>19120749</v>
      </c>
      <c r="J95" s="129">
        <v>373</v>
      </c>
      <c r="K95" s="131">
        <v>16072</v>
      </c>
      <c r="L95" s="129">
        <f>_xlfn.COMPOUNDVALUE(616)</f>
        <v>9369</v>
      </c>
      <c r="M95" s="131">
        <v>39685290</v>
      </c>
      <c r="N95" s="129">
        <v>9626</v>
      </c>
      <c r="O95" s="132">
        <v>217</v>
      </c>
      <c r="P95" s="132">
        <v>45</v>
      </c>
      <c r="Q95" s="133">
        <v>9888</v>
      </c>
      <c r="R95" s="77" t="s">
        <v>118</v>
      </c>
    </row>
    <row r="96" spans="1:18" ht="15.75" customHeight="1">
      <c r="A96" s="76" t="s">
        <v>119</v>
      </c>
      <c r="B96" s="129">
        <f>_xlfn.COMPOUNDVALUE(617)</f>
        <v>6265</v>
      </c>
      <c r="C96" s="130">
        <v>34311357</v>
      </c>
      <c r="D96" s="129">
        <f>_xlfn.COMPOUNDVALUE(618)</f>
        <v>5458</v>
      </c>
      <c r="E96" s="130">
        <v>1840073</v>
      </c>
      <c r="F96" s="129">
        <f>_xlfn.COMPOUNDVALUE(619)</f>
        <v>11723</v>
      </c>
      <c r="G96" s="130">
        <v>36151431</v>
      </c>
      <c r="H96" s="129">
        <f>_xlfn.COMPOUNDVALUE(620)</f>
        <v>459</v>
      </c>
      <c r="I96" s="131">
        <v>14599694</v>
      </c>
      <c r="J96" s="129">
        <v>550</v>
      </c>
      <c r="K96" s="131">
        <v>-129910</v>
      </c>
      <c r="L96" s="129">
        <f>_xlfn.COMPOUNDVALUE(620)</f>
        <v>12372</v>
      </c>
      <c r="M96" s="131">
        <v>21421827</v>
      </c>
      <c r="N96" s="129">
        <v>12947</v>
      </c>
      <c r="O96" s="132">
        <v>305</v>
      </c>
      <c r="P96" s="132">
        <v>27</v>
      </c>
      <c r="Q96" s="133">
        <v>13279</v>
      </c>
      <c r="R96" s="77" t="s">
        <v>119</v>
      </c>
    </row>
    <row r="97" spans="1:18" ht="15.75" customHeight="1">
      <c r="A97" s="76" t="s">
        <v>120</v>
      </c>
      <c r="B97" s="129">
        <f>_xlfn.COMPOUNDVALUE(621)</f>
        <v>2931</v>
      </c>
      <c r="C97" s="130">
        <v>5012546</v>
      </c>
      <c r="D97" s="129">
        <f>_xlfn.COMPOUNDVALUE(622)</f>
        <v>2731</v>
      </c>
      <c r="E97" s="130">
        <v>878912</v>
      </c>
      <c r="F97" s="129">
        <f>_xlfn.COMPOUNDVALUE(623)</f>
        <v>5662</v>
      </c>
      <c r="G97" s="130">
        <v>5891458</v>
      </c>
      <c r="H97" s="129">
        <f>_xlfn.COMPOUNDVALUE(624)</f>
        <v>254</v>
      </c>
      <c r="I97" s="131">
        <v>1122811</v>
      </c>
      <c r="J97" s="129">
        <v>341</v>
      </c>
      <c r="K97" s="131">
        <v>37432</v>
      </c>
      <c r="L97" s="129">
        <f>_xlfn.COMPOUNDVALUE(624)</f>
        <v>6045</v>
      </c>
      <c r="M97" s="131">
        <v>4806079</v>
      </c>
      <c r="N97" s="129">
        <v>6049</v>
      </c>
      <c r="O97" s="132">
        <v>159</v>
      </c>
      <c r="P97" s="132">
        <v>23</v>
      </c>
      <c r="Q97" s="133">
        <v>6231</v>
      </c>
      <c r="R97" s="77" t="s">
        <v>120</v>
      </c>
    </row>
    <row r="98" spans="1:18" ht="15.75" customHeight="1">
      <c r="A98" s="76"/>
      <c r="B98" s="129"/>
      <c r="C98" s="130"/>
      <c r="D98" s="129"/>
      <c r="E98" s="130"/>
      <c r="F98" s="129"/>
      <c r="G98" s="130"/>
      <c r="H98" s="129"/>
      <c r="I98" s="131"/>
      <c r="J98" s="129"/>
      <c r="K98" s="131"/>
      <c r="L98" s="129"/>
      <c r="M98" s="131"/>
      <c r="N98" s="129"/>
      <c r="O98" s="132"/>
      <c r="P98" s="132"/>
      <c r="Q98" s="133"/>
      <c r="R98" s="77" t="s">
        <v>40</v>
      </c>
    </row>
    <row r="99" spans="1:18" ht="15.75" customHeight="1">
      <c r="A99" s="76" t="s">
        <v>121</v>
      </c>
      <c r="B99" s="129">
        <f>_xlfn.COMPOUNDVALUE(625)</f>
        <v>3942</v>
      </c>
      <c r="C99" s="130">
        <v>10176246</v>
      </c>
      <c r="D99" s="129">
        <f>_xlfn.COMPOUNDVALUE(626)</f>
        <v>4264</v>
      </c>
      <c r="E99" s="130">
        <v>1311674</v>
      </c>
      <c r="F99" s="129">
        <f>_xlfn.COMPOUNDVALUE(627)</f>
        <v>8206</v>
      </c>
      <c r="G99" s="130">
        <v>11487921</v>
      </c>
      <c r="H99" s="129">
        <f>_xlfn.COMPOUNDVALUE(628)</f>
        <v>271</v>
      </c>
      <c r="I99" s="131">
        <v>355247</v>
      </c>
      <c r="J99" s="129">
        <v>447</v>
      </c>
      <c r="K99" s="131">
        <v>22263</v>
      </c>
      <c r="L99" s="129">
        <f>_xlfn.COMPOUNDVALUE(628)</f>
        <v>8603</v>
      </c>
      <c r="M99" s="131">
        <v>11154936</v>
      </c>
      <c r="N99" s="129">
        <v>8923</v>
      </c>
      <c r="O99" s="132">
        <v>147</v>
      </c>
      <c r="P99" s="132">
        <v>27</v>
      </c>
      <c r="Q99" s="133">
        <v>9097</v>
      </c>
      <c r="R99" s="77" t="s">
        <v>121</v>
      </c>
    </row>
    <row r="100" spans="1:18" ht="15.75" customHeight="1">
      <c r="A100" s="76" t="s">
        <v>122</v>
      </c>
      <c r="B100" s="129">
        <f>_xlfn.COMPOUNDVALUE(629)</f>
        <v>5151</v>
      </c>
      <c r="C100" s="130">
        <v>19610887</v>
      </c>
      <c r="D100" s="129">
        <f>_xlfn.COMPOUNDVALUE(630)</f>
        <v>4933</v>
      </c>
      <c r="E100" s="130">
        <v>1522576</v>
      </c>
      <c r="F100" s="129">
        <f>_xlfn.COMPOUNDVALUE(631)</f>
        <v>10084</v>
      </c>
      <c r="G100" s="130">
        <v>21133462</v>
      </c>
      <c r="H100" s="129">
        <f>_xlfn.COMPOUNDVALUE(632)</f>
        <v>356</v>
      </c>
      <c r="I100" s="131">
        <v>999855</v>
      </c>
      <c r="J100" s="129">
        <v>477</v>
      </c>
      <c r="K100" s="131">
        <v>24067</v>
      </c>
      <c r="L100" s="129">
        <f>_xlfn.COMPOUNDVALUE(632)</f>
        <v>10599</v>
      </c>
      <c r="M100" s="131">
        <v>20157674</v>
      </c>
      <c r="N100" s="129">
        <v>10696</v>
      </c>
      <c r="O100" s="132">
        <v>205</v>
      </c>
      <c r="P100" s="132">
        <v>25</v>
      </c>
      <c r="Q100" s="133">
        <v>10926</v>
      </c>
      <c r="R100" s="77" t="s">
        <v>122</v>
      </c>
    </row>
    <row r="101" spans="1:18" ht="15.75" customHeight="1">
      <c r="A101" s="78" t="s">
        <v>123</v>
      </c>
      <c r="B101" s="134">
        <f>_xlfn.COMPOUNDVALUE(633)</f>
        <v>2652</v>
      </c>
      <c r="C101" s="135">
        <v>6012592</v>
      </c>
      <c r="D101" s="134">
        <f>_xlfn.COMPOUNDVALUE(634)</f>
        <v>2872</v>
      </c>
      <c r="E101" s="135">
        <v>927588</v>
      </c>
      <c r="F101" s="134">
        <f>_xlfn.COMPOUNDVALUE(635)</f>
        <v>5524</v>
      </c>
      <c r="G101" s="135">
        <v>6940180</v>
      </c>
      <c r="H101" s="134">
        <f>_xlfn.COMPOUNDVALUE(636)</f>
        <v>251</v>
      </c>
      <c r="I101" s="136">
        <v>367549</v>
      </c>
      <c r="J101" s="134">
        <v>327</v>
      </c>
      <c r="K101" s="136">
        <v>42811</v>
      </c>
      <c r="L101" s="134">
        <f>_xlfn.COMPOUNDVALUE(636)</f>
        <v>5848</v>
      </c>
      <c r="M101" s="136">
        <v>6615441</v>
      </c>
      <c r="N101" s="129">
        <v>5932</v>
      </c>
      <c r="O101" s="132">
        <v>176</v>
      </c>
      <c r="P101" s="132">
        <v>17</v>
      </c>
      <c r="Q101" s="133">
        <v>6125</v>
      </c>
      <c r="R101" s="77" t="s">
        <v>123</v>
      </c>
    </row>
    <row r="102" spans="1:18" ht="15.75" customHeight="1">
      <c r="A102" s="78" t="s">
        <v>124</v>
      </c>
      <c r="B102" s="134">
        <f>_xlfn.COMPOUNDVALUE(637)</f>
        <v>6418</v>
      </c>
      <c r="C102" s="135">
        <v>18084795</v>
      </c>
      <c r="D102" s="134">
        <f>_xlfn.COMPOUNDVALUE(638)</f>
        <v>5764</v>
      </c>
      <c r="E102" s="135">
        <v>1862614</v>
      </c>
      <c r="F102" s="134">
        <f>_xlfn.COMPOUNDVALUE(639)</f>
        <v>12182</v>
      </c>
      <c r="G102" s="135">
        <v>19947409</v>
      </c>
      <c r="H102" s="134">
        <f>_xlfn.COMPOUNDVALUE(640)</f>
        <v>485</v>
      </c>
      <c r="I102" s="136">
        <v>1599025</v>
      </c>
      <c r="J102" s="134">
        <v>695</v>
      </c>
      <c r="K102" s="136">
        <v>108434</v>
      </c>
      <c r="L102" s="134">
        <f>_xlfn.COMPOUNDVALUE(640)</f>
        <v>12868</v>
      </c>
      <c r="M102" s="136">
        <v>18456818</v>
      </c>
      <c r="N102" s="129">
        <v>13799</v>
      </c>
      <c r="O102" s="132">
        <v>349</v>
      </c>
      <c r="P102" s="132">
        <v>27</v>
      </c>
      <c r="Q102" s="133">
        <v>14175</v>
      </c>
      <c r="R102" s="77" t="s">
        <v>124</v>
      </c>
    </row>
    <row r="103" spans="1:18" ht="15.75" customHeight="1">
      <c r="A103" s="78" t="s">
        <v>125</v>
      </c>
      <c r="B103" s="134">
        <f>_xlfn.COMPOUNDVALUE(641)</f>
        <v>4212</v>
      </c>
      <c r="C103" s="135">
        <v>11961340</v>
      </c>
      <c r="D103" s="134">
        <f>_xlfn.COMPOUNDVALUE(642)</f>
        <v>3541</v>
      </c>
      <c r="E103" s="135">
        <v>1082923</v>
      </c>
      <c r="F103" s="134">
        <f>_xlfn.COMPOUNDVALUE(643)</f>
        <v>7753</v>
      </c>
      <c r="G103" s="135">
        <v>13044263</v>
      </c>
      <c r="H103" s="134">
        <f>_xlfn.COMPOUNDVALUE(644)</f>
        <v>235</v>
      </c>
      <c r="I103" s="136">
        <v>1197196</v>
      </c>
      <c r="J103" s="134">
        <v>296</v>
      </c>
      <c r="K103" s="136">
        <v>48327</v>
      </c>
      <c r="L103" s="134">
        <f>_xlfn.COMPOUNDVALUE(644)</f>
        <v>8069</v>
      </c>
      <c r="M103" s="136">
        <v>11895394</v>
      </c>
      <c r="N103" s="129">
        <v>8161</v>
      </c>
      <c r="O103" s="132">
        <v>165</v>
      </c>
      <c r="P103" s="132">
        <v>14</v>
      </c>
      <c r="Q103" s="133">
        <v>8340</v>
      </c>
      <c r="R103" s="77" t="s">
        <v>125</v>
      </c>
    </row>
    <row r="104" spans="1:18" ht="15.75" customHeight="1">
      <c r="A104" s="78"/>
      <c r="B104" s="134"/>
      <c r="C104" s="135"/>
      <c r="D104" s="134"/>
      <c r="E104" s="135"/>
      <c r="F104" s="134"/>
      <c r="G104" s="135"/>
      <c r="H104" s="134"/>
      <c r="I104" s="136"/>
      <c r="J104" s="134"/>
      <c r="K104" s="136"/>
      <c r="L104" s="134"/>
      <c r="M104" s="136"/>
      <c r="N104" s="129"/>
      <c r="O104" s="132"/>
      <c r="P104" s="132"/>
      <c r="Q104" s="133"/>
      <c r="R104" s="77" t="s">
        <v>40</v>
      </c>
    </row>
    <row r="105" spans="1:18" ht="15.75" customHeight="1">
      <c r="A105" s="78" t="s">
        <v>126</v>
      </c>
      <c r="B105" s="134">
        <f>_xlfn.COMPOUNDVALUE(645)</f>
        <v>6854</v>
      </c>
      <c r="C105" s="135">
        <v>19197286</v>
      </c>
      <c r="D105" s="134">
        <f>_xlfn.COMPOUNDVALUE(646)</f>
        <v>5758</v>
      </c>
      <c r="E105" s="135">
        <v>1915340</v>
      </c>
      <c r="F105" s="134">
        <f>_xlfn.COMPOUNDVALUE(647)</f>
        <v>12612</v>
      </c>
      <c r="G105" s="135">
        <v>21112626</v>
      </c>
      <c r="H105" s="134">
        <f>_xlfn.COMPOUNDVALUE(648)</f>
        <v>498</v>
      </c>
      <c r="I105" s="136">
        <v>8335916</v>
      </c>
      <c r="J105" s="134">
        <v>670</v>
      </c>
      <c r="K105" s="136">
        <v>169865</v>
      </c>
      <c r="L105" s="134">
        <f>_xlfn.COMPOUNDVALUE(648)</f>
        <v>13350</v>
      </c>
      <c r="M105" s="136">
        <v>12946575</v>
      </c>
      <c r="N105" s="129">
        <v>13704</v>
      </c>
      <c r="O105" s="132">
        <v>311</v>
      </c>
      <c r="P105" s="132">
        <v>35</v>
      </c>
      <c r="Q105" s="133">
        <v>14050</v>
      </c>
      <c r="R105" s="77" t="s">
        <v>126</v>
      </c>
    </row>
    <row r="106" spans="1:18" ht="15.75" customHeight="1">
      <c r="A106" s="78" t="s">
        <v>127</v>
      </c>
      <c r="B106" s="134">
        <f>_xlfn.COMPOUNDVALUE(649)</f>
        <v>3207</v>
      </c>
      <c r="C106" s="135">
        <v>13269089</v>
      </c>
      <c r="D106" s="134">
        <f>_xlfn.COMPOUNDVALUE(650)</f>
        <v>2632</v>
      </c>
      <c r="E106" s="135">
        <v>877390</v>
      </c>
      <c r="F106" s="134">
        <f>_xlfn.COMPOUNDVALUE(651)</f>
        <v>5839</v>
      </c>
      <c r="G106" s="135">
        <v>14146479</v>
      </c>
      <c r="H106" s="134">
        <f>_xlfn.COMPOUNDVALUE(652)</f>
        <v>223</v>
      </c>
      <c r="I106" s="136">
        <v>1574219</v>
      </c>
      <c r="J106" s="134">
        <v>395</v>
      </c>
      <c r="K106" s="136">
        <v>113402</v>
      </c>
      <c r="L106" s="134">
        <f>_xlfn.COMPOUNDVALUE(652)</f>
        <v>6178</v>
      </c>
      <c r="M106" s="136">
        <v>12685662</v>
      </c>
      <c r="N106" s="129">
        <v>6199</v>
      </c>
      <c r="O106" s="132">
        <v>186</v>
      </c>
      <c r="P106" s="132">
        <v>20</v>
      </c>
      <c r="Q106" s="133">
        <v>6405</v>
      </c>
      <c r="R106" s="77" t="s">
        <v>127</v>
      </c>
    </row>
    <row r="107" spans="1:18" ht="15.75" customHeight="1">
      <c r="A107" s="78" t="s">
        <v>128</v>
      </c>
      <c r="B107" s="134">
        <f>_xlfn.COMPOUNDVALUE(653)</f>
        <v>5209</v>
      </c>
      <c r="C107" s="135">
        <v>15668615</v>
      </c>
      <c r="D107" s="134">
        <f>_xlfn.COMPOUNDVALUE(654)</f>
        <v>4488</v>
      </c>
      <c r="E107" s="135">
        <v>1503593</v>
      </c>
      <c r="F107" s="134">
        <f>_xlfn.COMPOUNDVALUE(655)</f>
        <v>9697</v>
      </c>
      <c r="G107" s="135">
        <v>17172208</v>
      </c>
      <c r="H107" s="134">
        <f>_xlfn.COMPOUNDVALUE(656)</f>
        <v>440</v>
      </c>
      <c r="I107" s="136">
        <v>2775586</v>
      </c>
      <c r="J107" s="134">
        <v>560</v>
      </c>
      <c r="K107" s="136">
        <v>114806</v>
      </c>
      <c r="L107" s="134">
        <f>_xlfn.COMPOUNDVALUE(656)</f>
        <v>10358</v>
      </c>
      <c r="M107" s="136">
        <v>14511428</v>
      </c>
      <c r="N107" s="129">
        <v>10536</v>
      </c>
      <c r="O107" s="132">
        <v>284</v>
      </c>
      <c r="P107" s="132">
        <v>30</v>
      </c>
      <c r="Q107" s="133">
        <v>10850</v>
      </c>
      <c r="R107" s="77" t="s">
        <v>128</v>
      </c>
    </row>
    <row r="108" spans="1:18" ht="15.75" customHeight="1">
      <c r="A108" s="79" t="s">
        <v>129</v>
      </c>
      <c r="B108" s="137">
        <v>92827</v>
      </c>
      <c r="C108" s="138">
        <v>416910506</v>
      </c>
      <c r="D108" s="137">
        <v>76621</v>
      </c>
      <c r="E108" s="138">
        <v>25517719</v>
      </c>
      <c r="F108" s="137">
        <v>169448</v>
      </c>
      <c r="G108" s="138">
        <v>442428225</v>
      </c>
      <c r="H108" s="137">
        <v>8439</v>
      </c>
      <c r="I108" s="139">
        <v>159819720</v>
      </c>
      <c r="J108" s="137">
        <v>9163</v>
      </c>
      <c r="K108" s="139">
        <v>1226466</v>
      </c>
      <c r="L108" s="137">
        <v>180649</v>
      </c>
      <c r="M108" s="139">
        <v>283834970</v>
      </c>
      <c r="N108" s="137">
        <v>184323</v>
      </c>
      <c r="O108" s="140">
        <v>5041</v>
      </c>
      <c r="P108" s="140">
        <v>654</v>
      </c>
      <c r="Q108" s="141">
        <v>190018</v>
      </c>
      <c r="R108" s="84" t="s">
        <v>130</v>
      </c>
    </row>
    <row r="109" spans="1:18" ht="15.75" customHeight="1">
      <c r="A109" s="85"/>
      <c r="B109" s="142"/>
      <c r="C109" s="143"/>
      <c r="D109" s="142"/>
      <c r="E109" s="143"/>
      <c r="F109" s="144"/>
      <c r="G109" s="143"/>
      <c r="H109" s="144"/>
      <c r="I109" s="143"/>
      <c r="J109" s="144"/>
      <c r="K109" s="143"/>
      <c r="L109" s="144"/>
      <c r="M109" s="143"/>
      <c r="N109" s="145"/>
      <c r="O109" s="146"/>
      <c r="P109" s="146"/>
      <c r="Q109" s="147"/>
      <c r="R109" s="86" t="s">
        <v>40</v>
      </c>
    </row>
    <row r="110" spans="1:18" ht="15.75" customHeight="1">
      <c r="A110" s="76" t="s">
        <v>131</v>
      </c>
      <c r="B110" s="129">
        <f>_xlfn.COMPOUNDVALUE(657)</f>
        <v>6389</v>
      </c>
      <c r="C110" s="130">
        <v>19246370</v>
      </c>
      <c r="D110" s="129">
        <f>_xlfn.COMPOUNDVALUE(658)</f>
        <v>4955</v>
      </c>
      <c r="E110" s="130">
        <v>1558725</v>
      </c>
      <c r="F110" s="129">
        <f>_xlfn.COMPOUNDVALUE(659)</f>
        <v>11344</v>
      </c>
      <c r="G110" s="130">
        <v>20805094</v>
      </c>
      <c r="H110" s="129">
        <f>_xlfn.COMPOUNDVALUE(660)</f>
        <v>373</v>
      </c>
      <c r="I110" s="131">
        <v>1483229</v>
      </c>
      <c r="J110" s="129">
        <v>696</v>
      </c>
      <c r="K110" s="131">
        <v>91525</v>
      </c>
      <c r="L110" s="129">
        <f>_xlfn.COMPOUNDVALUE(660)</f>
        <v>11845</v>
      </c>
      <c r="M110" s="131">
        <v>19413390</v>
      </c>
      <c r="N110" s="129">
        <v>11975</v>
      </c>
      <c r="O110" s="132">
        <v>255</v>
      </c>
      <c r="P110" s="132">
        <v>31</v>
      </c>
      <c r="Q110" s="133">
        <v>12261</v>
      </c>
      <c r="R110" s="77" t="s">
        <v>131</v>
      </c>
    </row>
    <row r="111" spans="1:18" ht="15.75" customHeight="1">
      <c r="A111" s="78" t="s">
        <v>132</v>
      </c>
      <c r="B111" s="134">
        <f>_xlfn.COMPOUNDVALUE(661)</f>
        <v>1680</v>
      </c>
      <c r="C111" s="135">
        <v>3398792</v>
      </c>
      <c r="D111" s="134">
        <f>_xlfn.COMPOUNDVALUE(662)</f>
        <v>1743</v>
      </c>
      <c r="E111" s="135">
        <v>464898</v>
      </c>
      <c r="F111" s="134">
        <f>_xlfn.COMPOUNDVALUE(663)</f>
        <v>3423</v>
      </c>
      <c r="G111" s="135">
        <v>3863690</v>
      </c>
      <c r="H111" s="134">
        <f>_xlfn.COMPOUNDVALUE(664)</f>
        <v>89</v>
      </c>
      <c r="I111" s="136">
        <v>414554</v>
      </c>
      <c r="J111" s="134">
        <v>183</v>
      </c>
      <c r="K111" s="136">
        <v>18150</v>
      </c>
      <c r="L111" s="134">
        <f>_xlfn.COMPOUNDVALUE(664)</f>
        <v>3555</v>
      </c>
      <c r="M111" s="136">
        <v>3467286</v>
      </c>
      <c r="N111" s="129">
        <v>3735</v>
      </c>
      <c r="O111" s="132">
        <v>72</v>
      </c>
      <c r="P111" s="132">
        <v>9</v>
      </c>
      <c r="Q111" s="133">
        <v>3816</v>
      </c>
      <c r="R111" s="77" t="s">
        <v>132</v>
      </c>
    </row>
    <row r="112" spans="1:18" ht="15.75" customHeight="1">
      <c r="A112" s="78" t="s">
        <v>133</v>
      </c>
      <c r="B112" s="134">
        <f>_xlfn.COMPOUNDVALUE(665)</f>
        <v>2918</v>
      </c>
      <c r="C112" s="135">
        <v>6496049</v>
      </c>
      <c r="D112" s="134">
        <f>_xlfn.COMPOUNDVALUE(666)</f>
        <v>2465</v>
      </c>
      <c r="E112" s="135">
        <v>753071</v>
      </c>
      <c r="F112" s="134">
        <f>_xlfn.COMPOUNDVALUE(667)</f>
        <v>5383</v>
      </c>
      <c r="G112" s="135">
        <v>7249121</v>
      </c>
      <c r="H112" s="134">
        <f>_xlfn.COMPOUNDVALUE(668)</f>
        <v>142</v>
      </c>
      <c r="I112" s="136">
        <v>3161977</v>
      </c>
      <c r="J112" s="134">
        <v>306</v>
      </c>
      <c r="K112" s="136">
        <v>-28072</v>
      </c>
      <c r="L112" s="134">
        <f>_xlfn.COMPOUNDVALUE(668)</f>
        <v>5589</v>
      </c>
      <c r="M112" s="136">
        <v>4059072</v>
      </c>
      <c r="N112" s="129">
        <v>5503</v>
      </c>
      <c r="O112" s="132">
        <v>119</v>
      </c>
      <c r="P112" s="132">
        <v>7</v>
      </c>
      <c r="Q112" s="133">
        <v>5629</v>
      </c>
      <c r="R112" s="77" t="s">
        <v>133</v>
      </c>
    </row>
    <row r="113" spans="1:18" ht="15.75" customHeight="1">
      <c r="A113" s="78" t="s">
        <v>134</v>
      </c>
      <c r="B113" s="134">
        <f>_xlfn.COMPOUNDVALUE(669)</f>
        <v>658</v>
      </c>
      <c r="C113" s="135">
        <v>1478195</v>
      </c>
      <c r="D113" s="134">
        <f>_xlfn.COMPOUNDVALUE(670)</f>
        <v>688</v>
      </c>
      <c r="E113" s="135">
        <v>192256</v>
      </c>
      <c r="F113" s="134">
        <f>_xlfn.COMPOUNDVALUE(671)</f>
        <v>1346</v>
      </c>
      <c r="G113" s="135">
        <v>1670452</v>
      </c>
      <c r="H113" s="134">
        <f>_xlfn.COMPOUNDVALUE(672)</f>
        <v>22</v>
      </c>
      <c r="I113" s="136">
        <v>16092</v>
      </c>
      <c r="J113" s="134">
        <v>134</v>
      </c>
      <c r="K113" s="136">
        <v>10140</v>
      </c>
      <c r="L113" s="134">
        <f>_xlfn.COMPOUNDVALUE(672)</f>
        <v>1385</v>
      </c>
      <c r="M113" s="136">
        <v>1664500</v>
      </c>
      <c r="N113" s="129">
        <v>1366</v>
      </c>
      <c r="O113" s="132">
        <v>28</v>
      </c>
      <c r="P113" s="132">
        <v>1</v>
      </c>
      <c r="Q113" s="133">
        <v>1395</v>
      </c>
      <c r="R113" s="77" t="s">
        <v>134</v>
      </c>
    </row>
    <row r="114" spans="1:18" ht="15.75" customHeight="1">
      <c r="A114" s="79" t="s">
        <v>135</v>
      </c>
      <c r="B114" s="137">
        <v>11645</v>
      </c>
      <c r="C114" s="138">
        <v>30619406</v>
      </c>
      <c r="D114" s="137">
        <v>9851</v>
      </c>
      <c r="E114" s="138">
        <v>2968950</v>
      </c>
      <c r="F114" s="137">
        <v>21496</v>
      </c>
      <c r="G114" s="138">
        <v>33588356</v>
      </c>
      <c r="H114" s="137">
        <v>626</v>
      </c>
      <c r="I114" s="139">
        <v>5075851</v>
      </c>
      <c r="J114" s="137">
        <v>1319</v>
      </c>
      <c r="K114" s="139">
        <v>91743</v>
      </c>
      <c r="L114" s="137">
        <v>22374</v>
      </c>
      <c r="M114" s="139">
        <v>28604248</v>
      </c>
      <c r="N114" s="137">
        <v>22579</v>
      </c>
      <c r="O114" s="140">
        <v>474</v>
      </c>
      <c r="P114" s="140">
        <v>48</v>
      </c>
      <c r="Q114" s="141">
        <v>23101</v>
      </c>
      <c r="R114" s="84" t="s">
        <v>136</v>
      </c>
    </row>
    <row r="115" spans="1:18" ht="15.75" customHeight="1" thickBot="1">
      <c r="A115" s="80"/>
      <c r="B115" s="154"/>
      <c r="C115" s="155"/>
      <c r="D115" s="154"/>
      <c r="E115" s="155"/>
      <c r="F115" s="156"/>
      <c r="G115" s="155"/>
      <c r="H115" s="156"/>
      <c r="I115" s="155"/>
      <c r="J115" s="156"/>
      <c r="K115" s="155"/>
      <c r="L115" s="156"/>
      <c r="M115" s="155"/>
      <c r="N115" s="157"/>
      <c r="O115" s="158"/>
      <c r="P115" s="158"/>
      <c r="Q115" s="159"/>
      <c r="R115" s="81" t="s">
        <v>40</v>
      </c>
    </row>
    <row r="116" spans="1:18" ht="15.75" customHeight="1" thickBot="1" thickTop="1">
      <c r="A116" s="82" t="s">
        <v>39</v>
      </c>
      <c r="B116" s="160">
        <v>456404</v>
      </c>
      <c r="C116" s="161">
        <v>4260668812</v>
      </c>
      <c r="D116" s="160">
        <v>309720</v>
      </c>
      <c r="E116" s="161">
        <v>109210544</v>
      </c>
      <c r="F116" s="160">
        <v>766124</v>
      </c>
      <c r="G116" s="161">
        <v>4369879357</v>
      </c>
      <c r="H116" s="160">
        <v>52005</v>
      </c>
      <c r="I116" s="162">
        <v>1234462095</v>
      </c>
      <c r="J116" s="160">
        <v>45618</v>
      </c>
      <c r="K116" s="162">
        <v>7293841</v>
      </c>
      <c r="L116" s="160">
        <v>831068</v>
      </c>
      <c r="M116" s="162">
        <v>3142711103</v>
      </c>
      <c r="N116" s="163">
        <v>834298</v>
      </c>
      <c r="O116" s="164">
        <v>32038</v>
      </c>
      <c r="P116" s="164">
        <v>6286</v>
      </c>
      <c r="Q116" s="165">
        <v>872622</v>
      </c>
      <c r="R116" s="83" t="s">
        <v>39</v>
      </c>
    </row>
    <row r="117" spans="1:9" ht="13.5">
      <c r="A117" s="224" t="s">
        <v>156</v>
      </c>
      <c r="B117" s="224"/>
      <c r="C117" s="224"/>
      <c r="D117" s="224"/>
      <c r="E117" s="224"/>
      <c r="F117" s="224"/>
      <c r="G117" s="224"/>
      <c r="H117" s="224"/>
      <c r="I117" s="224"/>
    </row>
  </sheetData>
  <sheetProtection/>
  <mergeCells count="16">
    <mergeCell ref="A117:I117"/>
    <mergeCell ref="N3:Q3"/>
    <mergeCell ref="R3:R5"/>
    <mergeCell ref="B4:C4"/>
    <mergeCell ref="D4:E4"/>
    <mergeCell ref="F4:G4"/>
    <mergeCell ref="N4:N5"/>
    <mergeCell ref="O4:O5"/>
    <mergeCell ref="P4:P5"/>
    <mergeCell ref="Q4:Q5"/>
    <mergeCell ref="A2:I2"/>
    <mergeCell ref="A3:A5"/>
    <mergeCell ref="B3:G3"/>
    <mergeCell ref="H3:I4"/>
    <mergeCell ref="J3:K4"/>
    <mergeCell ref="L3:M4"/>
  </mergeCells>
  <printOptions horizontalCentered="1"/>
  <pageMargins left="0.7874015748031497" right="0.7874015748031497" top="0.79" bottom="0.8" header="0.5118110236220472" footer="0.35"/>
  <pageSetup fitToHeight="0" fitToWidth="1" horizontalDpi="600" verticalDpi="600" orientation="landscape" paperSize="9" scale="64" r:id="rId1"/>
  <headerFooter alignWithMargins="0">
    <oddFooter>&amp;R東京国税局
消費税
(H25)</oddFooter>
  </headerFooter>
  <rowBreaks count="2" manualBreakCount="2">
    <brk id="42" max="17" man="1"/>
    <brk id="7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2015-06-26T08:18:32Z</cp:lastPrinted>
  <dcterms:created xsi:type="dcterms:W3CDTF">2003-07-09T01:05:10Z</dcterms:created>
  <dcterms:modified xsi:type="dcterms:W3CDTF">2015-06-26T08:22:43Z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