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20550" windowHeight="4185"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'(4)税務署別(個人事業者）'!$A$1:$N$117</definedName>
    <definedName name="_xlnm.Print_Area" localSheetId="5">'(4)税務署別（合計）'!$A$1:$R$117</definedName>
    <definedName name="_xlnm.Print_Area" localSheetId="4">'(4)税務署別（法人）'!$A$1:$N$117</definedName>
    <definedName name="_xlnm.Print_Titles" localSheetId="3">'(4)税務署別(個人事業者）'!$1:$6</definedName>
    <definedName name="_xlnm.Print_Titles" localSheetId="5">'(4)税務署別（合計）'!$1:$6</definedName>
    <definedName name="_xlnm.Print_Titles" localSheetId="4">'(4)税務署別（法人）'!$1:$6</definedName>
  </definedNames>
  <calcPr fullCalcOnLoad="1"/>
</workbook>
</file>

<file path=xl/sharedStrings.xml><?xml version="1.0" encoding="utf-8"?>
<sst xmlns="http://schemas.openxmlformats.org/spreadsheetml/2006/main" count="793" uniqueCount="205">
  <si>
    <t>７　消　費　税</t>
  </si>
  <si>
    <t>区　　　分</t>
  </si>
  <si>
    <t>件　　　数</t>
  </si>
  <si>
    <t>税　　　額</t>
  </si>
  <si>
    <t>件</t>
  </si>
  <si>
    <t>千円</t>
  </si>
  <si>
    <t>差引計</t>
  </si>
  <si>
    <t>加算税</t>
  </si>
  <si>
    <t>課税事業者届出書</t>
  </si>
  <si>
    <t>課税事業者選択届出書</t>
  </si>
  <si>
    <t>新設法人に該当する旨の届出書</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</si>
  <si>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</si>
  <si>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</si>
  <si>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</si>
  <si>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</si>
  <si>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</si>
  <si>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</si>
  <si>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</si>
  <si>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</si>
  <si>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</si>
  <si>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</si>
  <si>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</si>
  <si>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</si>
  <si>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合　　　　　　　　　計</t>
  </si>
  <si>
    <t>法　　　　　　　人</t>
  </si>
  <si>
    <t>合　　　　　　　計</t>
  </si>
  <si>
    <t>件　　数</t>
  </si>
  <si>
    <t>税　　額</t>
  </si>
  <si>
    <t>(3)　課税事業者等届出件数</t>
  </si>
  <si>
    <t>(1)　課税状況</t>
  </si>
  <si>
    <t>千円</t>
  </si>
  <si>
    <t>件</t>
  </si>
  <si>
    <t>現年分</t>
  </si>
  <si>
    <t>既往年分</t>
  </si>
  <si>
    <t>(2)　課税状況の累年比較</t>
  </si>
  <si>
    <t>調査対象等：</t>
  </si>
  <si>
    <t>平成21年度</t>
  </si>
  <si>
    <t>平成22年度</t>
  </si>
  <si>
    <t>（注）１</t>
  </si>
  <si>
    <t>税関分は含まない。</t>
  </si>
  <si>
    <t>「件数欄」の「実」は、実件数を示す。</t>
  </si>
  <si>
    <t>　　　２</t>
  </si>
  <si>
    <t>平成23年度</t>
  </si>
  <si>
    <t>　ハ　個人事業者と法人の合計</t>
  </si>
  <si>
    <t>税務署名</t>
  </si>
  <si>
    <t>納　　　税　　　申　　　告　　　及　　　び　　　処　　　理</t>
  </si>
  <si>
    <t>既往年分の
申告及び処理</t>
  </si>
  <si>
    <t>合　　　　　　計</t>
  </si>
  <si>
    <t>税務署名</t>
  </si>
  <si>
    <t>簡易申告及び処理</t>
  </si>
  <si>
    <t>小　　　　　　計</t>
  </si>
  <si>
    <t>課税事業者
届出</t>
  </si>
  <si>
    <t>合　　　計</t>
  </si>
  <si>
    <t>件数</t>
  </si>
  <si>
    <t>総　計</t>
  </si>
  <si>
    <t/>
  </si>
  <si>
    <t>千葉東</t>
  </si>
  <si>
    <t>千葉南</t>
  </si>
  <si>
    <t>千葉西</t>
  </si>
  <si>
    <t>銚子</t>
  </si>
  <si>
    <t>市川</t>
  </si>
  <si>
    <t>船橋</t>
  </si>
  <si>
    <t>館山</t>
  </si>
  <si>
    <t>木更津</t>
  </si>
  <si>
    <t>松戸</t>
  </si>
  <si>
    <t>佐原</t>
  </si>
  <si>
    <t>茂原</t>
  </si>
  <si>
    <t>成田</t>
  </si>
  <si>
    <t>東金</t>
  </si>
  <si>
    <t>柏</t>
  </si>
  <si>
    <t>千葉県計</t>
  </si>
  <si>
    <t>千葉県計</t>
  </si>
  <si>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</si>
  <si>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</si>
  <si>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</si>
  <si>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</si>
  <si>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</si>
  <si>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</si>
  <si>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</si>
  <si>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</si>
  <si>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</si>
  <si>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</si>
  <si>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</si>
  <si>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</si>
  <si>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</si>
  <si>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</si>
  <si>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</si>
  <si>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</si>
  <si>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</si>
  <si>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</si>
  <si>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</si>
  <si>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</si>
  <si>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</si>
  <si>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</si>
  <si>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</si>
  <si>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</si>
  <si>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</si>
  <si>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</si>
  <si>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</si>
  <si>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</si>
  <si>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</si>
  <si>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</si>
  <si>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</si>
  <si>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</si>
  <si>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</si>
  <si>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</si>
  <si>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</si>
  <si>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</si>
  <si>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</si>
  <si>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</si>
  <si>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</si>
  <si>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</si>
  <si>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</si>
  <si>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都区内計</t>
  </si>
  <si>
    <t>八王子</t>
  </si>
  <si>
    <t>立川</t>
  </si>
  <si>
    <t>武蔵野</t>
  </si>
  <si>
    <t>青梅</t>
  </si>
  <si>
    <t>武蔵府中</t>
  </si>
  <si>
    <t>町田</t>
  </si>
  <si>
    <t>日野</t>
  </si>
  <si>
    <t>東村山</t>
  </si>
  <si>
    <t>多摩地区計</t>
  </si>
  <si>
    <t>多摩地区計</t>
  </si>
  <si>
    <t>東京都計</t>
  </si>
  <si>
    <t>東京都計</t>
  </si>
  <si>
    <t>鶴見</t>
  </si>
  <si>
    <t>横浜中</t>
  </si>
  <si>
    <t>保土ケ谷</t>
  </si>
  <si>
    <t>横浜南</t>
  </si>
  <si>
    <t>神奈川</t>
  </si>
  <si>
    <t>戸塚</t>
  </si>
  <si>
    <t>緑</t>
  </si>
  <si>
    <t>川崎南</t>
  </si>
  <si>
    <t>川崎北</t>
  </si>
  <si>
    <t>川崎西</t>
  </si>
  <si>
    <t>横須賀</t>
  </si>
  <si>
    <t>平塚</t>
  </si>
  <si>
    <t>鎌倉</t>
  </si>
  <si>
    <t>藤沢</t>
  </si>
  <si>
    <t>小田原</t>
  </si>
  <si>
    <t>相模原</t>
  </si>
  <si>
    <t>厚木</t>
  </si>
  <si>
    <t>大和</t>
  </si>
  <si>
    <t>神奈川県計</t>
  </si>
  <si>
    <t>神奈川県計</t>
  </si>
  <si>
    <t>甲府</t>
  </si>
  <si>
    <t>山梨</t>
  </si>
  <si>
    <t>大月</t>
  </si>
  <si>
    <t>鰍沢</t>
  </si>
  <si>
    <t>山梨県計</t>
  </si>
  <si>
    <t>山梨県計</t>
  </si>
  <si>
    <t>　ロ　法　　　人</t>
  </si>
  <si>
    <t>(4)　税務署別課税状況</t>
  </si>
  <si>
    <t>　イ　個人事業者</t>
  </si>
  <si>
    <t>税務署名</t>
  </si>
  <si>
    <t>税額</t>
  </si>
  <si>
    <t>件数</t>
  </si>
  <si>
    <t>税　額　①</t>
  </si>
  <si>
    <t>税　額　②</t>
  </si>
  <si>
    <t>税　額　③</t>
  </si>
  <si>
    <t>税　　　額
(①－②＋③)</t>
  </si>
  <si>
    <t>柏</t>
  </si>
  <si>
    <t>芝</t>
  </si>
  <si>
    <t>都区内計</t>
  </si>
  <si>
    <t>東京都計</t>
  </si>
  <si>
    <t>緑</t>
  </si>
  <si>
    <t>神奈川県計</t>
  </si>
  <si>
    <t>総　計</t>
  </si>
  <si>
    <t>(4)　税務署別課税状況（続）</t>
  </si>
  <si>
    <t>税務署名</t>
  </si>
  <si>
    <t>納　　　税　　　申　　　告　　　及　　　び　　　処　　　理</t>
  </si>
  <si>
    <t>一般申告及び処理</t>
  </si>
  <si>
    <t>件数</t>
  </si>
  <si>
    <t>税額</t>
  </si>
  <si>
    <t>税　額　①</t>
  </si>
  <si>
    <t>税　額　②</t>
  </si>
  <si>
    <t>税　額　③</t>
  </si>
  <si>
    <t>税　　　額
(①－②＋③)</t>
  </si>
  <si>
    <t>柏</t>
  </si>
  <si>
    <t>千葉県計</t>
  </si>
  <si>
    <t>芝</t>
  </si>
  <si>
    <t>都区内計</t>
  </si>
  <si>
    <t>多摩地区計</t>
  </si>
  <si>
    <t>東京都計</t>
  </si>
  <si>
    <t>緑</t>
  </si>
  <si>
    <t>神奈川県計</t>
  </si>
  <si>
    <t>山梨県計</t>
  </si>
  <si>
    <t>総　計</t>
  </si>
  <si>
    <t>(4)　税務署別課税状況（続）</t>
  </si>
  <si>
    <t>税務署名</t>
  </si>
  <si>
    <t>納　　　税　　　申　　　告　　　及　　　び　　　処　　　理</t>
  </si>
  <si>
    <t>課　税　事　業　者　等　届　出　件　数</t>
  </si>
  <si>
    <t>課税事業者
選択届出</t>
  </si>
  <si>
    <t>新設法人に
該当する旨
の届出</t>
  </si>
  <si>
    <t>税　　額
(①－②＋③)</t>
  </si>
  <si>
    <t>緑</t>
  </si>
  <si>
    <t>（注）この表は「(1)　課税状況」の現年分を税務署別に示したものである（加算税を除く。）。</t>
  </si>
  <si>
    <t>（注）この表は「(1)　課税状況」の現年分及び「(3)　課税事業者等届出件数」を税務署別に示したものである（加算税を除く。）。</t>
  </si>
  <si>
    <t>平成20年度</t>
  </si>
  <si>
    <t>平成24年度</t>
  </si>
  <si>
    <t>調査対象等：平成24年度末（平成25年３月31日現在）の届出件数を示している。</t>
  </si>
  <si>
    <t xml:space="preserve"> 「現年分」は、平成24年４月１日から平成25年３月31日までに終了した課税期間について、平成25年６月30日現在の申告（国・地方公共団体等については平成25年９月30日までの申告を含む。）及び処理（更正、決定等）による課税事績を「申告書及び決議書」に基づいて作成した。</t>
  </si>
  <si>
    <t xml:space="preserve"> 「既往年分」は、平成24年３月31日以前に終了した課税期間について、平成24年７月１日から平成25年６月30日までの間の申告（平成24年７月１日から同年９月30日までの間の国・地方公共団体等に係る申告を除く。）及び処理（更正、決定等）による課税事績を「申告書及び決議書」に基づいて作成した。</t>
  </si>
  <si>
    <t xml:space="preserve">  （注）　納税義務者でなくなった旨の届出書又は課税事業者選択不適用届出書を提出した者は含まない。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</si>
</sst>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7">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b/>
      <sz val="9"/>
      <name val="ＭＳ 明朝"/>
      <family val="1"/>
    </font>
    <font>
      <sz val="8"/>
      <name val="ＭＳ Ｐゴシック"/>
      <family val="3"/>
    </font>
    <font>
      <sz val="11"/>
      <name val="ＭＳ ゴシック"/>
      <family val="3"/>
    </font>
    <font>
      <b/>
      <sz val="11"/>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hair"/>
      <top style="thin"/>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hair"/>
      <top style="hair"/>
      <bottom style="thin"/>
    </border>
    <border>
      <left style="hair"/>
      <right style="thin"/>
      <top style="hair"/>
      <bottom style="thin"/>
    </border>
    <border>
      <left style="hair"/>
      <right/>
      <top style="thin"/>
      <bottom/>
    </border>
    <border>
      <left style="medium"/>
      <right/>
      <top/>
      <bottom style="hair">
        <color indexed="55"/>
      </bottom>
    </border>
    <border>
      <left style="hair"/>
      <right/>
      <top/>
      <bottom style="hair">
        <color indexed="55"/>
      </bottom>
    </border>
    <border>
      <left style="thin"/>
      <right style="medium"/>
      <top style="hair">
        <color indexed="55"/>
      </top>
      <bottom style="hair">
        <color indexed="55"/>
      </bottom>
    </border>
    <border>
      <left style="medium"/>
      <right/>
      <top style="hair">
        <color indexed="55"/>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medium"/>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medium"/>
      <right/>
      <top/>
      <bottom style="double"/>
    </border>
    <border>
      <left style="thin"/>
      <right style="hair"/>
      <top style="thin">
        <color indexed="55"/>
      </top>
      <bottom style="double"/>
    </border>
    <border>
      <left style="hair"/>
      <right style="thin"/>
      <top style="thin">
        <color indexed="55"/>
      </top>
      <bottom style="double"/>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medium"/>
      <top style="thin">
        <color indexed="23"/>
      </top>
      <bottom/>
    </border>
    <border>
      <left style="medium"/>
      <right>
        <color indexed="63"/>
      </right>
      <top>
        <color indexed="63"/>
      </top>
      <bottom style="medium"/>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thin"/>
      <right style="medium"/>
      <top style="double"/>
      <bottom style="medium"/>
    </border>
    <border>
      <left style="hair"/>
      <right style="hair"/>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style="thin"/>
      <right style="medium"/>
      <top style="thin">
        <color indexed="23"/>
      </top>
      <bottom style="thin">
        <color indexed="23"/>
      </bottom>
    </border>
    <border>
      <left style="thin"/>
      <right/>
      <top style="thin">
        <color indexed="55"/>
      </top>
      <bottom style="double"/>
    </border>
    <border>
      <left style="hair"/>
      <right style="thin"/>
      <top style="thin">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top style="thin">
        <color indexed="55"/>
      </top>
      <bottom style="hair">
        <color indexed="55"/>
      </bottom>
    </border>
    <border>
      <left style="thin"/>
      <right style="medium"/>
      <top style="thin">
        <color indexed="55"/>
      </top>
      <bottom style="hair">
        <color indexed="55"/>
      </bottom>
    </border>
    <border>
      <left style="thin"/>
      <right style="medium"/>
      <top/>
      <bottom style="hair">
        <color indexed="55"/>
      </bottom>
    </border>
    <border>
      <left style="hair"/>
      <right/>
      <top style="hair"/>
      <bottom style="thin"/>
    </border>
    <border>
      <left style="thin"/>
      <right style="medium"/>
      <top style="thin">
        <color indexed="55"/>
      </top>
      <bottom style="thin">
        <color indexed="55"/>
      </bottom>
    </border>
    <border>
      <left style="thin"/>
      <right style="medium"/>
      <top/>
      <bottom style="double"/>
    </border>
    <border>
      <left style="thin"/>
      <right style="medium"/>
      <top style="thin"/>
      <bottom style="thin">
        <color rgb="FFCCFFFF"/>
      </bottom>
    </border>
    <border>
      <left style="thin"/>
      <right style="medium"/>
      <top style="thin">
        <color rgb="FFCCFFFF"/>
      </top>
      <bottom style="hair">
        <color indexed="55"/>
      </bottom>
    </border>
    <border>
      <left style="medium"/>
      <right style="thin"/>
      <top style="thin">
        <color rgb="FFCCFFFF"/>
      </top>
      <bottom style="hair">
        <color indexed="55"/>
      </bottom>
    </border>
    <border>
      <left style="medium"/>
      <right style="thin"/>
      <top>
        <color indexed="63"/>
      </top>
      <bottom style="hair">
        <color indexed="55"/>
      </bottom>
    </border>
    <border>
      <left style="medium"/>
      <right>
        <color indexed="63"/>
      </right>
      <top style="thin"/>
      <bottom style="thin">
        <color rgb="FFCCFFFF"/>
      </bottom>
    </border>
    <border>
      <left style="medium"/>
      <right style="thin"/>
      <top style="hair">
        <color indexed="55"/>
      </top>
      <bottom style="hair"/>
    </border>
    <border>
      <left style="medium"/>
      <right/>
      <top style="hair">
        <color indexed="55"/>
      </top>
      <bottom style="hair"/>
    </border>
    <border>
      <left style="thin"/>
      <right style="medium"/>
      <top style="hair">
        <color indexed="55"/>
      </top>
      <bottom style="hair"/>
    </border>
    <border>
      <left style="thin"/>
      <right style="hair"/>
      <top style="hair">
        <color indexed="55"/>
      </top>
      <bottom style="hair"/>
    </border>
    <border>
      <left style="hair"/>
      <right style="thin"/>
      <top style="hair">
        <color indexed="55"/>
      </top>
      <bottom style="hair"/>
    </border>
    <border>
      <left style="hair"/>
      <right/>
      <top style="hair">
        <color indexed="55"/>
      </top>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color indexed="63"/>
      </left>
      <right style="thin"/>
      <top style="medium"/>
      <bottom style="thin"/>
    </border>
    <border>
      <left style="thin"/>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medium"/>
      <right style="hair"/>
      <top style="thin"/>
      <bottom>
        <color indexed="63"/>
      </bottom>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238">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3" fontId="2" fillId="33" borderId="14" xfId="0" applyNumberFormat="1" applyFont="1" applyFill="1" applyBorder="1" applyAlignment="1">
      <alignment horizontal="right" vertical="center" indent="1"/>
    </xf>
    <xf numFmtId="3" fontId="2" fillId="33" borderId="15" xfId="0" applyNumberFormat="1" applyFont="1" applyFill="1" applyBorder="1" applyAlignment="1">
      <alignment horizontal="right" vertical="center" indent="1"/>
    </xf>
    <xf numFmtId="3" fontId="2" fillId="33" borderId="16" xfId="0" applyNumberFormat="1" applyFont="1" applyFill="1" applyBorder="1" applyAlignment="1">
      <alignment horizontal="right" vertical="center" indent="1"/>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3" fontId="2" fillId="33" borderId="21" xfId="0" applyNumberFormat="1" applyFont="1" applyFill="1" applyBorder="1" applyAlignment="1">
      <alignment horizontal="right" vertical="center" indent="1"/>
    </xf>
    <xf numFmtId="0" fontId="2" fillId="0" borderId="22" xfId="0" applyFont="1" applyBorder="1" applyAlignment="1">
      <alignment horizontal="center" vertical="center"/>
    </xf>
    <xf numFmtId="0" fontId="2" fillId="0" borderId="23" xfId="0" applyFont="1" applyBorder="1" applyAlignment="1">
      <alignment horizontal="right" vertical="center"/>
    </xf>
    <xf numFmtId="0" fontId="6" fillId="0" borderId="23" xfId="0" applyFont="1" applyBorder="1" applyAlignment="1">
      <alignment horizontal="right" vertical="center"/>
    </xf>
    <xf numFmtId="0" fontId="2" fillId="0" borderId="24" xfId="0" applyFont="1" applyBorder="1" applyAlignment="1">
      <alignment horizontal="right" vertical="center"/>
    </xf>
    <xf numFmtId="3" fontId="2" fillId="0" borderId="23" xfId="0" applyNumberFormat="1" applyFont="1" applyBorder="1" applyAlignment="1">
      <alignment horizontal="right" vertical="center"/>
    </xf>
    <xf numFmtId="3" fontId="2" fillId="0" borderId="24" xfId="0" applyNumberFormat="1" applyFont="1" applyBorder="1" applyAlignment="1">
      <alignment horizontal="right" vertical="center"/>
    </xf>
    <xf numFmtId="3" fontId="2" fillId="34" borderId="25" xfId="0" applyNumberFormat="1" applyFont="1" applyFill="1" applyBorder="1" applyAlignment="1">
      <alignment horizontal="right" vertical="center"/>
    </xf>
    <xf numFmtId="3" fontId="2" fillId="33" borderId="26" xfId="0" applyNumberFormat="1" applyFont="1" applyFill="1" applyBorder="1" applyAlignment="1">
      <alignment horizontal="right" vertical="center"/>
    </xf>
    <xf numFmtId="3" fontId="2" fillId="34" borderId="27" xfId="0" applyNumberFormat="1" applyFont="1" applyFill="1" applyBorder="1" applyAlignment="1">
      <alignment horizontal="right" vertical="center"/>
    </xf>
    <xf numFmtId="3" fontId="6" fillId="33" borderId="26" xfId="0" applyNumberFormat="1" applyFont="1" applyFill="1" applyBorder="1" applyAlignment="1">
      <alignment horizontal="right" vertical="center"/>
    </xf>
    <xf numFmtId="3" fontId="6" fillId="34"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3" fontId="2" fillId="34" borderId="30" xfId="0" applyNumberFormat="1" applyFont="1" applyFill="1" applyBorder="1" applyAlignment="1">
      <alignment horizontal="right" vertical="center"/>
    </xf>
    <xf numFmtId="3" fontId="2" fillId="34" borderId="31" xfId="0" applyNumberFormat="1" applyFont="1" applyFill="1" applyBorder="1" applyAlignment="1">
      <alignment horizontal="right" vertical="center"/>
    </xf>
    <xf numFmtId="3" fontId="6" fillId="34" borderId="3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0" fontId="2" fillId="0" borderId="25" xfId="0" applyFont="1" applyBorder="1" applyAlignment="1">
      <alignment horizontal="distributed" vertical="center"/>
    </xf>
    <xf numFmtId="0" fontId="2" fillId="0" borderId="27" xfId="0" applyFont="1" applyBorder="1" applyAlignment="1">
      <alignment horizontal="distributed" vertical="center"/>
    </xf>
    <xf numFmtId="0" fontId="6" fillId="0" borderId="27" xfId="0" applyFont="1" applyBorder="1" applyAlignment="1">
      <alignment horizontal="distributed" vertical="center"/>
    </xf>
    <xf numFmtId="0" fontId="2" fillId="0" borderId="33" xfId="0" applyFont="1" applyBorder="1" applyAlignment="1">
      <alignment horizontal="distributed" vertical="center"/>
    </xf>
    <xf numFmtId="3" fontId="2" fillId="33"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6" fillId="33" borderId="37" xfId="0" applyNumberFormat="1" applyFont="1" applyFill="1" applyBorder="1" applyAlignment="1">
      <alignment horizontal="right" vertical="center"/>
    </xf>
    <xf numFmtId="3" fontId="6" fillId="34" borderId="38" xfId="0" applyNumberFormat="1" applyFont="1" applyFill="1" applyBorder="1" applyAlignment="1">
      <alignment horizontal="right" vertical="center"/>
    </xf>
    <xf numFmtId="3" fontId="6" fillId="34" borderId="39" xfId="0" applyNumberFormat="1" applyFont="1" applyFill="1" applyBorder="1" applyAlignment="1">
      <alignment horizontal="right" vertical="center"/>
    </xf>
    <xf numFmtId="0" fontId="6" fillId="0" borderId="40" xfId="0" applyFont="1" applyBorder="1" applyAlignment="1">
      <alignment horizontal="right" vertical="center"/>
    </xf>
    <xf numFmtId="3" fontId="2" fillId="33" borderId="41" xfId="0" applyNumberFormat="1" applyFont="1" applyFill="1" applyBorder="1" applyAlignment="1">
      <alignment horizontal="right" vertical="center"/>
    </xf>
    <xf numFmtId="3" fontId="2" fillId="33" borderId="4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0" fontId="2" fillId="0" borderId="44" xfId="0" applyFont="1" applyBorder="1" applyAlignment="1">
      <alignment horizontal="distributed" vertical="center"/>
    </xf>
    <xf numFmtId="3" fontId="2" fillId="33" borderId="45" xfId="0" applyNumberFormat="1" applyFont="1" applyFill="1" applyBorder="1" applyAlignment="1">
      <alignment horizontal="right" vertical="center"/>
    </xf>
    <xf numFmtId="3" fontId="2" fillId="34" borderId="44" xfId="0" applyNumberFormat="1" applyFont="1" applyFill="1" applyBorder="1" applyAlignment="1">
      <alignment horizontal="right" vertical="center"/>
    </xf>
    <xf numFmtId="3" fontId="2" fillId="34" borderId="46" xfId="0" applyNumberFormat="1" applyFont="1" applyFill="1" applyBorder="1" applyAlignment="1">
      <alignment horizontal="right" vertical="center"/>
    </xf>
    <xf numFmtId="0" fontId="7" fillId="34" borderId="10" xfId="0" applyFont="1" applyFill="1" applyBorder="1" applyAlignment="1">
      <alignment horizontal="right" vertical="top"/>
    </xf>
    <xf numFmtId="0" fontId="7" fillId="33" borderId="47"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23" xfId="0" applyFont="1" applyBorder="1" applyAlignment="1">
      <alignment horizontal="center" vertical="center"/>
    </xf>
    <xf numFmtId="3" fontId="2" fillId="33" borderId="48" xfId="0" applyNumberFormat="1" applyFont="1" applyFill="1" applyBorder="1" applyAlignment="1">
      <alignment vertical="center"/>
    </xf>
    <xf numFmtId="3" fontId="2" fillId="33" borderId="26" xfId="0" applyNumberFormat="1" applyFont="1" applyFill="1" applyBorder="1" applyAlignment="1">
      <alignment vertical="center"/>
    </xf>
    <xf numFmtId="3" fontId="2" fillId="0" borderId="23" xfId="0" applyNumberFormat="1" applyFont="1" applyBorder="1" applyAlignment="1">
      <alignment horizontal="center" vertical="center"/>
    </xf>
    <xf numFmtId="0" fontId="2" fillId="0" borderId="49" xfId="0" applyFont="1" applyBorder="1" applyAlignment="1">
      <alignment horizontal="distributed" vertical="center"/>
    </xf>
    <xf numFmtId="3" fontId="2" fillId="33" borderId="50" xfId="0" applyNumberFormat="1" applyFont="1" applyFill="1" applyBorder="1" applyAlignment="1">
      <alignment horizontal="right" vertical="center"/>
    </xf>
    <xf numFmtId="3" fontId="2" fillId="34" borderId="49" xfId="0" applyNumberFormat="1" applyFont="1" applyFill="1" applyBorder="1" applyAlignment="1">
      <alignment horizontal="right" vertical="center"/>
    </xf>
    <xf numFmtId="3" fontId="2" fillId="34" borderId="51" xfId="0" applyNumberFormat="1" applyFont="1" applyFill="1" applyBorder="1" applyAlignment="1">
      <alignment horizontal="right" vertical="center"/>
    </xf>
    <xf numFmtId="0" fontId="7" fillId="0" borderId="52" xfId="0" applyFont="1" applyFill="1" applyBorder="1" applyAlignment="1">
      <alignment horizontal="center" vertical="center"/>
    </xf>
    <xf numFmtId="0" fontId="7" fillId="0" borderId="13" xfId="0" applyFont="1" applyFill="1" applyBorder="1" applyAlignment="1">
      <alignment horizontal="right" vertical="top"/>
    </xf>
    <xf numFmtId="0" fontId="7" fillId="34" borderId="22" xfId="0" applyFont="1" applyFill="1" applyBorder="1" applyAlignment="1">
      <alignment horizontal="right" vertical="top"/>
    </xf>
    <xf numFmtId="0" fontId="7" fillId="0" borderId="10" xfId="0" applyFont="1" applyFill="1" applyBorder="1" applyAlignment="1">
      <alignment horizontal="center" vertical="center"/>
    </xf>
    <xf numFmtId="3" fontId="2" fillId="33" borderId="53" xfId="0" applyNumberFormat="1" applyFont="1" applyFill="1" applyBorder="1" applyAlignment="1">
      <alignment horizontal="right" vertical="center"/>
    </xf>
    <xf numFmtId="0" fontId="2" fillId="0" borderId="52" xfId="0" applyFont="1" applyBorder="1" applyAlignment="1">
      <alignment horizontal="center" vertical="center"/>
    </xf>
    <xf numFmtId="0" fontId="7" fillId="33" borderId="13" xfId="0" applyFont="1" applyFill="1" applyBorder="1" applyAlignment="1">
      <alignment horizontal="right"/>
    </xf>
    <xf numFmtId="0" fontId="7" fillId="34" borderId="10" xfId="0" applyFont="1" applyFill="1" applyBorder="1" applyAlignment="1">
      <alignment horizontal="right"/>
    </xf>
    <xf numFmtId="0" fontId="7" fillId="34" borderId="22" xfId="0" applyFont="1" applyFill="1" applyBorder="1" applyAlignment="1">
      <alignment horizontal="right"/>
    </xf>
    <xf numFmtId="0" fontId="7" fillId="33" borderId="54" xfId="0" applyFont="1" applyFill="1" applyBorder="1" applyAlignment="1">
      <alignment horizontal="right"/>
    </xf>
    <xf numFmtId="0" fontId="7" fillId="33" borderId="55" xfId="0" applyFont="1" applyFill="1" applyBorder="1" applyAlignment="1">
      <alignment horizontal="right"/>
    </xf>
    <xf numFmtId="0" fontId="7" fillId="33" borderId="56" xfId="0" applyFont="1" applyFill="1" applyBorder="1" applyAlignment="1">
      <alignment horizontal="right"/>
    </xf>
    <xf numFmtId="0" fontId="7" fillId="33" borderId="57" xfId="0" applyFont="1" applyFill="1" applyBorder="1" applyAlignment="1">
      <alignment horizontal="right"/>
    </xf>
    <xf numFmtId="3" fontId="2" fillId="33" borderId="48" xfId="0" applyNumberFormat="1" applyFont="1" applyFill="1" applyBorder="1" applyAlignment="1">
      <alignment horizontal="right" vertical="center"/>
    </xf>
    <xf numFmtId="0" fontId="5" fillId="0" borderId="0" xfId="0" applyFont="1" applyAlignment="1">
      <alignment horizontal="center" vertical="top"/>
    </xf>
    <xf numFmtId="0" fontId="2" fillId="0" borderId="25"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0" xfId="61" applyFont="1" applyAlignment="1">
      <alignment horizontal="left" vertical="center"/>
      <protection/>
    </xf>
    <xf numFmtId="0" fontId="2" fillId="0" borderId="0" xfId="61" applyFont="1" applyAlignment="1">
      <alignment horizontal="left" vertical="top"/>
      <protection/>
    </xf>
    <xf numFmtId="0" fontId="0" fillId="0" borderId="0" xfId="61" applyFont="1">
      <alignment/>
      <protection/>
    </xf>
    <xf numFmtId="0" fontId="2" fillId="0" borderId="0" xfId="61" applyFont="1" applyBorder="1" applyAlignment="1">
      <alignment horizontal="left" vertical="center"/>
      <protection/>
    </xf>
    <xf numFmtId="0" fontId="2" fillId="0" borderId="58" xfId="61" applyFont="1" applyBorder="1" applyAlignment="1">
      <alignment horizontal="distributed" vertical="center" indent="1"/>
      <protection/>
    </xf>
    <xf numFmtId="0" fontId="2" fillId="0" borderId="59" xfId="61" applyFont="1" applyBorder="1" applyAlignment="1">
      <alignment horizontal="distributed" vertical="center" indent="1"/>
      <protection/>
    </xf>
    <xf numFmtId="0" fontId="2" fillId="0" borderId="59" xfId="61" applyFont="1" applyBorder="1" applyAlignment="1">
      <alignment horizontal="center" vertical="center" wrapText="1"/>
      <protection/>
    </xf>
    <xf numFmtId="0" fontId="7" fillId="35" borderId="52" xfId="61" applyFont="1" applyFill="1" applyBorder="1" applyAlignment="1">
      <alignment horizontal="distributed" vertical="top"/>
      <protection/>
    </xf>
    <xf numFmtId="0" fontId="7" fillId="33" borderId="13" xfId="61" applyFont="1" applyFill="1" applyBorder="1" applyAlignment="1">
      <alignment horizontal="right" vertical="top"/>
      <protection/>
    </xf>
    <xf numFmtId="0" fontId="7" fillId="34" borderId="10" xfId="61" applyFont="1" applyFill="1" applyBorder="1" applyAlignment="1">
      <alignment horizontal="right" vertical="top"/>
      <protection/>
    </xf>
    <xf numFmtId="0" fontId="7" fillId="33" borderId="47" xfId="61" applyFont="1" applyFill="1" applyBorder="1" applyAlignment="1">
      <alignment horizontal="right" vertical="top"/>
      <protection/>
    </xf>
    <xf numFmtId="0" fontId="7" fillId="33" borderId="60" xfId="61" applyFont="1" applyFill="1" applyBorder="1" applyAlignment="1">
      <alignment horizontal="right" vertical="top"/>
      <protection/>
    </xf>
    <xf numFmtId="0" fontId="7" fillId="35" borderId="57" xfId="61" applyFont="1" applyFill="1" applyBorder="1" applyAlignment="1">
      <alignment horizontal="distributed" vertical="top"/>
      <protection/>
    </xf>
    <xf numFmtId="0" fontId="2" fillId="36" borderId="61" xfId="61" applyFont="1" applyFill="1" applyBorder="1" applyAlignment="1">
      <alignment horizontal="distributed" vertical="center"/>
      <protection/>
    </xf>
    <xf numFmtId="177" fontId="2" fillId="33" borderId="53" xfId="61" applyNumberFormat="1" applyFont="1" applyFill="1" applyBorder="1" applyAlignment="1">
      <alignment horizontal="right" vertical="center"/>
      <protection/>
    </xf>
    <xf numFmtId="177" fontId="2" fillId="34" borderId="49" xfId="61" applyNumberFormat="1" applyFont="1" applyFill="1" applyBorder="1" applyAlignment="1">
      <alignment horizontal="right" vertical="center"/>
      <protection/>
    </xf>
    <xf numFmtId="177" fontId="2" fillId="34" borderId="62" xfId="61" applyNumberFormat="1" applyFont="1" applyFill="1" applyBorder="1" applyAlignment="1">
      <alignment horizontal="right" vertical="center"/>
      <protection/>
    </xf>
    <xf numFmtId="177" fontId="2" fillId="33" borderId="50" xfId="61" applyNumberFormat="1" applyFont="1" applyFill="1" applyBorder="1" applyAlignment="1">
      <alignment horizontal="right" vertical="center"/>
      <protection/>
    </xf>
    <xf numFmtId="177" fontId="2" fillId="33" borderId="62" xfId="61" applyNumberFormat="1" applyFont="1" applyFill="1" applyBorder="1" applyAlignment="1">
      <alignment horizontal="right" vertical="center"/>
      <protection/>
    </xf>
    <xf numFmtId="0" fontId="2" fillId="36" borderId="63" xfId="61" applyFont="1" applyFill="1" applyBorder="1" applyAlignment="1">
      <alignment horizontal="distributed" vertical="center"/>
      <protection/>
    </xf>
    <xf numFmtId="0" fontId="2" fillId="36" borderId="64" xfId="61" applyFont="1" applyFill="1" applyBorder="1" applyAlignment="1">
      <alignment horizontal="distributed" vertical="center"/>
      <protection/>
    </xf>
    <xf numFmtId="177" fontId="2" fillId="33" borderId="65" xfId="61" applyNumberFormat="1" applyFont="1" applyFill="1" applyBorder="1" applyAlignment="1">
      <alignment horizontal="right" vertical="center"/>
      <protection/>
    </xf>
    <xf numFmtId="177" fontId="2" fillId="34" borderId="27" xfId="61" applyNumberFormat="1" applyFont="1" applyFill="1" applyBorder="1" applyAlignment="1">
      <alignment horizontal="right" vertical="center"/>
      <protection/>
    </xf>
    <xf numFmtId="177" fontId="2" fillId="34" borderId="66" xfId="61" applyNumberFormat="1" applyFont="1" applyFill="1" applyBorder="1" applyAlignment="1">
      <alignment horizontal="right" vertical="center"/>
      <protection/>
    </xf>
    <xf numFmtId="0" fontId="6" fillId="36" borderId="67" xfId="61" applyFont="1" applyFill="1" applyBorder="1" applyAlignment="1">
      <alignment horizontal="distributed" vertical="center"/>
      <protection/>
    </xf>
    <xf numFmtId="177" fontId="6" fillId="33" borderId="68" xfId="61" applyNumberFormat="1" applyFont="1" applyFill="1" applyBorder="1" applyAlignment="1">
      <alignment horizontal="right" vertical="center"/>
      <protection/>
    </xf>
    <xf numFmtId="177" fontId="6" fillId="34" borderId="69" xfId="61" applyNumberFormat="1" applyFont="1" applyFill="1" applyBorder="1" applyAlignment="1">
      <alignment horizontal="right" vertical="center"/>
      <protection/>
    </xf>
    <xf numFmtId="177" fontId="6" fillId="34" borderId="70" xfId="61" applyNumberFormat="1" applyFont="1" applyFill="1" applyBorder="1" applyAlignment="1">
      <alignment horizontal="right" vertical="center"/>
      <protection/>
    </xf>
    <xf numFmtId="0" fontId="8" fillId="0" borderId="71" xfId="61" applyFont="1" applyFill="1" applyBorder="1" applyAlignment="1">
      <alignment horizontal="distributed" vertical="center"/>
      <protection/>
    </xf>
    <xf numFmtId="177" fontId="2" fillId="0" borderId="72" xfId="61" applyNumberFormat="1" applyFont="1" applyFill="1" applyBorder="1" applyAlignment="1">
      <alignment horizontal="right" vertical="center"/>
      <protection/>
    </xf>
    <xf numFmtId="177" fontId="2" fillId="0" borderId="73" xfId="61" applyNumberFormat="1" applyFont="1" applyFill="1" applyBorder="1" applyAlignment="1">
      <alignment horizontal="right" vertical="center"/>
      <protection/>
    </xf>
    <xf numFmtId="177" fontId="2" fillId="0" borderId="74" xfId="61" applyNumberFormat="1" applyFont="1" applyFill="1" applyBorder="1" applyAlignment="1">
      <alignment horizontal="right" vertical="center"/>
      <protection/>
    </xf>
    <xf numFmtId="177" fontId="2" fillId="0" borderId="75" xfId="61" applyNumberFormat="1" applyFont="1" applyFill="1" applyBorder="1" applyAlignment="1">
      <alignment horizontal="right" vertical="center"/>
      <protection/>
    </xf>
    <xf numFmtId="177" fontId="2" fillId="0" borderId="76" xfId="61" applyNumberFormat="1" applyFont="1" applyFill="1" applyBorder="1" applyAlignment="1">
      <alignment horizontal="right" vertical="center"/>
      <protection/>
    </xf>
    <xf numFmtId="0" fontId="8" fillId="0" borderId="77" xfId="61" applyFont="1" applyFill="1" applyBorder="1" applyAlignment="1">
      <alignment horizontal="center" vertical="center"/>
      <protection/>
    </xf>
    <xf numFmtId="0" fontId="6" fillId="0" borderId="78" xfId="61" applyFont="1" applyBorder="1" applyAlignment="1">
      <alignment horizontal="center" vertical="center"/>
      <protection/>
    </xf>
    <xf numFmtId="177" fontId="6" fillId="33" borderId="24" xfId="61" applyNumberFormat="1" applyFont="1" applyFill="1" applyBorder="1" applyAlignment="1">
      <alignment horizontal="right" vertical="center"/>
      <protection/>
    </xf>
    <xf numFmtId="177" fontId="6" fillId="34" borderId="35" xfId="61" applyNumberFormat="1" applyFont="1" applyFill="1" applyBorder="1" applyAlignment="1">
      <alignment horizontal="right" vertical="center"/>
      <protection/>
    </xf>
    <xf numFmtId="177" fontId="6" fillId="34" borderId="79" xfId="61" applyNumberFormat="1" applyFont="1" applyFill="1" applyBorder="1" applyAlignment="1">
      <alignment horizontal="right" vertical="center"/>
      <protection/>
    </xf>
    <xf numFmtId="177" fontId="6" fillId="33" borderId="80" xfId="61" applyNumberFormat="1" applyFont="1" applyFill="1" applyBorder="1" applyAlignment="1">
      <alignment horizontal="right" vertical="center"/>
      <protection/>
    </xf>
    <xf numFmtId="177" fontId="6" fillId="33" borderId="81" xfId="61" applyNumberFormat="1" applyFont="1" applyFill="1" applyBorder="1" applyAlignment="1">
      <alignment horizontal="right" vertical="center"/>
      <protection/>
    </xf>
    <xf numFmtId="177" fontId="6" fillId="33" borderId="82" xfId="61" applyNumberFormat="1" applyFont="1" applyFill="1" applyBorder="1" applyAlignment="1">
      <alignment horizontal="right" vertical="center"/>
      <protection/>
    </xf>
    <xf numFmtId="0" fontId="6" fillId="0" borderId="83" xfId="61" applyFont="1" applyBorder="1" applyAlignment="1">
      <alignment horizontal="center" vertical="center"/>
      <protection/>
    </xf>
    <xf numFmtId="177" fontId="6" fillId="33" borderId="84" xfId="61" applyNumberFormat="1" applyFont="1" applyFill="1" applyBorder="1" applyAlignment="1">
      <alignment horizontal="right" vertical="center"/>
      <protection/>
    </xf>
    <xf numFmtId="177" fontId="6" fillId="33" borderId="70" xfId="61" applyNumberFormat="1" applyFont="1" applyFill="1" applyBorder="1" applyAlignment="1">
      <alignment horizontal="right" vertical="center"/>
      <protection/>
    </xf>
    <xf numFmtId="0" fontId="6" fillId="36" borderId="85" xfId="61" applyFont="1" applyFill="1" applyBorder="1" applyAlignment="1">
      <alignment horizontal="distributed" vertical="center"/>
      <protection/>
    </xf>
    <xf numFmtId="0" fontId="8" fillId="0" borderId="86" xfId="61" applyFont="1" applyFill="1" applyBorder="1" applyAlignment="1">
      <alignment horizontal="distributed" vertical="center"/>
      <protection/>
    </xf>
    <xf numFmtId="177" fontId="8" fillId="0" borderId="87" xfId="61" applyNumberFormat="1" applyFont="1" applyFill="1" applyBorder="1" applyAlignment="1">
      <alignment horizontal="right" vertical="center"/>
      <protection/>
    </xf>
    <xf numFmtId="177" fontId="8" fillId="0" borderId="88" xfId="61" applyNumberFormat="1" applyFont="1" applyFill="1" applyBorder="1" applyAlignment="1">
      <alignment horizontal="right" vertical="center"/>
      <protection/>
    </xf>
    <xf numFmtId="177" fontId="8" fillId="0" borderId="89" xfId="61" applyNumberFormat="1" applyFont="1" applyFill="1" applyBorder="1" applyAlignment="1">
      <alignment horizontal="right" vertical="center"/>
      <protection/>
    </xf>
    <xf numFmtId="177" fontId="2" fillId="0" borderId="90" xfId="61" applyNumberFormat="1" applyFont="1" applyFill="1" applyBorder="1" applyAlignment="1">
      <alignment horizontal="right" vertical="center"/>
      <protection/>
    </xf>
    <xf numFmtId="177" fontId="2" fillId="0" borderId="91" xfId="61" applyNumberFormat="1" applyFont="1" applyFill="1" applyBorder="1" applyAlignment="1">
      <alignment horizontal="right" vertical="center"/>
      <protection/>
    </xf>
    <xf numFmtId="177" fontId="2" fillId="0" borderId="92" xfId="61" applyNumberFormat="1" applyFont="1" applyFill="1" applyBorder="1" applyAlignment="1">
      <alignment horizontal="right" vertical="center"/>
      <protection/>
    </xf>
    <xf numFmtId="0" fontId="8" fillId="0" borderId="93" xfId="61" applyFont="1" applyFill="1" applyBorder="1" applyAlignment="1">
      <alignment horizontal="center" vertical="center"/>
      <protection/>
    </xf>
    <xf numFmtId="177" fontId="2" fillId="0" borderId="94" xfId="61" applyNumberFormat="1" applyFont="1" applyFill="1" applyBorder="1" applyAlignment="1">
      <alignment horizontal="right" vertical="center"/>
      <protection/>
    </xf>
    <xf numFmtId="177" fontId="8" fillId="0" borderId="90" xfId="61" applyNumberFormat="1" applyFont="1" applyFill="1" applyBorder="1" applyAlignment="1">
      <alignment horizontal="right" vertical="center"/>
      <protection/>
    </xf>
    <xf numFmtId="177" fontId="8" fillId="0" borderId="95" xfId="61" applyNumberFormat="1" applyFont="1" applyFill="1" applyBorder="1" applyAlignment="1">
      <alignment horizontal="right" vertical="center"/>
      <protection/>
    </xf>
    <xf numFmtId="177" fontId="8" fillId="0" borderId="92" xfId="61" applyNumberFormat="1" applyFont="1" applyFill="1" applyBorder="1" applyAlignment="1">
      <alignment horizontal="right" vertical="center"/>
      <protection/>
    </xf>
    <xf numFmtId="177" fontId="2" fillId="33" borderId="96" xfId="61" applyNumberFormat="1" applyFont="1" applyFill="1" applyBorder="1" applyAlignment="1">
      <alignment horizontal="right" vertical="center"/>
      <protection/>
    </xf>
    <xf numFmtId="177" fontId="2" fillId="33" borderId="97" xfId="61" applyNumberFormat="1" applyFont="1" applyFill="1" applyBorder="1" applyAlignment="1">
      <alignment horizontal="right" vertical="center"/>
      <protection/>
    </xf>
    <xf numFmtId="177" fontId="2" fillId="33" borderId="98" xfId="61" applyNumberFormat="1" applyFont="1" applyFill="1" applyBorder="1" applyAlignment="1">
      <alignment horizontal="right" vertical="center"/>
      <protection/>
    </xf>
    <xf numFmtId="0" fontId="2" fillId="36" borderId="99" xfId="61" applyFont="1" applyFill="1" applyBorder="1" applyAlignment="1">
      <alignment horizontal="distributed" vertical="center"/>
      <protection/>
    </xf>
    <xf numFmtId="0" fontId="2" fillId="36" borderId="100" xfId="61" applyFont="1" applyFill="1" applyBorder="1" applyAlignment="1">
      <alignment horizontal="distributed" vertical="center"/>
      <protection/>
    </xf>
    <xf numFmtId="0" fontId="2" fillId="0" borderId="101" xfId="61" applyFont="1" applyBorder="1" applyAlignment="1">
      <alignment horizontal="distributed" vertical="center" indent="1"/>
      <protection/>
    </xf>
    <xf numFmtId="0" fontId="2" fillId="0" borderId="101" xfId="61" applyFont="1" applyBorder="1" applyAlignment="1">
      <alignment horizontal="centerContinuous" vertical="center" wrapText="1"/>
      <protection/>
    </xf>
    <xf numFmtId="0" fontId="7" fillId="34" borderId="60" xfId="61" applyFont="1" applyFill="1" applyBorder="1" applyAlignment="1">
      <alignment horizontal="right" vertical="top"/>
      <protection/>
    </xf>
    <xf numFmtId="0" fontId="8" fillId="0" borderId="102" xfId="61" applyFont="1" applyFill="1" applyBorder="1" applyAlignment="1">
      <alignment horizontal="center" vertical="center"/>
      <protection/>
    </xf>
    <xf numFmtId="0" fontId="8" fillId="0" borderId="103" xfId="61" applyFont="1" applyFill="1" applyBorder="1" applyAlignment="1">
      <alignment horizontal="center" vertical="center"/>
      <protection/>
    </xf>
    <xf numFmtId="0" fontId="6" fillId="0" borderId="16" xfId="61" applyFont="1" applyBorder="1" applyAlignment="1">
      <alignment horizontal="center" vertical="center"/>
      <protection/>
    </xf>
    <xf numFmtId="0" fontId="0" fillId="0" borderId="0" xfId="61" applyFont="1" applyAlignment="1">
      <alignment horizontal="center"/>
      <protection/>
    </xf>
    <xf numFmtId="0" fontId="9" fillId="0" borderId="0" xfId="61" applyFont="1" applyAlignment="1">
      <alignment horizontal="right" vertical="top"/>
      <protection/>
    </xf>
    <xf numFmtId="0" fontId="10" fillId="0" borderId="0" xfId="61" applyFont="1">
      <alignment/>
      <protection/>
    </xf>
    <xf numFmtId="0" fontId="11" fillId="0" borderId="0" xfId="61" applyFont="1">
      <alignment/>
      <protection/>
    </xf>
    <xf numFmtId="0" fontId="0" fillId="0" borderId="0" xfId="61" applyFont="1" applyBorder="1">
      <alignment/>
      <protection/>
    </xf>
    <xf numFmtId="0" fontId="9" fillId="0" borderId="0" xfId="61" applyFont="1" applyAlignment="1">
      <alignment vertical="top"/>
      <protection/>
    </xf>
    <xf numFmtId="0" fontId="7" fillId="35" borderId="104" xfId="61" applyFont="1" applyFill="1" applyBorder="1" applyAlignment="1">
      <alignment horizontal="distributed" vertical="top"/>
      <protection/>
    </xf>
    <xf numFmtId="0" fontId="2" fillId="36" borderId="105" xfId="61" applyFont="1" applyFill="1" applyBorder="1" applyAlignment="1">
      <alignment horizontal="distributed" vertical="center"/>
      <protection/>
    </xf>
    <xf numFmtId="0" fontId="2" fillId="36" borderId="106" xfId="61" applyFont="1" applyFill="1" applyBorder="1" applyAlignment="1">
      <alignment horizontal="distributed" vertical="center"/>
      <protection/>
    </xf>
    <xf numFmtId="0" fontId="2" fillId="36" borderId="107" xfId="61" applyFont="1" applyFill="1" applyBorder="1" applyAlignment="1">
      <alignment horizontal="distributed" vertical="center"/>
      <protection/>
    </xf>
    <xf numFmtId="0" fontId="12" fillId="37" borderId="105" xfId="61" applyFont="1" applyFill="1" applyBorder="1" applyAlignment="1">
      <alignment horizontal="distributed" vertical="center"/>
      <protection/>
    </xf>
    <xf numFmtId="0" fontId="7" fillId="35" borderId="108" xfId="61" applyFont="1" applyFill="1" applyBorder="1" applyAlignment="1">
      <alignment horizontal="distributed" vertical="top"/>
      <protection/>
    </xf>
    <xf numFmtId="0" fontId="7" fillId="28" borderId="13" xfId="61" applyFont="1" applyFill="1" applyBorder="1" applyAlignment="1">
      <alignment horizontal="right" vertical="top"/>
      <protection/>
    </xf>
    <xf numFmtId="0" fontId="2" fillId="36" borderId="109" xfId="61" applyFont="1" applyFill="1" applyBorder="1" applyAlignment="1">
      <alignment horizontal="distributed" vertical="center"/>
      <protection/>
    </xf>
    <xf numFmtId="0" fontId="2" fillId="36" borderId="110" xfId="61" applyFont="1" applyFill="1" applyBorder="1" applyAlignment="1">
      <alignment horizontal="distributed" vertical="center"/>
      <protection/>
    </xf>
    <xf numFmtId="0" fontId="2" fillId="36" borderId="111" xfId="61" applyFont="1" applyFill="1" applyBorder="1" applyAlignment="1">
      <alignment horizontal="distributed" vertical="center"/>
      <protection/>
    </xf>
    <xf numFmtId="177" fontId="2" fillId="33" borderId="112" xfId="61" applyNumberFormat="1" applyFont="1" applyFill="1" applyBorder="1" applyAlignment="1">
      <alignment horizontal="right" vertical="center"/>
      <protection/>
    </xf>
    <xf numFmtId="177" fontId="2" fillId="34" borderId="113" xfId="61" applyNumberFormat="1" applyFont="1" applyFill="1" applyBorder="1" applyAlignment="1">
      <alignment horizontal="right" vertical="center"/>
      <protection/>
    </xf>
    <xf numFmtId="177" fontId="2" fillId="34" borderId="114" xfId="61" applyNumberFormat="1" applyFont="1" applyFill="1" applyBorder="1" applyAlignment="1">
      <alignment horizontal="right" vertical="center"/>
      <protection/>
    </xf>
    <xf numFmtId="0" fontId="2" fillId="0" borderId="13" xfId="0" applyFont="1" applyBorder="1" applyAlignment="1">
      <alignment horizontal="center" vertical="center"/>
    </xf>
    <xf numFmtId="0" fontId="2" fillId="0" borderId="47"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5" fillId="0" borderId="0" xfId="0" applyFont="1" applyAlignment="1">
      <alignment horizontal="center" vertical="top"/>
    </xf>
    <xf numFmtId="0" fontId="6" fillId="0" borderId="119" xfId="0" applyFont="1" applyBorder="1" applyAlignment="1">
      <alignment horizontal="distributed" vertical="center"/>
    </xf>
    <xf numFmtId="0" fontId="6" fillId="0" borderId="120" xfId="0" applyFont="1" applyBorder="1" applyAlignment="1">
      <alignment horizontal="distributed" vertical="center"/>
    </xf>
    <xf numFmtId="0" fontId="2" fillId="0" borderId="78" xfId="0" applyFont="1" applyBorder="1" applyAlignment="1">
      <alignment horizontal="distributed" vertical="center"/>
    </xf>
    <xf numFmtId="0" fontId="2" fillId="0" borderId="121" xfId="0" applyFont="1" applyBorder="1" applyAlignment="1">
      <alignment horizontal="distributed" vertical="center"/>
    </xf>
    <xf numFmtId="0" fontId="2" fillId="0" borderId="122" xfId="0" applyFont="1" applyBorder="1" applyAlignment="1">
      <alignment horizontal="distributed" vertical="center" wrapText="1"/>
    </xf>
    <xf numFmtId="0" fontId="2" fillId="0" borderId="123" xfId="0" applyFont="1" applyBorder="1" applyAlignment="1">
      <alignment horizontal="distributed"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distributed" vertical="center" wrapText="1"/>
    </xf>
    <xf numFmtId="0" fontId="2" fillId="0" borderId="127" xfId="0" applyFont="1" applyBorder="1" applyAlignment="1">
      <alignment horizontal="distributed" vertical="center"/>
    </xf>
    <xf numFmtId="0" fontId="2" fillId="0" borderId="128" xfId="0" applyFont="1" applyBorder="1" applyAlignment="1">
      <alignment horizontal="distributed" vertical="center"/>
    </xf>
    <xf numFmtId="0" fontId="2" fillId="0" borderId="0" xfId="0" applyFont="1" applyAlignment="1">
      <alignment horizontal="left" vertical="top"/>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2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28" xfId="0" applyFont="1" applyBorder="1" applyAlignment="1">
      <alignment horizontal="center" vertical="center"/>
    </xf>
    <xf numFmtId="0" fontId="2" fillId="0" borderId="0" xfId="61" applyFont="1" applyAlignment="1">
      <alignment horizontal="left" vertical="center"/>
      <protection/>
    </xf>
    <xf numFmtId="0" fontId="2" fillId="0" borderId="115" xfId="61" applyFont="1" applyBorder="1" applyAlignment="1">
      <alignment horizontal="distributed" vertical="center"/>
      <protection/>
    </xf>
    <xf numFmtId="0" fontId="2" fillId="0" borderId="117" xfId="61" applyFont="1" applyBorder="1" applyAlignment="1">
      <alignment horizontal="distributed" vertical="center"/>
      <protection/>
    </xf>
    <xf numFmtId="0" fontId="2" fillId="0" borderId="137" xfId="61" applyFont="1" applyBorder="1" applyAlignment="1">
      <alignment horizontal="distributed" vertical="center"/>
      <protection/>
    </xf>
    <xf numFmtId="0" fontId="2" fillId="0" borderId="138" xfId="61" applyFont="1" applyBorder="1" applyAlignment="1">
      <alignment horizontal="center" vertical="center"/>
      <protection/>
    </xf>
    <xf numFmtId="0" fontId="2" fillId="0" borderId="139" xfId="61" applyFont="1" applyBorder="1" applyAlignment="1">
      <alignment horizontal="center" vertical="center"/>
      <protection/>
    </xf>
    <xf numFmtId="0" fontId="2" fillId="0" borderId="140" xfId="61" applyFont="1" applyBorder="1" applyAlignment="1">
      <alignment horizontal="center" vertical="center"/>
      <protection/>
    </xf>
    <xf numFmtId="0" fontId="2" fillId="0" borderId="141" xfId="61" applyFont="1" applyBorder="1" applyAlignment="1">
      <alignment horizontal="center" vertical="center"/>
      <protection/>
    </xf>
    <xf numFmtId="0" fontId="2" fillId="0" borderId="142" xfId="61" applyFont="1" applyBorder="1" applyAlignment="1">
      <alignment horizontal="center" vertical="center"/>
      <protection/>
    </xf>
    <xf numFmtId="0" fontId="2" fillId="0" borderId="139" xfId="61" applyFont="1" applyBorder="1" applyAlignment="1">
      <alignment horizontal="center" vertical="center" wrapText="1"/>
      <protection/>
    </xf>
    <xf numFmtId="0" fontId="2" fillId="0" borderId="19" xfId="61" applyFont="1" applyBorder="1" applyAlignment="1">
      <alignment horizontal="distributed" vertical="center" wrapText="1"/>
      <protection/>
    </xf>
    <xf numFmtId="0" fontId="2" fillId="0" borderId="143" xfId="61" applyFont="1" applyBorder="1" applyAlignment="1">
      <alignment horizontal="distributed" vertical="center" wrapText="1"/>
      <protection/>
    </xf>
    <xf numFmtId="0" fontId="2" fillId="0" borderId="144" xfId="61" applyFont="1" applyBorder="1" applyAlignment="1">
      <alignment horizontal="distributed" vertical="center" wrapText="1"/>
      <protection/>
    </xf>
    <xf numFmtId="0" fontId="2" fillId="0" borderId="145" xfId="61" applyFont="1" applyBorder="1" applyAlignment="1">
      <alignment horizontal="center" vertical="center"/>
      <protection/>
    </xf>
    <xf numFmtId="0" fontId="2" fillId="0" borderId="146" xfId="61" applyFont="1" applyBorder="1" applyAlignment="1">
      <alignment horizontal="center" vertical="center"/>
      <protection/>
    </xf>
    <xf numFmtId="0" fontId="2" fillId="0" borderId="131" xfId="61" applyFont="1" applyBorder="1" applyAlignment="1">
      <alignment horizontal="left" vertical="center"/>
      <protection/>
    </xf>
    <xf numFmtId="0" fontId="2" fillId="0" borderId="147" xfId="61" applyFont="1" applyBorder="1" applyAlignment="1">
      <alignment horizontal="left" vertical="center"/>
      <protection/>
    </xf>
    <xf numFmtId="0" fontId="2" fillId="0" borderId="138" xfId="61" applyFont="1" applyBorder="1" applyAlignment="1">
      <alignment horizontal="center" vertical="center" wrapText="1"/>
      <protection/>
    </xf>
    <xf numFmtId="0" fontId="2" fillId="0" borderId="148" xfId="61" applyFont="1" applyBorder="1" applyAlignment="1">
      <alignment horizontal="center" vertical="center"/>
      <protection/>
    </xf>
    <xf numFmtId="0" fontId="2" fillId="0" borderId="149" xfId="61" applyFont="1" applyBorder="1" applyAlignment="1">
      <alignment horizontal="center" vertical="center"/>
      <protection/>
    </xf>
    <xf numFmtId="0" fontId="2" fillId="0" borderId="150" xfId="61" applyFont="1" applyBorder="1" applyAlignment="1">
      <alignment horizontal="distributed" vertical="center" wrapText="1"/>
      <protection/>
    </xf>
    <xf numFmtId="0" fontId="2" fillId="0" borderId="151" xfId="61" applyFont="1" applyBorder="1" applyAlignment="1">
      <alignment horizontal="distributed" vertical="center"/>
      <protection/>
    </xf>
    <xf numFmtId="0" fontId="2" fillId="0" borderId="152" xfId="61" applyFont="1" applyBorder="1" applyAlignment="1">
      <alignment horizontal="distributed" vertical="center" wrapText="1"/>
      <protection/>
    </xf>
    <xf numFmtId="0" fontId="2" fillId="0" borderId="153" xfId="61" applyFont="1" applyBorder="1" applyAlignment="1">
      <alignment horizontal="distributed" vertical="center"/>
      <protection/>
    </xf>
    <xf numFmtId="0" fontId="2" fillId="0" borderId="154" xfId="61" applyFont="1" applyBorder="1" applyAlignment="1">
      <alignment horizontal="distributed" vertical="center" wrapText="1"/>
      <protection/>
    </xf>
    <xf numFmtId="0" fontId="2" fillId="0" borderId="155" xfId="61" applyFont="1" applyBorder="1" applyAlignment="1">
      <alignment horizontal="distributed" vertical="center" wrapText="1"/>
      <protection/>
    </xf>
    <xf numFmtId="0" fontId="2" fillId="0" borderId="101" xfId="61" applyFont="1" applyBorder="1" applyAlignment="1">
      <alignment horizontal="center" vertical="center"/>
      <protection/>
    </xf>
    <xf numFmtId="0" fontId="6" fillId="0" borderId="0" xfId="0" applyFont="1" applyAlignment="1">
      <alignment horizontal="center" vertical="top"/>
    </xf>
    <xf numFmtId="0" fontId="2" fillId="0" borderId="0" xfId="0" applyFont="1" applyAlignment="1">
      <alignment horizontal="justify" vertical="top" wrapText="1"/>
    </xf>
    <xf numFmtId="0" fontId="2" fillId="0" borderId="0" xfId="0" applyFont="1" applyBorder="1" applyAlignment="1">
      <alignment horizontal="left" vertical="top" wrapText="1"/>
    </xf>
    <xf numFmtId="0" fontId="2" fillId="0" borderId="0" xfId="0" applyFont="1" applyBorder="1" applyAlignment="1">
      <alignment horizontal="justify" vertical="top" wrapText="1"/>
    </xf>
    <xf numFmtId="0" fontId="2" fillId="0" borderId="131" xfId="0" applyFont="1" applyBorder="1" applyAlignment="1">
      <alignment horizontal="left" vertical="top"/>
    </xf>
    <xf numFmtId="0" fontId="2" fillId="0" borderId="131" xfId="0" applyFont="1" applyBorder="1" applyAlignment="1">
      <alignment horizontal="left"/>
    </xf>
    <xf numFmtId="0" fontId="2" fillId="0" borderId="0" xfId="0" applyFont="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19"/>
  <sheetViews>
    <sheetView showGridLines="0" tabSelected="1"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1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80" t="s">
        <v>0</v>
      </c>
      <c r="B1" s="180"/>
      <c r="C1" s="180"/>
      <c r="D1" s="180"/>
      <c r="E1" s="180"/>
      <c r="F1" s="180"/>
      <c r="G1" s="180"/>
      <c r="H1" s="180"/>
      <c r="I1" s="180"/>
      <c r="J1" s="180"/>
      <c r="K1" s="180"/>
    </row>
    <row r="2" spans="1:11" ht="15">
      <c r="A2" s="80"/>
      <c r="B2" s="80"/>
      <c r="C2" s="80"/>
      <c r="D2" s="80"/>
      <c r="E2" s="80"/>
      <c r="F2" s="80"/>
      <c r="G2" s="80"/>
      <c r="H2" s="80"/>
      <c r="I2" s="80"/>
      <c r="J2" s="80"/>
      <c r="K2" s="80"/>
    </row>
    <row r="3" spans="1:11" ht="12" thickBot="1">
      <c r="A3" s="193" t="s">
        <v>29</v>
      </c>
      <c r="B3" s="193"/>
      <c r="C3" s="193"/>
      <c r="D3" s="193"/>
      <c r="E3" s="193"/>
      <c r="F3" s="193"/>
      <c r="G3" s="193"/>
      <c r="H3" s="193"/>
      <c r="I3" s="193"/>
      <c r="J3" s="193"/>
      <c r="K3" s="193"/>
    </row>
    <row r="4" spans="1:11" ht="24" customHeight="1">
      <c r="A4" s="176" t="s">
        <v>1</v>
      </c>
      <c r="B4" s="177"/>
      <c r="C4" s="187" t="s">
        <v>14</v>
      </c>
      <c r="D4" s="188"/>
      <c r="E4" s="194"/>
      <c r="F4" s="187" t="s">
        <v>15</v>
      </c>
      <c r="G4" s="188"/>
      <c r="H4" s="194"/>
      <c r="I4" s="187" t="s">
        <v>16</v>
      </c>
      <c r="J4" s="188"/>
      <c r="K4" s="189"/>
    </row>
    <row r="5" spans="1:11" ht="24" customHeight="1">
      <c r="A5" s="178"/>
      <c r="B5" s="179"/>
      <c r="C5" s="174" t="s">
        <v>2</v>
      </c>
      <c r="D5" s="175"/>
      <c r="E5" s="6" t="s">
        <v>3</v>
      </c>
      <c r="F5" s="174" t="s">
        <v>2</v>
      </c>
      <c r="G5" s="175"/>
      <c r="H5" s="6" t="s">
        <v>3</v>
      </c>
      <c r="I5" s="174" t="s">
        <v>2</v>
      </c>
      <c r="J5" s="175"/>
      <c r="K5" s="19" t="s">
        <v>3</v>
      </c>
    </row>
    <row r="6" spans="1:11" ht="12" customHeight="1">
      <c r="A6" s="66"/>
      <c r="B6" s="69"/>
      <c r="C6" s="67"/>
      <c r="D6" s="56" t="s">
        <v>31</v>
      </c>
      <c r="E6" s="55" t="s">
        <v>30</v>
      </c>
      <c r="F6" s="67"/>
      <c r="G6" s="56" t="s">
        <v>31</v>
      </c>
      <c r="H6" s="55" t="s">
        <v>30</v>
      </c>
      <c r="I6" s="67"/>
      <c r="J6" s="56" t="s">
        <v>31</v>
      </c>
      <c r="K6" s="68" t="s">
        <v>30</v>
      </c>
    </row>
    <row r="7" spans="1:11" ht="30" customHeight="1">
      <c r="A7" s="190" t="s">
        <v>32</v>
      </c>
      <c r="B7" s="62" t="s">
        <v>17</v>
      </c>
      <c r="C7" s="20"/>
      <c r="D7" s="63">
        <v>80066</v>
      </c>
      <c r="E7" s="64">
        <v>48772375</v>
      </c>
      <c r="F7" s="23"/>
      <c r="G7" s="63">
        <v>376996</v>
      </c>
      <c r="H7" s="64">
        <v>4134087266</v>
      </c>
      <c r="I7" s="23"/>
      <c r="J7" s="63">
        <v>457062</v>
      </c>
      <c r="K7" s="65">
        <v>4182859641</v>
      </c>
    </row>
    <row r="8" spans="1:11" ht="30" customHeight="1">
      <c r="A8" s="191"/>
      <c r="B8" s="37" t="s">
        <v>18</v>
      </c>
      <c r="C8" s="20"/>
      <c r="D8" s="26">
        <v>155509</v>
      </c>
      <c r="E8" s="27">
        <v>45620345</v>
      </c>
      <c r="F8" s="23"/>
      <c r="G8" s="26">
        <v>161566</v>
      </c>
      <c r="H8" s="27">
        <v>62352103</v>
      </c>
      <c r="I8" s="23"/>
      <c r="J8" s="26">
        <v>317075</v>
      </c>
      <c r="K8" s="33">
        <v>107972448</v>
      </c>
    </row>
    <row r="9" spans="1:11" s="3" customFormat="1" ht="30" customHeight="1">
      <c r="A9" s="191"/>
      <c r="B9" s="38" t="s">
        <v>19</v>
      </c>
      <c r="C9" s="21"/>
      <c r="D9" s="28">
        <v>235575</v>
      </c>
      <c r="E9" s="29">
        <v>94392719</v>
      </c>
      <c r="F9" s="21"/>
      <c r="G9" s="28">
        <v>538562</v>
      </c>
      <c r="H9" s="29">
        <v>4196439370</v>
      </c>
      <c r="I9" s="21"/>
      <c r="J9" s="28">
        <v>774137</v>
      </c>
      <c r="K9" s="34">
        <v>4290832089</v>
      </c>
    </row>
    <row r="10" spans="1:11" ht="30" customHeight="1">
      <c r="A10" s="192"/>
      <c r="B10" s="39" t="s">
        <v>20</v>
      </c>
      <c r="C10" s="20"/>
      <c r="D10" s="30">
        <v>5557</v>
      </c>
      <c r="E10" s="31">
        <v>4342149</v>
      </c>
      <c r="F10" s="20"/>
      <c r="G10" s="30">
        <v>44769</v>
      </c>
      <c r="H10" s="31">
        <v>1128974442</v>
      </c>
      <c r="I10" s="20"/>
      <c r="J10" s="30">
        <v>50326</v>
      </c>
      <c r="K10" s="35">
        <v>1133316591</v>
      </c>
    </row>
    <row r="11" spans="1:11" ht="30" customHeight="1">
      <c r="A11" s="185" t="s">
        <v>33</v>
      </c>
      <c r="B11" s="81" t="s">
        <v>21</v>
      </c>
      <c r="C11" s="9"/>
      <c r="D11" s="79">
        <v>14785</v>
      </c>
      <c r="E11" s="25">
        <v>3306450</v>
      </c>
      <c r="F11" s="57"/>
      <c r="G11" s="59">
        <v>25837</v>
      </c>
      <c r="H11" s="25">
        <v>19059839</v>
      </c>
      <c r="I11" s="57"/>
      <c r="J11" s="59">
        <v>40622</v>
      </c>
      <c r="K11" s="32">
        <v>22366288</v>
      </c>
    </row>
    <row r="12" spans="1:11" ht="30" customHeight="1">
      <c r="A12" s="186"/>
      <c r="B12" s="82" t="s">
        <v>22</v>
      </c>
      <c r="C12" s="58"/>
      <c r="D12" s="26">
        <v>2559</v>
      </c>
      <c r="E12" s="27">
        <v>501199</v>
      </c>
      <c r="F12" s="61"/>
      <c r="G12" s="60">
        <v>6103</v>
      </c>
      <c r="H12" s="27">
        <v>15658086</v>
      </c>
      <c r="I12" s="61"/>
      <c r="J12" s="60">
        <v>8662</v>
      </c>
      <c r="K12" s="33">
        <v>16159285</v>
      </c>
    </row>
    <row r="13" spans="1:13" s="3" customFormat="1" ht="30" customHeight="1">
      <c r="A13" s="181" t="s">
        <v>6</v>
      </c>
      <c r="B13" s="182"/>
      <c r="C13" s="46" t="s">
        <v>13</v>
      </c>
      <c r="D13" s="43">
        <v>249391</v>
      </c>
      <c r="E13" s="44">
        <v>92855821</v>
      </c>
      <c r="F13" s="46" t="s">
        <v>13</v>
      </c>
      <c r="G13" s="43">
        <v>589901</v>
      </c>
      <c r="H13" s="44">
        <v>3070866680</v>
      </c>
      <c r="I13" s="46" t="s">
        <v>13</v>
      </c>
      <c r="J13" s="43">
        <v>839292</v>
      </c>
      <c r="K13" s="45">
        <v>3163722501</v>
      </c>
      <c r="M13" s="231"/>
    </row>
    <row r="14" spans="1:11" ht="30" customHeight="1" thickBot="1">
      <c r="A14" s="183" t="s">
        <v>7</v>
      </c>
      <c r="B14" s="184"/>
      <c r="C14" s="22"/>
      <c r="D14" s="40">
        <v>16116</v>
      </c>
      <c r="E14" s="41">
        <v>573476</v>
      </c>
      <c r="F14" s="24"/>
      <c r="G14" s="40">
        <v>21817</v>
      </c>
      <c r="H14" s="41">
        <v>3394419</v>
      </c>
      <c r="I14" s="24"/>
      <c r="J14" s="40">
        <v>37933</v>
      </c>
      <c r="K14" s="42">
        <v>3967895</v>
      </c>
    </row>
    <row r="15" spans="1:11" ht="5.25" customHeight="1">
      <c r="A15" s="235"/>
      <c r="B15" s="235"/>
      <c r="C15" s="235"/>
      <c r="D15" s="235"/>
      <c r="E15" s="235"/>
      <c r="F15" s="235"/>
      <c r="G15" s="235"/>
      <c r="H15" s="235"/>
      <c r="I15" s="235"/>
      <c r="J15" s="235"/>
      <c r="K15" s="235"/>
    </row>
    <row r="16" spans="1:11" s="4" customFormat="1" ht="37.5" customHeight="1">
      <c r="A16" s="233" t="s">
        <v>35</v>
      </c>
      <c r="B16" s="234" t="s">
        <v>202</v>
      </c>
      <c r="C16" s="234"/>
      <c r="D16" s="234"/>
      <c r="E16" s="234"/>
      <c r="F16" s="234"/>
      <c r="G16" s="234"/>
      <c r="H16" s="234"/>
      <c r="I16" s="234"/>
      <c r="J16" s="234"/>
      <c r="K16" s="234"/>
    </row>
    <row r="17" spans="2:11" ht="45" customHeight="1">
      <c r="B17" s="232" t="s">
        <v>203</v>
      </c>
      <c r="C17" s="232"/>
      <c r="D17" s="232"/>
      <c r="E17" s="232"/>
      <c r="F17" s="232"/>
      <c r="G17" s="232"/>
      <c r="H17" s="232"/>
      <c r="I17" s="232"/>
      <c r="J17" s="232"/>
      <c r="K17" s="232"/>
    </row>
    <row r="18" spans="1:2" ht="14.25" customHeight="1">
      <c r="A18" s="1" t="s">
        <v>38</v>
      </c>
      <c r="B18" s="1" t="s">
        <v>39</v>
      </c>
    </row>
    <row r="19" spans="1:2" ht="11.25">
      <c r="A19" s="85" t="s">
        <v>41</v>
      </c>
      <c r="B19" s="1" t="s">
        <v>40</v>
      </c>
    </row>
  </sheetData>
  <sheetProtection/>
  <mergeCells count="15">
    <mergeCell ref="A7:A10"/>
    <mergeCell ref="A3:K3"/>
    <mergeCell ref="I5:J5"/>
    <mergeCell ref="C4:E4"/>
    <mergeCell ref="F4:H4"/>
    <mergeCell ref="C5:D5"/>
    <mergeCell ref="F5:G5"/>
    <mergeCell ref="A4:B5"/>
    <mergeCell ref="B16:K16"/>
    <mergeCell ref="B17:K17"/>
    <mergeCell ref="A1:K1"/>
    <mergeCell ref="A13:B13"/>
    <mergeCell ref="A14:B14"/>
    <mergeCell ref="A11:A12"/>
    <mergeCell ref="I4:K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7" r:id="rId1"/>
  <headerFooter alignWithMargins="0">
    <oddFooter>&amp;R東京国税局
消費税
(H24)</oddFooter>
  </headerFooter>
  <ignoredErrors>
    <ignoredError sqref="A19"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
    </sheetView>
  </sheetViews>
  <sheetFormatPr defaultColWidth="9.00390625" defaultRowHeight="13.5"/>
  <cols>
    <col min="1" max="1" width="10.625" style="84" customWidth="1"/>
    <col min="2" max="2" width="15.625" style="84" customWidth="1"/>
    <col min="3" max="3" width="8.625" style="84" customWidth="1"/>
    <col min="4" max="4" width="10.625" style="84" customWidth="1"/>
    <col min="5" max="5" width="8.625" style="84" customWidth="1"/>
    <col min="6" max="6" width="12.875" style="84" bestFit="1" customWidth="1"/>
    <col min="7" max="7" width="8.625" style="84" customWidth="1"/>
    <col min="8" max="8" width="12.875" style="84" bestFit="1" customWidth="1"/>
    <col min="9" max="16384" width="9.00390625" style="84" customWidth="1"/>
  </cols>
  <sheetData>
    <row r="1" s="1" customFormat="1" ht="12" thickBot="1">
      <c r="A1" s="1" t="s">
        <v>34</v>
      </c>
    </row>
    <row r="2" spans="1:8" s="1" customFormat="1" ht="15" customHeight="1">
      <c r="A2" s="176" t="s">
        <v>1</v>
      </c>
      <c r="B2" s="177"/>
      <c r="C2" s="195" t="s">
        <v>14</v>
      </c>
      <c r="D2" s="195"/>
      <c r="E2" s="195" t="s">
        <v>24</v>
      </c>
      <c r="F2" s="195"/>
      <c r="G2" s="196" t="s">
        <v>25</v>
      </c>
      <c r="H2" s="197"/>
    </row>
    <row r="3" spans="1:8" s="1" customFormat="1" ht="15" customHeight="1">
      <c r="A3" s="178"/>
      <c r="B3" s="179"/>
      <c r="C3" s="9" t="s">
        <v>26</v>
      </c>
      <c r="D3" s="6" t="s">
        <v>27</v>
      </c>
      <c r="E3" s="9" t="s">
        <v>26</v>
      </c>
      <c r="F3" s="7" t="s">
        <v>27</v>
      </c>
      <c r="G3" s="9" t="s">
        <v>26</v>
      </c>
      <c r="H3" s="8" t="s">
        <v>27</v>
      </c>
    </row>
    <row r="4" spans="1:8" s="10" customFormat="1" ht="15" customHeight="1">
      <c r="A4" s="71"/>
      <c r="B4" s="6"/>
      <c r="C4" s="72" t="s">
        <v>4</v>
      </c>
      <c r="D4" s="73" t="s">
        <v>5</v>
      </c>
      <c r="E4" s="72" t="s">
        <v>4</v>
      </c>
      <c r="F4" s="73" t="s">
        <v>5</v>
      </c>
      <c r="G4" s="72" t="s">
        <v>4</v>
      </c>
      <c r="H4" s="74" t="s">
        <v>5</v>
      </c>
    </row>
    <row r="5" spans="1:8" s="83" customFormat="1" ht="30" customHeight="1">
      <c r="A5" s="200" t="s">
        <v>199</v>
      </c>
      <c r="B5" s="62" t="s">
        <v>11</v>
      </c>
      <c r="C5" s="70">
        <v>286936</v>
      </c>
      <c r="D5" s="64">
        <v>110175325</v>
      </c>
      <c r="E5" s="70">
        <v>574683</v>
      </c>
      <c r="F5" s="64">
        <v>4313232641</v>
      </c>
      <c r="G5" s="70">
        <v>861619</v>
      </c>
      <c r="H5" s="65">
        <v>4423407966</v>
      </c>
    </row>
    <row r="6" spans="1:8" s="83" customFormat="1" ht="30" customHeight="1">
      <c r="A6" s="201"/>
      <c r="B6" s="39" t="s">
        <v>12</v>
      </c>
      <c r="C6" s="48">
        <v>7449</v>
      </c>
      <c r="D6" s="49">
        <v>8637937</v>
      </c>
      <c r="E6" s="48">
        <v>50027</v>
      </c>
      <c r="F6" s="49">
        <v>1452429483</v>
      </c>
      <c r="G6" s="48">
        <v>57476</v>
      </c>
      <c r="H6" s="50">
        <v>1461067419</v>
      </c>
    </row>
    <row r="7" spans="1:8" s="83" customFormat="1" ht="30" customHeight="1">
      <c r="A7" s="202" t="s">
        <v>36</v>
      </c>
      <c r="B7" s="36" t="s">
        <v>11</v>
      </c>
      <c r="C7" s="47">
        <v>284859</v>
      </c>
      <c r="D7" s="25">
        <v>103763589</v>
      </c>
      <c r="E7" s="47">
        <v>569801</v>
      </c>
      <c r="F7" s="25">
        <v>4309354816</v>
      </c>
      <c r="G7" s="47">
        <v>854660</v>
      </c>
      <c r="H7" s="32">
        <v>4413118405</v>
      </c>
    </row>
    <row r="8" spans="1:8" s="83" customFormat="1" ht="30" customHeight="1">
      <c r="A8" s="203"/>
      <c r="B8" s="39" t="s">
        <v>12</v>
      </c>
      <c r="C8" s="48">
        <v>7972</v>
      </c>
      <c r="D8" s="49">
        <v>8666361</v>
      </c>
      <c r="E8" s="48">
        <v>49860</v>
      </c>
      <c r="F8" s="49">
        <v>1073664990</v>
      </c>
      <c r="G8" s="48">
        <v>57832</v>
      </c>
      <c r="H8" s="50">
        <v>1082331351</v>
      </c>
    </row>
    <row r="9" spans="1:8" s="83" customFormat="1" ht="30" customHeight="1">
      <c r="A9" s="198" t="s">
        <v>37</v>
      </c>
      <c r="B9" s="36" t="s">
        <v>11</v>
      </c>
      <c r="C9" s="47">
        <v>275049</v>
      </c>
      <c r="D9" s="25">
        <v>100206355</v>
      </c>
      <c r="E9" s="47">
        <v>561368</v>
      </c>
      <c r="F9" s="25">
        <v>4325010620</v>
      </c>
      <c r="G9" s="47">
        <v>836417</v>
      </c>
      <c r="H9" s="32">
        <v>4425216975</v>
      </c>
    </row>
    <row r="10" spans="1:8" s="83" customFormat="1" ht="30" customHeight="1">
      <c r="A10" s="201"/>
      <c r="B10" s="39" t="s">
        <v>12</v>
      </c>
      <c r="C10" s="48">
        <v>7043</v>
      </c>
      <c r="D10" s="49">
        <v>6785860</v>
      </c>
      <c r="E10" s="48">
        <v>48688</v>
      </c>
      <c r="F10" s="49">
        <v>1214221252</v>
      </c>
      <c r="G10" s="48">
        <v>55731</v>
      </c>
      <c r="H10" s="50">
        <v>1221007112</v>
      </c>
    </row>
    <row r="11" spans="1:8" s="83" customFormat="1" ht="30" customHeight="1">
      <c r="A11" s="198" t="s">
        <v>42</v>
      </c>
      <c r="B11" s="36" t="s">
        <v>11</v>
      </c>
      <c r="C11" s="47">
        <v>248682</v>
      </c>
      <c r="D11" s="25">
        <v>95315802</v>
      </c>
      <c r="E11" s="47">
        <v>545806</v>
      </c>
      <c r="F11" s="25">
        <v>4195113592</v>
      </c>
      <c r="G11" s="47">
        <v>794488</v>
      </c>
      <c r="H11" s="32">
        <v>4290429394</v>
      </c>
    </row>
    <row r="12" spans="1:8" s="83" customFormat="1" ht="30" customHeight="1">
      <c r="A12" s="201"/>
      <c r="B12" s="39" t="s">
        <v>12</v>
      </c>
      <c r="C12" s="48">
        <v>6013</v>
      </c>
      <c r="D12" s="49">
        <v>4441122</v>
      </c>
      <c r="E12" s="48">
        <v>46170</v>
      </c>
      <c r="F12" s="49">
        <v>1204316116</v>
      </c>
      <c r="G12" s="48">
        <v>52183</v>
      </c>
      <c r="H12" s="50">
        <v>1208757237</v>
      </c>
    </row>
    <row r="13" spans="1:8" s="1" customFormat="1" ht="30" customHeight="1">
      <c r="A13" s="198" t="s">
        <v>200</v>
      </c>
      <c r="B13" s="36" t="s">
        <v>11</v>
      </c>
      <c r="C13" s="47">
        <v>235575</v>
      </c>
      <c r="D13" s="25">
        <v>94392719</v>
      </c>
      <c r="E13" s="47">
        <v>538562</v>
      </c>
      <c r="F13" s="25">
        <v>4196439370</v>
      </c>
      <c r="G13" s="47">
        <v>774137</v>
      </c>
      <c r="H13" s="32">
        <v>4290832089</v>
      </c>
    </row>
    <row r="14" spans="1:8" s="1" customFormat="1" ht="30" customHeight="1" thickBot="1">
      <c r="A14" s="199"/>
      <c r="B14" s="51" t="s">
        <v>12</v>
      </c>
      <c r="C14" s="52">
        <v>5557</v>
      </c>
      <c r="D14" s="53">
        <v>4342149</v>
      </c>
      <c r="E14" s="52">
        <v>44769</v>
      </c>
      <c r="F14" s="53">
        <v>1128974442</v>
      </c>
      <c r="G14" s="52">
        <v>50326</v>
      </c>
      <c r="H14" s="54">
        <v>1133316591</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&amp;R東京国税局
消費税
(H24)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00390625" defaultRowHeight="13.5"/>
  <cols>
    <col min="1" max="2" width="18.625" style="84" customWidth="1"/>
    <col min="3" max="3" width="23.625" style="84" customWidth="1"/>
    <col min="4" max="4" width="18.625" style="84" customWidth="1"/>
    <col min="5" max="16384" width="9.00390625" style="84" customWidth="1"/>
  </cols>
  <sheetData>
    <row r="1" s="1" customFormat="1" ht="20.25" customHeight="1" thickBot="1">
      <c r="A1" s="1" t="s">
        <v>28</v>
      </c>
    </row>
    <row r="2" spans="1:4" s="4" customFormat="1" ht="19.5" customHeight="1">
      <c r="A2" s="14" t="s">
        <v>8</v>
      </c>
      <c r="B2" s="15" t="s">
        <v>9</v>
      </c>
      <c r="C2" s="17" t="s">
        <v>10</v>
      </c>
      <c r="D2" s="16" t="s">
        <v>23</v>
      </c>
    </row>
    <row r="3" spans="1:4" s="10" customFormat="1" ht="15" customHeight="1">
      <c r="A3" s="75" t="s">
        <v>4</v>
      </c>
      <c r="B3" s="76" t="s">
        <v>4</v>
      </c>
      <c r="C3" s="77" t="s">
        <v>4</v>
      </c>
      <c r="D3" s="78" t="s">
        <v>4</v>
      </c>
    </row>
    <row r="4" spans="1:9" s="4" customFormat="1" ht="30" customHeight="1" thickBot="1">
      <c r="A4" s="11">
        <v>839484</v>
      </c>
      <c r="B4" s="12">
        <v>30791</v>
      </c>
      <c r="C4" s="18">
        <v>6339</v>
      </c>
      <c r="D4" s="13">
        <v>876614</v>
      </c>
      <c r="E4" s="5"/>
      <c r="G4" s="5"/>
      <c r="I4" s="5"/>
    </row>
    <row r="5" spans="1:4" s="4" customFormat="1" ht="15" customHeight="1">
      <c r="A5" s="236" t="s">
        <v>201</v>
      </c>
      <c r="B5" s="236"/>
      <c r="C5" s="236"/>
      <c r="D5" s="236"/>
    </row>
    <row r="6" spans="1:4" s="4" customFormat="1" ht="15" customHeight="1">
      <c r="A6" s="237" t="s">
        <v>204</v>
      </c>
      <c r="B6" s="237"/>
      <c r="C6" s="237"/>
      <c r="D6" s="237"/>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消費税
(H24)</oddFooter>
  </headerFooter>
</worksheet>
</file>

<file path=xl/worksheets/sheet4.xml><?xml version="1.0" encoding="utf-8"?>
<worksheet xmlns="http://schemas.openxmlformats.org/spreadsheetml/2006/main" xmlns:r="http://schemas.openxmlformats.org/officeDocument/2006/relationships">
  <dimension ref="A1:O131"/>
  <sheetViews>
    <sheetView showGridLines="0" zoomScaleSheetLayoutView="115" zoomScalePageLayoutView="0" workbookViewId="0" topLeftCell="A1">
      <selection activeCell="A1" sqref="A1"/>
    </sheetView>
  </sheetViews>
  <sheetFormatPr defaultColWidth="9.00390625" defaultRowHeight="13.5"/>
  <cols>
    <col min="1" max="1" width="11.375" style="88" customWidth="1"/>
    <col min="2" max="2" width="10.625" style="88" customWidth="1"/>
    <col min="3" max="3" width="12.625" style="88" customWidth="1"/>
    <col min="4" max="4" width="10.625" style="88" customWidth="1"/>
    <col min="5" max="5" width="12.625" style="88" customWidth="1"/>
    <col min="6" max="6" width="10.625" style="88" customWidth="1"/>
    <col min="7" max="7" width="12.625" style="88" customWidth="1"/>
    <col min="8" max="8" width="10.625" style="88" customWidth="1"/>
    <col min="9" max="9" width="12.625" style="88" customWidth="1"/>
    <col min="10" max="10" width="10.625" style="88" customWidth="1"/>
    <col min="11" max="11" width="12.625" style="88" customWidth="1"/>
    <col min="12" max="12" width="10.625" style="88" customWidth="1"/>
    <col min="13" max="13" width="12.625" style="88" customWidth="1"/>
    <col min="14" max="14" width="11.375" style="88" customWidth="1"/>
    <col min="15" max="16384" width="9.00390625" style="88" customWidth="1"/>
  </cols>
  <sheetData>
    <row r="1" spans="1:14" ht="13.5">
      <c r="A1" s="86" t="s">
        <v>153</v>
      </c>
      <c r="B1" s="86"/>
      <c r="C1" s="86"/>
      <c r="D1" s="86"/>
      <c r="E1" s="86"/>
      <c r="F1" s="86"/>
      <c r="G1" s="86"/>
      <c r="H1" s="87"/>
      <c r="I1" s="87"/>
      <c r="J1" s="87"/>
      <c r="K1" s="87"/>
      <c r="L1" s="87"/>
      <c r="M1" s="87"/>
      <c r="N1" s="87"/>
    </row>
    <row r="2" spans="1:14" ht="14.25" thickBot="1">
      <c r="A2" s="204" t="s">
        <v>154</v>
      </c>
      <c r="B2" s="204"/>
      <c r="C2" s="204"/>
      <c r="D2" s="204"/>
      <c r="E2" s="204"/>
      <c r="F2" s="204"/>
      <c r="G2" s="204"/>
      <c r="H2" s="87"/>
      <c r="I2" s="87"/>
      <c r="J2" s="87"/>
      <c r="K2" s="87"/>
      <c r="L2" s="87"/>
      <c r="M2" s="87"/>
      <c r="N2" s="87"/>
    </row>
    <row r="3" spans="1:14" ht="19.5" customHeight="1">
      <c r="A3" s="205" t="s">
        <v>44</v>
      </c>
      <c r="B3" s="208" t="s">
        <v>45</v>
      </c>
      <c r="C3" s="208"/>
      <c r="D3" s="208"/>
      <c r="E3" s="208"/>
      <c r="F3" s="208"/>
      <c r="G3" s="208"/>
      <c r="H3" s="209" t="s">
        <v>12</v>
      </c>
      <c r="I3" s="210"/>
      <c r="J3" s="213" t="s">
        <v>46</v>
      </c>
      <c r="K3" s="210"/>
      <c r="L3" s="209" t="s">
        <v>47</v>
      </c>
      <c r="M3" s="210"/>
      <c r="N3" s="214" t="s">
        <v>155</v>
      </c>
    </row>
    <row r="4" spans="1:14" ht="17.25" customHeight="1">
      <c r="A4" s="206"/>
      <c r="B4" s="217" t="s">
        <v>17</v>
      </c>
      <c r="C4" s="217"/>
      <c r="D4" s="211" t="s">
        <v>49</v>
      </c>
      <c r="E4" s="218"/>
      <c r="F4" s="211" t="s">
        <v>50</v>
      </c>
      <c r="G4" s="218"/>
      <c r="H4" s="211"/>
      <c r="I4" s="212"/>
      <c r="J4" s="211"/>
      <c r="K4" s="212"/>
      <c r="L4" s="211"/>
      <c r="M4" s="212"/>
      <c r="N4" s="215"/>
    </row>
    <row r="5" spans="1:14" s="155" customFormat="1" ht="28.5" customHeight="1">
      <c r="A5" s="207"/>
      <c r="B5" s="90" t="s">
        <v>53</v>
      </c>
      <c r="C5" s="91" t="s">
        <v>156</v>
      </c>
      <c r="D5" s="90" t="s">
        <v>157</v>
      </c>
      <c r="E5" s="91" t="s">
        <v>156</v>
      </c>
      <c r="F5" s="90" t="s">
        <v>157</v>
      </c>
      <c r="G5" s="91" t="s">
        <v>158</v>
      </c>
      <c r="H5" s="90" t="s">
        <v>157</v>
      </c>
      <c r="I5" s="149" t="s">
        <v>159</v>
      </c>
      <c r="J5" s="90" t="s">
        <v>157</v>
      </c>
      <c r="K5" s="149" t="s">
        <v>160</v>
      </c>
      <c r="L5" s="90" t="s">
        <v>157</v>
      </c>
      <c r="M5" s="150" t="s">
        <v>161</v>
      </c>
      <c r="N5" s="216"/>
    </row>
    <row r="6" spans="1:14" s="156" customFormat="1" ht="10.5">
      <c r="A6" s="166"/>
      <c r="B6" s="167" t="s">
        <v>4</v>
      </c>
      <c r="C6" s="95" t="s">
        <v>5</v>
      </c>
      <c r="D6" s="167" t="s">
        <v>4</v>
      </c>
      <c r="E6" s="95" t="s">
        <v>5</v>
      </c>
      <c r="F6" s="167" t="s">
        <v>4</v>
      </c>
      <c r="G6" s="95" t="s">
        <v>5</v>
      </c>
      <c r="H6" s="167" t="s">
        <v>4</v>
      </c>
      <c r="I6" s="151" t="s">
        <v>5</v>
      </c>
      <c r="J6" s="167" t="s">
        <v>4</v>
      </c>
      <c r="K6" s="151" t="s">
        <v>5</v>
      </c>
      <c r="L6" s="167" t="s">
        <v>4</v>
      </c>
      <c r="M6" s="151" t="s">
        <v>5</v>
      </c>
      <c r="N6" s="161"/>
    </row>
    <row r="7" spans="1:14" s="157" customFormat="1" ht="15.75" customHeight="1">
      <c r="A7" s="163" t="s">
        <v>56</v>
      </c>
      <c r="B7" s="100">
        <f>_xlfn.COMPOUNDVALUE(1)</f>
        <v>941</v>
      </c>
      <c r="C7" s="101">
        <v>454054</v>
      </c>
      <c r="D7" s="100">
        <f>_xlfn.COMPOUNDVALUE(2)</f>
        <v>1700</v>
      </c>
      <c r="E7" s="101">
        <v>511835</v>
      </c>
      <c r="F7" s="100">
        <f>_xlfn.COMPOUNDVALUE(3)</f>
        <v>2641</v>
      </c>
      <c r="G7" s="101">
        <v>965889</v>
      </c>
      <c r="H7" s="100">
        <f>_xlfn.COMPOUNDVALUE(4)</f>
        <v>55</v>
      </c>
      <c r="I7" s="102">
        <v>34162</v>
      </c>
      <c r="J7" s="100">
        <v>213</v>
      </c>
      <c r="K7" s="102">
        <v>58988</v>
      </c>
      <c r="L7" s="100">
        <v>2834</v>
      </c>
      <c r="M7" s="102">
        <v>990715</v>
      </c>
      <c r="N7" s="165" t="s">
        <v>56</v>
      </c>
    </row>
    <row r="8" spans="1:14" s="157" customFormat="1" ht="15.75" customHeight="1">
      <c r="A8" s="99" t="s">
        <v>57</v>
      </c>
      <c r="B8" s="100">
        <f>_xlfn.COMPOUNDVALUE(5)</f>
        <v>886</v>
      </c>
      <c r="C8" s="101">
        <v>333491</v>
      </c>
      <c r="D8" s="100">
        <f>_xlfn.COMPOUNDVALUE(6)</f>
        <v>1668</v>
      </c>
      <c r="E8" s="101">
        <v>461669</v>
      </c>
      <c r="F8" s="100">
        <f>_xlfn.COMPOUNDVALUE(7)</f>
        <v>2554</v>
      </c>
      <c r="G8" s="101">
        <v>795160</v>
      </c>
      <c r="H8" s="100">
        <f>_xlfn.COMPOUNDVALUE(8)</f>
        <v>61</v>
      </c>
      <c r="I8" s="102">
        <v>31388</v>
      </c>
      <c r="J8" s="100">
        <v>215</v>
      </c>
      <c r="K8" s="102">
        <v>36444</v>
      </c>
      <c r="L8" s="100">
        <v>2740</v>
      </c>
      <c r="M8" s="102">
        <v>800216</v>
      </c>
      <c r="N8" s="148" t="s">
        <v>57</v>
      </c>
    </row>
    <row r="9" spans="1:14" s="157" customFormat="1" ht="15.75" customHeight="1">
      <c r="A9" s="99" t="s">
        <v>58</v>
      </c>
      <c r="B9" s="100">
        <f>_xlfn.COMPOUNDVALUE(9)</f>
        <v>981</v>
      </c>
      <c r="C9" s="101">
        <v>443867</v>
      </c>
      <c r="D9" s="100">
        <f>_xlfn.COMPOUNDVALUE(10)</f>
        <v>1874</v>
      </c>
      <c r="E9" s="101">
        <v>528127</v>
      </c>
      <c r="F9" s="100">
        <f>_xlfn.COMPOUNDVALUE(11)</f>
        <v>2855</v>
      </c>
      <c r="G9" s="101">
        <v>971994</v>
      </c>
      <c r="H9" s="100">
        <f>_xlfn.COMPOUNDVALUE(12)</f>
        <v>91</v>
      </c>
      <c r="I9" s="102">
        <v>49541</v>
      </c>
      <c r="J9" s="100">
        <v>205</v>
      </c>
      <c r="K9" s="102">
        <v>20654</v>
      </c>
      <c r="L9" s="100">
        <v>3045</v>
      </c>
      <c r="M9" s="102">
        <v>943107</v>
      </c>
      <c r="N9" s="148" t="s">
        <v>58</v>
      </c>
    </row>
    <row r="10" spans="1:14" s="157" customFormat="1" ht="15.75" customHeight="1">
      <c r="A10" s="99" t="s">
        <v>59</v>
      </c>
      <c r="B10" s="100">
        <f>_xlfn.COMPOUNDVALUE(13)</f>
        <v>845</v>
      </c>
      <c r="C10" s="101">
        <v>360079</v>
      </c>
      <c r="D10" s="100">
        <f>_xlfn.COMPOUNDVALUE(14)</f>
        <v>2668</v>
      </c>
      <c r="E10" s="101">
        <v>628869</v>
      </c>
      <c r="F10" s="100">
        <f>_xlfn.COMPOUNDVALUE(15)</f>
        <v>3513</v>
      </c>
      <c r="G10" s="101">
        <v>988947</v>
      </c>
      <c r="H10" s="100">
        <f>_xlfn.COMPOUNDVALUE(16)</f>
        <v>47</v>
      </c>
      <c r="I10" s="102">
        <v>27133</v>
      </c>
      <c r="J10" s="100">
        <v>161</v>
      </c>
      <c r="K10" s="102">
        <v>17784</v>
      </c>
      <c r="L10" s="100">
        <v>3616</v>
      </c>
      <c r="M10" s="102">
        <v>979598</v>
      </c>
      <c r="N10" s="148" t="s">
        <v>59</v>
      </c>
    </row>
    <row r="11" spans="1:14" s="157" customFormat="1" ht="15.75" customHeight="1">
      <c r="A11" s="99" t="s">
        <v>60</v>
      </c>
      <c r="B11" s="100">
        <f>_xlfn.COMPOUNDVALUE(17)</f>
        <v>1295</v>
      </c>
      <c r="C11" s="101">
        <v>711830</v>
      </c>
      <c r="D11" s="100">
        <f>_xlfn.COMPOUNDVALUE(18)</f>
        <v>2379</v>
      </c>
      <c r="E11" s="101">
        <v>721094</v>
      </c>
      <c r="F11" s="100">
        <f>_xlfn.COMPOUNDVALUE(19)</f>
        <v>3674</v>
      </c>
      <c r="G11" s="101">
        <v>1432924</v>
      </c>
      <c r="H11" s="100">
        <f>_xlfn.COMPOUNDVALUE(20)</f>
        <v>114</v>
      </c>
      <c r="I11" s="102">
        <v>67220</v>
      </c>
      <c r="J11" s="100">
        <v>287</v>
      </c>
      <c r="K11" s="102">
        <v>43672</v>
      </c>
      <c r="L11" s="100">
        <v>3921</v>
      </c>
      <c r="M11" s="102">
        <v>1409376</v>
      </c>
      <c r="N11" s="148" t="s">
        <v>60</v>
      </c>
    </row>
    <row r="12" spans="1:14" s="157" customFormat="1" ht="15.75" customHeight="1">
      <c r="A12" s="99"/>
      <c r="B12" s="100"/>
      <c r="C12" s="101"/>
      <c r="D12" s="100"/>
      <c r="E12" s="101"/>
      <c r="F12" s="100"/>
      <c r="G12" s="101"/>
      <c r="H12" s="100"/>
      <c r="I12" s="102"/>
      <c r="J12" s="100"/>
      <c r="K12" s="102"/>
      <c r="L12" s="100"/>
      <c r="M12" s="102"/>
      <c r="N12" s="148" t="s">
        <v>55</v>
      </c>
    </row>
    <row r="13" spans="1:14" s="157" customFormat="1" ht="15.75" customHeight="1">
      <c r="A13" s="99" t="s">
        <v>61</v>
      </c>
      <c r="B13" s="100">
        <f>_xlfn.COMPOUNDVALUE(21)</f>
        <v>998</v>
      </c>
      <c r="C13" s="101">
        <v>461684</v>
      </c>
      <c r="D13" s="100">
        <f>_xlfn.COMPOUNDVALUE(22)</f>
        <v>2167</v>
      </c>
      <c r="E13" s="101">
        <v>601382</v>
      </c>
      <c r="F13" s="100">
        <f>_xlfn.COMPOUNDVALUE(23)</f>
        <v>3165</v>
      </c>
      <c r="G13" s="101">
        <v>1063066</v>
      </c>
      <c r="H13" s="100">
        <f>_xlfn.COMPOUNDVALUE(24)</f>
        <v>69</v>
      </c>
      <c r="I13" s="102">
        <v>32270</v>
      </c>
      <c r="J13" s="100">
        <v>248</v>
      </c>
      <c r="K13" s="102">
        <v>35452</v>
      </c>
      <c r="L13" s="100">
        <v>3379</v>
      </c>
      <c r="M13" s="102">
        <v>1066247</v>
      </c>
      <c r="N13" s="148" t="s">
        <v>61</v>
      </c>
    </row>
    <row r="14" spans="1:14" s="157" customFormat="1" ht="15.75" customHeight="1">
      <c r="A14" s="99" t="s">
        <v>62</v>
      </c>
      <c r="B14" s="100">
        <f>_xlfn.COMPOUNDVALUE(25)</f>
        <v>591</v>
      </c>
      <c r="C14" s="101">
        <v>215845</v>
      </c>
      <c r="D14" s="100">
        <f>_xlfn.COMPOUNDVALUE(26)</f>
        <v>1110</v>
      </c>
      <c r="E14" s="101">
        <v>251197</v>
      </c>
      <c r="F14" s="100">
        <f>_xlfn.COMPOUNDVALUE(27)</f>
        <v>1701</v>
      </c>
      <c r="G14" s="101">
        <v>467042</v>
      </c>
      <c r="H14" s="100">
        <f>_xlfn.COMPOUNDVALUE(28)</f>
        <v>33</v>
      </c>
      <c r="I14" s="102">
        <v>6392</v>
      </c>
      <c r="J14" s="100">
        <v>110</v>
      </c>
      <c r="K14" s="102">
        <v>14225</v>
      </c>
      <c r="L14" s="100">
        <v>1790</v>
      </c>
      <c r="M14" s="102">
        <v>474876</v>
      </c>
      <c r="N14" s="148" t="s">
        <v>62</v>
      </c>
    </row>
    <row r="15" spans="1:14" s="157" customFormat="1" ht="15.75" customHeight="1">
      <c r="A15" s="99" t="s">
        <v>63</v>
      </c>
      <c r="B15" s="100">
        <f>_xlfn.COMPOUNDVALUE(29)</f>
        <v>812</v>
      </c>
      <c r="C15" s="101">
        <v>300593</v>
      </c>
      <c r="D15" s="100">
        <f>_xlfn.COMPOUNDVALUE(30)</f>
        <v>1658</v>
      </c>
      <c r="E15" s="101">
        <v>410010</v>
      </c>
      <c r="F15" s="100">
        <f>_xlfn.COMPOUNDVALUE(31)</f>
        <v>2470</v>
      </c>
      <c r="G15" s="101">
        <v>710603</v>
      </c>
      <c r="H15" s="100">
        <f>_xlfn.COMPOUNDVALUE(32)</f>
        <v>47</v>
      </c>
      <c r="I15" s="102">
        <v>16821</v>
      </c>
      <c r="J15" s="100">
        <v>178</v>
      </c>
      <c r="K15" s="102">
        <v>26900</v>
      </c>
      <c r="L15" s="100">
        <v>2629</v>
      </c>
      <c r="M15" s="102">
        <v>720682</v>
      </c>
      <c r="N15" s="148" t="s">
        <v>63</v>
      </c>
    </row>
    <row r="16" spans="1:14" s="157" customFormat="1" ht="15.75" customHeight="1">
      <c r="A16" s="106" t="s">
        <v>64</v>
      </c>
      <c r="B16" s="107">
        <f>_xlfn.COMPOUNDVALUE(33)</f>
        <v>1483</v>
      </c>
      <c r="C16" s="108">
        <v>697557</v>
      </c>
      <c r="D16" s="107">
        <f>_xlfn.COMPOUNDVALUE(34)</f>
        <v>2972</v>
      </c>
      <c r="E16" s="108">
        <v>799411</v>
      </c>
      <c r="F16" s="107">
        <f>_xlfn.COMPOUNDVALUE(35)</f>
        <v>4455</v>
      </c>
      <c r="G16" s="108">
        <v>1496968</v>
      </c>
      <c r="H16" s="107">
        <f>_xlfn.COMPOUNDVALUE(36)</f>
        <v>104</v>
      </c>
      <c r="I16" s="109">
        <v>86569</v>
      </c>
      <c r="J16" s="107">
        <v>278</v>
      </c>
      <c r="K16" s="109">
        <v>90684</v>
      </c>
      <c r="L16" s="107">
        <v>4681</v>
      </c>
      <c r="M16" s="109">
        <v>1501083</v>
      </c>
      <c r="N16" s="105" t="s">
        <v>64</v>
      </c>
    </row>
    <row r="17" spans="1:14" s="157" customFormat="1" ht="15.75" customHeight="1">
      <c r="A17" s="106" t="s">
        <v>65</v>
      </c>
      <c r="B17" s="107">
        <f>_xlfn.COMPOUNDVALUE(37)</f>
        <v>528</v>
      </c>
      <c r="C17" s="108">
        <v>233850</v>
      </c>
      <c r="D17" s="107">
        <f>_xlfn.COMPOUNDVALUE(38)</f>
        <v>1168</v>
      </c>
      <c r="E17" s="108">
        <v>268561</v>
      </c>
      <c r="F17" s="107">
        <f>_xlfn.COMPOUNDVALUE(39)</f>
        <v>1696</v>
      </c>
      <c r="G17" s="108">
        <v>502410</v>
      </c>
      <c r="H17" s="107">
        <f>_xlfn.COMPOUNDVALUE(40)</f>
        <v>29</v>
      </c>
      <c r="I17" s="109">
        <v>9803</v>
      </c>
      <c r="J17" s="107">
        <v>120</v>
      </c>
      <c r="K17" s="109">
        <v>5670</v>
      </c>
      <c r="L17" s="107">
        <v>1750</v>
      </c>
      <c r="M17" s="109">
        <v>498277</v>
      </c>
      <c r="N17" s="105" t="s">
        <v>65</v>
      </c>
    </row>
    <row r="18" spans="1:14" s="157" customFormat="1" ht="15.75" customHeight="1">
      <c r="A18" s="106"/>
      <c r="B18" s="107"/>
      <c r="C18" s="108"/>
      <c r="D18" s="107"/>
      <c r="E18" s="108"/>
      <c r="F18" s="107"/>
      <c r="G18" s="108"/>
      <c r="H18" s="107"/>
      <c r="I18" s="109"/>
      <c r="J18" s="107"/>
      <c r="K18" s="109"/>
      <c r="L18" s="107"/>
      <c r="M18" s="109"/>
      <c r="N18" s="105" t="s">
        <v>55</v>
      </c>
    </row>
    <row r="19" spans="1:14" s="157" customFormat="1" ht="15.75" customHeight="1">
      <c r="A19" s="106" t="s">
        <v>66</v>
      </c>
      <c r="B19" s="107">
        <f>_xlfn.COMPOUNDVALUE(41)</f>
        <v>684</v>
      </c>
      <c r="C19" s="108">
        <v>244106</v>
      </c>
      <c r="D19" s="107">
        <f>_xlfn.COMPOUNDVALUE(42)</f>
        <v>1395</v>
      </c>
      <c r="E19" s="108">
        <v>337324</v>
      </c>
      <c r="F19" s="107">
        <f>_xlfn.COMPOUNDVALUE(43)</f>
        <v>2079</v>
      </c>
      <c r="G19" s="108">
        <v>581430</v>
      </c>
      <c r="H19" s="107">
        <f>_xlfn.COMPOUNDVALUE(44)</f>
        <v>39</v>
      </c>
      <c r="I19" s="109">
        <v>9179</v>
      </c>
      <c r="J19" s="107">
        <v>187</v>
      </c>
      <c r="K19" s="109">
        <v>24942</v>
      </c>
      <c r="L19" s="107">
        <v>2244</v>
      </c>
      <c r="M19" s="109">
        <v>597192</v>
      </c>
      <c r="N19" s="105" t="s">
        <v>66</v>
      </c>
    </row>
    <row r="20" spans="1:14" s="157" customFormat="1" ht="15.75" customHeight="1">
      <c r="A20" s="106" t="s">
        <v>67</v>
      </c>
      <c r="B20" s="107">
        <f>_xlfn.COMPOUNDVALUE(45)</f>
        <v>1487</v>
      </c>
      <c r="C20" s="108">
        <v>527966</v>
      </c>
      <c r="D20" s="107">
        <f>_xlfn.COMPOUNDVALUE(6)</f>
        <v>3168</v>
      </c>
      <c r="E20" s="108">
        <v>786593</v>
      </c>
      <c r="F20" s="107">
        <f>_xlfn.COMPOUNDVALUE(46)</f>
        <v>4655</v>
      </c>
      <c r="G20" s="108">
        <v>1314560</v>
      </c>
      <c r="H20" s="107">
        <f>_xlfn.COMPOUNDVALUE(47)</f>
        <v>103</v>
      </c>
      <c r="I20" s="109">
        <v>51573</v>
      </c>
      <c r="J20" s="107">
        <v>446</v>
      </c>
      <c r="K20" s="109">
        <v>47242</v>
      </c>
      <c r="L20" s="107">
        <v>4947</v>
      </c>
      <c r="M20" s="109">
        <v>1310229</v>
      </c>
      <c r="N20" s="105" t="s">
        <v>67</v>
      </c>
    </row>
    <row r="21" spans="1:14" s="157" customFormat="1" ht="15.75" customHeight="1">
      <c r="A21" s="106" t="s">
        <v>68</v>
      </c>
      <c r="B21" s="107">
        <f>_xlfn.COMPOUNDVALUE(48)</f>
        <v>624</v>
      </c>
      <c r="C21" s="108">
        <v>218290</v>
      </c>
      <c r="D21" s="107">
        <f>_xlfn.COMPOUNDVALUE(49)</f>
        <v>1661</v>
      </c>
      <c r="E21" s="108">
        <v>377912</v>
      </c>
      <c r="F21" s="107">
        <f>_xlfn.COMPOUNDVALUE(50)</f>
        <v>2285</v>
      </c>
      <c r="G21" s="108">
        <v>596202</v>
      </c>
      <c r="H21" s="107">
        <f>_xlfn.COMPOUNDVALUE(51)</f>
        <v>51</v>
      </c>
      <c r="I21" s="109">
        <v>24497</v>
      </c>
      <c r="J21" s="107">
        <v>129</v>
      </c>
      <c r="K21" s="109">
        <v>16567</v>
      </c>
      <c r="L21" s="107">
        <v>2393</v>
      </c>
      <c r="M21" s="109">
        <v>588271</v>
      </c>
      <c r="N21" s="105" t="s">
        <v>68</v>
      </c>
    </row>
    <row r="22" spans="1:14" s="157" customFormat="1" ht="15.75" customHeight="1">
      <c r="A22" s="106" t="s">
        <v>162</v>
      </c>
      <c r="B22" s="107">
        <f>_xlfn.COMPOUNDVALUE(52)</f>
        <v>1445</v>
      </c>
      <c r="C22" s="108">
        <v>702564</v>
      </c>
      <c r="D22" s="107">
        <f>_xlfn.COMPOUNDVALUE(53)</f>
        <v>2991</v>
      </c>
      <c r="E22" s="108">
        <v>842663</v>
      </c>
      <c r="F22" s="107">
        <f>_xlfn.COMPOUNDVALUE(54)</f>
        <v>4436</v>
      </c>
      <c r="G22" s="108">
        <v>1545227</v>
      </c>
      <c r="H22" s="107">
        <f>_xlfn.COMPOUNDVALUE(55)</f>
        <v>98</v>
      </c>
      <c r="I22" s="109">
        <v>101280</v>
      </c>
      <c r="J22" s="107">
        <v>323</v>
      </c>
      <c r="K22" s="109">
        <v>38483</v>
      </c>
      <c r="L22" s="107">
        <v>4702</v>
      </c>
      <c r="M22" s="109">
        <v>1482430</v>
      </c>
      <c r="N22" s="105" t="s">
        <v>69</v>
      </c>
    </row>
    <row r="23" spans="1:14" s="157" customFormat="1" ht="15.75" customHeight="1">
      <c r="A23" s="110" t="s">
        <v>70</v>
      </c>
      <c r="B23" s="111">
        <v>13600</v>
      </c>
      <c r="C23" s="112">
        <v>5905775</v>
      </c>
      <c r="D23" s="111">
        <v>28579</v>
      </c>
      <c r="E23" s="112">
        <v>7526647</v>
      </c>
      <c r="F23" s="111">
        <v>42179</v>
      </c>
      <c r="G23" s="112">
        <v>13432421</v>
      </c>
      <c r="H23" s="111">
        <v>941</v>
      </c>
      <c r="I23" s="113">
        <v>547829</v>
      </c>
      <c r="J23" s="111">
        <v>3100</v>
      </c>
      <c r="K23" s="113">
        <v>477706</v>
      </c>
      <c r="L23" s="111">
        <v>44671</v>
      </c>
      <c r="M23" s="113">
        <v>13362298</v>
      </c>
      <c r="N23" s="131" t="s">
        <v>71</v>
      </c>
    </row>
    <row r="24" spans="1:14" s="157" customFormat="1" ht="15.75" customHeight="1">
      <c r="A24" s="132"/>
      <c r="B24" s="133"/>
      <c r="C24" s="134"/>
      <c r="D24" s="133"/>
      <c r="E24" s="134"/>
      <c r="F24" s="135"/>
      <c r="G24" s="134"/>
      <c r="H24" s="135"/>
      <c r="I24" s="134"/>
      <c r="J24" s="135"/>
      <c r="K24" s="134"/>
      <c r="L24" s="135"/>
      <c r="M24" s="134"/>
      <c r="N24" s="152"/>
    </row>
    <row r="25" spans="1:14" s="157" customFormat="1" ht="15.75" customHeight="1">
      <c r="A25" s="99" t="s">
        <v>72</v>
      </c>
      <c r="B25" s="100">
        <f>_xlfn.COMPOUNDVALUE(56)</f>
        <v>1012</v>
      </c>
      <c r="C25" s="101">
        <v>1971147</v>
      </c>
      <c r="D25" s="100">
        <f>_xlfn.COMPOUNDVALUE(57)</f>
        <v>1592</v>
      </c>
      <c r="E25" s="101">
        <v>663306</v>
      </c>
      <c r="F25" s="100">
        <f>_xlfn.COMPOUNDVALUE(58)</f>
        <v>2604</v>
      </c>
      <c r="G25" s="101">
        <v>2634453</v>
      </c>
      <c r="H25" s="100">
        <f>_xlfn.COMPOUNDVALUE(59)</f>
        <v>54</v>
      </c>
      <c r="I25" s="102">
        <v>150654</v>
      </c>
      <c r="J25" s="100">
        <v>321</v>
      </c>
      <c r="K25" s="102">
        <v>153048</v>
      </c>
      <c r="L25" s="100">
        <v>2698</v>
      </c>
      <c r="M25" s="102">
        <v>2636847</v>
      </c>
      <c r="N25" s="147" t="s">
        <v>72</v>
      </c>
    </row>
    <row r="26" spans="1:14" s="157" customFormat="1" ht="15.75" customHeight="1">
      <c r="A26" s="99" t="s">
        <v>73</v>
      </c>
      <c r="B26" s="100">
        <f>_xlfn.COMPOUNDVALUE(60)</f>
        <v>490</v>
      </c>
      <c r="C26" s="101">
        <v>545711</v>
      </c>
      <c r="D26" s="100">
        <f>_xlfn.COMPOUNDVALUE(61)</f>
        <v>1133</v>
      </c>
      <c r="E26" s="101">
        <v>437619</v>
      </c>
      <c r="F26" s="100">
        <f>_xlfn.COMPOUNDVALUE(62)</f>
        <v>1623</v>
      </c>
      <c r="G26" s="101">
        <v>983330</v>
      </c>
      <c r="H26" s="100">
        <f>_xlfn.COMPOUNDVALUE(63)</f>
        <v>26</v>
      </c>
      <c r="I26" s="102">
        <v>20905</v>
      </c>
      <c r="J26" s="100">
        <v>107</v>
      </c>
      <c r="K26" s="102">
        <v>15260</v>
      </c>
      <c r="L26" s="100">
        <v>1677</v>
      </c>
      <c r="M26" s="102">
        <v>977685</v>
      </c>
      <c r="N26" s="148" t="s">
        <v>73</v>
      </c>
    </row>
    <row r="27" spans="1:14" s="157" customFormat="1" ht="15.75" customHeight="1">
      <c r="A27" s="99" t="s">
        <v>74</v>
      </c>
      <c r="B27" s="100">
        <f>_xlfn.COMPOUNDVALUE(64)</f>
        <v>424</v>
      </c>
      <c r="C27" s="101">
        <v>444433</v>
      </c>
      <c r="D27" s="100">
        <f>_xlfn.COMPOUNDVALUE(65)</f>
        <v>863</v>
      </c>
      <c r="E27" s="101">
        <v>310121</v>
      </c>
      <c r="F27" s="100">
        <f>_xlfn.COMPOUNDVALUE(66)</f>
        <v>1287</v>
      </c>
      <c r="G27" s="101">
        <v>754554</v>
      </c>
      <c r="H27" s="100">
        <f>_xlfn.COMPOUNDVALUE(67)</f>
        <v>53</v>
      </c>
      <c r="I27" s="102">
        <v>39292</v>
      </c>
      <c r="J27" s="100">
        <v>84</v>
      </c>
      <c r="K27" s="102">
        <v>7422</v>
      </c>
      <c r="L27" s="100">
        <v>1368</v>
      </c>
      <c r="M27" s="102">
        <v>722684</v>
      </c>
      <c r="N27" s="148" t="s">
        <v>74</v>
      </c>
    </row>
    <row r="28" spans="1:14" s="157" customFormat="1" ht="15.75" customHeight="1">
      <c r="A28" s="99" t="s">
        <v>75</v>
      </c>
      <c r="B28" s="100">
        <f>_xlfn.COMPOUNDVALUE(68)</f>
        <v>1011</v>
      </c>
      <c r="C28" s="101">
        <v>1064667</v>
      </c>
      <c r="D28" s="100">
        <f>_xlfn.COMPOUNDVALUE(69)</f>
        <v>1466</v>
      </c>
      <c r="E28" s="101">
        <v>538401</v>
      </c>
      <c r="F28" s="100">
        <f>_xlfn.COMPOUNDVALUE(70)</f>
        <v>2477</v>
      </c>
      <c r="G28" s="101">
        <v>1603068</v>
      </c>
      <c r="H28" s="100">
        <f>_xlfn.COMPOUNDVALUE(71)</f>
        <v>75</v>
      </c>
      <c r="I28" s="102">
        <v>40235</v>
      </c>
      <c r="J28" s="100">
        <v>179</v>
      </c>
      <c r="K28" s="102">
        <v>42068</v>
      </c>
      <c r="L28" s="100">
        <v>2631</v>
      </c>
      <c r="M28" s="102">
        <v>1604901</v>
      </c>
      <c r="N28" s="148" t="s">
        <v>75</v>
      </c>
    </row>
    <row r="29" spans="1:14" s="157" customFormat="1" ht="15.75" customHeight="1">
      <c r="A29" s="99" t="s">
        <v>163</v>
      </c>
      <c r="B29" s="100">
        <f>_xlfn.COMPOUNDVALUE(72)</f>
        <v>1691</v>
      </c>
      <c r="C29" s="101">
        <v>1840872</v>
      </c>
      <c r="D29" s="100">
        <f>_xlfn.COMPOUNDVALUE(73)</f>
        <v>2275</v>
      </c>
      <c r="E29" s="101">
        <v>817089</v>
      </c>
      <c r="F29" s="100">
        <f>_xlfn.COMPOUNDVALUE(74)</f>
        <v>3966</v>
      </c>
      <c r="G29" s="101">
        <v>2657961</v>
      </c>
      <c r="H29" s="100">
        <f>_xlfn.COMPOUNDVALUE(75)</f>
        <v>123</v>
      </c>
      <c r="I29" s="102">
        <v>125784</v>
      </c>
      <c r="J29" s="100">
        <v>298</v>
      </c>
      <c r="K29" s="102">
        <v>42893</v>
      </c>
      <c r="L29" s="100">
        <v>4240</v>
      </c>
      <c r="M29" s="102">
        <v>2575069</v>
      </c>
      <c r="N29" s="148" t="s">
        <v>76</v>
      </c>
    </row>
    <row r="30" spans="1:14" s="157" customFormat="1" ht="15.75" customHeight="1">
      <c r="A30" s="99"/>
      <c r="B30" s="100"/>
      <c r="C30" s="101"/>
      <c r="D30" s="100"/>
      <c r="E30" s="101"/>
      <c r="F30" s="100"/>
      <c r="G30" s="101"/>
      <c r="H30" s="100"/>
      <c r="I30" s="102"/>
      <c r="J30" s="100"/>
      <c r="K30" s="102"/>
      <c r="L30" s="100"/>
      <c r="M30" s="102"/>
      <c r="N30" s="148" t="s">
        <v>55</v>
      </c>
    </row>
    <row r="31" spans="1:14" s="157" customFormat="1" ht="15.75" customHeight="1">
      <c r="A31" s="99" t="s">
        <v>77</v>
      </c>
      <c r="B31" s="100">
        <f>_xlfn.COMPOUNDVALUE(76)</f>
        <v>1307</v>
      </c>
      <c r="C31" s="101">
        <v>2781792</v>
      </c>
      <c r="D31" s="100">
        <f>_xlfn.COMPOUNDVALUE(77)</f>
        <v>2003</v>
      </c>
      <c r="E31" s="101">
        <v>767752</v>
      </c>
      <c r="F31" s="100">
        <f>_xlfn.COMPOUNDVALUE(78)</f>
        <v>3310</v>
      </c>
      <c r="G31" s="101">
        <v>3549544</v>
      </c>
      <c r="H31" s="100">
        <f>_xlfn.COMPOUNDVALUE(79)</f>
        <v>118</v>
      </c>
      <c r="I31" s="102">
        <v>134651</v>
      </c>
      <c r="J31" s="100">
        <v>633</v>
      </c>
      <c r="K31" s="102">
        <v>-3088</v>
      </c>
      <c r="L31" s="100">
        <v>3546</v>
      </c>
      <c r="M31" s="102">
        <v>3411805</v>
      </c>
      <c r="N31" s="148" t="s">
        <v>77</v>
      </c>
    </row>
    <row r="32" spans="1:14" s="157" customFormat="1" ht="15.75" customHeight="1">
      <c r="A32" s="99" t="s">
        <v>78</v>
      </c>
      <c r="B32" s="100">
        <f>_xlfn.COMPOUNDVALUE(80)</f>
        <v>839</v>
      </c>
      <c r="C32" s="101">
        <v>538738</v>
      </c>
      <c r="D32" s="100">
        <f>_xlfn.COMPOUNDVALUE(81)</f>
        <v>1420</v>
      </c>
      <c r="E32" s="101">
        <v>483656</v>
      </c>
      <c r="F32" s="100">
        <f>_xlfn.COMPOUNDVALUE(82)</f>
        <v>2259</v>
      </c>
      <c r="G32" s="101">
        <v>1022394</v>
      </c>
      <c r="H32" s="100">
        <f>_xlfn.COMPOUNDVALUE(83)</f>
        <v>76</v>
      </c>
      <c r="I32" s="102">
        <v>28244</v>
      </c>
      <c r="J32" s="100">
        <v>173</v>
      </c>
      <c r="K32" s="102">
        <v>19444</v>
      </c>
      <c r="L32" s="100">
        <v>2422</v>
      </c>
      <c r="M32" s="102">
        <v>1013594</v>
      </c>
      <c r="N32" s="148" t="s">
        <v>78</v>
      </c>
    </row>
    <row r="33" spans="1:14" s="157" customFormat="1" ht="15.75" customHeight="1">
      <c r="A33" s="99" t="s">
        <v>79</v>
      </c>
      <c r="B33" s="100">
        <f>_xlfn.COMPOUNDVALUE(84)</f>
        <v>837</v>
      </c>
      <c r="C33" s="101">
        <v>799776</v>
      </c>
      <c r="D33" s="100">
        <f>_xlfn.COMPOUNDVALUE(73)</f>
        <v>1733</v>
      </c>
      <c r="E33" s="101">
        <v>612519</v>
      </c>
      <c r="F33" s="100">
        <f>_xlfn.COMPOUNDVALUE(85)</f>
        <v>2570</v>
      </c>
      <c r="G33" s="101">
        <v>1412295</v>
      </c>
      <c r="H33" s="100">
        <f>_xlfn.COMPOUNDVALUE(86)</f>
        <v>41</v>
      </c>
      <c r="I33" s="102">
        <v>32174</v>
      </c>
      <c r="J33" s="100">
        <v>143</v>
      </c>
      <c r="K33" s="102">
        <v>26754</v>
      </c>
      <c r="L33" s="100">
        <v>2677</v>
      </c>
      <c r="M33" s="102">
        <v>1406875</v>
      </c>
      <c r="N33" s="148" t="s">
        <v>79</v>
      </c>
    </row>
    <row r="34" spans="1:14" s="157" customFormat="1" ht="15.75" customHeight="1">
      <c r="A34" s="99" t="s">
        <v>80</v>
      </c>
      <c r="B34" s="100">
        <f>_xlfn.COMPOUNDVALUE(87)</f>
        <v>951</v>
      </c>
      <c r="C34" s="101">
        <v>894493</v>
      </c>
      <c r="D34" s="100">
        <f>_xlfn.COMPOUNDVALUE(88)</f>
        <v>1581</v>
      </c>
      <c r="E34" s="101">
        <v>541305</v>
      </c>
      <c r="F34" s="100">
        <f>_xlfn.COMPOUNDVALUE(89)</f>
        <v>2532</v>
      </c>
      <c r="G34" s="101">
        <v>1435798</v>
      </c>
      <c r="H34" s="100">
        <f>_xlfn.COMPOUNDVALUE(90)</f>
        <v>66</v>
      </c>
      <c r="I34" s="102">
        <v>31304</v>
      </c>
      <c r="J34" s="100">
        <v>190</v>
      </c>
      <c r="K34" s="102">
        <v>78212</v>
      </c>
      <c r="L34" s="100">
        <v>2712</v>
      </c>
      <c r="M34" s="102">
        <v>1482706</v>
      </c>
      <c r="N34" s="148" t="s">
        <v>80</v>
      </c>
    </row>
    <row r="35" spans="1:14" s="157" customFormat="1" ht="15.75" customHeight="1">
      <c r="A35" s="99" t="s">
        <v>81</v>
      </c>
      <c r="B35" s="100">
        <f>_xlfn.COMPOUNDVALUE(91)</f>
        <v>419</v>
      </c>
      <c r="C35" s="101">
        <v>314722</v>
      </c>
      <c r="D35" s="100">
        <f>_xlfn.COMPOUNDVALUE(92)</f>
        <v>918</v>
      </c>
      <c r="E35" s="101">
        <v>296734</v>
      </c>
      <c r="F35" s="100">
        <f>_xlfn.COMPOUNDVALUE(93)</f>
        <v>1337</v>
      </c>
      <c r="G35" s="101">
        <v>611456</v>
      </c>
      <c r="H35" s="100">
        <f>_xlfn.COMPOUNDVALUE(94)</f>
        <v>29</v>
      </c>
      <c r="I35" s="102">
        <v>55750</v>
      </c>
      <c r="J35" s="100">
        <v>77</v>
      </c>
      <c r="K35" s="102">
        <v>12528</v>
      </c>
      <c r="L35" s="100">
        <v>1404</v>
      </c>
      <c r="M35" s="102">
        <v>568233</v>
      </c>
      <c r="N35" s="148" t="s">
        <v>81</v>
      </c>
    </row>
    <row r="36" spans="1:14" s="157" customFormat="1" ht="15.75" customHeight="1">
      <c r="A36" s="99"/>
      <c r="B36" s="100"/>
      <c r="C36" s="101"/>
      <c r="D36" s="100"/>
      <c r="E36" s="101"/>
      <c r="F36" s="100"/>
      <c r="G36" s="101"/>
      <c r="H36" s="100"/>
      <c r="I36" s="102"/>
      <c r="J36" s="100"/>
      <c r="K36" s="102"/>
      <c r="L36" s="100"/>
      <c r="M36" s="102"/>
      <c r="N36" s="148" t="s">
        <v>55</v>
      </c>
    </row>
    <row r="37" spans="1:14" s="157" customFormat="1" ht="15.75" customHeight="1">
      <c r="A37" s="99" t="s">
        <v>82</v>
      </c>
      <c r="B37" s="100">
        <f>_xlfn.COMPOUNDVALUE(95)</f>
        <v>418</v>
      </c>
      <c r="C37" s="101">
        <v>299945</v>
      </c>
      <c r="D37" s="100">
        <f>_xlfn.COMPOUNDVALUE(96)</f>
        <v>976</v>
      </c>
      <c r="E37" s="101">
        <v>314049</v>
      </c>
      <c r="F37" s="100">
        <f>_xlfn.COMPOUNDVALUE(97)</f>
        <v>1394</v>
      </c>
      <c r="G37" s="101">
        <v>613993</v>
      </c>
      <c r="H37" s="100">
        <f>_xlfn.COMPOUNDVALUE(98)</f>
        <v>43</v>
      </c>
      <c r="I37" s="102">
        <v>35897</v>
      </c>
      <c r="J37" s="100">
        <v>68</v>
      </c>
      <c r="K37" s="102">
        <v>8124</v>
      </c>
      <c r="L37" s="100">
        <v>1471</v>
      </c>
      <c r="M37" s="102">
        <v>586220</v>
      </c>
      <c r="N37" s="148" t="s">
        <v>82</v>
      </c>
    </row>
    <row r="38" spans="1:14" s="157" customFormat="1" ht="15.75" customHeight="1">
      <c r="A38" s="99" t="s">
        <v>83</v>
      </c>
      <c r="B38" s="100">
        <f>_xlfn.COMPOUNDVALUE(99)</f>
        <v>548</v>
      </c>
      <c r="C38" s="101">
        <v>372016</v>
      </c>
      <c r="D38" s="100">
        <f>_xlfn.COMPOUNDVALUE(100)</f>
        <v>949</v>
      </c>
      <c r="E38" s="101">
        <v>286814</v>
      </c>
      <c r="F38" s="100">
        <f>_xlfn.COMPOUNDVALUE(101)</f>
        <v>1497</v>
      </c>
      <c r="G38" s="101">
        <v>658830</v>
      </c>
      <c r="H38" s="100">
        <f>_xlfn.COMPOUNDVALUE(102)</f>
        <v>32</v>
      </c>
      <c r="I38" s="102">
        <v>98646</v>
      </c>
      <c r="J38" s="100">
        <v>77</v>
      </c>
      <c r="K38" s="102">
        <v>15775</v>
      </c>
      <c r="L38" s="100">
        <v>1549</v>
      </c>
      <c r="M38" s="102">
        <v>575958</v>
      </c>
      <c r="N38" s="148" t="s">
        <v>83</v>
      </c>
    </row>
    <row r="39" spans="1:14" s="157" customFormat="1" ht="15.75" customHeight="1">
      <c r="A39" s="99" t="s">
        <v>84</v>
      </c>
      <c r="B39" s="100">
        <f>_xlfn.COMPOUNDVALUE(103)</f>
        <v>530</v>
      </c>
      <c r="C39" s="101">
        <v>257344</v>
      </c>
      <c r="D39" s="100">
        <f>_xlfn.COMPOUNDVALUE(100)</f>
        <v>1123</v>
      </c>
      <c r="E39" s="101">
        <v>306158</v>
      </c>
      <c r="F39" s="100">
        <f>_xlfn.COMPOUNDVALUE(104)</f>
        <v>1653</v>
      </c>
      <c r="G39" s="101">
        <v>563502</v>
      </c>
      <c r="H39" s="100">
        <f>_xlfn.COMPOUNDVALUE(105)</f>
        <v>43</v>
      </c>
      <c r="I39" s="102">
        <v>34186</v>
      </c>
      <c r="J39" s="100">
        <v>72</v>
      </c>
      <c r="K39" s="102">
        <v>22842</v>
      </c>
      <c r="L39" s="100">
        <v>1738</v>
      </c>
      <c r="M39" s="102">
        <v>552158</v>
      </c>
      <c r="N39" s="148" t="s">
        <v>84</v>
      </c>
    </row>
    <row r="40" spans="1:14" s="157" customFormat="1" ht="15.75" customHeight="1">
      <c r="A40" s="99" t="s">
        <v>85</v>
      </c>
      <c r="B40" s="100">
        <f>_xlfn.COMPOUNDVALUE(106)</f>
        <v>523</v>
      </c>
      <c r="C40" s="101">
        <v>249703</v>
      </c>
      <c r="D40" s="100">
        <f>_xlfn.COMPOUNDVALUE(107)</f>
        <v>938</v>
      </c>
      <c r="E40" s="101">
        <v>260484</v>
      </c>
      <c r="F40" s="100">
        <f>_xlfn.COMPOUNDVALUE(108)</f>
        <v>1461</v>
      </c>
      <c r="G40" s="101">
        <v>510187</v>
      </c>
      <c r="H40" s="100">
        <f>_xlfn.COMPOUNDVALUE(109)</f>
        <v>64</v>
      </c>
      <c r="I40" s="102">
        <v>221306</v>
      </c>
      <c r="J40" s="100">
        <v>130</v>
      </c>
      <c r="K40" s="102">
        <v>11826</v>
      </c>
      <c r="L40" s="100">
        <v>1595</v>
      </c>
      <c r="M40" s="102">
        <v>300707</v>
      </c>
      <c r="N40" s="148" t="s">
        <v>85</v>
      </c>
    </row>
    <row r="41" spans="1:14" s="157" customFormat="1" ht="15.75" customHeight="1">
      <c r="A41" s="99" t="s">
        <v>86</v>
      </c>
      <c r="B41" s="100">
        <f>_xlfn.COMPOUNDVALUE(110)</f>
        <v>366</v>
      </c>
      <c r="C41" s="101">
        <v>111456</v>
      </c>
      <c r="D41" s="100">
        <f>_xlfn.COMPOUNDVALUE(111)</f>
        <v>666</v>
      </c>
      <c r="E41" s="101">
        <v>158817</v>
      </c>
      <c r="F41" s="100">
        <f>_xlfn.COMPOUNDVALUE(112)</f>
        <v>1032</v>
      </c>
      <c r="G41" s="101">
        <v>270273</v>
      </c>
      <c r="H41" s="100">
        <f>_xlfn.COMPOUNDVALUE(113)</f>
        <v>19</v>
      </c>
      <c r="I41" s="102">
        <v>25756</v>
      </c>
      <c r="J41" s="100">
        <v>55</v>
      </c>
      <c r="K41" s="102">
        <v>6767</v>
      </c>
      <c r="L41" s="100">
        <v>1085</v>
      </c>
      <c r="M41" s="102">
        <v>251285</v>
      </c>
      <c r="N41" s="148" t="s">
        <v>86</v>
      </c>
    </row>
    <row r="42" spans="1:14" s="157" customFormat="1" ht="15.75" customHeight="1">
      <c r="A42" s="168"/>
      <c r="B42" s="100"/>
      <c r="C42" s="101"/>
      <c r="D42" s="100"/>
      <c r="E42" s="101"/>
      <c r="F42" s="100"/>
      <c r="G42" s="101"/>
      <c r="H42" s="100"/>
      <c r="I42" s="102"/>
      <c r="J42" s="100"/>
      <c r="K42" s="102"/>
      <c r="L42" s="100"/>
      <c r="M42" s="102"/>
      <c r="N42" s="170" t="s">
        <v>55</v>
      </c>
    </row>
    <row r="43" spans="1:14" s="157" customFormat="1" ht="15.75" customHeight="1">
      <c r="A43" s="164" t="s">
        <v>87</v>
      </c>
      <c r="B43" s="100">
        <f>_xlfn.COMPOUNDVALUE(114)</f>
        <v>699</v>
      </c>
      <c r="C43" s="101">
        <v>350882</v>
      </c>
      <c r="D43" s="100">
        <f>_xlfn.COMPOUNDVALUE(115)</f>
        <v>1196</v>
      </c>
      <c r="E43" s="101">
        <v>364729</v>
      </c>
      <c r="F43" s="100">
        <f>_xlfn.COMPOUNDVALUE(116)</f>
        <v>1895</v>
      </c>
      <c r="G43" s="101">
        <v>715610</v>
      </c>
      <c r="H43" s="100">
        <f>_xlfn.COMPOUNDVALUE(117)</f>
        <v>75</v>
      </c>
      <c r="I43" s="102">
        <v>35297</v>
      </c>
      <c r="J43" s="100">
        <v>142</v>
      </c>
      <c r="K43" s="102">
        <v>16024</v>
      </c>
      <c r="L43" s="100">
        <v>2034</v>
      </c>
      <c r="M43" s="102">
        <v>696338</v>
      </c>
      <c r="N43" s="148" t="s">
        <v>87</v>
      </c>
    </row>
    <row r="44" spans="1:14" s="157" customFormat="1" ht="15.75" customHeight="1">
      <c r="A44" s="99" t="s">
        <v>88</v>
      </c>
      <c r="B44" s="100">
        <f>_xlfn.COMPOUNDVALUE(118)</f>
        <v>606</v>
      </c>
      <c r="C44" s="101">
        <v>217742</v>
      </c>
      <c r="D44" s="100">
        <f>_xlfn.COMPOUNDVALUE(119)</f>
        <v>937</v>
      </c>
      <c r="E44" s="101">
        <v>250661</v>
      </c>
      <c r="F44" s="100">
        <f>_xlfn.COMPOUNDVALUE(120)</f>
        <v>1543</v>
      </c>
      <c r="G44" s="101">
        <v>468403</v>
      </c>
      <c r="H44" s="100">
        <f>_xlfn.COMPOUNDVALUE(121)</f>
        <v>34</v>
      </c>
      <c r="I44" s="102">
        <v>16872</v>
      </c>
      <c r="J44" s="100">
        <v>108</v>
      </c>
      <c r="K44" s="102">
        <v>13230</v>
      </c>
      <c r="L44" s="100">
        <v>1612</v>
      </c>
      <c r="M44" s="102">
        <v>464761</v>
      </c>
      <c r="N44" s="148" t="s">
        <v>88</v>
      </c>
    </row>
    <row r="45" spans="1:14" s="157" customFormat="1" ht="15.75" customHeight="1">
      <c r="A45" s="99" t="s">
        <v>89</v>
      </c>
      <c r="B45" s="100">
        <f>_xlfn.COMPOUNDVALUE(122)</f>
        <v>371</v>
      </c>
      <c r="C45" s="101">
        <v>128520</v>
      </c>
      <c r="D45" s="100">
        <f>_xlfn.COMPOUNDVALUE(123)</f>
        <v>811</v>
      </c>
      <c r="E45" s="101">
        <v>220750</v>
      </c>
      <c r="F45" s="100">
        <f>_xlfn.COMPOUNDVALUE(124)</f>
        <v>1182</v>
      </c>
      <c r="G45" s="101">
        <v>349270</v>
      </c>
      <c r="H45" s="100">
        <f>_xlfn.COMPOUNDVALUE(125)</f>
        <v>25</v>
      </c>
      <c r="I45" s="102">
        <v>4282</v>
      </c>
      <c r="J45" s="100">
        <v>48</v>
      </c>
      <c r="K45" s="102">
        <v>16513</v>
      </c>
      <c r="L45" s="100">
        <v>1249</v>
      </c>
      <c r="M45" s="102">
        <v>361501</v>
      </c>
      <c r="N45" s="148" t="s">
        <v>89</v>
      </c>
    </row>
    <row r="46" spans="1:14" s="157" customFormat="1" ht="15.75" customHeight="1">
      <c r="A46" s="99" t="s">
        <v>90</v>
      </c>
      <c r="B46" s="100">
        <f>_xlfn.COMPOUNDVALUE(126)</f>
        <v>1255</v>
      </c>
      <c r="C46" s="101">
        <v>1146775</v>
      </c>
      <c r="D46" s="100">
        <f>_xlfn.COMPOUNDVALUE(127)</f>
        <v>2183</v>
      </c>
      <c r="E46" s="101">
        <v>715739</v>
      </c>
      <c r="F46" s="100">
        <f>_xlfn.COMPOUNDVALUE(128)</f>
        <v>3438</v>
      </c>
      <c r="G46" s="101">
        <v>1862515</v>
      </c>
      <c r="H46" s="100">
        <f>_xlfn.COMPOUNDVALUE(129)</f>
        <v>84</v>
      </c>
      <c r="I46" s="102">
        <v>106706</v>
      </c>
      <c r="J46" s="100">
        <v>207</v>
      </c>
      <c r="K46" s="102">
        <v>50981</v>
      </c>
      <c r="L46" s="100">
        <v>3616</v>
      </c>
      <c r="M46" s="102">
        <v>1806790</v>
      </c>
      <c r="N46" s="148" t="s">
        <v>90</v>
      </c>
    </row>
    <row r="47" spans="1:14" s="157" customFormat="1" ht="15.75" customHeight="1">
      <c r="A47" s="99" t="s">
        <v>91</v>
      </c>
      <c r="B47" s="100">
        <f>_xlfn.COMPOUNDVALUE(130)</f>
        <v>570</v>
      </c>
      <c r="C47" s="101">
        <v>277041</v>
      </c>
      <c r="D47" s="100">
        <f>_xlfn.COMPOUNDVALUE(131)</f>
        <v>1271</v>
      </c>
      <c r="E47" s="101">
        <v>347188</v>
      </c>
      <c r="F47" s="100">
        <f>_xlfn.COMPOUNDVALUE(132)</f>
        <v>1841</v>
      </c>
      <c r="G47" s="101">
        <v>624230</v>
      </c>
      <c r="H47" s="100">
        <f>_xlfn.COMPOUNDVALUE(133)</f>
        <v>51</v>
      </c>
      <c r="I47" s="102">
        <v>28799</v>
      </c>
      <c r="J47" s="100">
        <v>133</v>
      </c>
      <c r="K47" s="102">
        <v>8181</v>
      </c>
      <c r="L47" s="100">
        <v>1941</v>
      </c>
      <c r="M47" s="102">
        <v>603612</v>
      </c>
      <c r="N47" s="148" t="s">
        <v>91</v>
      </c>
    </row>
    <row r="48" spans="1:14" s="157" customFormat="1" ht="15.75" customHeight="1">
      <c r="A48" s="99"/>
      <c r="B48" s="100"/>
      <c r="C48" s="101"/>
      <c r="D48" s="100"/>
      <c r="E48" s="101"/>
      <c r="F48" s="100"/>
      <c r="G48" s="101"/>
      <c r="H48" s="100"/>
      <c r="I48" s="102"/>
      <c r="J48" s="100"/>
      <c r="K48" s="102"/>
      <c r="L48" s="100"/>
      <c r="M48" s="102"/>
      <c r="N48" s="148" t="s">
        <v>55</v>
      </c>
    </row>
    <row r="49" spans="1:14" s="157" customFormat="1" ht="15.75" customHeight="1">
      <c r="A49" s="99" t="s">
        <v>92</v>
      </c>
      <c r="B49" s="100">
        <f>_xlfn.COMPOUNDVALUE(134)</f>
        <v>580</v>
      </c>
      <c r="C49" s="101">
        <v>493239</v>
      </c>
      <c r="D49" s="100">
        <f>_xlfn.COMPOUNDVALUE(135)</f>
        <v>1024</v>
      </c>
      <c r="E49" s="101">
        <v>329902</v>
      </c>
      <c r="F49" s="100">
        <f>_xlfn.COMPOUNDVALUE(136)</f>
        <v>1604</v>
      </c>
      <c r="G49" s="101">
        <v>823141</v>
      </c>
      <c r="H49" s="100">
        <f>_xlfn.COMPOUNDVALUE(137)</f>
        <v>57</v>
      </c>
      <c r="I49" s="102">
        <v>52145</v>
      </c>
      <c r="J49" s="100">
        <v>97</v>
      </c>
      <c r="K49" s="102">
        <v>15850</v>
      </c>
      <c r="L49" s="100">
        <v>1701</v>
      </c>
      <c r="M49" s="102">
        <v>786846</v>
      </c>
      <c r="N49" s="148" t="s">
        <v>92</v>
      </c>
    </row>
    <row r="50" spans="1:14" s="157" customFormat="1" ht="15.75" customHeight="1">
      <c r="A50" s="99" t="s">
        <v>93</v>
      </c>
      <c r="B50" s="100">
        <f>_xlfn.COMPOUNDVALUE(138)</f>
        <v>734</v>
      </c>
      <c r="C50" s="101">
        <v>320814</v>
      </c>
      <c r="D50" s="100">
        <f>_xlfn.COMPOUNDVALUE(139)</f>
        <v>1334</v>
      </c>
      <c r="E50" s="101">
        <v>358425</v>
      </c>
      <c r="F50" s="100">
        <f>_xlfn.COMPOUNDVALUE(140)</f>
        <v>2068</v>
      </c>
      <c r="G50" s="101">
        <v>679238</v>
      </c>
      <c r="H50" s="100">
        <f>_xlfn.COMPOUNDVALUE(141)</f>
        <v>48</v>
      </c>
      <c r="I50" s="102">
        <v>37664</v>
      </c>
      <c r="J50" s="100">
        <v>109</v>
      </c>
      <c r="K50" s="102">
        <v>11501</v>
      </c>
      <c r="L50" s="100">
        <v>2172</v>
      </c>
      <c r="M50" s="102">
        <v>653075</v>
      </c>
      <c r="N50" s="148" t="s">
        <v>93</v>
      </c>
    </row>
    <row r="51" spans="1:14" s="157" customFormat="1" ht="15.75" customHeight="1">
      <c r="A51" s="99" t="s">
        <v>94</v>
      </c>
      <c r="B51" s="100">
        <f>_xlfn.COMPOUNDVALUE(142)</f>
        <v>1124</v>
      </c>
      <c r="C51" s="101">
        <v>817609</v>
      </c>
      <c r="D51" s="100">
        <f>_xlfn.COMPOUNDVALUE(143)</f>
        <v>2115</v>
      </c>
      <c r="E51" s="101">
        <v>698684</v>
      </c>
      <c r="F51" s="100">
        <f>_xlfn.COMPOUNDVALUE(144)</f>
        <v>3239</v>
      </c>
      <c r="G51" s="101">
        <v>1516294</v>
      </c>
      <c r="H51" s="100">
        <f>_xlfn.COMPOUNDVALUE(145)</f>
        <v>82</v>
      </c>
      <c r="I51" s="102">
        <v>35877</v>
      </c>
      <c r="J51" s="100">
        <v>302</v>
      </c>
      <c r="K51" s="102">
        <v>35164</v>
      </c>
      <c r="L51" s="100">
        <v>3464</v>
      </c>
      <c r="M51" s="102">
        <v>1515580</v>
      </c>
      <c r="N51" s="148" t="s">
        <v>94</v>
      </c>
    </row>
    <row r="52" spans="1:14" s="157" customFormat="1" ht="15.75" customHeight="1">
      <c r="A52" s="99" t="s">
        <v>95</v>
      </c>
      <c r="B52" s="100">
        <f>_xlfn.COMPOUNDVALUE(146)</f>
        <v>1032</v>
      </c>
      <c r="C52" s="101">
        <v>710272</v>
      </c>
      <c r="D52" s="100">
        <f>_xlfn.COMPOUNDVALUE(147)</f>
        <v>1998</v>
      </c>
      <c r="E52" s="101">
        <v>669630</v>
      </c>
      <c r="F52" s="100">
        <f>_xlfn.COMPOUNDVALUE(148)</f>
        <v>3030</v>
      </c>
      <c r="G52" s="101">
        <v>1379903</v>
      </c>
      <c r="H52" s="100">
        <f>_xlfn.COMPOUNDVALUE(149)</f>
        <v>64</v>
      </c>
      <c r="I52" s="102">
        <v>40435</v>
      </c>
      <c r="J52" s="100">
        <v>233</v>
      </c>
      <c r="K52" s="102">
        <v>44687</v>
      </c>
      <c r="L52" s="100">
        <v>3209</v>
      </c>
      <c r="M52" s="102">
        <v>1384155</v>
      </c>
      <c r="N52" s="148" t="s">
        <v>95</v>
      </c>
    </row>
    <row r="53" spans="1:14" s="157" customFormat="1" ht="15.75" customHeight="1">
      <c r="A53" s="99" t="s">
        <v>96</v>
      </c>
      <c r="B53" s="100">
        <f>_xlfn.COMPOUNDVALUE(150)</f>
        <v>1084</v>
      </c>
      <c r="C53" s="101">
        <v>866144</v>
      </c>
      <c r="D53" s="100">
        <f>_xlfn.COMPOUNDVALUE(151)</f>
        <v>1831</v>
      </c>
      <c r="E53" s="101">
        <v>611237</v>
      </c>
      <c r="F53" s="100">
        <f>_xlfn.COMPOUNDVALUE(152)</f>
        <v>2915</v>
      </c>
      <c r="G53" s="101">
        <v>1477380</v>
      </c>
      <c r="H53" s="100">
        <f>_xlfn.COMPOUNDVALUE(153)</f>
        <v>80</v>
      </c>
      <c r="I53" s="102">
        <v>55281</v>
      </c>
      <c r="J53" s="100">
        <v>177</v>
      </c>
      <c r="K53" s="102">
        <v>37839</v>
      </c>
      <c r="L53" s="100">
        <v>3085</v>
      </c>
      <c r="M53" s="102">
        <v>1459938</v>
      </c>
      <c r="N53" s="148" t="s">
        <v>96</v>
      </c>
    </row>
    <row r="54" spans="1:14" s="157" customFormat="1" ht="15.75" customHeight="1">
      <c r="A54" s="99"/>
      <c r="B54" s="100"/>
      <c r="C54" s="101"/>
      <c r="D54" s="100"/>
      <c r="E54" s="101"/>
      <c r="F54" s="100"/>
      <c r="G54" s="101"/>
      <c r="H54" s="100"/>
      <c r="I54" s="102"/>
      <c r="J54" s="100"/>
      <c r="K54" s="102"/>
      <c r="L54" s="100"/>
      <c r="M54" s="102"/>
      <c r="N54" s="148" t="s">
        <v>55</v>
      </c>
    </row>
    <row r="55" spans="1:14" s="157" customFormat="1" ht="15.75" customHeight="1">
      <c r="A55" s="99" t="s">
        <v>97</v>
      </c>
      <c r="B55" s="100">
        <f>_xlfn.COMPOUNDVALUE(154)</f>
        <v>1886</v>
      </c>
      <c r="C55" s="101">
        <v>2286675</v>
      </c>
      <c r="D55" s="100">
        <f>_xlfn.COMPOUNDVALUE(155)</f>
        <v>3119</v>
      </c>
      <c r="E55" s="101">
        <v>1179544</v>
      </c>
      <c r="F55" s="100">
        <f>_xlfn.COMPOUNDVALUE(156)</f>
        <v>5005</v>
      </c>
      <c r="G55" s="101">
        <v>3466218</v>
      </c>
      <c r="H55" s="100">
        <f>_xlfn.COMPOUNDVALUE(157)</f>
        <v>122</v>
      </c>
      <c r="I55" s="102">
        <v>71862</v>
      </c>
      <c r="J55" s="100">
        <v>387</v>
      </c>
      <c r="K55" s="102">
        <v>52068</v>
      </c>
      <c r="L55" s="100">
        <v>5309</v>
      </c>
      <c r="M55" s="102">
        <v>3446424</v>
      </c>
      <c r="N55" s="148" t="s">
        <v>97</v>
      </c>
    </row>
    <row r="56" spans="1:14" s="157" customFormat="1" ht="15.75" customHeight="1">
      <c r="A56" s="99" t="s">
        <v>98</v>
      </c>
      <c r="B56" s="100">
        <f>_xlfn.COMPOUNDVALUE(158)</f>
        <v>912</v>
      </c>
      <c r="C56" s="101">
        <v>550448</v>
      </c>
      <c r="D56" s="100">
        <f>_xlfn.COMPOUNDVALUE(159)</f>
        <v>1735</v>
      </c>
      <c r="E56" s="101">
        <v>532736</v>
      </c>
      <c r="F56" s="100">
        <f>_xlfn.COMPOUNDVALUE(160)</f>
        <v>2647</v>
      </c>
      <c r="G56" s="101">
        <v>1083183</v>
      </c>
      <c r="H56" s="100">
        <f>_xlfn.COMPOUNDVALUE(161)</f>
        <v>72</v>
      </c>
      <c r="I56" s="102">
        <v>73181</v>
      </c>
      <c r="J56" s="100">
        <v>173</v>
      </c>
      <c r="K56" s="102">
        <v>37421</v>
      </c>
      <c r="L56" s="100">
        <v>2794</v>
      </c>
      <c r="M56" s="102">
        <v>1047423</v>
      </c>
      <c r="N56" s="148" t="s">
        <v>98</v>
      </c>
    </row>
    <row r="57" spans="1:14" s="157" customFormat="1" ht="15.75" customHeight="1">
      <c r="A57" s="99" t="s">
        <v>99</v>
      </c>
      <c r="B57" s="100">
        <f>_xlfn.COMPOUNDVALUE(162)</f>
        <v>1014</v>
      </c>
      <c r="C57" s="101">
        <v>643904</v>
      </c>
      <c r="D57" s="100">
        <f>_xlfn.COMPOUNDVALUE(163)</f>
        <v>1742</v>
      </c>
      <c r="E57" s="101">
        <v>540521</v>
      </c>
      <c r="F57" s="100">
        <f>_xlfn.COMPOUNDVALUE(164)</f>
        <v>2756</v>
      </c>
      <c r="G57" s="101">
        <v>1184426</v>
      </c>
      <c r="H57" s="100">
        <f>_xlfn.COMPOUNDVALUE(165)</f>
        <v>82</v>
      </c>
      <c r="I57" s="102">
        <v>25756</v>
      </c>
      <c r="J57" s="100">
        <v>191</v>
      </c>
      <c r="K57" s="102">
        <v>27384</v>
      </c>
      <c r="L57" s="100">
        <v>2932</v>
      </c>
      <c r="M57" s="102">
        <v>1186054</v>
      </c>
      <c r="N57" s="148" t="s">
        <v>99</v>
      </c>
    </row>
    <row r="58" spans="1:14" s="157" customFormat="1" ht="15.75" customHeight="1">
      <c r="A58" s="99" t="s">
        <v>100</v>
      </c>
      <c r="B58" s="100">
        <f>_xlfn.COMPOUNDVALUE(166)</f>
        <v>709</v>
      </c>
      <c r="C58" s="101">
        <v>523262</v>
      </c>
      <c r="D58" s="100">
        <f>_xlfn.COMPOUNDVALUE(167)</f>
        <v>1488</v>
      </c>
      <c r="E58" s="101">
        <v>480856</v>
      </c>
      <c r="F58" s="100">
        <f>_xlfn.COMPOUNDVALUE(168)</f>
        <v>2197</v>
      </c>
      <c r="G58" s="101">
        <v>1004118</v>
      </c>
      <c r="H58" s="100">
        <f>_xlfn.COMPOUNDVALUE(169)</f>
        <v>56</v>
      </c>
      <c r="I58" s="102">
        <v>28645</v>
      </c>
      <c r="J58" s="100">
        <v>138</v>
      </c>
      <c r="K58" s="102">
        <v>23561</v>
      </c>
      <c r="L58" s="100">
        <v>2318</v>
      </c>
      <c r="M58" s="102">
        <v>999034</v>
      </c>
      <c r="N58" s="148" t="s">
        <v>100</v>
      </c>
    </row>
    <row r="59" spans="1:14" s="157" customFormat="1" ht="15.75" customHeight="1">
      <c r="A59" s="99" t="s">
        <v>101</v>
      </c>
      <c r="B59" s="100">
        <f>_xlfn.COMPOUNDVALUE(170)</f>
        <v>1190</v>
      </c>
      <c r="C59" s="101">
        <v>846120</v>
      </c>
      <c r="D59" s="100">
        <f>_xlfn.COMPOUNDVALUE(171)</f>
        <v>2088</v>
      </c>
      <c r="E59" s="101">
        <v>719399</v>
      </c>
      <c r="F59" s="100">
        <f>_xlfn.COMPOUNDVALUE(172)</f>
        <v>3278</v>
      </c>
      <c r="G59" s="101">
        <v>1565518</v>
      </c>
      <c r="H59" s="100">
        <f>_xlfn.COMPOUNDVALUE(173)</f>
        <v>69</v>
      </c>
      <c r="I59" s="102">
        <v>22010</v>
      </c>
      <c r="J59" s="100">
        <v>254</v>
      </c>
      <c r="K59" s="102">
        <v>106374</v>
      </c>
      <c r="L59" s="100">
        <v>3469</v>
      </c>
      <c r="M59" s="102">
        <v>1649882</v>
      </c>
      <c r="N59" s="148" t="s">
        <v>101</v>
      </c>
    </row>
    <row r="60" spans="1:14" s="157" customFormat="1" ht="15.75" customHeight="1">
      <c r="A60" s="99"/>
      <c r="B60" s="100"/>
      <c r="C60" s="101"/>
      <c r="D60" s="100"/>
      <c r="E60" s="101"/>
      <c r="F60" s="100"/>
      <c r="G60" s="101"/>
      <c r="H60" s="100"/>
      <c r="I60" s="102"/>
      <c r="J60" s="100"/>
      <c r="K60" s="102"/>
      <c r="L60" s="100"/>
      <c r="M60" s="102"/>
      <c r="N60" s="148" t="s">
        <v>55</v>
      </c>
    </row>
    <row r="61" spans="1:14" s="157" customFormat="1" ht="15.75" customHeight="1">
      <c r="A61" s="99" t="s">
        <v>102</v>
      </c>
      <c r="B61" s="100">
        <f>_xlfn.COMPOUNDVALUE(174)</f>
        <v>890</v>
      </c>
      <c r="C61" s="101">
        <v>382481</v>
      </c>
      <c r="D61" s="100">
        <f>_xlfn.COMPOUNDVALUE(175)</f>
        <v>1515</v>
      </c>
      <c r="E61" s="101">
        <v>417539</v>
      </c>
      <c r="F61" s="100">
        <f>_xlfn.COMPOUNDVALUE(176)</f>
        <v>2405</v>
      </c>
      <c r="G61" s="101">
        <v>800019</v>
      </c>
      <c r="H61" s="100">
        <f>_xlfn.COMPOUNDVALUE(177)</f>
        <v>66</v>
      </c>
      <c r="I61" s="102">
        <v>14183</v>
      </c>
      <c r="J61" s="100">
        <v>168</v>
      </c>
      <c r="K61" s="102">
        <v>50469</v>
      </c>
      <c r="L61" s="100">
        <v>2585</v>
      </c>
      <c r="M61" s="102">
        <v>836305</v>
      </c>
      <c r="N61" s="148" t="s">
        <v>102</v>
      </c>
    </row>
    <row r="62" spans="1:14" s="157" customFormat="1" ht="15.75" customHeight="1">
      <c r="A62" s="99" t="s">
        <v>103</v>
      </c>
      <c r="B62" s="100">
        <f>_xlfn.COMPOUNDVALUE(178)</f>
        <v>650</v>
      </c>
      <c r="C62" s="101">
        <v>246548</v>
      </c>
      <c r="D62" s="100">
        <f>_xlfn.COMPOUNDVALUE(171)</f>
        <v>1149</v>
      </c>
      <c r="E62" s="101">
        <v>304068</v>
      </c>
      <c r="F62" s="100">
        <f>_xlfn.COMPOUNDVALUE(179)</f>
        <v>1799</v>
      </c>
      <c r="G62" s="101">
        <v>550616</v>
      </c>
      <c r="H62" s="100">
        <f>_xlfn.COMPOUNDVALUE(180)</f>
        <v>39</v>
      </c>
      <c r="I62" s="102">
        <v>33168</v>
      </c>
      <c r="J62" s="100">
        <v>95</v>
      </c>
      <c r="K62" s="102">
        <v>20957</v>
      </c>
      <c r="L62" s="100">
        <v>1897</v>
      </c>
      <c r="M62" s="102">
        <v>538405</v>
      </c>
      <c r="N62" s="148" t="s">
        <v>103</v>
      </c>
    </row>
    <row r="63" spans="1:14" s="157" customFormat="1" ht="15.75" customHeight="1">
      <c r="A63" s="99" t="s">
        <v>104</v>
      </c>
      <c r="B63" s="100">
        <f>_xlfn.COMPOUNDVALUE(181)</f>
        <v>1509</v>
      </c>
      <c r="C63" s="101">
        <v>639128</v>
      </c>
      <c r="D63" s="100">
        <f>_xlfn.COMPOUNDVALUE(182)</f>
        <v>2545</v>
      </c>
      <c r="E63" s="101">
        <v>753534</v>
      </c>
      <c r="F63" s="100">
        <f>_xlfn.COMPOUNDVALUE(183)</f>
        <v>4054</v>
      </c>
      <c r="G63" s="101">
        <v>1392662</v>
      </c>
      <c r="H63" s="100">
        <f>_xlfn.COMPOUNDVALUE(184)</f>
        <v>74</v>
      </c>
      <c r="I63" s="102">
        <v>83976</v>
      </c>
      <c r="J63" s="100">
        <v>299</v>
      </c>
      <c r="K63" s="102">
        <v>32061</v>
      </c>
      <c r="L63" s="100">
        <v>4254</v>
      </c>
      <c r="M63" s="102">
        <v>1340748</v>
      </c>
      <c r="N63" s="148" t="s">
        <v>104</v>
      </c>
    </row>
    <row r="64" spans="1:14" s="157" customFormat="1" ht="15.75" customHeight="1">
      <c r="A64" s="99" t="s">
        <v>105</v>
      </c>
      <c r="B64" s="100">
        <f>_xlfn.COMPOUNDVALUE(185)</f>
        <v>1107</v>
      </c>
      <c r="C64" s="101">
        <v>819859</v>
      </c>
      <c r="D64" s="100">
        <f>_xlfn.COMPOUNDVALUE(182)</f>
        <v>2287</v>
      </c>
      <c r="E64" s="101">
        <v>681769</v>
      </c>
      <c r="F64" s="100">
        <f>_xlfn.COMPOUNDVALUE(186)</f>
        <v>3394</v>
      </c>
      <c r="G64" s="101">
        <v>1501628</v>
      </c>
      <c r="H64" s="100">
        <f>_xlfn.COMPOUNDVALUE(187)</f>
        <v>80</v>
      </c>
      <c r="I64" s="102">
        <v>85175</v>
      </c>
      <c r="J64" s="100">
        <v>281</v>
      </c>
      <c r="K64" s="102">
        <v>51791</v>
      </c>
      <c r="L64" s="100">
        <v>3610</v>
      </c>
      <c r="M64" s="102">
        <v>1468243</v>
      </c>
      <c r="N64" s="148" t="s">
        <v>105</v>
      </c>
    </row>
    <row r="65" spans="1:14" s="157" customFormat="1" ht="15.75" customHeight="1">
      <c r="A65" s="106" t="s">
        <v>106</v>
      </c>
      <c r="B65" s="107">
        <f>_xlfn.COMPOUNDVALUE(188)</f>
        <v>778</v>
      </c>
      <c r="C65" s="108">
        <v>453044</v>
      </c>
      <c r="D65" s="107">
        <f>_xlfn.COMPOUNDVALUE(189)</f>
        <v>1596</v>
      </c>
      <c r="E65" s="108">
        <v>478857</v>
      </c>
      <c r="F65" s="107">
        <f>_xlfn.COMPOUNDVALUE(190)</f>
        <v>2374</v>
      </c>
      <c r="G65" s="108">
        <v>931902</v>
      </c>
      <c r="H65" s="107">
        <f>_xlfn.COMPOUNDVALUE(191)</f>
        <v>46</v>
      </c>
      <c r="I65" s="109">
        <v>31697</v>
      </c>
      <c r="J65" s="107">
        <v>227</v>
      </c>
      <c r="K65" s="109">
        <v>26630</v>
      </c>
      <c r="L65" s="107">
        <v>2547</v>
      </c>
      <c r="M65" s="109">
        <v>926835</v>
      </c>
      <c r="N65" s="105" t="s">
        <v>106</v>
      </c>
    </row>
    <row r="66" spans="1:14" s="157" customFormat="1" ht="15.75" customHeight="1">
      <c r="A66" s="106"/>
      <c r="B66" s="107"/>
      <c r="C66" s="108"/>
      <c r="D66" s="107"/>
      <c r="E66" s="108"/>
      <c r="F66" s="107"/>
      <c r="G66" s="108"/>
      <c r="H66" s="107"/>
      <c r="I66" s="109"/>
      <c r="J66" s="107"/>
      <c r="K66" s="109"/>
      <c r="L66" s="107"/>
      <c r="M66" s="109"/>
      <c r="N66" s="105" t="s">
        <v>55</v>
      </c>
    </row>
    <row r="67" spans="1:14" s="157" customFormat="1" ht="15.75" customHeight="1">
      <c r="A67" s="106" t="s">
        <v>107</v>
      </c>
      <c r="B67" s="107">
        <f>_xlfn.COMPOUNDVALUE(192)</f>
        <v>1147</v>
      </c>
      <c r="C67" s="108">
        <v>492405</v>
      </c>
      <c r="D67" s="107">
        <f>_xlfn.COMPOUNDVALUE(193)</f>
        <v>2040</v>
      </c>
      <c r="E67" s="108">
        <v>588758</v>
      </c>
      <c r="F67" s="107">
        <f>_xlfn.COMPOUNDVALUE(194)</f>
        <v>3187</v>
      </c>
      <c r="G67" s="108">
        <v>1081163</v>
      </c>
      <c r="H67" s="107">
        <f>_xlfn.COMPOUNDVALUE(195)</f>
        <v>87</v>
      </c>
      <c r="I67" s="109">
        <v>75277</v>
      </c>
      <c r="J67" s="107">
        <v>248</v>
      </c>
      <c r="K67" s="109">
        <v>53957</v>
      </c>
      <c r="L67" s="107">
        <v>3445</v>
      </c>
      <c r="M67" s="109">
        <v>1059843</v>
      </c>
      <c r="N67" s="105" t="s">
        <v>107</v>
      </c>
    </row>
    <row r="68" spans="1:14" s="157" customFormat="1" ht="15.75" customHeight="1">
      <c r="A68" s="106" t="s">
        <v>108</v>
      </c>
      <c r="B68" s="107">
        <f>_xlfn.COMPOUNDVALUE(196)</f>
        <v>911</v>
      </c>
      <c r="C68" s="108">
        <v>331872</v>
      </c>
      <c r="D68" s="107">
        <f>_xlfn.COMPOUNDVALUE(197)</f>
        <v>1729</v>
      </c>
      <c r="E68" s="108">
        <v>467401</v>
      </c>
      <c r="F68" s="107">
        <f>_xlfn.COMPOUNDVALUE(198)</f>
        <v>2640</v>
      </c>
      <c r="G68" s="108">
        <v>799272</v>
      </c>
      <c r="H68" s="107">
        <f>_xlfn.COMPOUNDVALUE(199)</f>
        <v>59</v>
      </c>
      <c r="I68" s="109">
        <v>41252</v>
      </c>
      <c r="J68" s="107">
        <v>141</v>
      </c>
      <c r="K68" s="109">
        <v>37104</v>
      </c>
      <c r="L68" s="107">
        <v>2782</v>
      </c>
      <c r="M68" s="109">
        <v>795124</v>
      </c>
      <c r="N68" s="105" t="s">
        <v>108</v>
      </c>
    </row>
    <row r="69" spans="1:14" s="157" customFormat="1" ht="15.75" customHeight="1">
      <c r="A69" s="106" t="s">
        <v>109</v>
      </c>
      <c r="B69" s="107">
        <f>_xlfn.COMPOUNDVALUE(200)</f>
        <v>1169</v>
      </c>
      <c r="C69" s="108">
        <v>497546</v>
      </c>
      <c r="D69" s="107">
        <f>_xlfn.COMPOUNDVALUE(201)</f>
        <v>2423</v>
      </c>
      <c r="E69" s="108">
        <v>615452</v>
      </c>
      <c r="F69" s="107">
        <f>_xlfn.COMPOUNDVALUE(202)</f>
        <v>3592</v>
      </c>
      <c r="G69" s="108">
        <v>1112998</v>
      </c>
      <c r="H69" s="107">
        <f>_xlfn.COMPOUNDVALUE(203)</f>
        <v>57</v>
      </c>
      <c r="I69" s="109">
        <v>44176</v>
      </c>
      <c r="J69" s="107">
        <v>285</v>
      </c>
      <c r="K69" s="109">
        <v>33854</v>
      </c>
      <c r="L69" s="107">
        <v>3791</v>
      </c>
      <c r="M69" s="109">
        <v>1102675</v>
      </c>
      <c r="N69" s="105" t="s">
        <v>109</v>
      </c>
    </row>
    <row r="70" spans="1:14" s="157" customFormat="1" ht="15.75" customHeight="1">
      <c r="A70" s="106" t="s">
        <v>110</v>
      </c>
      <c r="B70" s="107">
        <f>_xlfn.COMPOUNDVALUE(204)</f>
        <v>1305</v>
      </c>
      <c r="C70" s="108">
        <v>639780</v>
      </c>
      <c r="D70" s="107">
        <f>_xlfn.COMPOUNDVALUE(205)</f>
        <v>2361</v>
      </c>
      <c r="E70" s="108">
        <v>660923</v>
      </c>
      <c r="F70" s="107">
        <f>_xlfn.COMPOUNDVALUE(206)</f>
        <v>3666</v>
      </c>
      <c r="G70" s="108">
        <v>1300702</v>
      </c>
      <c r="H70" s="107">
        <f>_xlfn.COMPOUNDVALUE(207)</f>
        <v>67</v>
      </c>
      <c r="I70" s="109">
        <v>58753</v>
      </c>
      <c r="J70" s="107">
        <v>259</v>
      </c>
      <c r="K70" s="109">
        <v>32025</v>
      </c>
      <c r="L70" s="107">
        <v>3863</v>
      </c>
      <c r="M70" s="109">
        <v>1273974</v>
      </c>
      <c r="N70" s="105" t="s">
        <v>110</v>
      </c>
    </row>
    <row r="71" spans="1:14" s="157" customFormat="1" ht="15.75" customHeight="1">
      <c r="A71" s="106" t="s">
        <v>111</v>
      </c>
      <c r="B71" s="107">
        <f>_xlfn.COMPOUNDVALUE(114)</f>
        <v>632</v>
      </c>
      <c r="C71" s="108">
        <v>390623</v>
      </c>
      <c r="D71" s="107">
        <f>_xlfn.COMPOUNDVALUE(208)</f>
        <v>996</v>
      </c>
      <c r="E71" s="108">
        <v>290894</v>
      </c>
      <c r="F71" s="107">
        <f>_xlfn.COMPOUNDVALUE(209)</f>
        <v>1628</v>
      </c>
      <c r="G71" s="108">
        <v>681517</v>
      </c>
      <c r="H71" s="107">
        <f>_xlfn.COMPOUNDVALUE(210)</f>
        <v>31</v>
      </c>
      <c r="I71" s="109">
        <v>111522</v>
      </c>
      <c r="J71" s="107">
        <v>93</v>
      </c>
      <c r="K71" s="109">
        <v>12643</v>
      </c>
      <c r="L71" s="107">
        <v>1712</v>
      </c>
      <c r="M71" s="109">
        <v>582638</v>
      </c>
      <c r="N71" s="105" t="s">
        <v>111</v>
      </c>
    </row>
    <row r="72" spans="1:14" s="157" customFormat="1" ht="15.75" customHeight="1">
      <c r="A72" s="110" t="s">
        <v>164</v>
      </c>
      <c r="B72" s="111">
        <v>35230</v>
      </c>
      <c r="C72" s="112">
        <v>27559548</v>
      </c>
      <c r="D72" s="111">
        <v>63149</v>
      </c>
      <c r="E72" s="112">
        <v>20074020</v>
      </c>
      <c r="F72" s="111">
        <v>98379</v>
      </c>
      <c r="G72" s="112">
        <v>47633564</v>
      </c>
      <c r="H72" s="111">
        <v>2469</v>
      </c>
      <c r="I72" s="113">
        <v>2288775</v>
      </c>
      <c r="J72" s="111">
        <v>7402</v>
      </c>
      <c r="K72" s="113">
        <v>1308144</v>
      </c>
      <c r="L72" s="111">
        <v>104204</v>
      </c>
      <c r="M72" s="113">
        <v>46652930</v>
      </c>
      <c r="N72" s="131" t="s">
        <v>113</v>
      </c>
    </row>
    <row r="73" spans="1:14" s="157" customFormat="1" ht="15.75" customHeight="1">
      <c r="A73" s="132"/>
      <c r="B73" s="141"/>
      <c r="C73" s="142"/>
      <c r="D73" s="141"/>
      <c r="E73" s="142"/>
      <c r="F73" s="141"/>
      <c r="G73" s="142"/>
      <c r="H73" s="141"/>
      <c r="I73" s="143"/>
      <c r="J73" s="141"/>
      <c r="K73" s="143"/>
      <c r="L73" s="141"/>
      <c r="M73" s="143"/>
      <c r="N73" s="152" t="s">
        <v>55</v>
      </c>
    </row>
    <row r="74" spans="1:14" s="157" customFormat="1" ht="15.75" customHeight="1">
      <c r="A74" s="99" t="s">
        <v>114</v>
      </c>
      <c r="B74" s="100">
        <f>_xlfn.COMPOUNDVALUE(211)</f>
        <v>1236</v>
      </c>
      <c r="C74" s="101">
        <v>568655</v>
      </c>
      <c r="D74" s="100">
        <f>_xlfn.COMPOUNDVALUE(212)</f>
        <v>2425</v>
      </c>
      <c r="E74" s="101">
        <v>675214</v>
      </c>
      <c r="F74" s="100">
        <f>_xlfn.COMPOUNDVALUE(213)</f>
        <v>3661</v>
      </c>
      <c r="G74" s="101">
        <v>1243869</v>
      </c>
      <c r="H74" s="100">
        <f>_xlfn.COMPOUNDVALUE(214)</f>
        <v>86</v>
      </c>
      <c r="I74" s="102">
        <v>25657</v>
      </c>
      <c r="J74" s="100">
        <v>255</v>
      </c>
      <c r="K74" s="102">
        <v>26583</v>
      </c>
      <c r="L74" s="100">
        <v>3874</v>
      </c>
      <c r="M74" s="102">
        <v>1244795</v>
      </c>
      <c r="N74" s="147" t="s">
        <v>114</v>
      </c>
    </row>
    <row r="75" spans="1:14" s="157" customFormat="1" ht="15.75" customHeight="1">
      <c r="A75" s="106" t="s">
        <v>115</v>
      </c>
      <c r="B75" s="107">
        <f>_xlfn.COMPOUNDVALUE(215)</f>
        <v>1476</v>
      </c>
      <c r="C75" s="108">
        <v>762634</v>
      </c>
      <c r="D75" s="107">
        <f>_xlfn.COMPOUNDVALUE(212)</f>
        <v>3235</v>
      </c>
      <c r="E75" s="108">
        <v>936454</v>
      </c>
      <c r="F75" s="107">
        <f>_xlfn.COMPOUNDVALUE(216)</f>
        <v>4711</v>
      </c>
      <c r="G75" s="108">
        <v>1699088</v>
      </c>
      <c r="H75" s="107">
        <f>_xlfn.COMPOUNDVALUE(217)</f>
        <v>94</v>
      </c>
      <c r="I75" s="109">
        <v>108956</v>
      </c>
      <c r="J75" s="107">
        <v>407</v>
      </c>
      <c r="K75" s="109">
        <v>57685</v>
      </c>
      <c r="L75" s="107">
        <v>4982</v>
      </c>
      <c r="M75" s="109">
        <v>1647816</v>
      </c>
      <c r="N75" s="105" t="s">
        <v>115</v>
      </c>
    </row>
    <row r="76" spans="1:14" s="157" customFormat="1" ht="15.75" customHeight="1">
      <c r="A76" s="106" t="s">
        <v>116</v>
      </c>
      <c r="B76" s="107">
        <f>_xlfn.COMPOUNDVALUE(218)</f>
        <v>1151</v>
      </c>
      <c r="C76" s="108">
        <v>891083</v>
      </c>
      <c r="D76" s="107">
        <f>_xlfn.COMPOUNDVALUE(219)</f>
        <v>2542</v>
      </c>
      <c r="E76" s="108">
        <v>813963</v>
      </c>
      <c r="F76" s="107">
        <f>_xlfn.COMPOUNDVALUE(220)</f>
        <v>3693</v>
      </c>
      <c r="G76" s="108">
        <v>1705046</v>
      </c>
      <c r="H76" s="107">
        <f>_xlfn.COMPOUNDVALUE(221)</f>
        <v>67</v>
      </c>
      <c r="I76" s="109">
        <v>38862</v>
      </c>
      <c r="J76" s="107">
        <v>251</v>
      </c>
      <c r="K76" s="109">
        <v>42560</v>
      </c>
      <c r="L76" s="107">
        <v>3892</v>
      </c>
      <c r="M76" s="109">
        <v>1708744</v>
      </c>
      <c r="N76" s="105" t="s">
        <v>116</v>
      </c>
    </row>
    <row r="77" spans="1:14" s="157" customFormat="1" ht="15.75" customHeight="1">
      <c r="A77" s="106" t="s">
        <v>117</v>
      </c>
      <c r="B77" s="107">
        <f>_xlfn.COMPOUNDVALUE(222)</f>
        <v>1034</v>
      </c>
      <c r="C77" s="108">
        <v>438191</v>
      </c>
      <c r="D77" s="107">
        <f>_xlfn.COMPOUNDVALUE(223)</f>
        <v>2197</v>
      </c>
      <c r="E77" s="108">
        <v>583626</v>
      </c>
      <c r="F77" s="107">
        <f>_xlfn.COMPOUNDVALUE(224)</f>
        <v>3231</v>
      </c>
      <c r="G77" s="108">
        <v>1021817</v>
      </c>
      <c r="H77" s="107">
        <f>_xlfn.COMPOUNDVALUE(225)</f>
        <v>59</v>
      </c>
      <c r="I77" s="109">
        <v>20025</v>
      </c>
      <c r="J77" s="107">
        <v>153</v>
      </c>
      <c r="K77" s="109">
        <v>20629</v>
      </c>
      <c r="L77" s="107">
        <v>3372</v>
      </c>
      <c r="M77" s="109">
        <v>1022421</v>
      </c>
      <c r="N77" s="105" t="s">
        <v>117</v>
      </c>
    </row>
    <row r="78" spans="1:14" s="157" customFormat="1" ht="15.75" customHeight="1">
      <c r="A78" s="106" t="s">
        <v>118</v>
      </c>
      <c r="B78" s="107">
        <f>_xlfn.COMPOUNDVALUE(226)</f>
        <v>1285</v>
      </c>
      <c r="C78" s="108">
        <v>612651</v>
      </c>
      <c r="D78" s="107">
        <f>_xlfn.COMPOUNDVALUE(227)</f>
        <v>2530</v>
      </c>
      <c r="E78" s="108">
        <v>739359</v>
      </c>
      <c r="F78" s="107">
        <f>_xlfn.COMPOUNDVALUE(228)</f>
        <v>3815</v>
      </c>
      <c r="G78" s="108">
        <v>1352010</v>
      </c>
      <c r="H78" s="107">
        <f>_xlfn.COMPOUNDVALUE(229)</f>
        <v>87</v>
      </c>
      <c r="I78" s="109">
        <v>82657</v>
      </c>
      <c r="J78" s="107">
        <v>328</v>
      </c>
      <c r="K78" s="109">
        <v>41786</v>
      </c>
      <c r="L78" s="107">
        <v>4061</v>
      </c>
      <c r="M78" s="109">
        <v>1311139</v>
      </c>
      <c r="N78" s="105" t="s">
        <v>118</v>
      </c>
    </row>
    <row r="79" spans="1:14" s="157" customFormat="1" ht="15.75" customHeight="1">
      <c r="A79" s="168"/>
      <c r="B79" s="171"/>
      <c r="C79" s="172"/>
      <c r="D79" s="171"/>
      <c r="E79" s="172"/>
      <c r="F79" s="171"/>
      <c r="G79" s="172"/>
      <c r="H79" s="171"/>
      <c r="I79" s="173"/>
      <c r="J79" s="171"/>
      <c r="K79" s="173"/>
      <c r="L79" s="171"/>
      <c r="M79" s="172"/>
      <c r="N79" s="170" t="s">
        <v>55</v>
      </c>
    </row>
    <row r="80" spans="1:14" s="157" customFormat="1" ht="15.75" customHeight="1">
      <c r="A80" s="164" t="s">
        <v>119</v>
      </c>
      <c r="B80" s="100">
        <f>_xlfn.COMPOUNDVALUE(230)</f>
        <v>972</v>
      </c>
      <c r="C80" s="101">
        <v>539654</v>
      </c>
      <c r="D80" s="100">
        <f>_xlfn.COMPOUNDVALUE(231)</f>
        <v>1800</v>
      </c>
      <c r="E80" s="101">
        <v>528182</v>
      </c>
      <c r="F80" s="100">
        <f>_xlfn.COMPOUNDVALUE(232)</f>
        <v>2772</v>
      </c>
      <c r="G80" s="101">
        <v>1067836</v>
      </c>
      <c r="H80" s="100">
        <f>_xlfn.COMPOUNDVALUE(233)</f>
        <v>46</v>
      </c>
      <c r="I80" s="102">
        <v>44957</v>
      </c>
      <c r="J80" s="100">
        <v>216</v>
      </c>
      <c r="K80" s="102">
        <v>26552</v>
      </c>
      <c r="L80" s="100">
        <v>2915</v>
      </c>
      <c r="M80" s="101">
        <v>1049430</v>
      </c>
      <c r="N80" s="148" t="s">
        <v>119</v>
      </c>
    </row>
    <row r="81" spans="1:14" s="157" customFormat="1" ht="15.75" customHeight="1">
      <c r="A81" s="106" t="s">
        <v>120</v>
      </c>
      <c r="B81" s="107">
        <f>_xlfn.COMPOUNDVALUE(234)</f>
        <v>607</v>
      </c>
      <c r="C81" s="108">
        <v>303598</v>
      </c>
      <c r="D81" s="107">
        <f>_xlfn.COMPOUNDVALUE(212)</f>
        <v>1504</v>
      </c>
      <c r="E81" s="108">
        <v>445075</v>
      </c>
      <c r="F81" s="107">
        <f>_xlfn.COMPOUNDVALUE(235)</f>
        <v>2111</v>
      </c>
      <c r="G81" s="108">
        <v>748672</v>
      </c>
      <c r="H81" s="107">
        <f>_xlfn.COMPOUNDVALUE(236)</f>
        <v>59</v>
      </c>
      <c r="I81" s="109">
        <v>26506</v>
      </c>
      <c r="J81" s="107">
        <v>204</v>
      </c>
      <c r="K81" s="109">
        <v>33947</v>
      </c>
      <c r="L81" s="107">
        <v>2297</v>
      </c>
      <c r="M81" s="109">
        <v>756113</v>
      </c>
      <c r="N81" s="105" t="s">
        <v>120</v>
      </c>
    </row>
    <row r="82" spans="1:14" s="157" customFormat="1" ht="15.75" customHeight="1">
      <c r="A82" s="106" t="s">
        <v>121</v>
      </c>
      <c r="B82" s="107">
        <f>_xlfn.COMPOUNDVALUE(237)</f>
        <v>1562</v>
      </c>
      <c r="C82" s="108">
        <v>667638</v>
      </c>
      <c r="D82" s="107">
        <f>_xlfn.COMPOUNDVALUE(238)</f>
        <v>3148</v>
      </c>
      <c r="E82" s="108">
        <v>877419</v>
      </c>
      <c r="F82" s="107">
        <f>_xlfn.COMPOUNDVALUE(239)</f>
        <v>4710</v>
      </c>
      <c r="G82" s="108">
        <v>1545056</v>
      </c>
      <c r="H82" s="107">
        <f>_xlfn.COMPOUNDVALUE(240)</f>
        <v>81</v>
      </c>
      <c r="I82" s="109">
        <v>51658</v>
      </c>
      <c r="J82" s="107">
        <v>326</v>
      </c>
      <c r="K82" s="109">
        <v>44480</v>
      </c>
      <c r="L82" s="107">
        <v>4986</v>
      </c>
      <c r="M82" s="109">
        <v>1537878</v>
      </c>
      <c r="N82" s="105" t="s">
        <v>121</v>
      </c>
    </row>
    <row r="83" spans="1:14" s="157" customFormat="1" ht="15.75" customHeight="1">
      <c r="A83" s="110" t="s">
        <v>122</v>
      </c>
      <c r="B83" s="111">
        <v>9323</v>
      </c>
      <c r="C83" s="112">
        <v>4784104</v>
      </c>
      <c r="D83" s="111">
        <v>19381</v>
      </c>
      <c r="E83" s="112">
        <v>5599292</v>
      </c>
      <c r="F83" s="111">
        <v>28704</v>
      </c>
      <c r="G83" s="112">
        <v>10383394</v>
      </c>
      <c r="H83" s="111">
        <v>579</v>
      </c>
      <c r="I83" s="113">
        <v>399278</v>
      </c>
      <c r="J83" s="111">
        <v>2140</v>
      </c>
      <c r="K83" s="113">
        <v>294222</v>
      </c>
      <c r="L83" s="111">
        <v>30379</v>
      </c>
      <c r="M83" s="113">
        <v>10278336</v>
      </c>
      <c r="N83" s="131" t="s">
        <v>123</v>
      </c>
    </row>
    <row r="84" spans="1:14" s="157" customFormat="1" ht="15.75" customHeight="1">
      <c r="A84" s="132"/>
      <c r="B84" s="141"/>
      <c r="C84" s="142"/>
      <c r="D84" s="141"/>
      <c r="E84" s="142"/>
      <c r="F84" s="141"/>
      <c r="G84" s="142"/>
      <c r="H84" s="141"/>
      <c r="I84" s="143"/>
      <c r="J84" s="141"/>
      <c r="K84" s="143"/>
      <c r="L84" s="141"/>
      <c r="M84" s="143"/>
      <c r="N84" s="152" t="s">
        <v>55</v>
      </c>
    </row>
    <row r="85" spans="1:14" s="157" customFormat="1" ht="15.75" customHeight="1">
      <c r="A85" s="110" t="s">
        <v>165</v>
      </c>
      <c r="B85" s="111">
        <v>44553</v>
      </c>
      <c r="C85" s="112">
        <v>32343650</v>
      </c>
      <c r="D85" s="111">
        <v>82530</v>
      </c>
      <c r="E85" s="112">
        <v>25673308</v>
      </c>
      <c r="F85" s="111">
        <v>127083</v>
      </c>
      <c r="G85" s="112">
        <v>58016958</v>
      </c>
      <c r="H85" s="111">
        <v>3048</v>
      </c>
      <c r="I85" s="113">
        <v>2688055</v>
      </c>
      <c r="J85" s="111">
        <v>9542</v>
      </c>
      <c r="K85" s="113">
        <v>1602368</v>
      </c>
      <c r="L85" s="111">
        <v>134583</v>
      </c>
      <c r="M85" s="113">
        <v>56931271</v>
      </c>
      <c r="N85" s="131" t="s">
        <v>125</v>
      </c>
    </row>
    <row r="86" spans="1:14" s="157" customFormat="1" ht="15.75" customHeight="1">
      <c r="A86" s="132"/>
      <c r="B86" s="133"/>
      <c r="C86" s="134"/>
      <c r="D86" s="133"/>
      <c r="E86" s="134"/>
      <c r="F86" s="135"/>
      <c r="G86" s="134"/>
      <c r="H86" s="135"/>
      <c r="I86" s="134"/>
      <c r="J86" s="135"/>
      <c r="K86" s="134"/>
      <c r="L86" s="135"/>
      <c r="M86" s="134"/>
      <c r="N86" s="152"/>
    </row>
    <row r="87" spans="1:14" s="157" customFormat="1" ht="15.75" customHeight="1">
      <c r="A87" s="99" t="s">
        <v>126</v>
      </c>
      <c r="B87" s="100">
        <f>_xlfn.COMPOUNDVALUE(241)</f>
        <v>597</v>
      </c>
      <c r="C87" s="101">
        <v>238372</v>
      </c>
      <c r="D87" s="100">
        <f>_xlfn.COMPOUNDVALUE(242)</f>
        <v>1057</v>
      </c>
      <c r="E87" s="101">
        <v>276541</v>
      </c>
      <c r="F87" s="100">
        <f>_xlfn.COMPOUNDVALUE(243)</f>
        <v>1654</v>
      </c>
      <c r="G87" s="101">
        <v>514913</v>
      </c>
      <c r="H87" s="100">
        <f>_xlfn.COMPOUNDVALUE(244)</f>
        <v>35</v>
      </c>
      <c r="I87" s="102">
        <v>31434</v>
      </c>
      <c r="J87" s="100">
        <v>153</v>
      </c>
      <c r="K87" s="102">
        <v>14870</v>
      </c>
      <c r="L87" s="100">
        <v>1758</v>
      </c>
      <c r="M87" s="102">
        <v>498348</v>
      </c>
      <c r="N87" s="147" t="s">
        <v>126</v>
      </c>
    </row>
    <row r="88" spans="1:14" s="157" customFormat="1" ht="15.75" customHeight="1">
      <c r="A88" s="99" t="s">
        <v>127</v>
      </c>
      <c r="B88" s="100">
        <f>_xlfn.COMPOUNDVALUE(245)</f>
        <v>881</v>
      </c>
      <c r="C88" s="101">
        <v>542386</v>
      </c>
      <c r="D88" s="100">
        <f>_xlfn.COMPOUNDVALUE(246)</f>
        <v>1448</v>
      </c>
      <c r="E88" s="101">
        <v>504509</v>
      </c>
      <c r="F88" s="100">
        <f>_xlfn.COMPOUNDVALUE(247)</f>
        <v>2329</v>
      </c>
      <c r="G88" s="101">
        <v>1046896</v>
      </c>
      <c r="H88" s="100">
        <f>_xlfn.COMPOUNDVALUE(248)</f>
        <v>161</v>
      </c>
      <c r="I88" s="102">
        <v>86341</v>
      </c>
      <c r="J88" s="100">
        <v>135</v>
      </c>
      <c r="K88" s="102">
        <v>28308</v>
      </c>
      <c r="L88" s="100">
        <v>2546</v>
      </c>
      <c r="M88" s="102">
        <v>988862</v>
      </c>
      <c r="N88" s="148" t="s">
        <v>127</v>
      </c>
    </row>
    <row r="89" spans="1:14" s="157" customFormat="1" ht="15.75" customHeight="1">
      <c r="A89" s="99" t="s">
        <v>128</v>
      </c>
      <c r="B89" s="100">
        <f>_xlfn.COMPOUNDVALUE(249)</f>
        <v>977</v>
      </c>
      <c r="C89" s="101">
        <v>405246</v>
      </c>
      <c r="D89" s="100">
        <f>_xlfn.COMPOUNDVALUE(250)</f>
        <v>2041</v>
      </c>
      <c r="E89" s="101">
        <v>577406</v>
      </c>
      <c r="F89" s="100">
        <f>_xlfn.COMPOUNDVALUE(251)</f>
        <v>3018</v>
      </c>
      <c r="G89" s="101">
        <v>982651</v>
      </c>
      <c r="H89" s="100">
        <f>_xlfn.COMPOUNDVALUE(252)</f>
        <v>62</v>
      </c>
      <c r="I89" s="102">
        <v>28292</v>
      </c>
      <c r="J89" s="100">
        <v>234</v>
      </c>
      <c r="K89" s="102">
        <v>32608</v>
      </c>
      <c r="L89" s="100">
        <v>3211</v>
      </c>
      <c r="M89" s="102">
        <v>986967</v>
      </c>
      <c r="N89" s="148" t="s">
        <v>128</v>
      </c>
    </row>
    <row r="90" spans="1:14" s="157" customFormat="1" ht="15.75" customHeight="1">
      <c r="A90" s="99" t="s">
        <v>129</v>
      </c>
      <c r="B90" s="100">
        <f>_xlfn.COMPOUNDVALUE(253)</f>
        <v>1345</v>
      </c>
      <c r="C90" s="101">
        <v>678907</v>
      </c>
      <c r="D90" s="100">
        <f>_xlfn.COMPOUNDVALUE(246)</f>
        <v>2442</v>
      </c>
      <c r="E90" s="101">
        <v>714141</v>
      </c>
      <c r="F90" s="100">
        <f>_xlfn.COMPOUNDVALUE(254)</f>
        <v>3787</v>
      </c>
      <c r="G90" s="101">
        <v>1393048</v>
      </c>
      <c r="H90" s="100">
        <f>_xlfn.COMPOUNDVALUE(255)</f>
        <v>123</v>
      </c>
      <c r="I90" s="102">
        <v>112774</v>
      </c>
      <c r="J90" s="100">
        <v>319</v>
      </c>
      <c r="K90" s="102">
        <v>68070</v>
      </c>
      <c r="L90" s="100">
        <v>4100</v>
      </c>
      <c r="M90" s="102">
        <v>1348343</v>
      </c>
      <c r="N90" s="148" t="s">
        <v>129</v>
      </c>
    </row>
    <row r="91" spans="1:14" s="157" customFormat="1" ht="15.75" customHeight="1">
      <c r="A91" s="99" t="s">
        <v>130</v>
      </c>
      <c r="B91" s="100">
        <f>_xlfn.COMPOUNDVALUE(256)</f>
        <v>1134</v>
      </c>
      <c r="C91" s="101">
        <v>743617</v>
      </c>
      <c r="D91" s="100">
        <f>_xlfn.COMPOUNDVALUE(257)</f>
        <v>2462</v>
      </c>
      <c r="E91" s="101">
        <v>734644</v>
      </c>
      <c r="F91" s="100">
        <f>_xlfn.COMPOUNDVALUE(258)</f>
        <v>3596</v>
      </c>
      <c r="G91" s="101">
        <v>1478261</v>
      </c>
      <c r="H91" s="100">
        <f>_xlfn.COMPOUNDVALUE(259)</f>
        <v>90</v>
      </c>
      <c r="I91" s="102">
        <v>69392</v>
      </c>
      <c r="J91" s="100">
        <v>282</v>
      </c>
      <c r="K91" s="102">
        <v>31647</v>
      </c>
      <c r="L91" s="100">
        <v>3826</v>
      </c>
      <c r="M91" s="102">
        <v>1440516</v>
      </c>
      <c r="N91" s="148" t="s">
        <v>130</v>
      </c>
    </row>
    <row r="92" spans="1:14" s="157" customFormat="1" ht="15.75" customHeight="1">
      <c r="A92" s="99"/>
      <c r="B92" s="100"/>
      <c r="C92" s="101"/>
      <c r="D92" s="100"/>
      <c r="E92" s="101"/>
      <c r="F92" s="100"/>
      <c r="G92" s="101"/>
      <c r="H92" s="100"/>
      <c r="I92" s="102"/>
      <c r="J92" s="100"/>
      <c r="K92" s="102"/>
      <c r="L92" s="100"/>
      <c r="M92" s="102"/>
      <c r="N92" s="148" t="s">
        <v>55</v>
      </c>
    </row>
    <row r="93" spans="1:14" s="157" customFormat="1" ht="15.75" customHeight="1">
      <c r="A93" s="99" t="s">
        <v>131</v>
      </c>
      <c r="B93" s="100">
        <f>_xlfn.COMPOUNDVALUE(260)</f>
        <v>853</v>
      </c>
      <c r="C93" s="101">
        <v>542192</v>
      </c>
      <c r="D93" s="100">
        <f>_xlfn.COMPOUNDVALUE(261)</f>
        <v>1905</v>
      </c>
      <c r="E93" s="101">
        <v>541057</v>
      </c>
      <c r="F93" s="100">
        <f>_xlfn.COMPOUNDVALUE(262)</f>
        <v>2758</v>
      </c>
      <c r="G93" s="101">
        <v>1083249</v>
      </c>
      <c r="H93" s="100">
        <f>_xlfn.COMPOUNDVALUE(263)</f>
        <v>65</v>
      </c>
      <c r="I93" s="102">
        <v>64406</v>
      </c>
      <c r="J93" s="100">
        <v>261</v>
      </c>
      <c r="K93" s="102">
        <v>20618</v>
      </c>
      <c r="L93" s="100">
        <v>2940</v>
      </c>
      <c r="M93" s="102">
        <v>1039461</v>
      </c>
      <c r="N93" s="148" t="s">
        <v>131</v>
      </c>
    </row>
    <row r="94" spans="1:14" s="157" customFormat="1" ht="15.75" customHeight="1">
      <c r="A94" s="99" t="s">
        <v>166</v>
      </c>
      <c r="B94" s="100">
        <f>_xlfn.COMPOUNDVALUE(256)</f>
        <v>1440</v>
      </c>
      <c r="C94" s="101">
        <v>1011352</v>
      </c>
      <c r="D94" s="100">
        <f>_xlfn.COMPOUNDVALUE(264)</f>
        <v>3072</v>
      </c>
      <c r="E94" s="101">
        <v>972630</v>
      </c>
      <c r="F94" s="100">
        <f>_xlfn.COMPOUNDVALUE(265)</f>
        <v>4512</v>
      </c>
      <c r="G94" s="101">
        <v>1983982</v>
      </c>
      <c r="H94" s="100">
        <f>_xlfn.COMPOUNDVALUE(266)</f>
        <v>109</v>
      </c>
      <c r="I94" s="102">
        <v>164699</v>
      </c>
      <c r="J94" s="100">
        <v>367</v>
      </c>
      <c r="K94" s="102">
        <v>35969</v>
      </c>
      <c r="L94" s="100">
        <v>4746</v>
      </c>
      <c r="M94" s="102">
        <v>1855251</v>
      </c>
      <c r="N94" s="148" t="s">
        <v>132</v>
      </c>
    </row>
    <row r="95" spans="1:14" s="157" customFormat="1" ht="15.75" customHeight="1">
      <c r="A95" s="99" t="s">
        <v>133</v>
      </c>
      <c r="B95" s="100">
        <f>_xlfn.COMPOUNDVALUE(267)</f>
        <v>886</v>
      </c>
      <c r="C95" s="101">
        <v>351513</v>
      </c>
      <c r="D95" s="100">
        <f>_xlfn.COMPOUNDVALUE(268)</f>
        <v>1507</v>
      </c>
      <c r="E95" s="101">
        <v>419149</v>
      </c>
      <c r="F95" s="100">
        <f>_xlfn.COMPOUNDVALUE(269)</f>
        <v>2393</v>
      </c>
      <c r="G95" s="101">
        <v>770662</v>
      </c>
      <c r="H95" s="100">
        <f>_xlfn.COMPOUNDVALUE(270)</f>
        <v>64</v>
      </c>
      <c r="I95" s="102">
        <v>16814</v>
      </c>
      <c r="J95" s="100">
        <v>124</v>
      </c>
      <c r="K95" s="102">
        <v>51190</v>
      </c>
      <c r="L95" s="100">
        <v>2537</v>
      </c>
      <c r="M95" s="102">
        <v>805037</v>
      </c>
      <c r="N95" s="148" t="s">
        <v>133</v>
      </c>
    </row>
    <row r="96" spans="1:14" s="157" customFormat="1" ht="15.75" customHeight="1">
      <c r="A96" s="99" t="s">
        <v>134</v>
      </c>
      <c r="B96" s="100">
        <f>_xlfn.COMPOUNDVALUE(271)</f>
        <v>1294</v>
      </c>
      <c r="C96" s="101">
        <v>640539</v>
      </c>
      <c r="D96" s="100">
        <f>_xlfn.COMPOUNDVALUE(272)</f>
        <v>2776</v>
      </c>
      <c r="E96" s="101">
        <v>867782</v>
      </c>
      <c r="F96" s="100">
        <f>_xlfn.COMPOUNDVALUE(273)</f>
        <v>4070</v>
      </c>
      <c r="G96" s="101">
        <v>1508321</v>
      </c>
      <c r="H96" s="100">
        <f>_xlfn.COMPOUNDVALUE(274)</f>
        <v>113</v>
      </c>
      <c r="I96" s="102">
        <v>115011</v>
      </c>
      <c r="J96" s="100">
        <v>245</v>
      </c>
      <c r="K96" s="102">
        <v>32860</v>
      </c>
      <c r="L96" s="100">
        <v>4307</v>
      </c>
      <c r="M96" s="102">
        <v>1426170</v>
      </c>
      <c r="N96" s="148" t="s">
        <v>134</v>
      </c>
    </row>
    <row r="97" spans="1:14" s="157" customFormat="1" ht="15.75" customHeight="1">
      <c r="A97" s="99" t="s">
        <v>135</v>
      </c>
      <c r="B97" s="100">
        <f>_xlfn.COMPOUNDVALUE(275)</f>
        <v>762</v>
      </c>
      <c r="C97" s="101">
        <v>487941</v>
      </c>
      <c r="D97" s="100">
        <f>_xlfn.COMPOUNDVALUE(276)</f>
        <v>1542</v>
      </c>
      <c r="E97" s="101">
        <v>446415</v>
      </c>
      <c r="F97" s="100">
        <f>_xlfn.COMPOUNDVALUE(277)</f>
        <v>2304</v>
      </c>
      <c r="G97" s="101">
        <v>934357</v>
      </c>
      <c r="H97" s="100">
        <f>_xlfn.COMPOUNDVALUE(278)</f>
        <v>51</v>
      </c>
      <c r="I97" s="102">
        <v>24336</v>
      </c>
      <c r="J97" s="100">
        <v>234</v>
      </c>
      <c r="K97" s="102">
        <v>51869</v>
      </c>
      <c r="L97" s="100">
        <v>2503</v>
      </c>
      <c r="M97" s="102">
        <v>961889</v>
      </c>
      <c r="N97" s="148" t="s">
        <v>135</v>
      </c>
    </row>
    <row r="98" spans="1:14" s="157" customFormat="1" ht="15.75" customHeight="1">
      <c r="A98" s="99"/>
      <c r="B98" s="100"/>
      <c r="C98" s="101"/>
      <c r="D98" s="100"/>
      <c r="E98" s="101"/>
      <c r="F98" s="100"/>
      <c r="G98" s="101"/>
      <c r="H98" s="100"/>
      <c r="I98" s="102"/>
      <c r="J98" s="100"/>
      <c r="K98" s="102"/>
      <c r="L98" s="100"/>
      <c r="M98" s="102"/>
      <c r="N98" s="148" t="s">
        <v>55</v>
      </c>
    </row>
    <row r="99" spans="1:14" s="157" customFormat="1" ht="15.75" customHeight="1">
      <c r="A99" s="99" t="s">
        <v>136</v>
      </c>
      <c r="B99" s="100">
        <f>_xlfn.COMPOUNDVALUE(279)</f>
        <v>868</v>
      </c>
      <c r="C99" s="101">
        <v>301220</v>
      </c>
      <c r="D99" s="100">
        <f>_xlfn.COMPOUNDVALUE(280)</f>
        <v>2497</v>
      </c>
      <c r="E99" s="101">
        <v>633585</v>
      </c>
      <c r="F99" s="100">
        <f>_xlfn.COMPOUNDVALUE(281)</f>
        <v>3365</v>
      </c>
      <c r="G99" s="101">
        <v>934805</v>
      </c>
      <c r="H99" s="100">
        <f>_xlfn.COMPOUNDVALUE(282)</f>
        <v>50</v>
      </c>
      <c r="I99" s="102">
        <v>18582</v>
      </c>
      <c r="J99" s="100">
        <v>205</v>
      </c>
      <c r="K99" s="102">
        <v>40632</v>
      </c>
      <c r="L99" s="100">
        <v>3530</v>
      </c>
      <c r="M99" s="102">
        <v>956855</v>
      </c>
      <c r="N99" s="148" t="s">
        <v>136</v>
      </c>
    </row>
    <row r="100" spans="1:14" s="157" customFormat="1" ht="15.75" customHeight="1">
      <c r="A100" s="99" t="s">
        <v>137</v>
      </c>
      <c r="B100" s="100">
        <f>_xlfn.COMPOUNDVALUE(283)</f>
        <v>1032</v>
      </c>
      <c r="C100" s="101">
        <v>399362</v>
      </c>
      <c r="D100" s="100">
        <f>_xlfn.COMPOUNDVALUE(284)</f>
        <v>2459</v>
      </c>
      <c r="E100" s="101">
        <v>630946</v>
      </c>
      <c r="F100" s="100">
        <f>_xlfn.COMPOUNDVALUE(285)</f>
        <v>3491</v>
      </c>
      <c r="G100" s="101">
        <v>1030308</v>
      </c>
      <c r="H100" s="100">
        <f>_xlfn.COMPOUNDVALUE(286)</f>
        <v>54</v>
      </c>
      <c r="I100" s="102">
        <v>39357</v>
      </c>
      <c r="J100" s="100">
        <v>201</v>
      </c>
      <c r="K100" s="102">
        <v>30973</v>
      </c>
      <c r="L100" s="100">
        <v>3653</v>
      </c>
      <c r="M100" s="102">
        <v>1021923</v>
      </c>
      <c r="N100" s="148" t="s">
        <v>137</v>
      </c>
    </row>
    <row r="101" spans="1:14" s="157" customFormat="1" ht="15.75" customHeight="1">
      <c r="A101" s="106" t="s">
        <v>138</v>
      </c>
      <c r="B101" s="107">
        <f>_xlfn.COMPOUNDVALUE(287)</f>
        <v>675</v>
      </c>
      <c r="C101" s="108">
        <v>356430</v>
      </c>
      <c r="D101" s="107">
        <f>_xlfn.COMPOUNDVALUE(288)</f>
        <v>1523</v>
      </c>
      <c r="E101" s="108">
        <v>438717</v>
      </c>
      <c r="F101" s="107">
        <f>_xlfn.COMPOUNDVALUE(289)</f>
        <v>2198</v>
      </c>
      <c r="G101" s="108">
        <v>795148</v>
      </c>
      <c r="H101" s="107">
        <f>_xlfn.COMPOUNDVALUE(290)</f>
        <v>85</v>
      </c>
      <c r="I101" s="109">
        <v>48049</v>
      </c>
      <c r="J101" s="107">
        <v>177</v>
      </c>
      <c r="K101" s="109">
        <v>68104</v>
      </c>
      <c r="L101" s="107">
        <v>2376</v>
      </c>
      <c r="M101" s="109">
        <v>815203</v>
      </c>
      <c r="N101" s="105" t="s">
        <v>138</v>
      </c>
    </row>
    <row r="102" spans="1:14" s="157" customFormat="1" ht="15.75" customHeight="1">
      <c r="A102" s="106" t="s">
        <v>139</v>
      </c>
      <c r="B102" s="107">
        <f>_xlfn.COMPOUNDVALUE(291)</f>
        <v>1525</v>
      </c>
      <c r="C102" s="108">
        <v>775685</v>
      </c>
      <c r="D102" s="107">
        <f>_xlfn.COMPOUNDVALUE(292)</f>
        <v>3082</v>
      </c>
      <c r="E102" s="108">
        <v>848430</v>
      </c>
      <c r="F102" s="107">
        <f>_xlfn.COMPOUNDVALUE(293)</f>
        <v>4607</v>
      </c>
      <c r="G102" s="108">
        <v>1624115</v>
      </c>
      <c r="H102" s="107">
        <f>_xlfn.COMPOUNDVALUE(294)</f>
        <v>112</v>
      </c>
      <c r="I102" s="109">
        <v>99597</v>
      </c>
      <c r="J102" s="107">
        <v>296</v>
      </c>
      <c r="K102" s="109">
        <v>33503</v>
      </c>
      <c r="L102" s="107">
        <v>4870</v>
      </c>
      <c r="M102" s="109">
        <v>1558020</v>
      </c>
      <c r="N102" s="105" t="s">
        <v>139</v>
      </c>
    </row>
    <row r="103" spans="1:14" s="157" customFormat="1" ht="15.75" customHeight="1">
      <c r="A103" s="106" t="s">
        <v>140</v>
      </c>
      <c r="B103" s="107">
        <f>_xlfn.COMPOUNDVALUE(295)</f>
        <v>938</v>
      </c>
      <c r="C103" s="108">
        <v>310914</v>
      </c>
      <c r="D103" s="107">
        <f>_xlfn.COMPOUNDVALUE(296)</f>
        <v>1744</v>
      </c>
      <c r="E103" s="108">
        <v>428233</v>
      </c>
      <c r="F103" s="107">
        <f>_xlfn.COMPOUNDVALUE(297)</f>
        <v>2682</v>
      </c>
      <c r="G103" s="108">
        <v>739147</v>
      </c>
      <c r="H103" s="107">
        <f>_xlfn.COMPOUNDVALUE(298)</f>
        <v>51</v>
      </c>
      <c r="I103" s="109">
        <v>12557</v>
      </c>
      <c r="J103" s="107">
        <v>182</v>
      </c>
      <c r="K103" s="109">
        <v>23209</v>
      </c>
      <c r="L103" s="107">
        <v>2810</v>
      </c>
      <c r="M103" s="109">
        <v>749799</v>
      </c>
      <c r="N103" s="105" t="s">
        <v>140</v>
      </c>
    </row>
    <row r="104" spans="1:14" s="157" customFormat="1" ht="15.75" customHeight="1">
      <c r="A104" s="106"/>
      <c r="B104" s="107"/>
      <c r="C104" s="108"/>
      <c r="D104" s="107"/>
      <c r="E104" s="108"/>
      <c r="F104" s="107"/>
      <c r="G104" s="108"/>
      <c r="H104" s="107"/>
      <c r="I104" s="109"/>
      <c r="J104" s="107"/>
      <c r="K104" s="109"/>
      <c r="L104" s="107"/>
      <c r="M104" s="109"/>
      <c r="N104" s="105" t="s">
        <v>55</v>
      </c>
    </row>
    <row r="105" spans="1:14" s="157" customFormat="1" ht="15.75" customHeight="1">
      <c r="A105" s="106" t="s">
        <v>141</v>
      </c>
      <c r="B105" s="107">
        <f>_xlfn.COMPOUNDVALUE(299)</f>
        <v>1356</v>
      </c>
      <c r="C105" s="108">
        <v>627821</v>
      </c>
      <c r="D105" s="107">
        <f>_xlfn.COMPOUNDVALUE(300)</f>
        <v>2740</v>
      </c>
      <c r="E105" s="108">
        <v>787758</v>
      </c>
      <c r="F105" s="107">
        <f>_xlfn.COMPOUNDVALUE(301)</f>
        <v>4096</v>
      </c>
      <c r="G105" s="108">
        <v>1415579</v>
      </c>
      <c r="H105" s="107">
        <f>_xlfn.COMPOUNDVALUE(302)</f>
        <v>87</v>
      </c>
      <c r="I105" s="109">
        <v>72763</v>
      </c>
      <c r="J105" s="107">
        <v>330</v>
      </c>
      <c r="K105" s="109">
        <v>40704</v>
      </c>
      <c r="L105" s="107">
        <v>4367</v>
      </c>
      <c r="M105" s="109">
        <v>1383521</v>
      </c>
      <c r="N105" s="105" t="s">
        <v>141</v>
      </c>
    </row>
    <row r="106" spans="1:14" s="157" customFormat="1" ht="15.75" customHeight="1">
      <c r="A106" s="106" t="s">
        <v>142</v>
      </c>
      <c r="B106" s="107">
        <f>_xlfn.COMPOUNDVALUE(303)</f>
        <v>566</v>
      </c>
      <c r="C106" s="108">
        <v>249191</v>
      </c>
      <c r="D106" s="107">
        <f>_xlfn.COMPOUNDVALUE(292)</f>
        <v>1367</v>
      </c>
      <c r="E106" s="108">
        <v>382110</v>
      </c>
      <c r="F106" s="107">
        <f>_xlfn.COMPOUNDVALUE(304)</f>
        <v>1933</v>
      </c>
      <c r="G106" s="108">
        <v>631301</v>
      </c>
      <c r="H106" s="107">
        <f>_xlfn.COMPOUNDVALUE(305)</f>
        <v>24</v>
      </c>
      <c r="I106" s="109">
        <v>11261</v>
      </c>
      <c r="J106" s="107">
        <v>109</v>
      </c>
      <c r="K106" s="109">
        <v>31016</v>
      </c>
      <c r="L106" s="107">
        <v>2022</v>
      </c>
      <c r="M106" s="109">
        <v>651056</v>
      </c>
      <c r="N106" s="105" t="s">
        <v>142</v>
      </c>
    </row>
    <row r="107" spans="1:14" s="157" customFormat="1" ht="15.75" customHeight="1">
      <c r="A107" s="106" t="s">
        <v>143</v>
      </c>
      <c r="B107" s="107">
        <f>_xlfn.COMPOUNDVALUE(306)</f>
        <v>1062</v>
      </c>
      <c r="C107" s="108">
        <v>387737</v>
      </c>
      <c r="D107" s="107">
        <f>_xlfn.COMPOUNDVALUE(307)</f>
        <v>2277</v>
      </c>
      <c r="E107" s="108">
        <v>631934</v>
      </c>
      <c r="F107" s="107">
        <f>_xlfn.COMPOUNDVALUE(308)</f>
        <v>3339</v>
      </c>
      <c r="G107" s="108">
        <v>1019671</v>
      </c>
      <c r="H107" s="107">
        <f>_xlfn.COMPOUNDVALUE(309)</f>
        <v>72</v>
      </c>
      <c r="I107" s="109">
        <v>49444</v>
      </c>
      <c r="J107" s="107">
        <v>207</v>
      </c>
      <c r="K107" s="109">
        <v>27665</v>
      </c>
      <c r="L107" s="107">
        <v>3521</v>
      </c>
      <c r="M107" s="109">
        <v>997893</v>
      </c>
      <c r="N107" s="105" t="s">
        <v>143</v>
      </c>
    </row>
    <row r="108" spans="1:14" s="157" customFormat="1" ht="15.75" customHeight="1">
      <c r="A108" s="110" t="s">
        <v>167</v>
      </c>
      <c r="B108" s="111">
        <v>18191</v>
      </c>
      <c r="C108" s="112">
        <v>9050426</v>
      </c>
      <c r="D108" s="111">
        <v>37941</v>
      </c>
      <c r="E108" s="112">
        <v>10835986</v>
      </c>
      <c r="F108" s="111">
        <v>56132</v>
      </c>
      <c r="G108" s="112">
        <v>19886412</v>
      </c>
      <c r="H108" s="111">
        <v>1408</v>
      </c>
      <c r="I108" s="113">
        <v>1065110</v>
      </c>
      <c r="J108" s="111">
        <v>4061</v>
      </c>
      <c r="K108" s="113">
        <v>663813</v>
      </c>
      <c r="L108" s="111">
        <v>59623</v>
      </c>
      <c r="M108" s="113">
        <v>19485115</v>
      </c>
      <c r="N108" s="131" t="s">
        <v>145</v>
      </c>
    </row>
    <row r="109" spans="1:14" s="157" customFormat="1" ht="15.75" customHeight="1">
      <c r="A109" s="132"/>
      <c r="B109" s="133"/>
      <c r="C109" s="134"/>
      <c r="D109" s="133"/>
      <c r="E109" s="134"/>
      <c r="F109" s="135"/>
      <c r="G109" s="134"/>
      <c r="H109" s="135"/>
      <c r="I109" s="134"/>
      <c r="J109" s="135"/>
      <c r="K109" s="134"/>
      <c r="L109" s="135"/>
      <c r="M109" s="134"/>
      <c r="N109" s="152"/>
    </row>
    <row r="110" spans="1:14" s="157" customFormat="1" ht="15.75" customHeight="1">
      <c r="A110" s="99" t="s">
        <v>146</v>
      </c>
      <c r="B110" s="100">
        <f>_xlfn.COMPOUNDVALUE(310)</f>
        <v>1888</v>
      </c>
      <c r="C110" s="101">
        <v>779389</v>
      </c>
      <c r="D110" s="100">
        <f>_xlfn.COMPOUNDVALUE(311)</f>
        <v>3132</v>
      </c>
      <c r="E110" s="101">
        <v>793317</v>
      </c>
      <c r="F110" s="100">
        <f>_xlfn.COMPOUNDVALUE(312)</f>
        <v>5020</v>
      </c>
      <c r="G110" s="101">
        <v>1572706</v>
      </c>
      <c r="H110" s="100">
        <f>_xlfn.COMPOUNDVALUE(313)</f>
        <v>92</v>
      </c>
      <c r="I110" s="102">
        <v>28926</v>
      </c>
      <c r="J110" s="100">
        <v>276</v>
      </c>
      <c r="K110" s="102">
        <v>32505</v>
      </c>
      <c r="L110" s="100">
        <v>5201</v>
      </c>
      <c r="M110" s="102">
        <v>1576286</v>
      </c>
      <c r="N110" s="147" t="s">
        <v>146</v>
      </c>
    </row>
    <row r="111" spans="1:14" s="157" customFormat="1" ht="15.75" customHeight="1">
      <c r="A111" s="106" t="s">
        <v>147</v>
      </c>
      <c r="B111" s="107">
        <f>_xlfn.COMPOUNDVALUE(314)</f>
        <v>595</v>
      </c>
      <c r="C111" s="108">
        <v>213044</v>
      </c>
      <c r="D111" s="107">
        <f>_xlfn.COMPOUNDVALUE(315)</f>
        <v>1335</v>
      </c>
      <c r="E111" s="108">
        <v>292651</v>
      </c>
      <c r="F111" s="107">
        <f>_xlfn.COMPOUNDVALUE(316)</f>
        <v>1930</v>
      </c>
      <c r="G111" s="108">
        <v>505695</v>
      </c>
      <c r="H111" s="107">
        <f>_xlfn.COMPOUNDVALUE(317)</f>
        <v>30</v>
      </c>
      <c r="I111" s="109">
        <v>5182</v>
      </c>
      <c r="J111" s="107">
        <v>136</v>
      </c>
      <c r="K111" s="109">
        <v>12332</v>
      </c>
      <c r="L111" s="107">
        <v>2001</v>
      </c>
      <c r="M111" s="109">
        <v>512845</v>
      </c>
      <c r="N111" s="105" t="s">
        <v>147</v>
      </c>
    </row>
    <row r="112" spans="1:14" s="157" customFormat="1" ht="15.75" customHeight="1">
      <c r="A112" s="106" t="s">
        <v>148</v>
      </c>
      <c r="B112" s="107">
        <f>_xlfn.COMPOUNDVALUE(318)</f>
        <v>1033</v>
      </c>
      <c r="C112" s="108">
        <v>399135</v>
      </c>
      <c r="D112" s="107">
        <f>_xlfn.COMPOUNDVALUE(319)</f>
        <v>1512</v>
      </c>
      <c r="E112" s="108">
        <v>390473</v>
      </c>
      <c r="F112" s="107">
        <f>_xlfn.COMPOUNDVALUE(320)</f>
        <v>2545</v>
      </c>
      <c r="G112" s="108">
        <v>789607</v>
      </c>
      <c r="H112" s="107">
        <f>_xlfn.COMPOUNDVALUE(321)</f>
        <v>34</v>
      </c>
      <c r="I112" s="109">
        <v>4237</v>
      </c>
      <c r="J112" s="107">
        <v>140</v>
      </c>
      <c r="K112" s="109">
        <v>13087</v>
      </c>
      <c r="L112" s="107">
        <v>2618</v>
      </c>
      <c r="M112" s="109">
        <v>798458</v>
      </c>
      <c r="N112" s="105" t="s">
        <v>148</v>
      </c>
    </row>
    <row r="113" spans="1:14" s="157" customFormat="1" ht="15.75" customHeight="1">
      <c r="A113" s="106" t="s">
        <v>149</v>
      </c>
      <c r="B113" s="107">
        <f>_xlfn.COMPOUNDVALUE(322)</f>
        <v>206</v>
      </c>
      <c r="C113" s="108">
        <v>80957</v>
      </c>
      <c r="D113" s="107">
        <f>_xlfn.COMPOUNDVALUE(323)</f>
        <v>480</v>
      </c>
      <c r="E113" s="108">
        <v>107963</v>
      </c>
      <c r="F113" s="107">
        <f>_xlfn.COMPOUNDVALUE(324)</f>
        <v>686</v>
      </c>
      <c r="G113" s="108">
        <v>188921</v>
      </c>
      <c r="H113" s="107">
        <f>_xlfn.COMPOUNDVALUE(325)</f>
        <v>4</v>
      </c>
      <c r="I113" s="109">
        <v>2811</v>
      </c>
      <c r="J113" s="107">
        <v>89</v>
      </c>
      <c r="K113" s="109">
        <v>3438</v>
      </c>
      <c r="L113" s="107">
        <v>694</v>
      </c>
      <c r="M113" s="109">
        <v>189548</v>
      </c>
      <c r="N113" s="105" t="s">
        <v>149</v>
      </c>
    </row>
    <row r="114" spans="1:14" s="157" customFormat="1" ht="15.75" customHeight="1">
      <c r="A114" s="110" t="s">
        <v>150</v>
      </c>
      <c r="B114" s="111">
        <v>3722</v>
      </c>
      <c r="C114" s="112">
        <v>1472525</v>
      </c>
      <c r="D114" s="111">
        <v>6459</v>
      </c>
      <c r="E114" s="112">
        <v>1584404</v>
      </c>
      <c r="F114" s="111">
        <v>10181</v>
      </c>
      <c r="G114" s="112">
        <v>3056929</v>
      </c>
      <c r="H114" s="111">
        <v>160</v>
      </c>
      <c r="I114" s="113">
        <v>41156</v>
      </c>
      <c r="J114" s="111">
        <v>641</v>
      </c>
      <c r="K114" s="113">
        <v>61363</v>
      </c>
      <c r="L114" s="111">
        <v>10514</v>
      </c>
      <c r="M114" s="113">
        <v>3077136</v>
      </c>
      <c r="N114" s="131" t="s">
        <v>151</v>
      </c>
    </row>
    <row r="115" spans="1:15" s="157" customFormat="1" ht="15.75" customHeight="1" thickBot="1">
      <c r="A115" s="114"/>
      <c r="B115" s="140"/>
      <c r="C115" s="116"/>
      <c r="D115" s="140"/>
      <c r="E115" s="116"/>
      <c r="F115" s="115"/>
      <c r="G115" s="116"/>
      <c r="H115" s="115"/>
      <c r="I115" s="116"/>
      <c r="J115" s="115"/>
      <c r="K115" s="116"/>
      <c r="L115" s="115"/>
      <c r="M115" s="116"/>
      <c r="N115" s="153"/>
      <c r="O115" s="158"/>
    </row>
    <row r="116" spans="1:14" s="157" customFormat="1" ht="15.75" customHeight="1" thickBot="1" thickTop="1">
      <c r="A116" s="121" t="s">
        <v>168</v>
      </c>
      <c r="B116" s="122">
        <v>80066</v>
      </c>
      <c r="C116" s="123">
        <v>48772375</v>
      </c>
      <c r="D116" s="122">
        <v>155509</v>
      </c>
      <c r="E116" s="123">
        <v>45620345</v>
      </c>
      <c r="F116" s="122">
        <v>235575</v>
      </c>
      <c r="G116" s="123">
        <v>94392719</v>
      </c>
      <c r="H116" s="122">
        <v>5557</v>
      </c>
      <c r="I116" s="124">
        <v>4342149</v>
      </c>
      <c r="J116" s="122">
        <v>17344</v>
      </c>
      <c r="K116" s="124">
        <v>2805251</v>
      </c>
      <c r="L116" s="122">
        <v>249391</v>
      </c>
      <c r="M116" s="124">
        <v>92855821</v>
      </c>
      <c r="N116" s="154" t="s">
        <v>54</v>
      </c>
    </row>
    <row r="117" spans="1:14" ht="13.5">
      <c r="A117" s="219" t="s">
        <v>197</v>
      </c>
      <c r="B117" s="219"/>
      <c r="C117" s="219"/>
      <c r="D117" s="219"/>
      <c r="E117" s="219"/>
      <c r="F117" s="219"/>
      <c r="G117" s="219"/>
      <c r="H117" s="219"/>
      <c r="I117" s="219"/>
      <c r="J117" s="89"/>
      <c r="K117" s="89"/>
      <c r="L117" s="87"/>
      <c r="M117" s="87"/>
      <c r="N117" s="87"/>
    </row>
    <row r="119" spans="2:10" ht="13.5">
      <c r="B119" s="159"/>
      <c r="C119" s="159"/>
      <c r="D119" s="159"/>
      <c r="E119" s="159"/>
      <c r="F119" s="159"/>
      <c r="G119" s="159"/>
      <c r="H119" s="159"/>
      <c r="J119" s="159"/>
    </row>
    <row r="120" spans="2:10" ht="13.5">
      <c r="B120" s="159"/>
      <c r="C120" s="159"/>
      <c r="D120" s="159"/>
      <c r="E120" s="159"/>
      <c r="F120" s="159"/>
      <c r="G120" s="159"/>
      <c r="H120" s="159"/>
      <c r="J120" s="159"/>
    </row>
    <row r="121" spans="2:10" ht="13.5">
      <c r="B121" s="159"/>
      <c r="C121" s="159"/>
      <c r="D121" s="159"/>
      <c r="E121" s="159"/>
      <c r="F121" s="159"/>
      <c r="G121" s="159"/>
      <c r="H121" s="159"/>
      <c r="J121" s="159"/>
    </row>
    <row r="122" spans="2:10" ht="13.5">
      <c r="B122" s="159"/>
      <c r="C122" s="159"/>
      <c r="D122" s="159"/>
      <c r="E122" s="159"/>
      <c r="F122" s="159"/>
      <c r="G122" s="159"/>
      <c r="H122" s="159"/>
      <c r="J122" s="159"/>
    </row>
    <row r="123" spans="2:10" ht="13.5">
      <c r="B123" s="159"/>
      <c r="C123" s="159"/>
      <c r="D123" s="159"/>
      <c r="E123" s="159"/>
      <c r="F123" s="159"/>
      <c r="G123" s="159"/>
      <c r="H123" s="159"/>
      <c r="J123" s="159"/>
    </row>
    <row r="124" spans="2:10" ht="13.5">
      <c r="B124" s="159"/>
      <c r="C124" s="159"/>
      <c r="D124" s="159"/>
      <c r="E124" s="159"/>
      <c r="F124" s="159"/>
      <c r="G124" s="159"/>
      <c r="H124" s="159"/>
      <c r="J124" s="159"/>
    </row>
    <row r="125" spans="2:10" ht="13.5">
      <c r="B125" s="159"/>
      <c r="C125" s="159"/>
      <c r="D125" s="159"/>
      <c r="E125" s="159"/>
      <c r="F125" s="159"/>
      <c r="G125" s="159"/>
      <c r="H125" s="159"/>
      <c r="J125" s="159"/>
    </row>
    <row r="126" spans="2:10" ht="13.5">
      <c r="B126" s="159"/>
      <c r="C126" s="159"/>
      <c r="D126" s="159"/>
      <c r="E126" s="159"/>
      <c r="F126" s="159"/>
      <c r="G126" s="159"/>
      <c r="H126" s="159"/>
      <c r="J126" s="159"/>
    </row>
    <row r="127" spans="2:10" ht="13.5">
      <c r="B127" s="159"/>
      <c r="C127" s="159"/>
      <c r="D127" s="159"/>
      <c r="E127" s="159"/>
      <c r="F127" s="159"/>
      <c r="G127" s="159"/>
      <c r="H127" s="159"/>
      <c r="J127" s="159"/>
    </row>
    <row r="128" spans="2:10" ht="13.5">
      <c r="B128" s="159"/>
      <c r="C128" s="159"/>
      <c r="D128" s="159"/>
      <c r="E128" s="159"/>
      <c r="F128" s="159"/>
      <c r="G128" s="159"/>
      <c r="H128" s="159"/>
      <c r="J128" s="159"/>
    </row>
    <row r="129" spans="2:10" ht="13.5">
      <c r="B129" s="159"/>
      <c r="C129" s="159"/>
      <c r="D129" s="159"/>
      <c r="E129" s="159"/>
      <c r="F129" s="159"/>
      <c r="G129" s="159"/>
      <c r="H129" s="159"/>
      <c r="J129" s="159"/>
    </row>
    <row r="130" spans="2:10" ht="13.5">
      <c r="B130" s="159"/>
      <c r="C130" s="159"/>
      <c r="D130" s="159"/>
      <c r="E130" s="159"/>
      <c r="F130" s="159"/>
      <c r="G130" s="159"/>
      <c r="H130" s="159"/>
      <c r="J130" s="159"/>
    </row>
    <row r="131" spans="2:10" ht="13.5">
      <c r="B131" s="159"/>
      <c r="C131" s="159"/>
      <c r="D131" s="159"/>
      <c r="E131" s="159"/>
      <c r="F131" s="159"/>
      <c r="G131" s="159"/>
      <c r="H131" s="159"/>
      <c r="J131" s="159"/>
    </row>
  </sheetData>
  <sheetProtection/>
  <mergeCells count="11">
    <mergeCell ref="N3:N5"/>
    <mergeCell ref="B4:C4"/>
    <mergeCell ref="D4:E4"/>
    <mergeCell ref="F4:G4"/>
    <mergeCell ref="A117:I117"/>
    <mergeCell ref="A2:G2"/>
    <mergeCell ref="A3:A5"/>
    <mergeCell ref="B3:G3"/>
    <mergeCell ref="H3:I4"/>
    <mergeCell ref="J3:K4"/>
    <mergeCell ref="L3:M4"/>
  </mergeCells>
  <printOptions horizontalCentered="1"/>
  <pageMargins left="0.7874015748031497" right="0.7874015748031497" top="0.984251968503937" bottom="0.984251968503937" header="0.5118110236220472" footer="0.5118110236220472"/>
  <pageSetup fitToHeight="3" horizontalDpi="600" verticalDpi="600" orientation="landscape" paperSize="9" scale="71" r:id="rId1"/>
  <headerFooter alignWithMargins="0">
    <oddFooter>&amp;R東京国税局
消費税
(H24)</oddFooter>
  </headerFooter>
  <rowBreaks count="2" manualBreakCount="2">
    <brk id="42" max="13" man="1"/>
    <brk id="79" max="13" man="1"/>
  </rowBreaks>
</worksheet>
</file>

<file path=xl/worksheets/sheet5.xml><?xml version="1.0" encoding="utf-8"?>
<worksheet xmlns="http://schemas.openxmlformats.org/spreadsheetml/2006/main" xmlns:r="http://schemas.openxmlformats.org/officeDocument/2006/relationships">
  <dimension ref="A1:N117"/>
  <sheetViews>
    <sheetView showGridLines="0" zoomScaleSheetLayoutView="85" zoomScalePageLayoutView="0" workbookViewId="0" topLeftCell="A1">
      <selection activeCell="A1" sqref="A1"/>
    </sheetView>
  </sheetViews>
  <sheetFormatPr defaultColWidth="9.00390625" defaultRowHeight="13.5"/>
  <cols>
    <col min="1" max="1" width="11.375" style="88" customWidth="1"/>
    <col min="2" max="2" width="10.625" style="88" customWidth="1"/>
    <col min="3" max="3" width="12.625" style="88" customWidth="1"/>
    <col min="4" max="4" width="10.625" style="88" customWidth="1"/>
    <col min="5" max="5" width="12.625" style="88" customWidth="1"/>
    <col min="6" max="6" width="10.625" style="88" customWidth="1"/>
    <col min="7" max="7" width="12.625" style="88" customWidth="1"/>
    <col min="8" max="8" width="10.625" style="88" customWidth="1"/>
    <col min="9" max="9" width="12.625" style="88" customWidth="1"/>
    <col min="10" max="10" width="10.625" style="88" customWidth="1"/>
    <col min="11" max="11" width="12.625" style="88" customWidth="1"/>
    <col min="12" max="12" width="10.625" style="88" customWidth="1"/>
    <col min="13" max="13" width="12.625" style="88" customWidth="1"/>
    <col min="14" max="14" width="11.375" style="88" customWidth="1"/>
    <col min="15" max="16384" width="9.00390625" style="88" customWidth="1"/>
  </cols>
  <sheetData>
    <row r="1" spans="1:13" ht="13.5">
      <c r="A1" s="86" t="s">
        <v>169</v>
      </c>
      <c r="B1" s="86"/>
      <c r="C1" s="86"/>
      <c r="D1" s="86"/>
      <c r="E1" s="86"/>
      <c r="F1" s="86"/>
      <c r="G1" s="86"/>
      <c r="H1" s="86"/>
      <c r="I1" s="86"/>
      <c r="J1" s="86"/>
      <c r="K1" s="86"/>
      <c r="L1" s="87"/>
      <c r="M1" s="87"/>
    </row>
    <row r="2" spans="1:13" ht="14.25" thickBot="1">
      <c r="A2" s="220" t="s">
        <v>152</v>
      </c>
      <c r="B2" s="220"/>
      <c r="C2" s="220"/>
      <c r="D2" s="220"/>
      <c r="E2" s="220"/>
      <c r="F2" s="220"/>
      <c r="G2" s="220"/>
      <c r="H2" s="220"/>
      <c r="I2" s="220"/>
      <c r="J2" s="89"/>
      <c r="K2" s="89"/>
      <c r="L2" s="87"/>
      <c r="M2" s="87"/>
    </row>
    <row r="3" spans="1:14" ht="19.5" customHeight="1">
      <c r="A3" s="205" t="s">
        <v>170</v>
      </c>
      <c r="B3" s="208" t="s">
        <v>171</v>
      </c>
      <c r="C3" s="208"/>
      <c r="D3" s="208"/>
      <c r="E3" s="208"/>
      <c r="F3" s="208"/>
      <c r="G3" s="208"/>
      <c r="H3" s="209" t="s">
        <v>12</v>
      </c>
      <c r="I3" s="210"/>
      <c r="J3" s="213" t="s">
        <v>46</v>
      </c>
      <c r="K3" s="210"/>
      <c r="L3" s="209" t="s">
        <v>47</v>
      </c>
      <c r="M3" s="210"/>
      <c r="N3" s="214" t="s">
        <v>48</v>
      </c>
    </row>
    <row r="4" spans="1:14" ht="17.25" customHeight="1">
      <c r="A4" s="206"/>
      <c r="B4" s="211" t="s">
        <v>172</v>
      </c>
      <c r="C4" s="218"/>
      <c r="D4" s="211" t="s">
        <v>49</v>
      </c>
      <c r="E4" s="218"/>
      <c r="F4" s="211" t="s">
        <v>50</v>
      </c>
      <c r="G4" s="218"/>
      <c r="H4" s="211"/>
      <c r="I4" s="212"/>
      <c r="J4" s="211"/>
      <c r="K4" s="212"/>
      <c r="L4" s="211"/>
      <c r="M4" s="212"/>
      <c r="N4" s="215"/>
    </row>
    <row r="5" spans="1:14" ht="28.5" customHeight="1">
      <c r="A5" s="207"/>
      <c r="B5" s="90" t="s">
        <v>173</v>
      </c>
      <c r="C5" s="91" t="s">
        <v>174</v>
      </c>
      <c r="D5" s="90" t="s">
        <v>173</v>
      </c>
      <c r="E5" s="91" t="s">
        <v>174</v>
      </c>
      <c r="F5" s="90" t="s">
        <v>173</v>
      </c>
      <c r="G5" s="91" t="s">
        <v>175</v>
      </c>
      <c r="H5" s="90" t="s">
        <v>173</v>
      </c>
      <c r="I5" s="149" t="s">
        <v>176</v>
      </c>
      <c r="J5" s="90" t="s">
        <v>173</v>
      </c>
      <c r="K5" s="149" t="s">
        <v>177</v>
      </c>
      <c r="L5" s="90" t="s">
        <v>173</v>
      </c>
      <c r="M5" s="150" t="s">
        <v>178</v>
      </c>
      <c r="N5" s="216"/>
    </row>
    <row r="6" spans="1:14" s="160" customFormat="1" ht="10.5">
      <c r="A6" s="166"/>
      <c r="B6" s="94" t="s">
        <v>4</v>
      </c>
      <c r="C6" s="95" t="s">
        <v>5</v>
      </c>
      <c r="D6" s="94" t="s">
        <v>4</v>
      </c>
      <c r="E6" s="95" t="s">
        <v>5</v>
      </c>
      <c r="F6" s="94" t="s">
        <v>4</v>
      </c>
      <c r="G6" s="95" t="s">
        <v>5</v>
      </c>
      <c r="H6" s="94" t="s">
        <v>4</v>
      </c>
      <c r="I6" s="151" t="s">
        <v>5</v>
      </c>
      <c r="J6" s="94" t="s">
        <v>4</v>
      </c>
      <c r="K6" s="151" t="s">
        <v>5</v>
      </c>
      <c r="L6" s="94" t="s">
        <v>4</v>
      </c>
      <c r="M6" s="151" t="s">
        <v>5</v>
      </c>
      <c r="N6" s="161"/>
    </row>
    <row r="7" spans="1:14" ht="15.75" customHeight="1">
      <c r="A7" s="164" t="s">
        <v>56</v>
      </c>
      <c r="B7" s="100">
        <f>_xlfn.COMPOUNDVALUE(326)</f>
        <v>4366</v>
      </c>
      <c r="C7" s="101">
        <v>21487486</v>
      </c>
      <c r="D7" s="100">
        <f>_xlfn.COMPOUNDVALUE(327)</f>
        <v>1974</v>
      </c>
      <c r="E7" s="101">
        <v>775608</v>
      </c>
      <c r="F7" s="100">
        <f>_xlfn.COMPOUNDVALUE(328)</f>
        <v>6340</v>
      </c>
      <c r="G7" s="101">
        <v>22263094</v>
      </c>
      <c r="H7" s="100">
        <f>_xlfn.COMPOUNDVALUE(329)</f>
        <v>400</v>
      </c>
      <c r="I7" s="102">
        <v>937440</v>
      </c>
      <c r="J7" s="100">
        <v>470</v>
      </c>
      <c r="K7" s="102">
        <v>81064</v>
      </c>
      <c r="L7" s="100">
        <v>6871</v>
      </c>
      <c r="M7" s="102">
        <v>21406717</v>
      </c>
      <c r="N7" s="148" t="s">
        <v>56</v>
      </c>
    </row>
    <row r="8" spans="1:14" ht="15.75" customHeight="1">
      <c r="A8" s="99" t="s">
        <v>57</v>
      </c>
      <c r="B8" s="100">
        <f>_xlfn.COMPOUNDVALUE(330)</f>
        <v>3686</v>
      </c>
      <c r="C8" s="101">
        <v>17668844</v>
      </c>
      <c r="D8" s="100">
        <f>_xlfn.COMPOUNDVALUE(331)</f>
        <v>1827</v>
      </c>
      <c r="E8" s="101">
        <v>729228</v>
      </c>
      <c r="F8" s="100">
        <f>_xlfn.COMPOUNDVALUE(332)</f>
        <v>5513</v>
      </c>
      <c r="G8" s="101">
        <v>18398071</v>
      </c>
      <c r="H8" s="100">
        <f>_xlfn.COMPOUNDVALUE(333)</f>
        <v>203</v>
      </c>
      <c r="I8" s="102">
        <v>690414</v>
      </c>
      <c r="J8" s="100">
        <v>357</v>
      </c>
      <c r="K8" s="102">
        <v>23332</v>
      </c>
      <c r="L8" s="100">
        <v>5769</v>
      </c>
      <c r="M8" s="102">
        <v>17730989</v>
      </c>
      <c r="N8" s="148" t="s">
        <v>57</v>
      </c>
    </row>
    <row r="9" spans="1:14" ht="15.75" customHeight="1">
      <c r="A9" s="99" t="s">
        <v>58</v>
      </c>
      <c r="B9" s="100">
        <f>_xlfn.COMPOUNDVALUE(334)</f>
        <v>4210</v>
      </c>
      <c r="C9" s="101">
        <v>41054533</v>
      </c>
      <c r="D9" s="100">
        <f>_xlfn.COMPOUNDVALUE(335)</f>
        <v>1934</v>
      </c>
      <c r="E9" s="101">
        <v>764348</v>
      </c>
      <c r="F9" s="100">
        <f>_xlfn.COMPOUNDVALUE(336)</f>
        <v>6144</v>
      </c>
      <c r="G9" s="101">
        <v>41818881</v>
      </c>
      <c r="H9" s="100">
        <f>_xlfn.COMPOUNDVALUE(337)</f>
        <v>412</v>
      </c>
      <c r="I9" s="102">
        <v>2437374</v>
      </c>
      <c r="J9" s="100">
        <v>298</v>
      </c>
      <c r="K9" s="102">
        <v>-400496</v>
      </c>
      <c r="L9" s="100">
        <v>6622</v>
      </c>
      <c r="M9" s="102">
        <v>38981011</v>
      </c>
      <c r="N9" s="148" t="s">
        <v>58</v>
      </c>
    </row>
    <row r="10" spans="1:14" ht="15.75" customHeight="1">
      <c r="A10" s="99" t="s">
        <v>59</v>
      </c>
      <c r="B10" s="100">
        <f>_xlfn.COMPOUNDVALUE(338)</f>
        <v>1772</v>
      </c>
      <c r="C10" s="101">
        <v>5265817</v>
      </c>
      <c r="D10" s="100">
        <f>_xlfn.COMPOUNDVALUE(339)</f>
        <v>807</v>
      </c>
      <c r="E10" s="101">
        <v>302171</v>
      </c>
      <c r="F10" s="100">
        <f>_xlfn.COMPOUNDVALUE(340)</f>
        <v>2579</v>
      </c>
      <c r="G10" s="101">
        <v>5567988</v>
      </c>
      <c r="H10" s="100">
        <f>_xlfn.COMPOUNDVALUE(341)</f>
        <v>106</v>
      </c>
      <c r="I10" s="102">
        <v>259687</v>
      </c>
      <c r="J10" s="100">
        <v>188</v>
      </c>
      <c r="K10" s="102">
        <v>29689</v>
      </c>
      <c r="L10" s="100">
        <v>2710</v>
      </c>
      <c r="M10" s="102">
        <v>5337989</v>
      </c>
      <c r="N10" s="148" t="s">
        <v>59</v>
      </c>
    </row>
    <row r="11" spans="1:14" ht="15.75" customHeight="1">
      <c r="A11" s="99" t="s">
        <v>60</v>
      </c>
      <c r="B11" s="100">
        <f>_xlfn.COMPOUNDVALUE(342)</f>
        <v>4364</v>
      </c>
      <c r="C11" s="101">
        <v>24380682</v>
      </c>
      <c r="D11" s="100">
        <f>_xlfn.COMPOUNDVALUE(343)</f>
        <v>2207</v>
      </c>
      <c r="E11" s="101">
        <v>790263</v>
      </c>
      <c r="F11" s="100">
        <f>_xlfn.COMPOUNDVALUE(344)</f>
        <v>6571</v>
      </c>
      <c r="G11" s="101">
        <v>25170945</v>
      </c>
      <c r="H11" s="100">
        <f>_xlfn.COMPOUNDVALUE(345)</f>
        <v>391</v>
      </c>
      <c r="I11" s="102">
        <v>1105906</v>
      </c>
      <c r="J11" s="100">
        <v>325</v>
      </c>
      <c r="K11" s="102">
        <v>67074</v>
      </c>
      <c r="L11" s="100">
        <v>7036</v>
      </c>
      <c r="M11" s="102">
        <v>24132112</v>
      </c>
      <c r="N11" s="148" t="s">
        <v>60</v>
      </c>
    </row>
    <row r="12" spans="1:14" ht="15.75" customHeight="1">
      <c r="A12" s="99"/>
      <c r="B12" s="100"/>
      <c r="C12" s="101"/>
      <c r="D12" s="100"/>
      <c r="E12" s="101"/>
      <c r="F12" s="100"/>
      <c r="G12" s="101"/>
      <c r="H12" s="100"/>
      <c r="I12" s="102"/>
      <c r="J12" s="100"/>
      <c r="K12" s="102"/>
      <c r="L12" s="100"/>
      <c r="M12" s="102"/>
      <c r="N12" s="148" t="s">
        <v>55</v>
      </c>
    </row>
    <row r="13" spans="1:14" ht="15.75" customHeight="1">
      <c r="A13" s="99" t="s">
        <v>61</v>
      </c>
      <c r="B13" s="100">
        <f>_xlfn.COMPOUNDVALUE(346)</f>
        <v>3999</v>
      </c>
      <c r="C13" s="101">
        <v>15005790</v>
      </c>
      <c r="D13" s="100">
        <f>_xlfn.COMPOUNDVALUE(347)</f>
        <v>2007</v>
      </c>
      <c r="E13" s="101">
        <v>738891</v>
      </c>
      <c r="F13" s="100">
        <f>_xlfn.COMPOUNDVALUE(348)</f>
        <v>6006</v>
      </c>
      <c r="G13" s="101">
        <v>15744681</v>
      </c>
      <c r="H13" s="100">
        <f>_xlfn.COMPOUNDVALUE(349)</f>
        <v>362</v>
      </c>
      <c r="I13" s="102">
        <v>923591</v>
      </c>
      <c r="J13" s="100">
        <v>239</v>
      </c>
      <c r="K13" s="102">
        <v>80850</v>
      </c>
      <c r="L13" s="100">
        <v>6438</v>
      </c>
      <c r="M13" s="102">
        <v>14901939</v>
      </c>
      <c r="N13" s="148" t="s">
        <v>61</v>
      </c>
    </row>
    <row r="14" spans="1:14" ht="15.75" customHeight="1">
      <c r="A14" s="99" t="s">
        <v>62</v>
      </c>
      <c r="B14" s="100">
        <f>_xlfn.COMPOUNDVALUE(350)</f>
        <v>1260</v>
      </c>
      <c r="C14" s="101">
        <v>3185510</v>
      </c>
      <c r="D14" s="100">
        <f>_xlfn.COMPOUNDVALUE(351)</f>
        <v>589</v>
      </c>
      <c r="E14" s="101">
        <v>200972</v>
      </c>
      <c r="F14" s="100">
        <f>_xlfn.COMPOUNDVALUE(352)</f>
        <v>1849</v>
      </c>
      <c r="G14" s="101">
        <v>3386481</v>
      </c>
      <c r="H14" s="100">
        <f>_xlfn.COMPOUNDVALUE(353)</f>
        <v>41</v>
      </c>
      <c r="I14" s="102">
        <v>36590</v>
      </c>
      <c r="J14" s="100">
        <v>122</v>
      </c>
      <c r="K14" s="102">
        <v>2162</v>
      </c>
      <c r="L14" s="100">
        <v>1918</v>
      </c>
      <c r="M14" s="102">
        <v>3352053</v>
      </c>
      <c r="N14" s="148" t="s">
        <v>62</v>
      </c>
    </row>
    <row r="15" spans="1:14" ht="15.75" customHeight="1">
      <c r="A15" s="99" t="s">
        <v>63</v>
      </c>
      <c r="B15" s="100">
        <f>_xlfn.COMPOUNDVALUE(354)</f>
        <v>2637</v>
      </c>
      <c r="C15" s="101">
        <v>8578194</v>
      </c>
      <c r="D15" s="100">
        <f>_xlfn.COMPOUNDVALUE(355)</f>
        <v>1404</v>
      </c>
      <c r="E15" s="101">
        <v>537315</v>
      </c>
      <c r="F15" s="100">
        <f>_xlfn.COMPOUNDVALUE(356)</f>
        <v>4041</v>
      </c>
      <c r="G15" s="101">
        <v>9115509</v>
      </c>
      <c r="H15" s="100">
        <f>_xlfn.COMPOUNDVALUE(357)</f>
        <v>125</v>
      </c>
      <c r="I15" s="102">
        <v>1934728</v>
      </c>
      <c r="J15" s="100">
        <v>259</v>
      </c>
      <c r="K15" s="102">
        <v>84939</v>
      </c>
      <c r="L15" s="100">
        <v>4226</v>
      </c>
      <c r="M15" s="102">
        <v>7265720</v>
      </c>
      <c r="N15" s="148" t="s">
        <v>63</v>
      </c>
    </row>
    <row r="16" spans="1:14" ht="15.75" customHeight="1">
      <c r="A16" s="106" t="s">
        <v>64</v>
      </c>
      <c r="B16" s="107">
        <f>_xlfn.COMPOUNDVALUE(358)</f>
        <v>4790</v>
      </c>
      <c r="C16" s="108">
        <v>14018743</v>
      </c>
      <c r="D16" s="107">
        <f>_xlfn.COMPOUNDVALUE(359)</f>
        <v>2694</v>
      </c>
      <c r="E16" s="108">
        <v>999200</v>
      </c>
      <c r="F16" s="107">
        <f>_xlfn.COMPOUNDVALUE(360)</f>
        <v>7484</v>
      </c>
      <c r="G16" s="108">
        <v>15017942</v>
      </c>
      <c r="H16" s="107">
        <f>_xlfn.COMPOUNDVALUE(361)</f>
        <v>407</v>
      </c>
      <c r="I16" s="109">
        <v>925797</v>
      </c>
      <c r="J16" s="107">
        <v>504</v>
      </c>
      <c r="K16" s="109">
        <v>94361</v>
      </c>
      <c r="L16" s="107">
        <v>7996</v>
      </c>
      <c r="M16" s="109">
        <v>14186506</v>
      </c>
      <c r="N16" s="105" t="s">
        <v>64</v>
      </c>
    </row>
    <row r="17" spans="1:14" ht="15.75" customHeight="1">
      <c r="A17" s="106" t="s">
        <v>65</v>
      </c>
      <c r="B17" s="107">
        <f>_xlfn.COMPOUNDVALUE(362)</f>
        <v>1056</v>
      </c>
      <c r="C17" s="108">
        <v>3078112</v>
      </c>
      <c r="D17" s="107">
        <f>_xlfn.COMPOUNDVALUE(363)</f>
        <v>464</v>
      </c>
      <c r="E17" s="108">
        <v>165406</v>
      </c>
      <c r="F17" s="107">
        <f>_xlfn.COMPOUNDVALUE(364)</f>
        <v>1520</v>
      </c>
      <c r="G17" s="108">
        <v>3243519</v>
      </c>
      <c r="H17" s="107">
        <f>_xlfn.COMPOUNDVALUE(365)</f>
        <v>60</v>
      </c>
      <c r="I17" s="109">
        <v>141600</v>
      </c>
      <c r="J17" s="107">
        <v>78</v>
      </c>
      <c r="K17" s="109">
        <v>10220</v>
      </c>
      <c r="L17" s="107">
        <v>1601</v>
      </c>
      <c r="M17" s="109">
        <v>3112138</v>
      </c>
      <c r="N17" s="105" t="s">
        <v>65</v>
      </c>
    </row>
    <row r="18" spans="1:14" ht="15.75" customHeight="1">
      <c r="A18" s="106"/>
      <c r="B18" s="107"/>
      <c r="C18" s="108"/>
      <c r="D18" s="107"/>
      <c r="E18" s="108"/>
      <c r="F18" s="107"/>
      <c r="G18" s="108"/>
      <c r="H18" s="107"/>
      <c r="I18" s="109"/>
      <c r="J18" s="107"/>
      <c r="K18" s="109"/>
      <c r="L18" s="107"/>
      <c r="M18" s="109"/>
      <c r="N18" s="105" t="s">
        <v>55</v>
      </c>
    </row>
    <row r="19" spans="1:14" ht="15.75" customHeight="1">
      <c r="A19" s="106" t="s">
        <v>66</v>
      </c>
      <c r="B19" s="107">
        <f>_xlfn.COMPOUNDVALUE(366)</f>
        <v>1828</v>
      </c>
      <c r="C19" s="108">
        <v>4752893</v>
      </c>
      <c r="D19" s="107">
        <f>_xlfn.COMPOUNDVALUE(367)</f>
        <v>906</v>
      </c>
      <c r="E19" s="108">
        <v>320154</v>
      </c>
      <c r="F19" s="107">
        <f>_xlfn.COMPOUNDVALUE(368)</f>
        <v>2734</v>
      </c>
      <c r="G19" s="108">
        <v>5073047</v>
      </c>
      <c r="H19" s="107">
        <f>_xlfn.COMPOUNDVALUE(369)</f>
        <v>102</v>
      </c>
      <c r="I19" s="109">
        <v>1411428</v>
      </c>
      <c r="J19" s="107">
        <v>202</v>
      </c>
      <c r="K19" s="109">
        <v>102952</v>
      </c>
      <c r="L19" s="107">
        <v>2887</v>
      </c>
      <c r="M19" s="109">
        <v>3764571</v>
      </c>
      <c r="N19" s="105" t="s">
        <v>66</v>
      </c>
    </row>
    <row r="20" spans="1:14" ht="15.75" customHeight="1">
      <c r="A20" s="106" t="s">
        <v>67</v>
      </c>
      <c r="B20" s="107">
        <f>_xlfn.COMPOUNDVALUE(370)</f>
        <v>4965</v>
      </c>
      <c r="C20" s="108">
        <v>14154987</v>
      </c>
      <c r="D20" s="107">
        <f>_xlfn.COMPOUNDVALUE(371)</f>
        <v>2361</v>
      </c>
      <c r="E20" s="108">
        <v>895254</v>
      </c>
      <c r="F20" s="107">
        <f>_xlfn.COMPOUNDVALUE(372)</f>
        <v>7326</v>
      </c>
      <c r="G20" s="108">
        <v>15050240</v>
      </c>
      <c r="H20" s="107">
        <f>_xlfn.COMPOUNDVALUE(373)</f>
        <v>797</v>
      </c>
      <c r="I20" s="109">
        <v>5473277</v>
      </c>
      <c r="J20" s="107">
        <v>391</v>
      </c>
      <c r="K20" s="109">
        <v>58247</v>
      </c>
      <c r="L20" s="107">
        <v>8235</v>
      </c>
      <c r="M20" s="109">
        <v>9635210</v>
      </c>
      <c r="N20" s="105" t="s">
        <v>67</v>
      </c>
    </row>
    <row r="21" spans="1:14" ht="15.75" customHeight="1">
      <c r="A21" s="106" t="s">
        <v>68</v>
      </c>
      <c r="B21" s="107">
        <f>_xlfn.COMPOUNDVALUE(374)</f>
        <v>1754</v>
      </c>
      <c r="C21" s="108">
        <v>4302960</v>
      </c>
      <c r="D21" s="107">
        <f>_xlfn.COMPOUNDVALUE(375)</f>
        <v>833</v>
      </c>
      <c r="E21" s="108">
        <v>286640</v>
      </c>
      <c r="F21" s="107">
        <f>_xlfn.COMPOUNDVALUE(376)</f>
        <v>2587</v>
      </c>
      <c r="G21" s="108">
        <v>4589601</v>
      </c>
      <c r="H21" s="107">
        <f>_xlfn.COMPOUNDVALUE(377)</f>
        <v>112</v>
      </c>
      <c r="I21" s="109">
        <v>156185</v>
      </c>
      <c r="J21" s="107">
        <v>189</v>
      </c>
      <c r="K21" s="109">
        <v>23054</v>
      </c>
      <c r="L21" s="107">
        <v>2758</v>
      </c>
      <c r="M21" s="109">
        <v>4456469</v>
      </c>
      <c r="N21" s="105" t="s">
        <v>68</v>
      </c>
    </row>
    <row r="22" spans="1:14" ht="15.75" customHeight="1">
      <c r="A22" s="106" t="s">
        <v>179</v>
      </c>
      <c r="B22" s="107">
        <f>_xlfn.COMPOUNDVALUE(378)</f>
        <v>4796</v>
      </c>
      <c r="C22" s="108">
        <v>15728823</v>
      </c>
      <c r="D22" s="107">
        <f>_xlfn.COMPOUNDVALUE(379)</f>
        <v>2428</v>
      </c>
      <c r="E22" s="108">
        <v>887208</v>
      </c>
      <c r="F22" s="107">
        <f>_xlfn.COMPOUNDVALUE(380)</f>
        <v>7224</v>
      </c>
      <c r="G22" s="108">
        <v>16616031</v>
      </c>
      <c r="H22" s="107">
        <f>_xlfn.COMPOUNDVALUE(381)</f>
        <v>409</v>
      </c>
      <c r="I22" s="109">
        <v>770164</v>
      </c>
      <c r="J22" s="107">
        <v>350</v>
      </c>
      <c r="K22" s="109">
        <v>49877</v>
      </c>
      <c r="L22" s="107">
        <v>7702</v>
      </c>
      <c r="M22" s="109">
        <v>15895744</v>
      </c>
      <c r="N22" s="105" t="s">
        <v>69</v>
      </c>
    </row>
    <row r="23" spans="1:14" ht="15.75" customHeight="1">
      <c r="A23" s="110" t="s">
        <v>180</v>
      </c>
      <c r="B23" s="111">
        <v>45483</v>
      </c>
      <c r="C23" s="112">
        <v>192663372</v>
      </c>
      <c r="D23" s="111">
        <v>22435</v>
      </c>
      <c r="E23" s="112">
        <v>8392657</v>
      </c>
      <c r="F23" s="111">
        <v>67918</v>
      </c>
      <c r="G23" s="112">
        <v>201056030</v>
      </c>
      <c r="H23" s="111">
        <v>3927</v>
      </c>
      <c r="I23" s="113">
        <v>17204184</v>
      </c>
      <c r="J23" s="111">
        <v>3972</v>
      </c>
      <c r="K23" s="113">
        <v>307324</v>
      </c>
      <c r="L23" s="111">
        <v>72769</v>
      </c>
      <c r="M23" s="113">
        <v>184159169</v>
      </c>
      <c r="N23" s="131" t="s">
        <v>71</v>
      </c>
    </row>
    <row r="24" spans="1:14" ht="15.75" customHeight="1">
      <c r="A24" s="132"/>
      <c r="B24" s="133"/>
      <c r="C24" s="134"/>
      <c r="D24" s="133"/>
      <c r="E24" s="134"/>
      <c r="F24" s="135"/>
      <c r="G24" s="134"/>
      <c r="H24" s="135"/>
      <c r="I24" s="134"/>
      <c r="J24" s="135"/>
      <c r="K24" s="134"/>
      <c r="L24" s="135"/>
      <c r="M24" s="134"/>
      <c r="N24" s="152"/>
    </row>
    <row r="25" spans="1:14" ht="15.75" customHeight="1">
      <c r="A25" s="99" t="s">
        <v>72</v>
      </c>
      <c r="B25" s="100">
        <f>_xlfn.COMPOUNDVALUE(382)</f>
        <v>9113</v>
      </c>
      <c r="C25" s="101">
        <v>597487825</v>
      </c>
      <c r="D25" s="100">
        <f>_xlfn.COMPOUNDVALUE(383)</f>
        <v>1652</v>
      </c>
      <c r="E25" s="101">
        <v>1165191</v>
      </c>
      <c r="F25" s="100">
        <f>_xlfn.COMPOUNDVALUE(384)</f>
        <v>10765</v>
      </c>
      <c r="G25" s="101">
        <v>598653016</v>
      </c>
      <c r="H25" s="100">
        <f>_xlfn.COMPOUNDVALUE(385)</f>
        <v>2780</v>
      </c>
      <c r="I25" s="102">
        <v>258765812</v>
      </c>
      <c r="J25" s="100">
        <v>907</v>
      </c>
      <c r="K25" s="102">
        <v>359272</v>
      </c>
      <c r="L25" s="100">
        <v>13696</v>
      </c>
      <c r="M25" s="102">
        <v>340246477</v>
      </c>
      <c r="N25" s="147" t="s">
        <v>72</v>
      </c>
    </row>
    <row r="26" spans="1:14" ht="15.75" customHeight="1">
      <c r="A26" s="99" t="s">
        <v>73</v>
      </c>
      <c r="B26" s="100">
        <f>_xlfn.COMPOUNDVALUE(386)</f>
        <v>10833</v>
      </c>
      <c r="C26" s="101">
        <v>160478933</v>
      </c>
      <c r="D26" s="100">
        <f>_xlfn.COMPOUNDVALUE(387)</f>
        <v>2534</v>
      </c>
      <c r="E26" s="101">
        <v>1111371</v>
      </c>
      <c r="F26" s="100">
        <f>_xlfn.COMPOUNDVALUE(388)</f>
        <v>13367</v>
      </c>
      <c r="G26" s="101">
        <v>161590303</v>
      </c>
      <c r="H26" s="100">
        <f>_xlfn.COMPOUNDVALUE(389)</f>
        <v>2101</v>
      </c>
      <c r="I26" s="102">
        <v>30894335</v>
      </c>
      <c r="J26" s="100">
        <v>911</v>
      </c>
      <c r="K26" s="102">
        <v>214221</v>
      </c>
      <c r="L26" s="100">
        <v>15599</v>
      </c>
      <c r="M26" s="102">
        <v>130910190</v>
      </c>
      <c r="N26" s="148" t="s">
        <v>73</v>
      </c>
    </row>
    <row r="27" spans="1:14" ht="15.75" customHeight="1">
      <c r="A27" s="99" t="s">
        <v>74</v>
      </c>
      <c r="B27" s="100">
        <f>_xlfn.COMPOUNDVALUE(390)</f>
        <v>8530</v>
      </c>
      <c r="C27" s="101">
        <v>192520182</v>
      </c>
      <c r="D27" s="100">
        <f>_xlfn.COMPOUNDVALUE(391)</f>
        <v>1861</v>
      </c>
      <c r="E27" s="101">
        <v>1380563</v>
      </c>
      <c r="F27" s="100">
        <f>_xlfn.COMPOUNDVALUE(392)</f>
        <v>10391</v>
      </c>
      <c r="G27" s="101">
        <v>193900744</v>
      </c>
      <c r="H27" s="100">
        <f>_xlfn.COMPOUNDVALUE(393)</f>
        <v>2047</v>
      </c>
      <c r="I27" s="102">
        <v>53517828</v>
      </c>
      <c r="J27" s="100">
        <v>1000</v>
      </c>
      <c r="K27" s="102">
        <v>43288</v>
      </c>
      <c r="L27" s="100">
        <v>12568</v>
      </c>
      <c r="M27" s="102">
        <v>140426204</v>
      </c>
      <c r="N27" s="148" t="s">
        <v>74</v>
      </c>
    </row>
    <row r="28" spans="1:14" ht="15.75" customHeight="1">
      <c r="A28" s="99" t="s">
        <v>75</v>
      </c>
      <c r="B28" s="100">
        <f>_xlfn.COMPOUNDVALUE(394)</f>
        <v>11241</v>
      </c>
      <c r="C28" s="101">
        <v>224161437</v>
      </c>
      <c r="D28" s="100">
        <f>_xlfn.COMPOUNDVALUE(395)</f>
        <v>2567</v>
      </c>
      <c r="E28" s="101">
        <v>1091171</v>
      </c>
      <c r="F28" s="100">
        <f>_xlfn.COMPOUNDVALUE(396)</f>
        <v>13808</v>
      </c>
      <c r="G28" s="101">
        <v>225252608</v>
      </c>
      <c r="H28" s="100">
        <f>_xlfn.COMPOUNDVALUE(397)</f>
        <v>1927</v>
      </c>
      <c r="I28" s="102">
        <v>84776757</v>
      </c>
      <c r="J28" s="100">
        <v>1108</v>
      </c>
      <c r="K28" s="102">
        <v>-137215</v>
      </c>
      <c r="L28" s="100">
        <v>15878</v>
      </c>
      <c r="M28" s="102">
        <v>140338636</v>
      </c>
      <c r="N28" s="148" t="s">
        <v>75</v>
      </c>
    </row>
    <row r="29" spans="1:14" ht="15.75" customHeight="1">
      <c r="A29" s="99" t="s">
        <v>181</v>
      </c>
      <c r="B29" s="100">
        <f>_xlfn.COMPOUNDVALUE(398)</f>
        <v>13808</v>
      </c>
      <c r="C29" s="101">
        <v>527319295</v>
      </c>
      <c r="D29" s="100">
        <f>_xlfn.COMPOUNDVALUE(395)</f>
        <v>2862</v>
      </c>
      <c r="E29" s="101">
        <v>1291311</v>
      </c>
      <c r="F29" s="100">
        <f>_xlfn.COMPOUNDVALUE(399)</f>
        <v>16670</v>
      </c>
      <c r="G29" s="101">
        <v>528610606</v>
      </c>
      <c r="H29" s="100">
        <f>_xlfn.COMPOUNDVALUE(400)</f>
        <v>3793</v>
      </c>
      <c r="I29" s="102">
        <v>207025837</v>
      </c>
      <c r="J29" s="100">
        <v>1304</v>
      </c>
      <c r="K29" s="102">
        <v>759908</v>
      </c>
      <c r="L29" s="100">
        <v>20658</v>
      </c>
      <c r="M29" s="102">
        <v>322344677</v>
      </c>
      <c r="N29" s="148" t="s">
        <v>76</v>
      </c>
    </row>
    <row r="30" spans="1:14" ht="15.75" customHeight="1">
      <c r="A30" s="99"/>
      <c r="B30" s="100"/>
      <c r="C30" s="101"/>
      <c r="D30" s="100"/>
      <c r="E30" s="101"/>
      <c r="F30" s="100"/>
      <c r="G30" s="101"/>
      <c r="H30" s="100"/>
      <c r="I30" s="102"/>
      <c r="J30" s="100"/>
      <c r="K30" s="102"/>
      <c r="L30" s="100"/>
      <c r="M30" s="102"/>
      <c r="N30" s="148" t="s">
        <v>55</v>
      </c>
    </row>
    <row r="31" spans="1:14" ht="15.75" customHeight="1">
      <c r="A31" s="99" t="s">
        <v>77</v>
      </c>
      <c r="B31" s="100">
        <f>_xlfn.COMPOUNDVALUE(401)</f>
        <v>12343</v>
      </c>
      <c r="C31" s="101">
        <v>193922954</v>
      </c>
      <c r="D31" s="100">
        <f>_xlfn.COMPOUNDVALUE(402)</f>
        <v>2923</v>
      </c>
      <c r="E31" s="101">
        <v>1495838</v>
      </c>
      <c r="F31" s="100">
        <f>_xlfn.COMPOUNDVALUE(403)</f>
        <v>15266</v>
      </c>
      <c r="G31" s="101">
        <v>195418792</v>
      </c>
      <c r="H31" s="100">
        <f>_xlfn.COMPOUNDVALUE(404)</f>
        <v>2378</v>
      </c>
      <c r="I31" s="102">
        <v>120276120</v>
      </c>
      <c r="J31" s="100">
        <v>1059</v>
      </c>
      <c r="K31" s="102">
        <v>623365</v>
      </c>
      <c r="L31" s="100">
        <v>17884</v>
      </c>
      <c r="M31" s="102">
        <v>75766036</v>
      </c>
      <c r="N31" s="148" t="s">
        <v>77</v>
      </c>
    </row>
    <row r="32" spans="1:14" ht="15.75" customHeight="1">
      <c r="A32" s="99" t="s">
        <v>78</v>
      </c>
      <c r="B32" s="100">
        <f>_xlfn.COMPOUNDVALUE(405)</f>
        <v>6376</v>
      </c>
      <c r="C32" s="101">
        <v>139877714</v>
      </c>
      <c r="D32" s="100">
        <f>_xlfn.COMPOUNDVALUE(406)</f>
        <v>1922</v>
      </c>
      <c r="E32" s="101">
        <v>723777</v>
      </c>
      <c r="F32" s="100">
        <f>_xlfn.COMPOUNDVALUE(407)</f>
        <v>8298</v>
      </c>
      <c r="G32" s="101">
        <v>140601491</v>
      </c>
      <c r="H32" s="100">
        <f>_xlfn.COMPOUNDVALUE(408)</f>
        <v>1114</v>
      </c>
      <c r="I32" s="102">
        <v>29541260</v>
      </c>
      <c r="J32" s="100">
        <v>593</v>
      </c>
      <c r="K32" s="102">
        <v>-415668</v>
      </c>
      <c r="L32" s="100">
        <v>9490</v>
      </c>
      <c r="M32" s="102">
        <v>110644563</v>
      </c>
      <c r="N32" s="148" t="s">
        <v>78</v>
      </c>
    </row>
    <row r="33" spans="1:14" ht="15.75" customHeight="1">
      <c r="A33" s="99" t="s">
        <v>79</v>
      </c>
      <c r="B33" s="100">
        <f>_xlfn.COMPOUNDVALUE(409)</f>
        <v>7390</v>
      </c>
      <c r="C33" s="101">
        <v>74650041</v>
      </c>
      <c r="D33" s="100">
        <f>_xlfn.COMPOUNDVALUE(410)</f>
        <v>2460</v>
      </c>
      <c r="E33" s="101">
        <v>1087744</v>
      </c>
      <c r="F33" s="100">
        <f>_xlfn.COMPOUNDVALUE(411)</f>
        <v>9850</v>
      </c>
      <c r="G33" s="101">
        <v>75737785</v>
      </c>
      <c r="H33" s="100">
        <f>_xlfn.COMPOUNDVALUE(412)</f>
        <v>870</v>
      </c>
      <c r="I33" s="102">
        <v>4830146</v>
      </c>
      <c r="J33" s="100">
        <v>749</v>
      </c>
      <c r="K33" s="102">
        <v>626283</v>
      </c>
      <c r="L33" s="100">
        <v>10842</v>
      </c>
      <c r="M33" s="102">
        <v>71533922</v>
      </c>
      <c r="N33" s="148" t="s">
        <v>79</v>
      </c>
    </row>
    <row r="34" spans="1:14" ht="15.75" customHeight="1">
      <c r="A34" s="99" t="s">
        <v>80</v>
      </c>
      <c r="B34" s="100">
        <f>_xlfn.COMPOUNDVALUE(413)</f>
        <v>8120</v>
      </c>
      <c r="C34" s="101">
        <v>197335212</v>
      </c>
      <c r="D34" s="100">
        <f>_xlfn.COMPOUNDVALUE(414)</f>
        <v>2430</v>
      </c>
      <c r="E34" s="101">
        <v>1130726</v>
      </c>
      <c r="F34" s="100">
        <f>_xlfn.COMPOUNDVALUE(415)</f>
        <v>10550</v>
      </c>
      <c r="G34" s="101">
        <v>198465938</v>
      </c>
      <c r="H34" s="100">
        <f>_xlfn.COMPOUNDVALUE(416)</f>
        <v>1255</v>
      </c>
      <c r="I34" s="102">
        <v>36323340</v>
      </c>
      <c r="J34" s="100">
        <v>864</v>
      </c>
      <c r="K34" s="102">
        <v>-1200280</v>
      </c>
      <c r="L34" s="100">
        <v>11993</v>
      </c>
      <c r="M34" s="102">
        <v>160942318</v>
      </c>
      <c r="N34" s="148" t="s">
        <v>80</v>
      </c>
    </row>
    <row r="35" spans="1:14" ht="15.75" customHeight="1">
      <c r="A35" s="99" t="s">
        <v>81</v>
      </c>
      <c r="B35" s="100">
        <f>_xlfn.COMPOUNDVALUE(417)</f>
        <v>2479</v>
      </c>
      <c r="C35" s="101">
        <v>35398878</v>
      </c>
      <c r="D35" s="100">
        <f>_xlfn.COMPOUNDVALUE(418)</f>
        <v>1069</v>
      </c>
      <c r="E35" s="101">
        <v>392173</v>
      </c>
      <c r="F35" s="100">
        <f>_xlfn.COMPOUNDVALUE(419)</f>
        <v>3548</v>
      </c>
      <c r="G35" s="101">
        <v>35791050</v>
      </c>
      <c r="H35" s="100">
        <f>_xlfn.COMPOUNDVALUE(420)</f>
        <v>295</v>
      </c>
      <c r="I35" s="102">
        <v>8203534</v>
      </c>
      <c r="J35" s="100">
        <v>249</v>
      </c>
      <c r="K35" s="102">
        <v>-9091</v>
      </c>
      <c r="L35" s="100">
        <v>3891</v>
      </c>
      <c r="M35" s="102">
        <v>27578425</v>
      </c>
      <c r="N35" s="148" t="s">
        <v>81</v>
      </c>
    </row>
    <row r="36" spans="1:14" ht="15.75" customHeight="1">
      <c r="A36" s="99"/>
      <c r="B36" s="100"/>
      <c r="C36" s="101"/>
      <c r="D36" s="100"/>
      <c r="E36" s="101"/>
      <c r="F36" s="100"/>
      <c r="G36" s="101"/>
      <c r="H36" s="100"/>
      <c r="I36" s="102"/>
      <c r="J36" s="100"/>
      <c r="K36" s="102"/>
      <c r="L36" s="100"/>
      <c r="M36" s="102"/>
      <c r="N36" s="148" t="s">
        <v>55</v>
      </c>
    </row>
    <row r="37" spans="1:14" ht="15.75" customHeight="1">
      <c r="A37" s="99" t="s">
        <v>82</v>
      </c>
      <c r="B37" s="100">
        <f>_xlfn.COMPOUNDVALUE(421)</f>
        <v>3337</v>
      </c>
      <c r="C37" s="101">
        <v>29670676</v>
      </c>
      <c r="D37" s="100">
        <f>_xlfn.COMPOUNDVALUE(422)</f>
        <v>1220</v>
      </c>
      <c r="E37" s="101">
        <v>459782</v>
      </c>
      <c r="F37" s="100">
        <f>_xlfn.COMPOUNDVALUE(423)</f>
        <v>4557</v>
      </c>
      <c r="G37" s="101">
        <v>30130457</v>
      </c>
      <c r="H37" s="100">
        <f>_xlfn.COMPOUNDVALUE(424)</f>
        <v>410</v>
      </c>
      <c r="I37" s="102">
        <v>1465464</v>
      </c>
      <c r="J37" s="100">
        <v>220</v>
      </c>
      <c r="K37" s="102">
        <v>172507</v>
      </c>
      <c r="L37" s="100">
        <v>5011</v>
      </c>
      <c r="M37" s="102">
        <v>28837500</v>
      </c>
      <c r="N37" s="148" t="s">
        <v>82</v>
      </c>
    </row>
    <row r="38" spans="1:14" ht="15.75" customHeight="1">
      <c r="A38" s="99" t="s">
        <v>83</v>
      </c>
      <c r="B38" s="100">
        <f>_xlfn.COMPOUNDVALUE(425)</f>
        <v>5071</v>
      </c>
      <c r="C38" s="101">
        <v>53511561</v>
      </c>
      <c r="D38" s="100">
        <f>_xlfn.COMPOUNDVALUE(406)</f>
        <v>1645</v>
      </c>
      <c r="E38" s="101">
        <v>588384</v>
      </c>
      <c r="F38" s="100">
        <f>_xlfn.COMPOUNDVALUE(426)</f>
        <v>6716</v>
      </c>
      <c r="G38" s="101">
        <v>54099945</v>
      </c>
      <c r="H38" s="100">
        <f>_xlfn.COMPOUNDVALUE(427)</f>
        <v>800</v>
      </c>
      <c r="I38" s="102">
        <v>5840537</v>
      </c>
      <c r="J38" s="100">
        <v>461</v>
      </c>
      <c r="K38" s="102">
        <v>32304</v>
      </c>
      <c r="L38" s="100">
        <v>7583</v>
      </c>
      <c r="M38" s="102">
        <v>48291712</v>
      </c>
      <c r="N38" s="148" t="s">
        <v>83</v>
      </c>
    </row>
    <row r="39" spans="1:14" ht="15.75" customHeight="1">
      <c r="A39" s="99" t="s">
        <v>84</v>
      </c>
      <c r="B39" s="100">
        <f>_xlfn.COMPOUNDVALUE(405)</f>
        <v>5009</v>
      </c>
      <c r="C39" s="101">
        <v>49402962</v>
      </c>
      <c r="D39" s="100">
        <f>_xlfn.COMPOUNDVALUE(428)</f>
        <v>1915</v>
      </c>
      <c r="E39" s="101">
        <v>607270</v>
      </c>
      <c r="F39" s="100">
        <f>_xlfn.COMPOUNDVALUE(429)</f>
        <v>6924</v>
      </c>
      <c r="G39" s="101">
        <v>50010231</v>
      </c>
      <c r="H39" s="100">
        <f>_xlfn.COMPOUNDVALUE(430)</f>
        <v>592</v>
      </c>
      <c r="I39" s="102">
        <v>3348822</v>
      </c>
      <c r="J39" s="100">
        <v>366</v>
      </c>
      <c r="K39" s="102">
        <v>137439</v>
      </c>
      <c r="L39" s="100">
        <v>7596</v>
      </c>
      <c r="M39" s="102">
        <v>46798848</v>
      </c>
      <c r="N39" s="148" t="s">
        <v>84</v>
      </c>
    </row>
    <row r="40" spans="1:14" ht="15.75" customHeight="1">
      <c r="A40" s="99" t="s">
        <v>85</v>
      </c>
      <c r="B40" s="100">
        <f>_xlfn.COMPOUNDVALUE(431)</f>
        <v>4230</v>
      </c>
      <c r="C40" s="101">
        <v>59158956</v>
      </c>
      <c r="D40" s="100">
        <f>_xlfn.COMPOUNDVALUE(432)</f>
        <v>1568</v>
      </c>
      <c r="E40" s="101">
        <v>540074</v>
      </c>
      <c r="F40" s="100">
        <f>_xlfn.COMPOUNDVALUE(433)</f>
        <v>5798</v>
      </c>
      <c r="G40" s="101">
        <v>59699030</v>
      </c>
      <c r="H40" s="100">
        <f>_xlfn.COMPOUNDVALUE(434)</f>
        <v>441</v>
      </c>
      <c r="I40" s="102">
        <v>4084865</v>
      </c>
      <c r="J40" s="100">
        <v>285</v>
      </c>
      <c r="K40" s="102">
        <v>12610</v>
      </c>
      <c r="L40" s="100">
        <v>6293</v>
      </c>
      <c r="M40" s="102">
        <v>55626775</v>
      </c>
      <c r="N40" s="148" t="s">
        <v>85</v>
      </c>
    </row>
    <row r="41" spans="1:14" ht="15.75" customHeight="1">
      <c r="A41" s="99" t="s">
        <v>86</v>
      </c>
      <c r="B41" s="100">
        <f>_xlfn.COMPOUNDVALUE(435)</f>
        <v>1541</v>
      </c>
      <c r="C41" s="101">
        <v>6506268</v>
      </c>
      <c r="D41" s="100">
        <f>_xlfn.COMPOUNDVALUE(432)</f>
        <v>892</v>
      </c>
      <c r="E41" s="101">
        <v>278147</v>
      </c>
      <c r="F41" s="100">
        <f>_xlfn.COMPOUNDVALUE(436)</f>
        <v>2433</v>
      </c>
      <c r="G41" s="101">
        <v>6784415</v>
      </c>
      <c r="H41" s="100">
        <f>_xlfn.COMPOUNDVALUE(437)</f>
        <v>91</v>
      </c>
      <c r="I41" s="102">
        <v>457118</v>
      </c>
      <c r="J41" s="100">
        <v>160</v>
      </c>
      <c r="K41" s="102">
        <v>277345</v>
      </c>
      <c r="L41" s="100">
        <v>2558</v>
      </c>
      <c r="M41" s="102">
        <v>6604641</v>
      </c>
      <c r="N41" s="148" t="s">
        <v>86</v>
      </c>
    </row>
    <row r="42" spans="1:14" ht="15.75" customHeight="1">
      <c r="A42" s="168"/>
      <c r="B42" s="100"/>
      <c r="C42" s="101"/>
      <c r="D42" s="100"/>
      <c r="E42" s="101"/>
      <c r="F42" s="100"/>
      <c r="G42" s="101"/>
      <c r="H42" s="100"/>
      <c r="I42" s="102"/>
      <c r="J42" s="100"/>
      <c r="K42" s="102"/>
      <c r="L42" s="100"/>
      <c r="M42" s="102"/>
      <c r="N42" s="170" t="s">
        <v>55</v>
      </c>
    </row>
    <row r="43" spans="1:14" ht="15.75" customHeight="1">
      <c r="A43" s="164" t="s">
        <v>87</v>
      </c>
      <c r="B43" s="100">
        <f>_xlfn.COMPOUNDVALUE(438)</f>
        <v>4602</v>
      </c>
      <c r="C43" s="101">
        <v>86092591</v>
      </c>
      <c r="D43" s="100">
        <f>_xlfn.COMPOUNDVALUE(439)</f>
        <v>1655</v>
      </c>
      <c r="E43" s="101">
        <v>559662</v>
      </c>
      <c r="F43" s="100">
        <f>_xlfn.COMPOUNDVALUE(440)</f>
        <v>6257</v>
      </c>
      <c r="G43" s="101">
        <v>86652253</v>
      </c>
      <c r="H43" s="100">
        <f>_xlfn.COMPOUNDVALUE(441)</f>
        <v>504</v>
      </c>
      <c r="I43" s="102">
        <v>8003906</v>
      </c>
      <c r="J43" s="100">
        <v>359</v>
      </c>
      <c r="K43" s="102">
        <v>-12761</v>
      </c>
      <c r="L43" s="100">
        <v>6818</v>
      </c>
      <c r="M43" s="102">
        <v>78635585</v>
      </c>
      <c r="N43" s="148" t="s">
        <v>87</v>
      </c>
    </row>
    <row r="44" spans="1:14" ht="15.75" customHeight="1">
      <c r="A44" s="99" t="s">
        <v>88</v>
      </c>
      <c r="B44" s="100">
        <f>_xlfn.COMPOUNDVALUE(442)</f>
        <v>2565</v>
      </c>
      <c r="C44" s="101">
        <v>39373949</v>
      </c>
      <c r="D44" s="100">
        <f>_xlfn.COMPOUNDVALUE(443)</f>
        <v>1218</v>
      </c>
      <c r="E44" s="101">
        <v>461229</v>
      </c>
      <c r="F44" s="100">
        <f>_xlfn.COMPOUNDVALUE(444)</f>
        <v>3783</v>
      </c>
      <c r="G44" s="101">
        <v>39835177</v>
      </c>
      <c r="H44" s="100">
        <f>_xlfn.COMPOUNDVALUE(445)</f>
        <v>264</v>
      </c>
      <c r="I44" s="102">
        <v>924484</v>
      </c>
      <c r="J44" s="100">
        <v>290</v>
      </c>
      <c r="K44" s="102">
        <v>-114839</v>
      </c>
      <c r="L44" s="100">
        <v>4105</v>
      </c>
      <c r="M44" s="102">
        <v>38795854</v>
      </c>
      <c r="N44" s="148" t="s">
        <v>88</v>
      </c>
    </row>
    <row r="45" spans="1:14" ht="15.75" customHeight="1">
      <c r="A45" s="99" t="s">
        <v>89</v>
      </c>
      <c r="B45" s="100">
        <f>_xlfn.COMPOUNDVALUE(446)</f>
        <v>1744</v>
      </c>
      <c r="C45" s="101">
        <v>7828221</v>
      </c>
      <c r="D45" s="100">
        <f>_xlfn.COMPOUNDVALUE(447)</f>
        <v>1035</v>
      </c>
      <c r="E45" s="101">
        <v>354124</v>
      </c>
      <c r="F45" s="100">
        <f>_xlfn.COMPOUNDVALUE(448)</f>
        <v>2779</v>
      </c>
      <c r="G45" s="101">
        <v>8182346</v>
      </c>
      <c r="H45" s="100">
        <f>_xlfn.COMPOUNDVALUE(449)</f>
        <v>168</v>
      </c>
      <c r="I45" s="102">
        <v>1088806</v>
      </c>
      <c r="J45" s="100">
        <v>118</v>
      </c>
      <c r="K45" s="102">
        <v>-10630</v>
      </c>
      <c r="L45" s="100">
        <v>2968</v>
      </c>
      <c r="M45" s="102">
        <v>7082910</v>
      </c>
      <c r="N45" s="148" t="s">
        <v>89</v>
      </c>
    </row>
    <row r="46" spans="1:14" ht="15.75" customHeight="1">
      <c r="A46" s="99" t="s">
        <v>90</v>
      </c>
      <c r="B46" s="100">
        <f>_xlfn.COMPOUNDVALUE(450)</f>
        <v>5201</v>
      </c>
      <c r="C46" s="101">
        <v>36642532</v>
      </c>
      <c r="D46" s="100">
        <f>_xlfn.COMPOUNDVALUE(451)</f>
        <v>2277</v>
      </c>
      <c r="E46" s="101">
        <v>852278</v>
      </c>
      <c r="F46" s="100">
        <f>_xlfn.COMPOUNDVALUE(452)</f>
        <v>7478</v>
      </c>
      <c r="G46" s="101">
        <v>37494810</v>
      </c>
      <c r="H46" s="100">
        <f>_xlfn.COMPOUNDVALUE(453)</f>
        <v>532</v>
      </c>
      <c r="I46" s="102">
        <v>3161372</v>
      </c>
      <c r="J46" s="100">
        <v>366</v>
      </c>
      <c r="K46" s="102">
        <v>122281</v>
      </c>
      <c r="L46" s="100">
        <v>8097</v>
      </c>
      <c r="M46" s="102">
        <v>34455719</v>
      </c>
      <c r="N46" s="148" t="s">
        <v>90</v>
      </c>
    </row>
    <row r="47" spans="1:14" ht="15.75" customHeight="1">
      <c r="A47" s="99" t="s">
        <v>91</v>
      </c>
      <c r="B47" s="100">
        <f>_xlfn.COMPOUNDVALUE(454)</f>
        <v>3711</v>
      </c>
      <c r="C47" s="101">
        <v>22692484</v>
      </c>
      <c r="D47" s="100">
        <f>_xlfn.COMPOUNDVALUE(455)</f>
        <v>1785</v>
      </c>
      <c r="E47" s="101">
        <v>614178</v>
      </c>
      <c r="F47" s="100">
        <f>_xlfn.COMPOUNDVALUE(456)</f>
        <v>5496</v>
      </c>
      <c r="G47" s="101">
        <v>23306663</v>
      </c>
      <c r="H47" s="100">
        <f>_xlfn.COMPOUNDVALUE(457)</f>
        <v>330</v>
      </c>
      <c r="I47" s="102">
        <v>6528599</v>
      </c>
      <c r="J47" s="100">
        <v>299</v>
      </c>
      <c r="K47" s="102">
        <v>31231</v>
      </c>
      <c r="L47" s="100">
        <v>5885</v>
      </c>
      <c r="M47" s="102">
        <v>16809295</v>
      </c>
      <c r="N47" s="148" t="s">
        <v>91</v>
      </c>
    </row>
    <row r="48" spans="1:14" ht="15.75" customHeight="1">
      <c r="A48" s="99"/>
      <c r="B48" s="100"/>
      <c r="C48" s="101"/>
      <c r="D48" s="100"/>
      <c r="E48" s="101"/>
      <c r="F48" s="100"/>
      <c r="G48" s="101"/>
      <c r="H48" s="100"/>
      <c r="I48" s="102"/>
      <c r="J48" s="100"/>
      <c r="K48" s="102"/>
      <c r="L48" s="100"/>
      <c r="M48" s="102"/>
      <c r="N48" s="148" t="s">
        <v>55</v>
      </c>
    </row>
    <row r="49" spans="1:14" ht="15.75" customHeight="1">
      <c r="A49" s="99" t="s">
        <v>92</v>
      </c>
      <c r="B49" s="100">
        <f>_xlfn.COMPOUNDVALUE(458)</f>
        <v>1914</v>
      </c>
      <c r="C49" s="101">
        <v>6713887</v>
      </c>
      <c r="D49" s="100">
        <f>_xlfn.COMPOUNDVALUE(459)</f>
        <v>1039</v>
      </c>
      <c r="E49" s="101">
        <v>366307</v>
      </c>
      <c r="F49" s="100">
        <f>_xlfn.COMPOUNDVALUE(460)</f>
        <v>2953</v>
      </c>
      <c r="G49" s="101">
        <v>7080193</v>
      </c>
      <c r="H49" s="100">
        <f>_xlfn.COMPOUNDVALUE(461)</f>
        <v>202</v>
      </c>
      <c r="I49" s="102">
        <v>2379808</v>
      </c>
      <c r="J49" s="100">
        <v>144</v>
      </c>
      <c r="K49" s="102">
        <v>31067</v>
      </c>
      <c r="L49" s="100">
        <v>3194</v>
      </c>
      <c r="M49" s="102">
        <v>4731453</v>
      </c>
      <c r="N49" s="148" t="s">
        <v>92</v>
      </c>
    </row>
    <row r="50" spans="1:14" ht="15.75" customHeight="1">
      <c r="A50" s="99" t="s">
        <v>93</v>
      </c>
      <c r="B50" s="100">
        <f>_xlfn.COMPOUNDVALUE(462)</f>
        <v>3888</v>
      </c>
      <c r="C50" s="101">
        <v>36897491</v>
      </c>
      <c r="D50" s="100">
        <f>_xlfn.COMPOUNDVALUE(463)</f>
        <v>2261</v>
      </c>
      <c r="E50" s="101">
        <v>851026</v>
      </c>
      <c r="F50" s="100">
        <f>_xlfn.COMPOUNDVALUE(464)</f>
        <v>6149</v>
      </c>
      <c r="G50" s="101">
        <v>37748516</v>
      </c>
      <c r="H50" s="100">
        <f>_xlfn.COMPOUNDVALUE(465)</f>
        <v>307</v>
      </c>
      <c r="I50" s="102">
        <v>35787351</v>
      </c>
      <c r="J50" s="100">
        <v>265</v>
      </c>
      <c r="K50" s="102">
        <v>-56315</v>
      </c>
      <c r="L50" s="100">
        <v>6494</v>
      </c>
      <c r="M50" s="102">
        <v>1904850</v>
      </c>
      <c r="N50" s="148" t="s">
        <v>93</v>
      </c>
    </row>
    <row r="51" spans="1:14" ht="15.75" customHeight="1">
      <c r="A51" s="99" t="s">
        <v>94</v>
      </c>
      <c r="B51" s="100">
        <f>_xlfn.COMPOUNDVALUE(466)</f>
        <v>3599</v>
      </c>
      <c r="C51" s="101">
        <v>12241113</v>
      </c>
      <c r="D51" s="100">
        <f>_xlfn.COMPOUNDVALUE(467)</f>
        <v>1895</v>
      </c>
      <c r="E51" s="101">
        <v>692830</v>
      </c>
      <c r="F51" s="100">
        <f>_xlfn.COMPOUNDVALUE(468)</f>
        <v>5494</v>
      </c>
      <c r="G51" s="101">
        <v>12933944</v>
      </c>
      <c r="H51" s="100">
        <f>_xlfn.COMPOUNDVALUE(469)</f>
        <v>366</v>
      </c>
      <c r="I51" s="102">
        <v>638206</v>
      </c>
      <c r="J51" s="100">
        <v>218</v>
      </c>
      <c r="K51" s="102">
        <v>-23650</v>
      </c>
      <c r="L51" s="100">
        <v>5932</v>
      </c>
      <c r="M51" s="102">
        <v>12272088</v>
      </c>
      <c r="N51" s="148" t="s">
        <v>94</v>
      </c>
    </row>
    <row r="52" spans="1:14" ht="15.75" customHeight="1">
      <c r="A52" s="99" t="s">
        <v>95</v>
      </c>
      <c r="B52" s="100">
        <f>_xlfn.COMPOUNDVALUE(470)</f>
        <v>3156</v>
      </c>
      <c r="C52" s="101">
        <v>10518617</v>
      </c>
      <c r="D52" s="100">
        <f>_xlfn.COMPOUNDVALUE(471)</f>
        <v>1789</v>
      </c>
      <c r="E52" s="101">
        <v>650696</v>
      </c>
      <c r="F52" s="100">
        <f>_xlfn.COMPOUNDVALUE(472)</f>
        <v>4945</v>
      </c>
      <c r="G52" s="101">
        <v>11169312</v>
      </c>
      <c r="H52" s="100">
        <f>_xlfn.COMPOUNDVALUE(473)</f>
        <v>238</v>
      </c>
      <c r="I52" s="102">
        <v>144733</v>
      </c>
      <c r="J52" s="100">
        <v>261</v>
      </c>
      <c r="K52" s="102">
        <v>28757</v>
      </c>
      <c r="L52" s="100">
        <v>5255</v>
      </c>
      <c r="M52" s="102">
        <v>11053336</v>
      </c>
      <c r="N52" s="148" t="s">
        <v>95</v>
      </c>
    </row>
    <row r="53" spans="1:14" ht="15.75" customHeight="1">
      <c r="A53" s="99" t="s">
        <v>96</v>
      </c>
      <c r="B53" s="100">
        <f>_xlfn.COMPOUNDVALUE(474)</f>
        <v>3222</v>
      </c>
      <c r="C53" s="101">
        <v>19038057</v>
      </c>
      <c r="D53" s="100">
        <f>_xlfn.COMPOUNDVALUE(451)</f>
        <v>1566</v>
      </c>
      <c r="E53" s="101">
        <v>572897</v>
      </c>
      <c r="F53" s="100">
        <f>_xlfn.COMPOUNDVALUE(475)</f>
        <v>4788</v>
      </c>
      <c r="G53" s="101">
        <v>19610953</v>
      </c>
      <c r="H53" s="100">
        <f>_xlfn.COMPOUNDVALUE(476)</f>
        <v>365</v>
      </c>
      <c r="I53" s="102">
        <v>1303422</v>
      </c>
      <c r="J53" s="100">
        <v>282</v>
      </c>
      <c r="K53" s="102">
        <v>64324</v>
      </c>
      <c r="L53" s="100">
        <v>5218</v>
      </c>
      <c r="M53" s="102">
        <v>18371855</v>
      </c>
      <c r="N53" s="148" t="s">
        <v>96</v>
      </c>
    </row>
    <row r="54" spans="1:14" ht="15.75" customHeight="1">
      <c r="A54" s="99"/>
      <c r="B54" s="100"/>
      <c r="C54" s="101"/>
      <c r="D54" s="100"/>
      <c r="E54" s="101"/>
      <c r="F54" s="100"/>
      <c r="G54" s="101"/>
      <c r="H54" s="100"/>
      <c r="I54" s="102"/>
      <c r="J54" s="100"/>
      <c r="K54" s="102"/>
      <c r="L54" s="100"/>
      <c r="M54" s="102"/>
      <c r="N54" s="148" t="s">
        <v>55</v>
      </c>
    </row>
    <row r="55" spans="1:14" ht="15.75" customHeight="1">
      <c r="A55" s="99" t="s">
        <v>97</v>
      </c>
      <c r="B55" s="100">
        <f>_xlfn.COMPOUNDVALUE(477)</f>
        <v>17933</v>
      </c>
      <c r="C55" s="101">
        <v>267262380</v>
      </c>
      <c r="D55" s="100">
        <f>_xlfn.COMPOUNDVALUE(478)</f>
        <v>5073</v>
      </c>
      <c r="E55" s="101">
        <v>2288887</v>
      </c>
      <c r="F55" s="100">
        <f>_xlfn.COMPOUNDVALUE(479)</f>
        <v>23006</v>
      </c>
      <c r="G55" s="101">
        <v>269551267</v>
      </c>
      <c r="H55" s="100">
        <f>_xlfn.COMPOUNDVALUE(480)</f>
        <v>2174</v>
      </c>
      <c r="I55" s="102">
        <v>16592161</v>
      </c>
      <c r="J55" s="100">
        <v>1384</v>
      </c>
      <c r="K55" s="102">
        <v>-192994</v>
      </c>
      <c r="L55" s="100">
        <v>25529</v>
      </c>
      <c r="M55" s="102">
        <v>252766112</v>
      </c>
      <c r="N55" s="148" t="s">
        <v>97</v>
      </c>
    </row>
    <row r="56" spans="1:14" ht="15.75" customHeight="1">
      <c r="A56" s="99" t="s">
        <v>98</v>
      </c>
      <c r="B56" s="100">
        <f>_xlfn.COMPOUNDVALUE(481)</f>
        <v>4012</v>
      </c>
      <c r="C56" s="101">
        <v>42193266</v>
      </c>
      <c r="D56" s="100">
        <f>_xlfn.COMPOUNDVALUE(414)</f>
        <v>1912</v>
      </c>
      <c r="E56" s="101">
        <v>689474</v>
      </c>
      <c r="F56" s="100">
        <f>_xlfn.COMPOUNDVALUE(482)</f>
        <v>5924</v>
      </c>
      <c r="G56" s="101">
        <v>42882740</v>
      </c>
      <c r="H56" s="100">
        <f>_xlfn.COMPOUNDVALUE(483)</f>
        <v>423</v>
      </c>
      <c r="I56" s="102">
        <v>628386</v>
      </c>
      <c r="J56" s="100">
        <v>354</v>
      </c>
      <c r="K56" s="102">
        <v>9640</v>
      </c>
      <c r="L56" s="100">
        <v>6429</v>
      </c>
      <c r="M56" s="102">
        <v>42263994</v>
      </c>
      <c r="N56" s="148" t="s">
        <v>98</v>
      </c>
    </row>
    <row r="57" spans="1:14" ht="15.75" customHeight="1">
      <c r="A57" s="99" t="s">
        <v>99</v>
      </c>
      <c r="B57" s="100">
        <f>_xlfn.COMPOUNDVALUE(484)</f>
        <v>3101</v>
      </c>
      <c r="C57" s="101">
        <v>14533413</v>
      </c>
      <c r="D57" s="100">
        <f>_xlfn.COMPOUNDVALUE(485)</f>
        <v>1631</v>
      </c>
      <c r="E57" s="101">
        <v>583607</v>
      </c>
      <c r="F57" s="100">
        <f>_xlfn.COMPOUNDVALUE(486)</f>
        <v>4732</v>
      </c>
      <c r="G57" s="101">
        <v>15117020</v>
      </c>
      <c r="H57" s="100">
        <f>_xlfn.COMPOUNDVALUE(487)</f>
        <v>309</v>
      </c>
      <c r="I57" s="102">
        <v>873550</v>
      </c>
      <c r="J57" s="100">
        <v>245</v>
      </c>
      <c r="K57" s="102">
        <v>61039</v>
      </c>
      <c r="L57" s="100">
        <v>5122</v>
      </c>
      <c r="M57" s="102">
        <v>14304509</v>
      </c>
      <c r="N57" s="148" t="s">
        <v>99</v>
      </c>
    </row>
    <row r="58" spans="1:14" ht="15.75" customHeight="1">
      <c r="A58" s="99" t="s">
        <v>100</v>
      </c>
      <c r="B58" s="100">
        <f>_xlfn.COMPOUNDVALUE(484)</f>
        <v>2309</v>
      </c>
      <c r="C58" s="101">
        <v>9699870</v>
      </c>
      <c r="D58" s="100">
        <f>_xlfn.COMPOUNDVALUE(488)</f>
        <v>1245</v>
      </c>
      <c r="E58" s="101">
        <v>476865</v>
      </c>
      <c r="F58" s="100">
        <f>_xlfn.COMPOUNDVALUE(489)</f>
        <v>3554</v>
      </c>
      <c r="G58" s="101">
        <v>10176735</v>
      </c>
      <c r="H58" s="100">
        <f>_xlfn.COMPOUNDVALUE(490)</f>
        <v>266</v>
      </c>
      <c r="I58" s="102">
        <v>619531</v>
      </c>
      <c r="J58" s="100">
        <v>236</v>
      </c>
      <c r="K58" s="102">
        <v>131096</v>
      </c>
      <c r="L58" s="100">
        <v>3884</v>
      </c>
      <c r="M58" s="102">
        <v>9688300</v>
      </c>
      <c r="N58" s="148" t="s">
        <v>100</v>
      </c>
    </row>
    <row r="59" spans="1:14" ht="15.75" customHeight="1">
      <c r="A59" s="99" t="s">
        <v>101</v>
      </c>
      <c r="B59" s="100">
        <f>_xlfn.COMPOUNDVALUE(491)</f>
        <v>7677</v>
      </c>
      <c r="C59" s="101">
        <v>70926252</v>
      </c>
      <c r="D59" s="100">
        <f>_xlfn.COMPOUNDVALUE(492)</f>
        <v>2849</v>
      </c>
      <c r="E59" s="101">
        <v>1116280</v>
      </c>
      <c r="F59" s="100">
        <f>_xlfn.COMPOUNDVALUE(493)</f>
        <v>10526</v>
      </c>
      <c r="G59" s="101">
        <v>72042532</v>
      </c>
      <c r="H59" s="100">
        <f>_xlfn.COMPOUNDVALUE(494)</f>
        <v>920</v>
      </c>
      <c r="I59" s="102">
        <v>3350778</v>
      </c>
      <c r="J59" s="100">
        <v>678</v>
      </c>
      <c r="K59" s="102">
        <v>276967</v>
      </c>
      <c r="L59" s="100">
        <v>11585</v>
      </c>
      <c r="M59" s="102">
        <v>68968721</v>
      </c>
      <c r="N59" s="148" t="s">
        <v>101</v>
      </c>
    </row>
    <row r="60" spans="1:14" ht="15.75" customHeight="1">
      <c r="A60" s="99"/>
      <c r="B60" s="100"/>
      <c r="C60" s="101"/>
      <c r="D60" s="100"/>
      <c r="E60" s="101"/>
      <c r="F60" s="100"/>
      <c r="G60" s="101"/>
      <c r="H60" s="100"/>
      <c r="I60" s="102"/>
      <c r="J60" s="100"/>
      <c r="K60" s="102"/>
      <c r="L60" s="100"/>
      <c r="M60" s="102"/>
      <c r="N60" s="148" t="s">
        <v>55</v>
      </c>
    </row>
    <row r="61" spans="1:14" ht="15.75" customHeight="1">
      <c r="A61" s="99" t="s">
        <v>102</v>
      </c>
      <c r="B61" s="100">
        <f>_xlfn.COMPOUNDVALUE(495)</f>
        <v>3692</v>
      </c>
      <c r="C61" s="101">
        <v>32246682</v>
      </c>
      <c r="D61" s="100">
        <f>_xlfn.COMPOUNDVALUE(496)</f>
        <v>1931</v>
      </c>
      <c r="E61" s="101">
        <v>685903</v>
      </c>
      <c r="F61" s="100">
        <f>_xlfn.COMPOUNDVALUE(497)</f>
        <v>5623</v>
      </c>
      <c r="G61" s="101">
        <v>32932585</v>
      </c>
      <c r="H61" s="100">
        <f>_xlfn.COMPOUNDVALUE(498)</f>
        <v>329</v>
      </c>
      <c r="I61" s="102">
        <v>937957</v>
      </c>
      <c r="J61" s="100">
        <v>294</v>
      </c>
      <c r="K61" s="102">
        <v>-117057</v>
      </c>
      <c r="L61" s="100">
        <v>6020</v>
      </c>
      <c r="M61" s="102">
        <v>31877571</v>
      </c>
      <c r="N61" s="148" t="s">
        <v>102</v>
      </c>
    </row>
    <row r="62" spans="1:14" ht="15.75" customHeight="1">
      <c r="A62" s="99" t="s">
        <v>103</v>
      </c>
      <c r="B62" s="100">
        <f>_xlfn.COMPOUNDVALUE(491)</f>
        <v>3286</v>
      </c>
      <c r="C62" s="101">
        <v>17618759</v>
      </c>
      <c r="D62" s="100">
        <f>_xlfn.COMPOUNDVALUE(496)</f>
        <v>1612</v>
      </c>
      <c r="E62" s="101">
        <v>569046</v>
      </c>
      <c r="F62" s="100">
        <f>_xlfn.COMPOUNDVALUE(499)</f>
        <v>4898</v>
      </c>
      <c r="G62" s="101">
        <v>18187805</v>
      </c>
      <c r="H62" s="100">
        <f>_xlfn.COMPOUNDVALUE(500)</f>
        <v>298</v>
      </c>
      <c r="I62" s="102">
        <v>1113295</v>
      </c>
      <c r="J62" s="100">
        <v>258</v>
      </c>
      <c r="K62" s="102">
        <v>18015</v>
      </c>
      <c r="L62" s="100">
        <v>5270</v>
      </c>
      <c r="M62" s="102">
        <v>17092525</v>
      </c>
      <c r="N62" s="148" t="s">
        <v>103</v>
      </c>
    </row>
    <row r="63" spans="1:14" ht="15.75" customHeight="1">
      <c r="A63" s="99" t="s">
        <v>104</v>
      </c>
      <c r="B63" s="100">
        <f>_xlfn.COMPOUNDVALUE(501)</f>
        <v>5873</v>
      </c>
      <c r="C63" s="101">
        <v>28025471</v>
      </c>
      <c r="D63" s="100">
        <f>_xlfn.COMPOUNDVALUE(502)</f>
        <v>2854</v>
      </c>
      <c r="E63" s="101">
        <v>989402</v>
      </c>
      <c r="F63" s="100">
        <f>_xlfn.COMPOUNDVALUE(503)</f>
        <v>8727</v>
      </c>
      <c r="G63" s="101">
        <v>29014872</v>
      </c>
      <c r="H63" s="100">
        <f>_xlfn.COMPOUNDVALUE(504)</f>
        <v>454</v>
      </c>
      <c r="I63" s="102">
        <v>2711892</v>
      </c>
      <c r="J63" s="100">
        <v>444</v>
      </c>
      <c r="K63" s="102">
        <v>75752</v>
      </c>
      <c r="L63" s="100">
        <v>9268</v>
      </c>
      <c r="M63" s="102">
        <v>26378732</v>
      </c>
      <c r="N63" s="148" t="s">
        <v>104</v>
      </c>
    </row>
    <row r="64" spans="1:14" ht="15.75" customHeight="1">
      <c r="A64" s="99" t="s">
        <v>105</v>
      </c>
      <c r="B64" s="100">
        <f>_xlfn.COMPOUNDVALUE(505)</f>
        <v>4099</v>
      </c>
      <c r="C64" s="101">
        <v>11869833</v>
      </c>
      <c r="D64" s="100">
        <f>_xlfn.COMPOUNDVALUE(488)</f>
        <v>2051</v>
      </c>
      <c r="E64" s="101">
        <v>709922</v>
      </c>
      <c r="F64" s="100">
        <f>_xlfn.COMPOUNDVALUE(506)</f>
        <v>6150</v>
      </c>
      <c r="G64" s="101">
        <v>12579755</v>
      </c>
      <c r="H64" s="100">
        <f>_xlfn.COMPOUNDVALUE(507)</f>
        <v>270</v>
      </c>
      <c r="I64" s="102">
        <v>1905254</v>
      </c>
      <c r="J64" s="100">
        <v>311</v>
      </c>
      <c r="K64" s="102">
        <v>59112</v>
      </c>
      <c r="L64" s="100">
        <v>6487</v>
      </c>
      <c r="M64" s="102">
        <v>10733613</v>
      </c>
      <c r="N64" s="148" t="s">
        <v>105</v>
      </c>
    </row>
    <row r="65" spans="1:14" ht="15.75" customHeight="1">
      <c r="A65" s="106" t="s">
        <v>106</v>
      </c>
      <c r="B65" s="107">
        <f>_xlfn.COMPOUNDVALUE(508)</f>
        <v>2302</v>
      </c>
      <c r="C65" s="108">
        <v>5307276</v>
      </c>
      <c r="D65" s="107">
        <f>_xlfn.COMPOUNDVALUE(509)</f>
        <v>1294</v>
      </c>
      <c r="E65" s="108">
        <v>472332</v>
      </c>
      <c r="F65" s="107">
        <f>_xlfn.COMPOUNDVALUE(510)</f>
        <v>3596</v>
      </c>
      <c r="G65" s="108">
        <v>5779608</v>
      </c>
      <c r="H65" s="107">
        <f>_xlfn.COMPOUNDVALUE(511)</f>
        <v>210</v>
      </c>
      <c r="I65" s="109">
        <v>271850</v>
      </c>
      <c r="J65" s="107">
        <v>231</v>
      </c>
      <c r="K65" s="109">
        <v>-14905</v>
      </c>
      <c r="L65" s="107">
        <v>3868</v>
      </c>
      <c r="M65" s="109">
        <v>5492852</v>
      </c>
      <c r="N65" s="105" t="s">
        <v>106</v>
      </c>
    </row>
    <row r="66" spans="1:14" ht="15.75" customHeight="1">
      <c r="A66" s="106"/>
      <c r="B66" s="107"/>
      <c r="C66" s="108"/>
      <c r="D66" s="107"/>
      <c r="E66" s="108"/>
      <c r="F66" s="107"/>
      <c r="G66" s="108"/>
      <c r="H66" s="107"/>
      <c r="I66" s="109"/>
      <c r="J66" s="107"/>
      <c r="K66" s="109"/>
      <c r="L66" s="107"/>
      <c r="M66" s="109"/>
      <c r="N66" s="105" t="s">
        <v>55</v>
      </c>
    </row>
    <row r="67" spans="1:14" ht="15.75" customHeight="1">
      <c r="A67" s="106" t="s">
        <v>107</v>
      </c>
      <c r="B67" s="107">
        <f>_xlfn.COMPOUNDVALUE(512)</f>
        <v>4349</v>
      </c>
      <c r="C67" s="108">
        <v>14890409</v>
      </c>
      <c r="D67" s="107">
        <f>_xlfn.COMPOUNDVALUE(513)</f>
        <v>2004</v>
      </c>
      <c r="E67" s="108">
        <v>740998</v>
      </c>
      <c r="F67" s="107">
        <f>_xlfn.COMPOUNDVALUE(514)</f>
        <v>6353</v>
      </c>
      <c r="G67" s="108">
        <v>15631407</v>
      </c>
      <c r="H67" s="107">
        <f>_xlfn.COMPOUNDVALUE(515)</f>
        <v>326</v>
      </c>
      <c r="I67" s="109">
        <v>1508638</v>
      </c>
      <c r="J67" s="107">
        <v>340</v>
      </c>
      <c r="K67" s="109">
        <v>71395</v>
      </c>
      <c r="L67" s="107">
        <v>6776</v>
      </c>
      <c r="M67" s="109">
        <v>14194163</v>
      </c>
      <c r="N67" s="105" t="s">
        <v>107</v>
      </c>
    </row>
    <row r="68" spans="1:14" ht="15.75" customHeight="1">
      <c r="A68" s="106" t="s">
        <v>108</v>
      </c>
      <c r="B68" s="107">
        <f>_xlfn.COMPOUNDVALUE(516)</f>
        <v>3518</v>
      </c>
      <c r="C68" s="108">
        <v>11231383</v>
      </c>
      <c r="D68" s="107">
        <f>_xlfn.COMPOUNDVALUE(517)</f>
        <v>1681</v>
      </c>
      <c r="E68" s="108">
        <v>595046</v>
      </c>
      <c r="F68" s="107">
        <f>_xlfn.COMPOUNDVALUE(518)</f>
        <v>5199</v>
      </c>
      <c r="G68" s="108">
        <v>11826429</v>
      </c>
      <c r="H68" s="107">
        <f>_xlfn.COMPOUNDVALUE(519)</f>
        <v>206</v>
      </c>
      <c r="I68" s="109">
        <v>644545</v>
      </c>
      <c r="J68" s="107">
        <v>254</v>
      </c>
      <c r="K68" s="109">
        <v>56845</v>
      </c>
      <c r="L68" s="107">
        <v>5474</v>
      </c>
      <c r="M68" s="109">
        <v>11238729</v>
      </c>
      <c r="N68" s="105" t="s">
        <v>108</v>
      </c>
    </row>
    <row r="69" spans="1:14" ht="15.75" customHeight="1">
      <c r="A69" s="106" t="s">
        <v>109</v>
      </c>
      <c r="B69" s="107">
        <f>_xlfn.COMPOUNDVALUE(520)</f>
        <v>4832</v>
      </c>
      <c r="C69" s="108">
        <v>14033047</v>
      </c>
      <c r="D69" s="107">
        <f>_xlfn.COMPOUNDVALUE(521)</f>
        <v>2578</v>
      </c>
      <c r="E69" s="108">
        <v>892966</v>
      </c>
      <c r="F69" s="107">
        <f>_xlfn.COMPOUNDVALUE(522)</f>
        <v>7410</v>
      </c>
      <c r="G69" s="108">
        <v>14926014</v>
      </c>
      <c r="H69" s="107">
        <f>_xlfn.COMPOUNDVALUE(523)</f>
        <v>363</v>
      </c>
      <c r="I69" s="109">
        <v>855106</v>
      </c>
      <c r="J69" s="107">
        <v>349</v>
      </c>
      <c r="K69" s="109">
        <v>35577</v>
      </c>
      <c r="L69" s="107">
        <v>7829</v>
      </c>
      <c r="M69" s="109">
        <v>14106485</v>
      </c>
      <c r="N69" s="105" t="s">
        <v>109</v>
      </c>
    </row>
    <row r="70" spans="1:14" ht="15.75" customHeight="1">
      <c r="A70" s="106" t="s">
        <v>110</v>
      </c>
      <c r="B70" s="107">
        <f>_xlfn.COMPOUNDVALUE(524)</f>
        <v>5246</v>
      </c>
      <c r="C70" s="108">
        <v>15036790</v>
      </c>
      <c r="D70" s="107">
        <f>_xlfn.COMPOUNDVALUE(525)</f>
        <v>2684</v>
      </c>
      <c r="E70" s="108">
        <v>948968</v>
      </c>
      <c r="F70" s="107">
        <f>_xlfn.COMPOUNDVALUE(526)</f>
        <v>7930</v>
      </c>
      <c r="G70" s="108">
        <v>15985758</v>
      </c>
      <c r="H70" s="107">
        <f>_xlfn.COMPOUNDVALUE(527)</f>
        <v>381</v>
      </c>
      <c r="I70" s="109">
        <v>1452851</v>
      </c>
      <c r="J70" s="107">
        <v>402</v>
      </c>
      <c r="K70" s="109">
        <v>87499</v>
      </c>
      <c r="L70" s="107">
        <v>8398</v>
      </c>
      <c r="M70" s="109">
        <v>14620406</v>
      </c>
      <c r="N70" s="105" t="s">
        <v>110</v>
      </c>
    </row>
    <row r="71" spans="1:14" ht="15.75" customHeight="1">
      <c r="A71" s="106" t="s">
        <v>111</v>
      </c>
      <c r="B71" s="107">
        <f>_xlfn.COMPOUNDVALUE(524)</f>
        <v>2505</v>
      </c>
      <c r="C71" s="108">
        <v>9900334</v>
      </c>
      <c r="D71" s="107">
        <f>_xlfn.COMPOUNDVALUE(439)</f>
        <v>1056</v>
      </c>
      <c r="E71" s="108">
        <v>404149</v>
      </c>
      <c r="F71" s="107">
        <f>_xlfn.COMPOUNDVALUE(528)</f>
        <v>3561</v>
      </c>
      <c r="G71" s="108">
        <v>10304483</v>
      </c>
      <c r="H71" s="107">
        <f>_xlfn.COMPOUNDVALUE(529)</f>
        <v>214</v>
      </c>
      <c r="I71" s="109">
        <v>609911</v>
      </c>
      <c r="J71" s="107">
        <v>242</v>
      </c>
      <c r="K71" s="109">
        <v>22923</v>
      </c>
      <c r="L71" s="107">
        <v>3843</v>
      </c>
      <c r="M71" s="109">
        <v>9717495</v>
      </c>
      <c r="N71" s="105" t="s">
        <v>111</v>
      </c>
    </row>
    <row r="72" spans="1:14" ht="15.75" customHeight="1">
      <c r="A72" s="110" t="s">
        <v>182</v>
      </c>
      <c r="B72" s="111">
        <v>217757</v>
      </c>
      <c r="C72" s="112">
        <v>3384217001</v>
      </c>
      <c r="D72" s="111">
        <v>78495</v>
      </c>
      <c r="E72" s="112">
        <v>31482594</v>
      </c>
      <c r="F72" s="111">
        <v>296252</v>
      </c>
      <c r="G72" s="112">
        <v>3415699588</v>
      </c>
      <c r="H72" s="111">
        <v>31313</v>
      </c>
      <c r="I72" s="113">
        <v>943388167</v>
      </c>
      <c r="J72" s="111">
        <v>18860</v>
      </c>
      <c r="K72" s="113">
        <v>2136657</v>
      </c>
      <c r="L72" s="111">
        <v>331288</v>
      </c>
      <c r="M72" s="113">
        <v>2474448076</v>
      </c>
      <c r="N72" s="131" t="s">
        <v>113</v>
      </c>
    </row>
    <row r="73" spans="1:14" ht="15.75" customHeight="1">
      <c r="A73" s="132"/>
      <c r="B73" s="141"/>
      <c r="C73" s="142"/>
      <c r="D73" s="141"/>
      <c r="E73" s="142"/>
      <c r="F73" s="141"/>
      <c r="G73" s="142"/>
      <c r="H73" s="141"/>
      <c r="I73" s="143"/>
      <c r="J73" s="141"/>
      <c r="K73" s="143"/>
      <c r="L73" s="141"/>
      <c r="M73" s="143"/>
      <c r="N73" s="152" t="s">
        <v>55</v>
      </c>
    </row>
    <row r="74" spans="1:14" ht="15.75" customHeight="1">
      <c r="A74" s="99" t="s">
        <v>114</v>
      </c>
      <c r="B74" s="100">
        <f>_xlfn.COMPOUNDVALUE(530)</f>
        <v>4447</v>
      </c>
      <c r="C74" s="101">
        <v>16935615</v>
      </c>
      <c r="D74" s="100">
        <f>_xlfn.COMPOUNDVALUE(443)</f>
        <v>2337</v>
      </c>
      <c r="E74" s="101">
        <v>842234</v>
      </c>
      <c r="F74" s="100">
        <f>_xlfn.COMPOUNDVALUE(531)</f>
        <v>6784</v>
      </c>
      <c r="G74" s="101">
        <v>17777848</v>
      </c>
      <c r="H74" s="100">
        <f>_xlfn.COMPOUNDVALUE(532)</f>
        <v>306</v>
      </c>
      <c r="I74" s="102">
        <v>2067340</v>
      </c>
      <c r="J74" s="100">
        <v>357</v>
      </c>
      <c r="K74" s="102">
        <v>-56162</v>
      </c>
      <c r="L74" s="100">
        <v>7170</v>
      </c>
      <c r="M74" s="102">
        <v>15654346</v>
      </c>
      <c r="N74" s="147" t="s">
        <v>114</v>
      </c>
    </row>
    <row r="75" spans="1:14" ht="15.75" customHeight="1">
      <c r="A75" s="106" t="s">
        <v>115</v>
      </c>
      <c r="B75" s="107">
        <f>_xlfn.COMPOUNDVALUE(533)</f>
        <v>5514</v>
      </c>
      <c r="C75" s="108">
        <v>24785096</v>
      </c>
      <c r="D75" s="107">
        <f>_xlfn.COMPOUNDVALUE(534)</f>
        <v>2884</v>
      </c>
      <c r="E75" s="108">
        <v>1142889</v>
      </c>
      <c r="F75" s="107">
        <f>_xlfn.COMPOUNDVALUE(535)</f>
        <v>8398</v>
      </c>
      <c r="G75" s="108">
        <v>25927985</v>
      </c>
      <c r="H75" s="107">
        <f>_xlfn.COMPOUNDVALUE(536)</f>
        <v>418</v>
      </c>
      <c r="I75" s="109">
        <v>1460370</v>
      </c>
      <c r="J75" s="107">
        <v>415</v>
      </c>
      <c r="K75" s="109">
        <v>1784</v>
      </c>
      <c r="L75" s="107">
        <v>8889</v>
      </c>
      <c r="M75" s="109">
        <v>24469399</v>
      </c>
      <c r="N75" s="105" t="s">
        <v>115</v>
      </c>
    </row>
    <row r="76" spans="1:14" ht="15.75" customHeight="1">
      <c r="A76" s="106" t="s">
        <v>116</v>
      </c>
      <c r="B76" s="107">
        <f>_xlfn.COMPOUNDVALUE(537)</f>
        <v>3758</v>
      </c>
      <c r="C76" s="108">
        <v>21245079</v>
      </c>
      <c r="D76" s="107">
        <f>_xlfn.COMPOUNDVALUE(538)</f>
        <v>1974</v>
      </c>
      <c r="E76" s="108">
        <v>728979</v>
      </c>
      <c r="F76" s="107">
        <f>_xlfn.COMPOUNDVALUE(539)</f>
        <v>5732</v>
      </c>
      <c r="G76" s="108">
        <v>21974058</v>
      </c>
      <c r="H76" s="107">
        <f>_xlfn.COMPOUNDVALUE(540)</f>
        <v>391</v>
      </c>
      <c r="I76" s="109">
        <v>1713024</v>
      </c>
      <c r="J76" s="107">
        <v>258</v>
      </c>
      <c r="K76" s="109">
        <v>37829</v>
      </c>
      <c r="L76" s="107">
        <v>6185</v>
      </c>
      <c r="M76" s="109">
        <v>20298864</v>
      </c>
      <c r="N76" s="105" t="s">
        <v>116</v>
      </c>
    </row>
    <row r="77" spans="1:14" ht="15.75" customHeight="1">
      <c r="A77" s="106" t="s">
        <v>117</v>
      </c>
      <c r="B77" s="107">
        <f>_xlfn.COMPOUNDVALUE(541)</f>
        <v>3174</v>
      </c>
      <c r="C77" s="108">
        <v>11946870</v>
      </c>
      <c r="D77" s="107">
        <f>_xlfn.COMPOUNDVALUE(443)</f>
        <v>1682</v>
      </c>
      <c r="E77" s="108">
        <v>640264</v>
      </c>
      <c r="F77" s="107">
        <f>_xlfn.COMPOUNDVALUE(542)</f>
        <v>4856</v>
      </c>
      <c r="G77" s="108">
        <v>12587134</v>
      </c>
      <c r="H77" s="107">
        <f>_xlfn.COMPOUNDVALUE(543)</f>
        <v>191</v>
      </c>
      <c r="I77" s="109">
        <v>964631</v>
      </c>
      <c r="J77" s="107">
        <v>243</v>
      </c>
      <c r="K77" s="109">
        <v>26559</v>
      </c>
      <c r="L77" s="107">
        <v>5091</v>
      </c>
      <c r="M77" s="109">
        <v>11649062</v>
      </c>
      <c r="N77" s="105" t="s">
        <v>117</v>
      </c>
    </row>
    <row r="78" spans="1:14" ht="15.75" customHeight="1">
      <c r="A78" s="106" t="s">
        <v>118</v>
      </c>
      <c r="B78" s="107">
        <f>_xlfn.COMPOUNDVALUE(537)</f>
        <v>4326</v>
      </c>
      <c r="C78" s="108">
        <v>24484837</v>
      </c>
      <c r="D78" s="107">
        <f>_xlfn.COMPOUNDVALUE(544)</f>
        <v>2393</v>
      </c>
      <c r="E78" s="108">
        <v>877406</v>
      </c>
      <c r="F78" s="107">
        <f>_xlfn.COMPOUNDVALUE(545)</f>
        <v>6719</v>
      </c>
      <c r="G78" s="108">
        <v>25362243</v>
      </c>
      <c r="H78" s="107">
        <f>_xlfn.COMPOUNDVALUE(546)</f>
        <v>310</v>
      </c>
      <c r="I78" s="109">
        <v>1851122</v>
      </c>
      <c r="J78" s="107">
        <v>355</v>
      </c>
      <c r="K78" s="109">
        <v>107797</v>
      </c>
      <c r="L78" s="107">
        <v>7114</v>
      </c>
      <c r="M78" s="109">
        <v>23618917</v>
      </c>
      <c r="N78" s="105" t="s">
        <v>118</v>
      </c>
    </row>
    <row r="79" spans="1:14" ht="15.75" customHeight="1">
      <c r="A79" s="169"/>
      <c r="B79" s="171"/>
      <c r="C79" s="172"/>
      <c r="D79" s="171"/>
      <c r="E79" s="172"/>
      <c r="F79" s="171"/>
      <c r="G79" s="172"/>
      <c r="H79" s="171"/>
      <c r="I79" s="173"/>
      <c r="J79" s="171"/>
      <c r="K79" s="173"/>
      <c r="L79" s="171"/>
      <c r="M79" s="173"/>
      <c r="N79" s="170" t="s">
        <v>55</v>
      </c>
    </row>
    <row r="80" spans="1:14" ht="15.75" customHeight="1">
      <c r="A80" s="164" t="s">
        <v>119</v>
      </c>
      <c r="B80" s="100">
        <f>_xlfn.COMPOUNDVALUE(533)</f>
        <v>2962</v>
      </c>
      <c r="C80" s="101">
        <v>9116148</v>
      </c>
      <c r="D80" s="100">
        <f>_xlfn.COMPOUNDVALUE(534)</f>
        <v>1717</v>
      </c>
      <c r="E80" s="101">
        <v>645521</v>
      </c>
      <c r="F80" s="100">
        <f>_xlfn.COMPOUNDVALUE(547)</f>
        <v>4679</v>
      </c>
      <c r="G80" s="101">
        <v>9761669</v>
      </c>
      <c r="H80" s="100">
        <f>_xlfn.COMPOUNDVALUE(548)</f>
        <v>230</v>
      </c>
      <c r="I80" s="102">
        <v>413775</v>
      </c>
      <c r="J80" s="100">
        <v>278</v>
      </c>
      <c r="K80" s="102">
        <v>24386</v>
      </c>
      <c r="L80" s="100">
        <v>4965</v>
      </c>
      <c r="M80" s="102">
        <v>9372281</v>
      </c>
      <c r="N80" s="148" t="s">
        <v>119</v>
      </c>
    </row>
    <row r="81" spans="1:14" ht="15.75" customHeight="1">
      <c r="A81" s="106" t="s">
        <v>120</v>
      </c>
      <c r="B81" s="107">
        <f>_xlfn.COMPOUNDVALUE(549)</f>
        <v>2333</v>
      </c>
      <c r="C81" s="108">
        <v>12856997</v>
      </c>
      <c r="D81" s="107">
        <f>_xlfn.COMPOUNDVALUE(534)</f>
        <v>1242</v>
      </c>
      <c r="E81" s="108">
        <v>459463</v>
      </c>
      <c r="F81" s="107">
        <f>_xlfn.COMPOUNDVALUE(550)</f>
        <v>3575</v>
      </c>
      <c r="G81" s="108">
        <v>13316460</v>
      </c>
      <c r="H81" s="107">
        <f>_xlfn.COMPOUNDVALUE(551)</f>
        <v>163</v>
      </c>
      <c r="I81" s="109">
        <v>3870778</v>
      </c>
      <c r="J81" s="107">
        <v>237</v>
      </c>
      <c r="K81" s="109">
        <v>48070</v>
      </c>
      <c r="L81" s="107">
        <v>3806</v>
      </c>
      <c r="M81" s="109">
        <v>9493752</v>
      </c>
      <c r="N81" s="105" t="s">
        <v>120</v>
      </c>
    </row>
    <row r="82" spans="1:14" ht="15.75" customHeight="1">
      <c r="A82" s="106" t="s">
        <v>121</v>
      </c>
      <c r="B82" s="107">
        <f>_xlfn.COMPOUNDVALUE(552)</f>
        <v>4498</v>
      </c>
      <c r="C82" s="108">
        <v>14500555</v>
      </c>
      <c r="D82" s="107">
        <f>_xlfn.COMPOUNDVALUE(553)</f>
        <v>2493</v>
      </c>
      <c r="E82" s="108">
        <v>883814</v>
      </c>
      <c r="F82" s="107">
        <f>_xlfn.COMPOUNDVALUE(554)</f>
        <v>6991</v>
      </c>
      <c r="G82" s="108">
        <v>15384368</v>
      </c>
      <c r="H82" s="107">
        <f>_xlfn.COMPOUNDVALUE(555)</f>
        <v>312</v>
      </c>
      <c r="I82" s="109">
        <v>2538640</v>
      </c>
      <c r="J82" s="107">
        <v>369</v>
      </c>
      <c r="K82" s="109">
        <v>-4821</v>
      </c>
      <c r="L82" s="107">
        <v>7403</v>
      </c>
      <c r="M82" s="109">
        <v>12840907</v>
      </c>
      <c r="N82" s="105" t="s">
        <v>121</v>
      </c>
    </row>
    <row r="83" spans="1:14" ht="15.75" customHeight="1">
      <c r="A83" s="110" t="s">
        <v>183</v>
      </c>
      <c r="B83" s="111">
        <v>31012</v>
      </c>
      <c r="C83" s="112">
        <v>135871197</v>
      </c>
      <c r="D83" s="111">
        <v>16722</v>
      </c>
      <c r="E83" s="112">
        <v>6220570</v>
      </c>
      <c r="F83" s="111">
        <v>47734</v>
      </c>
      <c r="G83" s="112">
        <v>142091765</v>
      </c>
      <c r="H83" s="111">
        <v>2321</v>
      </c>
      <c r="I83" s="113">
        <v>14879680</v>
      </c>
      <c r="J83" s="111">
        <v>2512</v>
      </c>
      <c r="K83" s="113">
        <v>185442</v>
      </c>
      <c r="L83" s="111">
        <v>50623</v>
      </c>
      <c r="M83" s="113">
        <v>127397528</v>
      </c>
      <c r="N83" s="131" t="s">
        <v>123</v>
      </c>
    </row>
    <row r="84" spans="1:14" ht="15.75" customHeight="1">
      <c r="A84" s="132"/>
      <c r="B84" s="141"/>
      <c r="C84" s="142"/>
      <c r="D84" s="141"/>
      <c r="E84" s="142"/>
      <c r="F84" s="141"/>
      <c r="G84" s="142"/>
      <c r="H84" s="141"/>
      <c r="I84" s="143"/>
      <c r="J84" s="141"/>
      <c r="K84" s="143"/>
      <c r="L84" s="141"/>
      <c r="M84" s="143"/>
      <c r="N84" s="152" t="s">
        <v>55</v>
      </c>
    </row>
    <row r="85" spans="1:14" ht="15.75" customHeight="1">
      <c r="A85" s="110" t="s">
        <v>184</v>
      </c>
      <c r="B85" s="111">
        <v>248769</v>
      </c>
      <c r="C85" s="112">
        <v>3520088195</v>
      </c>
      <c r="D85" s="111">
        <v>95217</v>
      </c>
      <c r="E85" s="112">
        <v>37703160</v>
      </c>
      <c r="F85" s="111">
        <v>343986</v>
      </c>
      <c r="G85" s="112">
        <v>3557791354</v>
      </c>
      <c r="H85" s="111">
        <v>33634</v>
      </c>
      <c r="I85" s="113">
        <v>958267846</v>
      </c>
      <c r="J85" s="111">
        <v>21372</v>
      </c>
      <c r="K85" s="113">
        <v>2322099</v>
      </c>
      <c r="L85" s="111">
        <v>381911</v>
      </c>
      <c r="M85" s="113">
        <v>2601845607</v>
      </c>
      <c r="N85" s="131" t="s">
        <v>125</v>
      </c>
    </row>
    <row r="86" spans="1:14" ht="15.75" customHeight="1">
      <c r="A86" s="132"/>
      <c r="B86" s="133"/>
      <c r="C86" s="134"/>
      <c r="D86" s="133"/>
      <c r="E86" s="134"/>
      <c r="F86" s="135"/>
      <c r="G86" s="134"/>
      <c r="H86" s="135"/>
      <c r="I86" s="134"/>
      <c r="J86" s="135"/>
      <c r="K86" s="134"/>
      <c r="L86" s="135"/>
      <c r="M86" s="134"/>
      <c r="N86" s="152"/>
    </row>
    <row r="87" spans="1:14" ht="15.75" customHeight="1">
      <c r="A87" s="99" t="s">
        <v>126</v>
      </c>
      <c r="B87" s="100">
        <f>_xlfn.COMPOUNDVALUE(556)</f>
        <v>2851</v>
      </c>
      <c r="C87" s="101">
        <v>16008291</v>
      </c>
      <c r="D87" s="100">
        <f>_xlfn.COMPOUNDVALUE(557)</f>
        <v>1508</v>
      </c>
      <c r="E87" s="101">
        <v>552407</v>
      </c>
      <c r="F87" s="100">
        <f>_xlfn.COMPOUNDVALUE(558)</f>
        <v>4359</v>
      </c>
      <c r="G87" s="101">
        <v>16560699</v>
      </c>
      <c r="H87" s="100">
        <f>_xlfn.COMPOUNDVALUE(559)</f>
        <v>201</v>
      </c>
      <c r="I87" s="102">
        <v>2351665</v>
      </c>
      <c r="J87" s="100">
        <v>228</v>
      </c>
      <c r="K87" s="102">
        <v>27200</v>
      </c>
      <c r="L87" s="100">
        <v>4594</v>
      </c>
      <c r="M87" s="102">
        <v>14236234</v>
      </c>
      <c r="N87" s="147" t="s">
        <v>126</v>
      </c>
    </row>
    <row r="88" spans="1:14" ht="15.75" customHeight="1">
      <c r="A88" s="99" t="s">
        <v>127</v>
      </c>
      <c r="B88" s="100">
        <f>_xlfn.COMPOUNDVALUE(560)</f>
        <v>6576</v>
      </c>
      <c r="C88" s="101">
        <v>71068479</v>
      </c>
      <c r="D88" s="100">
        <f>_xlfn.COMPOUNDVALUE(561)</f>
        <v>2498</v>
      </c>
      <c r="E88" s="101">
        <v>1022987</v>
      </c>
      <c r="F88" s="100">
        <f>_xlfn.COMPOUNDVALUE(562)</f>
        <v>9074</v>
      </c>
      <c r="G88" s="101">
        <v>72091466</v>
      </c>
      <c r="H88" s="100">
        <f>_xlfn.COMPOUNDVALUE(563)</f>
        <v>1190</v>
      </c>
      <c r="I88" s="102">
        <v>8470844</v>
      </c>
      <c r="J88" s="100">
        <v>631</v>
      </c>
      <c r="K88" s="102">
        <v>225306</v>
      </c>
      <c r="L88" s="100">
        <v>10378</v>
      </c>
      <c r="M88" s="102">
        <v>63845928</v>
      </c>
      <c r="N88" s="148" t="s">
        <v>127</v>
      </c>
    </row>
    <row r="89" spans="1:14" ht="15.75" customHeight="1">
      <c r="A89" s="99" t="s">
        <v>128</v>
      </c>
      <c r="B89" s="100">
        <f>_xlfn.COMPOUNDVALUE(564)</f>
        <v>3902</v>
      </c>
      <c r="C89" s="101">
        <v>14553115</v>
      </c>
      <c r="D89" s="100">
        <f>_xlfn.COMPOUNDVALUE(561)</f>
        <v>2106</v>
      </c>
      <c r="E89" s="101">
        <v>753023</v>
      </c>
      <c r="F89" s="100">
        <f>_xlfn.COMPOUNDVALUE(565)</f>
        <v>6008</v>
      </c>
      <c r="G89" s="101">
        <v>15306137</v>
      </c>
      <c r="H89" s="100">
        <f>_xlfn.COMPOUNDVALUE(566)</f>
        <v>308</v>
      </c>
      <c r="I89" s="102">
        <v>1347323</v>
      </c>
      <c r="J89" s="100">
        <v>312</v>
      </c>
      <c r="K89" s="102">
        <v>89325</v>
      </c>
      <c r="L89" s="100">
        <v>6409</v>
      </c>
      <c r="M89" s="102">
        <v>14048139</v>
      </c>
      <c r="N89" s="148" t="s">
        <v>128</v>
      </c>
    </row>
    <row r="90" spans="1:14" ht="15.75" customHeight="1">
      <c r="A90" s="99" t="s">
        <v>129</v>
      </c>
      <c r="B90" s="100">
        <f>_xlfn.COMPOUNDVALUE(567)</f>
        <v>5547</v>
      </c>
      <c r="C90" s="101">
        <v>19849465</v>
      </c>
      <c r="D90" s="100">
        <f>_xlfn.COMPOUNDVALUE(568)</f>
        <v>3098</v>
      </c>
      <c r="E90" s="101">
        <v>1072465</v>
      </c>
      <c r="F90" s="100">
        <f>_xlfn.COMPOUNDVALUE(569)</f>
        <v>8645</v>
      </c>
      <c r="G90" s="101">
        <v>20921929</v>
      </c>
      <c r="H90" s="100">
        <f>_xlfn.COMPOUNDVALUE(570)</f>
        <v>537</v>
      </c>
      <c r="I90" s="102">
        <v>939348</v>
      </c>
      <c r="J90" s="100">
        <v>391</v>
      </c>
      <c r="K90" s="102">
        <v>42484</v>
      </c>
      <c r="L90" s="100">
        <v>9274</v>
      </c>
      <c r="M90" s="102">
        <v>20025065</v>
      </c>
      <c r="N90" s="148" t="s">
        <v>129</v>
      </c>
    </row>
    <row r="91" spans="1:14" ht="15.75" customHeight="1">
      <c r="A91" s="99" t="s">
        <v>130</v>
      </c>
      <c r="B91" s="100">
        <f>_xlfn.COMPOUNDVALUE(571)</f>
        <v>6160</v>
      </c>
      <c r="C91" s="101">
        <v>45337985</v>
      </c>
      <c r="D91" s="100">
        <f>_xlfn.COMPOUNDVALUE(572)</f>
        <v>2920</v>
      </c>
      <c r="E91" s="101">
        <v>1103274</v>
      </c>
      <c r="F91" s="100">
        <f>_xlfn.COMPOUNDVALUE(573)</f>
        <v>9080</v>
      </c>
      <c r="G91" s="101">
        <v>46441259</v>
      </c>
      <c r="H91" s="100">
        <f>_xlfn.COMPOUNDVALUE(574)</f>
        <v>761</v>
      </c>
      <c r="I91" s="102">
        <v>82058474</v>
      </c>
      <c r="J91" s="100">
        <v>497</v>
      </c>
      <c r="K91" s="102">
        <v>-4398</v>
      </c>
      <c r="L91" s="100">
        <v>9930</v>
      </c>
      <c r="M91" s="102">
        <v>-35621612</v>
      </c>
      <c r="N91" s="148" t="s">
        <v>130</v>
      </c>
    </row>
    <row r="92" spans="1:14" ht="15.75" customHeight="1">
      <c r="A92" s="99"/>
      <c r="B92" s="100"/>
      <c r="C92" s="101"/>
      <c r="D92" s="100"/>
      <c r="E92" s="101"/>
      <c r="F92" s="100"/>
      <c r="G92" s="101"/>
      <c r="H92" s="100"/>
      <c r="I92" s="102"/>
      <c r="J92" s="100"/>
      <c r="K92" s="102"/>
      <c r="L92" s="100"/>
      <c r="M92" s="102"/>
      <c r="N92" s="148" t="s">
        <v>55</v>
      </c>
    </row>
    <row r="93" spans="1:14" ht="15.75" customHeight="1">
      <c r="A93" s="99" t="s">
        <v>131</v>
      </c>
      <c r="B93" s="100">
        <f>_xlfn.COMPOUNDVALUE(575)</f>
        <v>3087</v>
      </c>
      <c r="C93" s="101">
        <v>12267098</v>
      </c>
      <c r="D93" s="100">
        <f>_xlfn.COMPOUNDVALUE(557)</f>
        <v>1732</v>
      </c>
      <c r="E93" s="101">
        <v>629940</v>
      </c>
      <c r="F93" s="100">
        <f>_xlfn.COMPOUNDVALUE(576)</f>
        <v>4819</v>
      </c>
      <c r="G93" s="101">
        <v>12897038</v>
      </c>
      <c r="H93" s="100">
        <f>_xlfn.COMPOUNDVALUE(577)</f>
        <v>203</v>
      </c>
      <c r="I93" s="102">
        <v>2123718</v>
      </c>
      <c r="J93" s="100">
        <v>263</v>
      </c>
      <c r="K93" s="102">
        <v>10206</v>
      </c>
      <c r="L93" s="100">
        <v>5060</v>
      </c>
      <c r="M93" s="102">
        <v>10783527</v>
      </c>
      <c r="N93" s="148" t="s">
        <v>131</v>
      </c>
    </row>
    <row r="94" spans="1:14" ht="15.75" customHeight="1">
      <c r="A94" s="99" t="s">
        <v>185</v>
      </c>
      <c r="B94" s="100">
        <f>_xlfn.COMPOUNDVALUE(578)</f>
        <v>5323</v>
      </c>
      <c r="C94" s="101">
        <v>18244646</v>
      </c>
      <c r="D94" s="100">
        <f>_xlfn.COMPOUNDVALUE(557)</f>
        <v>2805</v>
      </c>
      <c r="E94" s="101">
        <v>1056028</v>
      </c>
      <c r="F94" s="100">
        <f>_xlfn.COMPOUNDVALUE(579)</f>
        <v>8128</v>
      </c>
      <c r="G94" s="101">
        <v>19300674</v>
      </c>
      <c r="H94" s="100">
        <f>_xlfn.COMPOUNDVALUE(580)</f>
        <v>568</v>
      </c>
      <c r="I94" s="102">
        <v>1843686</v>
      </c>
      <c r="J94" s="100">
        <v>395</v>
      </c>
      <c r="K94" s="102">
        <v>49987</v>
      </c>
      <c r="L94" s="100">
        <v>8803</v>
      </c>
      <c r="M94" s="102">
        <v>17506975</v>
      </c>
      <c r="N94" s="148" t="s">
        <v>132</v>
      </c>
    </row>
    <row r="95" spans="1:14" ht="15.75" customHeight="1">
      <c r="A95" s="99" t="s">
        <v>133</v>
      </c>
      <c r="B95" s="100">
        <f>_xlfn.COMPOUNDVALUE(581)</f>
        <v>4388</v>
      </c>
      <c r="C95" s="101">
        <v>48891416</v>
      </c>
      <c r="D95" s="100">
        <f>_xlfn.COMPOUNDVALUE(582)</f>
        <v>2115</v>
      </c>
      <c r="E95" s="101">
        <v>904556</v>
      </c>
      <c r="F95" s="100">
        <f>_xlfn.COMPOUNDVALUE(583)</f>
        <v>6503</v>
      </c>
      <c r="G95" s="101">
        <v>49795972</v>
      </c>
      <c r="H95" s="100">
        <f>_xlfn.COMPOUNDVALUE(584)</f>
        <v>362</v>
      </c>
      <c r="I95" s="102">
        <v>14528165</v>
      </c>
      <c r="J95" s="100">
        <v>346</v>
      </c>
      <c r="K95" s="102">
        <v>14941</v>
      </c>
      <c r="L95" s="100">
        <v>6953</v>
      </c>
      <c r="M95" s="102">
        <v>35282748</v>
      </c>
      <c r="N95" s="148" t="s">
        <v>133</v>
      </c>
    </row>
    <row r="96" spans="1:14" ht="15.75" customHeight="1">
      <c r="A96" s="99" t="s">
        <v>134</v>
      </c>
      <c r="B96" s="100">
        <f>_xlfn.COMPOUNDVALUE(585)</f>
        <v>4881</v>
      </c>
      <c r="C96" s="101">
        <v>31201066</v>
      </c>
      <c r="D96" s="100">
        <f>_xlfn.COMPOUNDVALUE(586)</f>
        <v>2849</v>
      </c>
      <c r="E96" s="101">
        <v>1054237</v>
      </c>
      <c r="F96" s="100">
        <f>_xlfn.COMPOUNDVALUE(587)</f>
        <v>7730</v>
      </c>
      <c r="G96" s="101">
        <v>32255303</v>
      </c>
      <c r="H96" s="100">
        <f>_xlfn.COMPOUNDVALUE(588)</f>
        <v>360</v>
      </c>
      <c r="I96" s="102">
        <v>14464125</v>
      </c>
      <c r="J96" s="100">
        <v>324</v>
      </c>
      <c r="K96" s="102">
        <v>-1224</v>
      </c>
      <c r="L96" s="100">
        <v>8187</v>
      </c>
      <c r="M96" s="102">
        <v>17789953</v>
      </c>
      <c r="N96" s="148" t="s">
        <v>134</v>
      </c>
    </row>
    <row r="97" spans="1:14" ht="15.75" customHeight="1">
      <c r="A97" s="99" t="s">
        <v>135</v>
      </c>
      <c r="B97" s="100">
        <f>_xlfn.COMPOUNDVALUE(589)</f>
        <v>2114</v>
      </c>
      <c r="C97" s="101">
        <v>4590590</v>
      </c>
      <c r="D97" s="100">
        <f>_xlfn.COMPOUNDVALUE(590)</f>
        <v>1219</v>
      </c>
      <c r="E97" s="101">
        <v>446453</v>
      </c>
      <c r="F97" s="100">
        <f>_xlfn.COMPOUNDVALUE(591)</f>
        <v>3333</v>
      </c>
      <c r="G97" s="101">
        <v>5037043</v>
      </c>
      <c r="H97" s="100">
        <f>_xlfn.COMPOUNDVALUE(592)</f>
        <v>226</v>
      </c>
      <c r="I97" s="102">
        <v>1011485</v>
      </c>
      <c r="J97" s="100">
        <v>198</v>
      </c>
      <c r="K97" s="102">
        <v>21314</v>
      </c>
      <c r="L97" s="100">
        <v>3592</v>
      </c>
      <c r="M97" s="102">
        <v>4046872</v>
      </c>
      <c r="N97" s="148" t="s">
        <v>135</v>
      </c>
    </row>
    <row r="98" spans="1:14" ht="15.75" customHeight="1">
      <c r="A98" s="99"/>
      <c r="B98" s="100"/>
      <c r="C98" s="101"/>
      <c r="D98" s="100"/>
      <c r="E98" s="101"/>
      <c r="F98" s="100"/>
      <c r="G98" s="101"/>
      <c r="H98" s="100"/>
      <c r="I98" s="102"/>
      <c r="J98" s="100"/>
      <c r="K98" s="102"/>
      <c r="L98" s="100"/>
      <c r="M98" s="102"/>
      <c r="N98" s="148" t="s">
        <v>55</v>
      </c>
    </row>
    <row r="99" spans="1:14" ht="15.75" customHeight="1">
      <c r="A99" s="99" t="s">
        <v>136</v>
      </c>
      <c r="B99" s="100">
        <f>_xlfn.COMPOUNDVALUE(593)</f>
        <v>3200</v>
      </c>
      <c r="C99" s="101">
        <v>9994049</v>
      </c>
      <c r="D99" s="100">
        <f>_xlfn.COMPOUNDVALUE(590)</f>
        <v>1952</v>
      </c>
      <c r="E99" s="101">
        <v>680562</v>
      </c>
      <c r="F99" s="100">
        <f>_xlfn.COMPOUNDVALUE(594)</f>
        <v>5152</v>
      </c>
      <c r="G99" s="101">
        <v>10674611</v>
      </c>
      <c r="H99" s="100">
        <f>_xlfn.COMPOUNDVALUE(595)</f>
        <v>198</v>
      </c>
      <c r="I99" s="102">
        <v>389548</v>
      </c>
      <c r="J99" s="100">
        <v>237</v>
      </c>
      <c r="K99" s="102">
        <v>44612</v>
      </c>
      <c r="L99" s="100">
        <v>5395</v>
      </c>
      <c r="M99" s="102">
        <v>10329676</v>
      </c>
      <c r="N99" s="148" t="s">
        <v>136</v>
      </c>
    </row>
    <row r="100" spans="1:14" ht="15.75" customHeight="1">
      <c r="A100" s="99" t="s">
        <v>137</v>
      </c>
      <c r="B100" s="100">
        <f>_xlfn.COMPOUNDVALUE(596)</f>
        <v>4168</v>
      </c>
      <c r="C100" s="101">
        <v>19538625</v>
      </c>
      <c r="D100" s="100">
        <f>_xlfn.COMPOUNDVALUE(597)</f>
        <v>2582</v>
      </c>
      <c r="E100" s="101">
        <v>913686</v>
      </c>
      <c r="F100" s="100">
        <f>_xlfn.COMPOUNDVALUE(598)</f>
        <v>6750</v>
      </c>
      <c r="G100" s="101">
        <v>20452312</v>
      </c>
      <c r="H100" s="100">
        <f>_xlfn.COMPOUNDVALUE(599)</f>
        <v>288</v>
      </c>
      <c r="I100" s="102">
        <v>1091249</v>
      </c>
      <c r="J100" s="100">
        <v>263</v>
      </c>
      <c r="K100" s="102">
        <v>28752</v>
      </c>
      <c r="L100" s="100">
        <v>7077</v>
      </c>
      <c r="M100" s="102">
        <v>19389815</v>
      </c>
      <c r="N100" s="148" t="s">
        <v>137</v>
      </c>
    </row>
    <row r="101" spans="1:14" ht="15.75" customHeight="1">
      <c r="A101" s="106" t="s">
        <v>138</v>
      </c>
      <c r="B101" s="107">
        <f>_xlfn.COMPOUNDVALUE(600)</f>
        <v>1995</v>
      </c>
      <c r="C101" s="108">
        <v>5537909</v>
      </c>
      <c r="D101" s="107">
        <f>_xlfn.COMPOUNDVALUE(601)</f>
        <v>1410</v>
      </c>
      <c r="E101" s="108">
        <v>467409</v>
      </c>
      <c r="F101" s="107">
        <f>_xlfn.COMPOUNDVALUE(602)</f>
        <v>3405</v>
      </c>
      <c r="G101" s="108">
        <v>6005318</v>
      </c>
      <c r="H101" s="107">
        <f>_xlfn.COMPOUNDVALUE(603)</f>
        <v>167</v>
      </c>
      <c r="I101" s="109">
        <v>237066</v>
      </c>
      <c r="J101" s="107">
        <v>206</v>
      </c>
      <c r="K101" s="109">
        <v>19876</v>
      </c>
      <c r="L101" s="107">
        <v>3622</v>
      </c>
      <c r="M101" s="109">
        <v>5788128</v>
      </c>
      <c r="N101" s="105" t="s">
        <v>138</v>
      </c>
    </row>
    <row r="102" spans="1:14" ht="15.75" customHeight="1">
      <c r="A102" s="106" t="s">
        <v>139</v>
      </c>
      <c r="B102" s="107">
        <f>_xlfn.COMPOUNDVALUE(604)</f>
        <v>4833</v>
      </c>
      <c r="C102" s="108">
        <v>17262443</v>
      </c>
      <c r="D102" s="107">
        <f>_xlfn.COMPOUNDVALUE(605)</f>
        <v>2820</v>
      </c>
      <c r="E102" s="108">
        <v>1032609</v>
      </c>
      <c r="F102" s="107">
        <f>_xlfn.COMPOUNDVALUE(606)</f>
        <v>7653</v>
      </c>
      <c r="G102" s="108">
        <v>18295052</v>
      </c>
      <c r="H102" s="107">
        <f>_xlfn.COMPOUNDVALUE(607)</f>
        <v>359</v>
      </c>
      <c r="I102" s="109">
        <v>3214313</v>
      </c>
      <c r="J102" s="107">
        <v>411</v>
      </c>
      <c r="K102" s="109">
        <v>15263</v>
      </c>
      <c r="L102" s="107">
        <v>8082</v>
      </c>
      <c r="M102" s="109">
        <v>15096001</v>
      </c>
      <c r="N102" s="105" t="s">
        <v>139</v>
      </c>
    </row>
    <row r="103" spans="1:14" ht="15.75" customHeight="1">
      <c r="A103" s="106" t="s">
        <v>140</v>
      </c>
      <c r="B103" s="107">
        <f>_xlfn.COMPOUNDVALUE(608)</f>
        <v>3437</v>
      </c>
      <c r="C103" s="108">
        <v>12070018</v>
      </c>
      <c r="D103" s="107">
        <f>_xlfn.COMPOUNDVALUE(609)</f>
        <v>1852</v>
      </c>
      <c r="E103" s="108">
        <v>654407</v>
      </c>
      <c r="F103" s="107">
        <f>_xlfn.COMPOUNDVALUE(610)</f>
        <v>5289</v>
      </c>
      <c r="G103" s="108">
        <v>12724425</v>
      </c>
      <c r="H103" s="107">
        <f>_xlfn.COMPOUNDVALUE(611)</f>
        <v>133</v>
      </c>
      <c r="I103" s="109">
        <v>808911</v>
      </c>
      <c r="J103" s="107">
        <v>245</v>
      </c>
      <c r="K103" s="109">
        <v>35930</v>
      </c>
      <c r="L103" s="107">
        <v>5461</v>
      </c>
      <c r="M103" s="109">
        <v>11951443</v>
      </c>
      <c r="N103" s="105" t="s">
        <v>140</v>
      </c>
    </row>
    <row r="104" spans="1:14" ht="15.75" customHeight="1">
      <c r="A104" s="106"/>
      <c r="B104" s="107"/>
      <c r="C104" s="108"/>
      <c r="D104" s="107"/>
      <c r="E104" s="108"/>
      <c r="F104" s="107"/>
      <c r="G104" s="108"/>
      <c r="H104" s="107"/>
      <c r="I104" s="109"/>
      <c r="J104" s="107"/>
      <c r="K104" s="109"/>
      <c r="L104" s="107"/>
      <c r="M104" s="109"/>
      <c r="N104" s="105" t="s">
        <v>55</v>
      </c>
    </row>
    <row r="105" spans="1:14" ht="15.75" customHeight="1">
      <c r="A105" s="106" t="s">
        <v>141</v>
      </c>
      <c r="B105" s="107">
        <f>_xlfn.COMPOUNDVALUE(612)</f>
        <v>5469</v>
      </c>
      <c r="C105" s="108">
        <v>17786451</v>
      </c>
      <c r="D105" s="107">
        <f>_xlfn.COMPOUNDVALUE(613)</f>
        <v>3058</v>
      </c>
      <c r="E105" s="108">
        <v>1154798</v>
      </c>
      <c r="F105" s="107">
        <f>_xlfn.COMPOUNDVALUE(614)</f>
        <v>8527</v>
      </c>
      <c r="G105" s="108">
        <v>18941249</v>
      </c>
      <c r="H105" s="107">
        <f>_xlfn.COMPOUNDVALUE(615)</f>
        <v>412</v>
      </c>
      <c r="I105" s="109">
        <v>10197992</v>
      </c>
      <c r="J105" s="107">
        <v>395</v>
      </c>
      <c r="K105" s="109">
        <v>-28419</v>
      </c>
      <c r="L105" s="107">
        <v>9048</v>
      </c>
      <c r="M105" s="109">
        <v>8714838</v>
      </c>
      <c r="N105" s="105" t="s">
        <v>141</v>
      </c>
    </row>
    <row r="106" spans="1:14" ht="15.75" customHeight="1">
      <c r="A106" s="106" t="s">
        <v>142</v>
      </c>
      <c r="B106" s="107">
        <f>_xlfn.COMPOUNDVALUE(616)</f>
        <v>2621</v>
      </c>
      <c r="C106" s="108">
        <v>12614245</v>
      </c>
      <c r="D106" s="107">
        <f>_xlfn.COMPOUNDVALUE(597)</f>
        <v>1352</v>
      </c>
      <c r="E106" s="108">
        <v>502054</v>
      </c>
      <c r="F106" s="107">
        <f>_xlfn.COMPOUNDVALUE(617)</f>
        <v>3973</v>
      </c>
      <c r="G106" s="108">
        <v>13116298</v>
      </c>
      <c r="H106" s="107">
        <f>_xlfn.COMPOUNDVALUE(618)</f>
        <v>175</v>
      </c>
      <c r="I106" s="109">
        <v>1140217</v>
      </c>
      <c r="J106" s="107">
        <v>242</v>
      </c>
      <c r="K106" s="109">
        <v>36830</v>
      </c>
      <c r="L106" s="107">
        <v>4178</v>
      </c>
      <c r="M106" s="109">
        <v>12012912</v>
      </c>
      <c r="N106" s="105" t="s">
        <v>142</v>
      </c>
    </row>
    <row r="107" spans="1:14" ht="15.75" customHeight="1">
      <c r="A107" s="106" t="s">
        <v>143</v>
      </c>
      <c r="B107" s="107">
        <f>_xlfn.COMPOUNDVALUE(619)</f>
        <v>4094</v>
      </c>
      <c r="C107" s="108">
        <v>15484326</v>
      </c>
      <c r="D107" s="107">
        <f>_xlfn.COMPOUNDVALUE(620)</f>
        <v>2310</v>
      </c>
      <c r="E107" s="108">
        <v>883305</v>
      </c>
      <c r="F107" s="107">
        <f>_xlfn.COMPOUNDVALUE(621)</f>
        <v>6404</v>
      </c>
      <c r="G107" s="108">
        <v>16367631</v>
      </c>
      <c r="H107" s="107">
        <f>_xlfn.COMPOUNDVALUE(622)</f>
        <v>371</v>
      </c>
      <c r="I107" s="109">
        <v>2152759</v>
      </c>
      <c r="J107" s="107">
        <v>254</v>
      </c>
      <c r="K107" s="109">
        <v>16595</v>
      </c>
      <c r="L107" s="107">
        <v>6840</v>
      </c>
      <c r="M107" s="109">
        <v>14231466</v>
      </c>
      <c r="N107" s="105" t="s">
        <v>143</v>
      </c>
    </row>
    <row r="108" spans="1:14" ht="15.75" customHeight="1">
      <c r="A108" s="110" t="s">
        <v>186</v>
      </c>
      <c r="B108" s="111">
        <v>74646</v>
      </c>
      <c r="C108" s="112">
        <v>392300217</v>
      </c>
      <c r="D108" s="111">
        <v>40186</v>
      </c>
      <c r="E108" s="112">
        <v>14884198</v>
      </c>
      <c r="F108" s="111">
        <v>114832</v>
      </c>
      <c r="G108" s="112">
        <v>407184415</v>
      </c>
      <c r="H108" s="111">
        <v>6819</v>
      </c>
      <c r="I108" s="113">
        <v>148370889</v>
      </c>
      <c r="J108" s="111">
        <v>5838</v>
      </c>
      <c r="K108" s="113">
        <v>644583</v>
      </c>
      <c r="L108" s="111">
        <v>122883</v>
      </c>
      <c r="M108" s="113">
        <v>259458109</v>
      </c>
      <c r="N108" s="131" t="s">
        <v>145</v>
      </c>
    </row>
    <row r="109" spans="1:14" ht="15.75" customHeight="1">
      <c r="A109" s="132"/>
      <c r="B109" s="133"/>
      <c r="C109" s="134"/>
      <c r="D109" s="133"/>
      <c r="E109" s="134"/>
      <c r="F109" s="135"/>
      <c r="G109" s="134"/>
      <c r="H109" s="135"/>
      <c r="I109" s="134"/>
      <c r="J109" s="135"/>
      <c r="K109" s="134"/>
      <c r="L109" s="135"/>
      <c r="M109" s="134"/>
      <c r="N109" s="152"/>
    </row>
    <row r="110" spans="1:14" ht="15.75" customHeight="1">
      <c r="A110" s="99" t="s">
        <v>146</v>
      </c>
      <c r="B110" s="100">
        <f>_xlfn.COMPOUNDVALUE(623)</f>
        <v>4581</v>
      </c>
      <c r="C110" s="101">
        <v>18371443</v>
      </c>
      <c r="D110" s="100">
        <f>_xlfn.COMPOUNDVALUE(624)</f>
        <v>1975</v>
      </c>
      <c r="E110" s="101">
        <v>728816</v>
      </c>
      <c r="F110" s="100">
        <f>_xlfn.COMPOUNDVALUE(625)</f>
        <v>6556</v>
      </c>
      <c r="G110" s="101">
        <v>19100259</v>
      </c>
      <c r="H110" s="100">
        <f>_xlfn.COMPOUNDVALUE(626)</f>
        <v>243</v>
      </c>
      <c r="I110" s="102">
        <v>804316</v>
      </c>
      <c r="J110" s="100">
        <v>400</v>
      </c>
      <c r="K110" s="102">
        <v>103705</v>
      </c>
      <c r="L110" s="100">
        <v>6861</v>
      </c>
      <c r="M110" s="102">
        <v>18399649</v>
      </c>
      <c r="N110" s="147" t="s">
        <v>146</v>
      </c>
    </row>
    <row r="111" spans="1:14" ht="15.75" customHeight="1">
      <c r="A111" s="106" t="s">
        <v>147</v>
      </c>
      <c r="B111" s="107">
        <f>_xlfn.COMPOUNDVALUE(627)</f>
        <v>1096</v>
      </c>
      <c r="C111" s="108">
        <v>3257068</v>
      </c>
      <c r="D111" s="107">
        <f>_xlfn.COMPOUNDVALUE(628)</f>
        <v>477</v>
      </c>
      <c r="E111" s="108">
        <v>168114</v>
      </c>
      <c r="F111" s="107">
        <f>_xlfn.COMPOUNDVALUE(629)</f>
        <v>1573</v>
      </c>
      <c r="G111" s="108">
        <v>3425181</v>
      </c>
      <c r="H111" s="107">
        <f>_xlfn.COMPOUNDVALUE(630)</f>
        <v>40</v>
      </c>
      <c r="I111" s="109">
        <v>91961</v>
      </c>
      <c r="J111" s="107">
        <v>119</v>
      </c>
      <c r="K111" s="109">
        <v>15071</v>
      </c>
      <c r="L111" s="107">
        <v>1636</v>
      </c>
      <c r="M111" s="109">
        <v>3348291</v>
      </c>
      <c r="N111" s="105" t="s">
        <v>147</v>
      </c>
    </row>
    <row r="112" spans="1:14" ht="15.75" customHeight="1">
      <c r="A112" s="106" t="s">
        <v>148</v>
      </c>
      <c r="B112" s="107">
        <f>_xlfn.COMPOUNDVALUE(631)</f>
        <v>1948</v>
      </c>
      <c r="C112" s="108">
        <v>6011950</v>
      </c>
      <c r="D112" s="107">
        <f>_xlfn.COMPOUNDVALUE(632)</f>
        <v>1021</v>
      </c>
      <c r="E112" s="108">
        <v>379727</v>
      </c>
      <c r="F112" s="107">
        <f>_xlfn.COMPOUNDVALUE(633)</f>
        <v>2969</v>
      </c>
      <c r="G112" s="108">
        <v>6391678</v>
      </c>
      <c r="H112" s="107">
        <f>_xlfn.COMPOUNDVALUE(634)</f>
        <v>91</v>
      </c>
      <c r="I112" s="109">
        <v>4223053</v>
      </c>
      <c r="J112" s="107">
        <v>167</v>
      </c>
      <c r="K112" s="109">
        <v>-1849</v>
      </c>
      <c r="L112" s="107">
        <v>3088</v>
      </c>
      <c r="M112" s="109">
        <v>2166775</v>
      </c>
      <c r="N112" s="105" t="s">
        <v>148</v>
      </c>
    </row>
    <row r="113" spans="1:14" ht="15.75" customHeight="1">
      <c r="A113" s="106" t="s">
        <v>149</v>
      </c>
      <c r="B113" s="107">
        <f>_xlfn.COMPOUNDVALUE(635)</f>
        <v>473</v>
      </c>
      <c r="C113" s="108">
        <v>1395021</v>
      </c>
      <c r="D113" s="107">
        <f>_xlfn.COMPOUNDVALUE(636)</f>
        <v>255</v>
      </c>
      <c r="E113" s="108">
        <v>95431</v>
      </c>
      <c r="F113" s="107">
        <f>_xlfn.COMPOUNDVALUE(637)</f>
        <v>728</v>
      </c>
      <c r="G113" s="108">
        <v>1490453</v>
      </c>
      <c r="H113" s="107">
        <f>_xlfn.COMPOUNDVALUE(638)</f>
        <v>15</v>
      </c>
      <c r="I113" s="109">
        <v>12193</v>
      </c>
      <c r="J113" s="107">
        <v>72</v>
      </c>
      <c r="K113" s="109">
        <v>10820</v>
      </c>
      <c r="L113" s="107">
        <v>753</v>
      </c>
      <c r="M113" s="109">
        <v>1489080</v>
      </c>
      <c r="N113" s="105" t="s">
        <v>149</v>
      </c>
    </row>
    <row r="114" spans="1:14" ht="15.75" customHeight="1">
      <c r="A114" s="110" t="s">
        <v>187</v>
      </c>
      <c r="B114" s="111">
        <v>8098</v>
      </c>
      <c r="C114" s="112">
        <v>29035482</v>
      </c>
      <c r="D114" s="111">
        <v>3728</v>
      </c>
      <c r="E114" s="112">
        <v>1372089</v>
      </c>
      <c r="F114" s="111">
        <v>11826</v>
      </c>
      <c r="G114" s="112">
        <v>30407571</v>
      </c>
      <c r="H114" s="111">
        <v>389</v>
      </c>
      <c r="I114" s="113">
        <v>5131523</v>
      </c>
      <c r="J114" s="111">
        <v>758</v>
      </c>
      <c r="K114" s="113">
        <v>127747</v>
      </c>
      <c r="L114" s="111">
        <v>12338</v>
      </c>
      <c r="M114" s="113">
        <v>25403795</v>
      </c>
      <c r="N114" s="131" t="s">
        <v>151</v>
      </c>
    </row>
    <row r="115" spans="1:14" ht="15.75" customHeight="1" thickBot="1">
      <c r="A115" s="114"/>
      <c r="B115" s="140"/>
      <c r="C115" s="116"/>
      <c r="D115" s="140"/>
      <c r="E115" s="116"/>
      <c r="F115" s="115"/>
      <c r="G115" s="116"/>
      <c r="H115" s="115"/>
      <c r="I115" s="116"/>
      <c r="J115" s="115"/>
      <c r="K115" s="116"/>
      <c r="L115" s="115"/>
      <c r="M115" s="116"/>
      <c r="N115" s="153"/>
    </row>
    <row r="116" spans="1:14" ht="15.75" customHeight="1" thickBot="1" thickTop="1">
      <c r="A116" s="121" t="s">
        <v>188</v>
      </c>
      <c r="B116" s="122">
        <v>376996</v>
      </c>
      <c r="C116" s="123">
        <v>4134087266</v>
      </c>
      <c r="D116" s="122">
        <v>161566</v>
      </c>
      <c r="E116" s="123">
        <v>62352103</v>
      </c>
      <c r="F116" s="122">
        <v>538562</v>
      </c>
      <c r="G116" s="123">
        <v>4196439370</v>
      </c>
      <c r="H116" s="122">
        <v>44769</v>
      </c>
      <c r="I116" s="124">
        <v>1128974442</v>
      </c>
      <c r="J116" s="122">
        <v>31940</v>
      </c>
      <c r="K116" s="124">
        <v>3401753</v>
      </c>
      <c r="L116" s="122">
        <v>589901</v>
      </c>
      <c r="M116" s="124">
        <v>3070866680</v>
      </c>
      <c r="N116" s="154" t="s">
        <v>54</v>
      </c>
    </row>
    <row r="117" spans="1:14" ht="13.5">
      <c r="A117" s="219" t="s">
        <v>197</v>
      </c>
      <c r="B117" s="219"/>
      <c r="C117" s="219"/>
      <c r="D117" s="219"/>
      <c r="E117" s="219"/>
      <c r="F117" s="219"/>
      <c r="G117" s="219"/>
      <c r="H117" s="219"/>
      <c r="I117" s="219"/>
      <c r="J117" s="89"/>
      <c r="K117" s="89"/>
      <c r="L117" s="87"/>
      <c r="M117" s="87"/>
      <c r="N117" s="87"/>
    </row>
  </sheetData>
  <sheetProtection/>
  <mergeCells count="11">
    <mergeCell ref="N3:N5"/>
    <mergeCell ref="B4:C4"/>
    <mergeCell ref="D4:E4"/>
    <mergeCell ref="F4:G4"/>
    <mergeCell ref="A117:I117"/>
    <mergeCell ref="A2:I2"/>
    <mergeCell ref="A3:A5"/>
    <mergeCell ref="B3:G3"/>
    <mergeCell ref="H3:I4"/>
    <mergeCell ref="J3:K4"/>
    <mergeCell ref="L3:M4"/>
  </mergeCells>
  <printOptions horizontalCentered="1"/>
  <pageMargins left="0.7874015748031497" right="0.7874015748031497" top="0.984251968503937" bottom="0.984251968503937" header="0.5118110236220472" footer="0.5118110236220472"/>
  <pageSetup fitToHeight="3" horizontalDpi="600" verticalDpi="600" orientation="landscape" paperSize="9" scale="71" r:id="rId1"/>
  <headerFooter alignWithMargins="0">
    <oddFooter>&amp;R東京国税局
消費税
(H24)</oddFooter>
  </headerFooter>
  <rowBreaks count="2" manualBreakCount="2">
    <brk id="42" max="13" man="1"/>
    <brk id="79" max="13" man="1"/>
  </rowBreaks>
</worksheet>
</file>

<file path=xl/worksheets/sheet6.xml><?xml version="1.0" encoding="utf-8"?>
<worksheet xmlns="http://schemas.openxmlformats.org/spreadsheetml/2006/main" xmlns:r="http://schemas.openxmlformats.org/officeDocument/2006/relationships">
  <sheetPr>
    <pageSetUpPr fitToPage="1"/>
  </sheetPr>
  <dimension ref="A1:R117"/>
  <sheetViews>
    <sheetView showGridLines="0" zoomScaleSheetLayoutView="100" zoomScalePageLayoutView="0" workbookViewId="0" topLeftCell="A1">
      <selection activeCell="A1" sqref="A1"/>
    </sheetView>
  </sheetViews>
  <sheetFormatPr defaultColWidth="9.00390625" defaultRowHeight="13.5"/>
  <cols>
    <col min="1" max="1" width="10.375" style="88" customWidth="1"/>
    <col min="2" max="2" width="10.625" style="88" customWidth="1"/>
    <col min="3" max="3" width="12.625" style="88" customWidth="1"/>
    <col min="4" max="4" width="10.625" style="88" customWidth="1"/>
    <col min="5" max="5" width="12.625" style="88" customWidth="1"/>
    <col min="6" max="6" width="10.625" style="88" customWidth="1"/>
    <col min="7" max="7" width="12.625" style="88" customWidth="1"/>
    <col min="8" max="8" width="10.625" style="88" customWidth="1"/>
    <col min="9" max="9" width="12.625" style="88" customWidth="1"/>
    <col min="10" max="10" width="10.625" style="88" customWidth="1"/>
    <col min="11" max="11" width="12.625" style="88" customWidth="1"/>
    <col min="12" max="12" width="10.625" style="88" customWidth="1"/>
    <col min="13" max="13" width="12.625" style="88" customWidth="1"/>
    <col min="14" max="17" width="10.625" style="88" customWidth="1"/>
    <col min="18" max="18" width="10.375" style="88" customWidth="1"/>
    <col min="19" max="16384" width="9.00390625" style="88" customWidth="1"/>
  </cols>
  <sheetData>
    <row r="1" spans="1:16" ht="13.5">
      <c r="A1" s="86" t="s">
        <v>189</v>
      </c>
      <c r="B1" s="86"/>
      <c r="C1" s="86"/>
      <c r="D1" s="86"/>
      <c r="E1" s="86"/>
      <c r="F1" s="86"/>
      <c r="G1" s="86"/>
      <c r="H1" s="86"/>
      <c r="I1" s="86"/>
      <c r="J1" s="86"/>
      <c r="K1" s="86"/>
      <c r="L1" s="87"/>
      <c r="M1" s="87"/>
      <c r="N1" s="87"/>
      <c r="O1" s="87"/>
      <c r="P1" s="87"/>
    </row>
    <row r="2" spans="1:16" ht="14.25" thickBot="1">
      <c r="A2" s="220" t="s">
        <v>43</v>
      </c>
      <c r="B2" s="220"/>
      <c r="C2" s="220"/>
      <c r="D2" s="220"/>
      <c r="E2" s="220"/>
      <c r="F2" s="220"/>
      <c r="G2" s="220"/>
      <c r="H2" s="220"/>
      <c r="I2" s="220"/>
      <c r="J2" s="89"/>
      <c r="K2" s="89"/>
      <c r="L2" s="87"/>
      <c r="M2" s="87"/>
      <c r="N2" s="87"/>
      <c r="O2" s="87"/>
      <c r="P2" s="87"/>
    </row>
    <row r="3" spans="1:18" ht="19.5" customHeight="1">
      <c r="A3" s="205" t="s">
        <v>190</v>
      </c>
      <c r="B3" s="208" t="s">
        <v>191</v>
      </c>
      <c r="C3" s="208"/>
      <c r="D3" s="208"/>
      <c r="E3" s="208"/>
      <c r="F3" s="208"/>
      <c r="G3" s="208"/>
      <c r="H3" s="208" t="s">
        <v>12</v>
      </c>
      <c r="I3" s="208"/>
      <c r="J3" s="221" t="s">
        <v>46</v>
      </c>
      <c r="K3" s="208"/>
      <c r="L3" s="208" t="s">
        <v>47</v>
      </c>
      <c r="M3" s="208"/>
      <c r="N3" s="222" t="s">
        <v>192</v>
      </c>
      <c r="O3" s="223"/>
      <c r="P3" s="223"/>
      <c r="Q3" s="223"/>
      <c r="R3" s="214" t="s">
        <v>48</v>
      </c>
    </row>
    <row r="4" spans="1:18" ht="17.25" customHeight="1">
      <c r="A4" s="206"/>
      <c r="B4" s="217" t="s">
        <v>172</v>
      </c>
      <c r="C4" s="217"/>
      <c r="D4" s="217" t="s">
        <v>49</v>
      </c>
      <c r="E4" s="217"/>
      <c r="F4" s="217" t="s">
        <v>50</v>
      </c>
      <c r="G4" s="217"/>
      <c r="H4" s="217"/>
      <c r="I4" s="217"/>
      <c r="J4" s="217"/>
      <c r="K4" s="217"/>
      <c r="L4" s="217"/>
      <c r="M4" s="217"/>
      <c r="N4" s="224" t="s">
        <v>51</v>
      </c>
      <c r="O4" s="226" t="s">
        <v>193</v>
      </c>
      <c r="P4" s="228" t="s">
        <v>194</v>
      </c>
      <c r="Q4" s="212" t="s">
        <v>52</v>
      </c>
      <c r="R4" s="215"/>
    </row>
    <row r="5" spans="1:18" ht="28.5" customHeight="1">
      <c r="A5" s="207"/>
      <c r="B5" s="90" t="s">
        <v>173</v>
      </c>
      <c r="C5" s="91" t="s">
        <v>174</v>
      </c>
      <c r="D5" s="90" t="s">
        <v>173</v>
      </c>
      <c r="E5" s="91" t="s">
        <v>174</v>
      </c>
      <c r="F5" s="90" t="s">
        <v>173</v>
      </c>
      <c r="G5" s="91" t="s">
        <v>175</v>
      </c>
      <c r="H5" s="90" t="s">
        <v>173</v>
      </c>
      <c r="I5" s="91" t="s">
        <v>176</v>
      </c>
      <c r="J5" s="90" t="s">
        <v>173</v>
      </c>
      <c r="K5" s="91" t="s">
        <v>177</v>
      </c>
      <c r="L5" s="90" t="s">
        <v>173</v>
      </c>
      <c r="M5" s="92" t="s">
        <v>195</v>
      </c>
      <c r="N5" s="225"/>
      <c r="O5" s="227"/>
      <c r="P5" s="229"/>
      <c r="Q5" s="230"/>
      <c r="R5" s="216"/>
    </row>
    <row r="6" spans="1:18" s="160" customFormat="1" ht="10.5">
      <c r="A6" s="93"/>
      <c r="B6" s="94" t="s">
        <v>4</v>
      </c>
      <c r="C6" s="95" t="s">
        <v>5</v>
      </c>
      <c r="D6" s="94" t="s">
        <v>4</v>
      </c>
      <c r="E6" s="95" t="s">
        <v>5</v>
      </c>
      <c r="F6" s="94" t="s">
        <v>4</v>
      </c>
      <c r="G6" s="95" t="s">
        <v>5</v>
      </c>
      <c r="H6" s="94" t="s">
        <v>4</v>
      </c>
      <c r="I6" s="95" t="s">
        <v>5</v>
      </c>
      <c r="J6" s="94" t="s">
        <v>4</v>
      </c>
      <c r="K6" s="95" t="s">
        <v>5</v>
      </c>
      <c r="L6" s="94" t="s">
        <v>4</v>
      </c>
      <c r="M6" s="95" t="s">
        <v>5</v>
      </c>
      <c r="N6" s="94" t="s">
        <v>4</v>
      </c>
      <c r="O6" s="96" t="s">
        <v>4</v>
      </c>
      <c r="P6" s="96" t="s">
        <v>4</v>
      </c>
      <c r="Q6" s="97" t="s">
        <v>4</v>
      </c>
      <c r="R6" s="98"/>
    </row>
    <row r="7" spans="1:18" ht="15.75" customHeight="1">
      <c r="A7" s="163" t="s">
        <v>56</v>
      </c>
      <c r="B7" s="100">
        <f>_xlfn.COMPOUNDVALUE(639)</f>
        <v>5307</v>
      </c>
      <c r="C7" s="101">
        <v>21941540</v>
      </c>
      <c r="D7" s="100">
        <f>_xlfn.COMPOUNDVALUE(640)</f>
        <v>3674</v>
      </c>
      <c r="E7" s="101">
        <v>1287443</v>
      </c>
      <c r="F7" s="100">
        <f>_xlfn.COMPOUNDVALUE(641)</f>
        <v>8981</v>
      </c>
      <c r="G7" s="101">
        <v>23228983</v>
      </c>
      <c r="H7" s="100">
        <f>_xlfn.COMPOUNDVALUE(642)</f>
        <v>455</v>
      </c>
      <c r="I7" s="102">
        <v>971602</v>
      </c>
      <c r="J7" s="100">
        <v>683</v>
      </c>
      <c r="K7" s="102">
        <v>140051</v>
      </c>
      <c r="L7" s="100">
        <v>9705</v>
      </c>
      <c r="M7" s="102">
        <v>22397432</v>
      </c>
      <c r="N7" s="100">
        <v>9886</v>
      </c>
      <c r="O7" s="103">
        <v>277</v>
      </c>
      <c r="P7" s="103">
        <v>25</v>
      </c>
      <c r="Q7" s="104">
        <v>10188</v>
      </c>
      <c r="R7" s="162" t="s">
        <v>56</v>
      </c>
    </row>
    <row r="8" spans="1:18" ht="15.75" customHeight="1">
      <c r="A8" s="99" t="s">
        <v>57</v>
      </c>
      <c r="B8" s="100">
        <f>_xlfn.COMPOUNDVALUE(643)</f>
        <v>4572</v>
      </c>
      <c r="C8" s="101">
        <v>18002335</v>
      </c>
      <c r="D8" s="100">
        <f>_xlfn.COMPOUNDVALUE(644)</f>
        <v>3495</v>
      </c>
      <c r="E8" s="101">
        <v>1190897</v>
      </c>
      <c r="F8" s="100">
        <f>_xlfn.COMPOUNDVALUE(645)</f>
        <v>8067</v>
      </c>
      <c r="G8" s="101">
        <v>19193232</v>
      </c>
      <c r="H8" s="100">
        <f>_xlfn.COMPOUNDVALUE(646)</f>
        <v>264</v>
      </c>
      <c r="I8" s="102">
        <v>721802</v>
      </c>
      <c r="J8" s="100">
        <v>572</v>
      </c>
      <c r="K8" s="102">
        <v>59775</v>
      </c>
      <c r="L8" s="100">
        <v>8509</v>
      </c>
      <c r="M8" s="102">
        <v>18531205</v>
      </c>
      <c r="N8" s="100">
        <v>8928</v>
      </c>
      <c r="O8" s="103">
        <v>192</v>
      </c>
      <c r="P8" s="103">
        <v>21</v>
      </c>
      <c r="Q8" s="104">
        <v>9141</v>
      </c>
      <c r="R8" s="105" t="s">
        <v>57</v>
      </c>
    </row>
    <row r="9" spans="1:18" ht="15.75" customHeight="1">
      <c r="A9" s="99" t="s">
        <v>58</v>
      </c>
      <c r="B9" s="100">
        <f>_xlfn.COMPOUNDVALUE(647)</f>
        <v>5191</v>
      </c>
      <c r="C9" s="101">
        <v>41498400</v>
      </c>
      <c r="D9" s="100">
        <f>_xlfn.COMPOUNDVALUE(648)</f>
        <v>3808</v>
      </c>
      <c r="E9" s="101">
        <v>1292475</v>
      </c>
      <c r="F9" s="100">
        <f>_xlfn.COMPOUNDVALUE(649)</f>
        <v>8999</v>
      </c>
      <c r="G9" s="101">
        <v>42790875</v>
      </c>
      <c r="H9" s="100">
        <f>_xlfn.COMPOUNDVALUE(650)</f>
        <v>503</v>
      </c>
      <c r="I9" s="102">
        <v>2486915</v>
      </c>
      <c r="J9" s="100">
        <v>503</v>
      </c>
      <c r="K9" s="102">
        <v>-379842</v>
      </c>
      <c r="L9" s="100">
        <v>9667</v>
      </c>
      <c r="M9" s="102">
        <v>39924118</v>
      </c>
      <c r="N9" s="100">
        <v>9624</v>
      </c>
      <c r="O9" s="103">
        <v>303</v>
      </c>
      <c r="P9" s="103">
        <v>43</v>
      </c>
      <c r="Q9" s="104">
        <v>9970</v>
      </c>
      <c r="R9" s="105" t="s">
        <v>58</v>
      </c>
    </row>
    <row r="10" spans="1:18" ht="15.75" customHeight="1">
      <c r="A10" s="99" t="s">
        <v>59</v>
      </c>
      <c r="B10" s="100">
        <f>_xlfn.COMPOUNDVALUE(651)</f>
        <v>2617</v>
      </c>
      <c r="C10" s="101">
        <v>5625895</v>
      </c>
      <c r="D10" s="100">
        <f>_xlfn.COMPOUNDVALUE(652)</f>
        <v>3475</v>
      </c>
      <c r="E10" s="101">
        <v>931040</v>
      </c>
      <c r="F10" s="100">
        <f>_xlfn.COMPOUNDVALUE(653)</f>
        <v>6092</v>
      </c>
      <c r="G10" s="101">
        <v>6556935</v>
      </c>
      <c r="H10" s="100">
        <f>_xlfn.COMPOUNDVALUE(654)</f>
        <v>153</v>
      </c>
      <c r="I10" s="102">
        <v>286820</v>
      </c>
      <c r="J10" s="100">
        <v>349</v>
      </c>
      <c r="K10" s="102">
        <v>47472</v>
      </c>
      <c r="L10" s="100">
        <v>6326</v>
      </c>
      <c r="M10" s="102">
        <v>6317587</v>
      </c>
      <c r="N10" s="100">
        <v>6349</v>
      </c>
      <c r="O10" s="103">
        <v>91</v>
      </c>
      <c r="P10" s="103">
        <v>10</v>
      </c>
      <c r="Q10" s="104">
        <v>6450</v>
      </c>
      <c r="R10" s="105" t="s">
        <v>59</v>
      </c>
    </row>
    <row r="11" spans="1:18" ht="15.75" customHeight="1">
      <c r="A11" s="99" t="s">
        <v>60</v>
      </c>
      <c r="B11" s="100">
        <f>_xlfn.COMPOUNDVALUE(655)</f>
        <v>5659</v>
      </c>
      <c r="C11" s="101">
        <v>25092512</v>
      </c>
      <c r="D11" s="100">
        <f>_xlfn.COMPOUNDVALUE(656)</f>
        <v>4586</v>
      </c>
      <c r="E11" s="101">
        <v>1511357</v>
      </c>
      <c r="F11" s="100">
        <f>_xlfn.COMPOUNDVALUE(657)</f>
        <v>10245</v>
      </c>
      <c r="G11" s="101">
        <v>26603869</v>
      </c>
      <c r="H11" s="100">
        <f>_xlfn.COMPOUNDVALUE(658)</f>
        <v>505</v>
      </c>
      <c r="I11" s="102">
        <v>1173127</v>
      </c>
      <c r="J11" s="100">
        <v>612</v>
      </c>
      <c r="K11" s="102">
        <v>110746</v>
      </c>
      <c r="L11" s="100">
        <v>10957</v>
      </c>
      <c r="M11" s="102">
        <v>25541488</v>
      </c>
      <c r="N11" s="100">
        <v>11106</v>
      </c>
      <c r="O11" s="103">
        <v>317</v>
      </c>
      <c r="P11" s="103">
        <v>35</v>
      </c>
      <c r="Q11" s="104">
        <v>11458</v>
      </c>
      <c r="R11" s="105" t="s">
        <v>60</v>
      </c>
    </row>
    <row r="12" spans="1:18" ht="15.75" customHeight="1">
      <c r="A12" s="99"/>
      <c r="B12" s="100"/>
      <c r="C12" s="101"/>
      <c r="D12" s="100"/>
      <c r="E12" s="101"/>
      <c r="F12" s="100"/>
      <c r="G12" s="101"/>
      <c r="H12" s="100"/>
      <c r="I12" s="102"/>
      <c r="J12" s="100"/>
      <c r="K12" s="102"/>
      <c r="L12" s="100"/>
      <c r="M12" s="102"/>
      <c r="N12" s="100"/>
      <c r="O12" s="103"/>
      <c r="P12" s="103"/>
      <c r="Q12" s="104"/>
      <c r="R12" s="105" t="s">
        <v>55</v>
      </c>
    </row>
    <row r="13" spans="1:18" ht="15.75" customHeight="1">
      <c r="A13" s="99" t="s">
        <v>61</v>
      </c>
      <c r="B13" s="100">
        <f>_xlfn.COMPOUNDVALUE(659)</f>
        <v>4997</v>
      </c>
      <c r="C13" s="101">
        <v>15467474</v>
      </c>
      <c r="D13" s="100">
        <f>_xlfn.COMPOUNDVALUE(660)</f>
        <v>4174</v>
      </c>
      <c r="E13" s="101">
        <v>1340273</v>
      </c>
      <c r="F13" s="100">
        <f>_xlfn.COMPOUNDVALUE(661)</f>
        <v>9171</v>
      </c>
      <c r="G13" s="101">
        <v>16807746</v>
      </c>
      <c r="H13" s="100">
        <f>_xlfn.COMPOUNDVALUE(662)</f>
        <v>431</v>
      </c>
      <c r="I13" s="102">
        <v>955862</v>
      </c>
      <c r="J13" s="100">
        <v>487</v>
      </c>
      <c r="K13" s="102">
        <v>116301</v>
      </c>
      <c r="L13" s="100">
        <v>9817</v>
      </c>
      <c r="M13" s="102">
        <v>15968186</v>
      </c>
      <c r="N13" s="100">
        <v>9969</v>
      </c>
      <c r="O13" s="103">
        <v>254</v>
      </c>
      <c r="P13" s="103">
        <v>23</v>
      </c>
      <c r="Q13" s="104">
        <v>10246</v>
      </c>
      <c r="R13" s="105" t="s">
        <v>61</v>
      </c>
    </row>
    <row r="14" spans="1:18" ht="15.75" customHeight="1">
      <c r="A14" s="99" t="s">
        <v>62</v>
      </c>
      <c r="B14" s="100">
        <f>_xlfn.COMPOUNDVALUE(663)</f>
        <v>1851</v>
      </c>
      <c r="C14" s="101">
        <v>3401355</v>
      </c>
      <c r="D14" s="100">
        <f>_xlfn.COMPOUNDVALUE(664)</f>
        <v>1699</v>
      </c>
      <c r="E14" s="101">
        <v>452169</v>
      </c>
      <c r="F14" s="100">
        <f>_xlfn.COMPOUNDVALUE(665)</f>
        <v>3550</v>
      </c>
      <c r="G14" s="101">
        <v>3853524</v>
      </c>
      <c r="H14" s="100">
        <f>_xlfn.COMPOUNDVALUE(666)</f>
        <v>74</v>
      </c>
      <c r="I14" s="102">
        <v>42983</v>
      </c>
      <c r="J14" s="100">
        <v>232</v>
      </c>
      <c r="K14" s="102">
        <v>16388</v>
      </c>
      <c r="L14" s="100">
        <v>3708</v>
      </c>
      <c r="M14" s="102">
        <v>3826929</v>
      </c>
      <c r="N14" s="100">
        <v>3605</v>
      </c>
      <c r="O14" s="103">
        <v>63</v>
      </c>
      <c r="P14" s="103">
        <v>10</v>
      </c>
      <c r="Q14" s="104">
        <v>3678</v>
      </c>
      <c r="R14" s="105" t="s">
        <v>62</v>
      </c>
    </row>
    <row r="15" spans="1:18" ht="15.75" customHeight="1">
      <c r="A15" s="99" t="s">
        <v>63</v>
      </c>
      <c r="B15" s="100">
        <f>_xlfn.COMPOUNDVALUE(667)</f>
        <v>3449</v>
      </c>
      <c r="C15" s="101">
        <v>8878787</v>
      </c>
      <c r="D15" s="100">
        <f>_xlfn.COMPOUNDVALUE(668)</f>
        <v>3062</v>
      </c>
      <c r="E15" s="101">
        <v>947325</v>
      </c>
      <c r="F15" s="100">
        <f>_xlfn.COMPOUNDVALUE(669)</f>
        <v>6511</v>
      </c>
      <c r="G15" s="101">
        <v>9826113</v>
      </c>
      <c r="H15" s="100">
        <f>_xlfn.COMPOUNDVALUE(670)</f>
        <v>172</v>
      </c>
      <c r="I15" s="102">
        <v>1951550</v>
      </c>
      <c r="J15" s="100">
        <v>437</v>
      </c>
      <c r="K15" s="102">
        <v>111840</v>
      </c>
      <c r="L15" s="100">
        <v>6855</v>
      </c>
      <c r="M15" s="102">
        <v>7986402</v>
      </c>
      <c r="N15" s="100">
        <v>7077</v>
      </c>
      <c r="O15" s="103">
        <v>118</v>
      </c>
      <c r="P15" s="103">
        <v>14</v>
      </c>
      <c r="Q15" s="104">
        <v>7209</v>
      </c>
      <c r="R15" s="105" t="s">
        <v>63</v>
      </c>
    </row>
    <row r="16" spans="1:18" ht="15.75" customHeight="1">
      <c r="A16" s="106" t="s">
        <v>64</v>
      </c>
      <c r="B16" s="107">
        <f>_xlfn.COMPOUNDVALUE(671)</f>
        <v>6273</v>
      </c>
      <c r="C16" s="108">
        <v>14716299</v>
      </c>
      <c r="D16" s="107">
        <f>_xlfn.COMPOUNDVALUE(672)</f>
        <v>5666</v>
      </c>
      <c r="E16" s="108">
        <v>1798611</v>
      </c>
      <c r="F16" s="107">
        <f>_xlfn.COMPOUNDVALUE(673)</f>
        <v>11939</v>
      </c>
      <c r="G16" s="108">
        <v>16514910</v>
      </c>
      <c r="H16" s="107">
        <f>_xlfn.COMPOUNDVALUE(674)</f>
        <v>511</v>
      </c>
      <c r="I16" s="109">
        <v>1012366</v>
      </c>
      <c r="J16" s="107">
        <v>782</v>
      </c>
      <c r="K16" s="109">
        <v>185045</v>
      </c>
      <c r="L16" s="107">
        <v>12677</v>
      </c>
      <c r="M16" s="109">
        <v>15687588</v>
      </c>
      <c r="N16" s="100">
        <v>12524</v>
      </c>
      <c r="O16" s="103">
        <v>321</v>
      </c>
      <c r="P16" s="103">
        <v>37</v>
      </c>
      <c r="Q16" s="104">
        <v>12882</v>
      </c>
      <c r="R16" s="105" t="s">
        <v>64</v>
      </c>
    </row>
    <row r="17" spans="1:18" ht="15.75" customHeight="1">
      <c r="A17" s="106" t="s">
        <v>65</v>
      </c>
      <c r="B17" s="107">
        <f>_xlfn.COMPOUNDVALUE(675)</f>
        <v>1584</v>
      </c>
      <c r="C17" s="108">
        <v>3311962</v>
      </c>
      <c r="D17" s="107">
        <f>_xlfn.COMPOUNDVALUE(676)</f>
        <v>1632</v>
      </c>
      <c r="E17" s="108">
        <v>433967</v>
      </c>
      <c r="F17" s="107">
        <f>_xlfn.COMPOUNDVALUE(677)</f>
        <v>3216</v>
      </c>
      <c r="G17" s="108">
        <v>3745929</v>
      </c>
      <c r="H17" s="107">
        <f>_xlfn.COMPOUNDVALUE(678)</f>
        <v>89</v>
      </c>
      <c r="I17" s="109">
        <v>151403</v>
      </c>
      <c r="J17" s="107">
        <v>198</v>
      </c>
      <c r="K17" s="109">
        <v>15890</v>
      </c>
      <c r="L17" s="107">
        <v>3351</v>
      </c>
      <c r="M17" s="109">
        <v>3610416</v>
      </c>
      <c r="N17" s="100">
        <v>3367</v>
      </c>
      <c r="O17" s="103">
        <v>51</v>
      </c>
      <c r="P17" s="103">
        <v>11</v>
      </c>
      <c r="Q17" s="104">
        <v>3429</v>
      </c>
      <c r="R17" s="105" t="s">
        <v>65</v>
      </c>
    </row>
    <row r="18" spans="1:18" ht="15.75" customHeight="1">
      <c r="A18" s="106"/>
      <c r="B18" s="107"/>
      <c r="C18" s="108"/>
      <c r="D18" s="107"/>
      <c r="E18" s="108"/>
      <c r="F18" s="107"/>
      <c r="G18" s="108"/>
      <c r="H18" s="107"/>
      <c r="I18" s="109"/>
      <c r="J18" s="107"/>
      <c r="K18" s="109"/>
      <c r="L18" s="107"/>
      <c r="M18" s="109"/>
      <c r="N18" s="100"/>
      <c r="O18" s="103"/>
      <c r="P18" s="103"/>
      <c r="Q18" s="104"/>
      <c r="R18" s="105" t="s">
        <v>55</v>
      </c>
    </row>
    <row r="19" spans="1:18" ht="15.75" customHeight="1">
      <c r="A19" s="106" t="s">
        <v>66</v>
      </c>
      <c r="B19" s="107">
        <f>_xlfn.COMPOUNDVALUE(679)</f>
        <v>2512</v>
      </c>
      <c r="C19" s="108">
        <v>4996999</v>
      </c>
      <c r="D19" s="107">
        <f>_xlfn.COMPOUNDVALUE(680)</f>
        <v>2301</v>
      </c>
      <c r="E19" s="108">
        <v>657478</v>
      </c>
      <c r="F19" s="107">
        <f>_xlfn.COMPOUNDVALUE(681)</f>
        <v>4813</v>
      </c>
      <c r="G19" s="108">
        <v>5654477</v>
      </c>
      <c r="H19" s="107">
        <f>_xlfn.COMPOUNDVALUE(682)</f>
        <v>141</v>
      </c>
      <c r="I19" s="109">
        <v>1420608</v>
      </c>
      <c r="J19" s="107">
        <v>389</v>
      </c>
      <c r="K19" s="109">
        <v>127894</v>
      </c>
      <c r="L19" s="107">
        <v>5131</v>
      </c>
      <c r="M19" s="109">
        <v>4361763</v>
      </c>
      <c r="N19" s="100">
        <v>5115</v>
      </c>
      <c r="O19" s="103">
        <v>108</v>
      </c>
      <c r="P19" s="103">
        <v>7</v>
      </c>
      <c r="Q19" s="104">
        <v>5230</v>
      </c>
      <c r="R19" s="105" t="s">
        <v>66</v>
      </c>
    </row>
    <row r="20" spans="1:18" ht="15.75" customHeight="1">
      <c r="A20" s="106" t="s">
        <v>67</v>
      </c>
      <c r="B20" s="107">
        <f>_xlfn.COMPOUNDVALUE(683)</f>
        <v>6452</v>
      </c>
      <c r="C20" s="108">
        <v>14682953</v>
      </c>
      <c r="D20" s="107">
        <f>_xlfn.COMPOUNDVALUE(684)</f>
        <v>5529</v>
      </c>
      <c r="E20" s="108">
        <v>1681847</v>
      </c>
      <c r="F20" s="107">
        <f>_xlfn.COMPOUNDVALUE(685)</f>
        <v>11981</v>
      </c>
      <c r="G20" s="108">
        <v>16364800</v>
      </c>
      <c r="H20" s="107">
        <f>_xlfn.COMPOUNDVALUE(686)</f>
        <v>900</v>
      </c>
      <c r="I20" s="109">
        <v>5524850</v>
      </c>
      <c r="J20" s="107">
        <v>837</v>
      </c>
      <c r="K20" s="109">
        <v>105489</v>
      </c>
      <c r="L20" s="107">
        <v>13182</v>
      </c>
      <c r="M20" s="109">
        <v>10945439</v>
      </c>
      <c r="N20" s="100">
        <v>13056</v>
      </c>
      <c r="O20" s="103">
        <v>499</v>
      </c>
      <c r="P20" s="103">
        <v>45</v>
      </c>
      <c r="Q20" s="104">
        <v>13600</v>
      </c>
      <c r="R20" s="105" t="s">
        <v>67</v>
      </c>
    </row>
    <row r="21" spans="1:18" ht="15.75" customHeight="1">
      <c r="A21" s="106" t="s">
        <v>68</v>
      </c>
      <c r="B21" s="107">
        <f>_xlfn.COMPOUNDVALUE(687)</f>
        <v>2378</v>
      </c>
      <c r="C21" s="108">
        <v>4521250</v>
      </c>
      <c r="D21" s="107">
        <f>_xlfn.COMPOUNDVALUE(687)</f>
        <v>2494</v>
      </c>
      <c r="E21" s="108">
        <v>664552</v>
      </c>
      <c r="F21" s="107">
        <f>_xlfn.COMPOUNDVALUE(688)</f>
        <v>4872</v>
      </c>
      <c r="G21" s="108">
        <v>5185802</v>
      </c>
      <c r="H21" s="107">
        <f>_xlfn.COMPOUNDVALUE(689)</f>
        <v>163</v>
      </c>
      <c r="I21" s="109">
        <v>180683</v>
      </c>
      <c r="J21" s="107">
        <v>318</v>
      </c>
      <c r="K21" s="109">
        <v>39621</v>
      </c>
      <c r="L21" s="107">
        <v>5151</v>
      </c>
      <c r="M21" s="109">
        <v>5044740</v>
      </c>
      <c r="N21" s="100">
        <v>5222</v>
      </c>
      <c r="O21" s="103">
        <v>134</v>
      </c>
      <c r="P21" s="103">
        <v>14</v>
      </c>
      <c r="Q21" s="104">
        <v>5370</v>
      </c>
      <c r="R21" s="105" t="s">
        <v>68</v>
      </c>
    </row>
    <row r="22" spans="1:18" ht="15.75" customHeight="1">
      <c r="A22" s="106" t="s">
        <v>179</v>
      </c>
      <c r="B22" s="107">
        <f>_xlfn.COMPOUNDVALUE(690)</f>
        <v>6241</v>
      </c>
      <c r="C22" s="108">
        <v>16431387</v>
      </c>
      <c r="D22" s="107">
        <f>_xlfn.COMPOUNDVALUE(691)</f>
        <v>5419</v>
      </c>
      <c r="E22" s="108">
        <v>1729871</v>
      </c>
      <c r="F22" s="107">
        <f>_xlfn.COMPOUNDVALUE(692)</f>
        <v>11660</v>
      </c>
      <c r="G22" s="108">
        <v>18161258</v>
      </c>
      <c r="H22" s="107">
        <f>_xlfn.COMPOUNDVALUE(693)</f>
        <v>507</v>
      </c>
      <c r="I22" s="109">
        <v>871444</v>
      </c>
      <c r="J22" s="107">
        <v>673</v>
      </c>
      <c r="K22" s="109">
        <v>88361</v>
      </c>
      <c r="L22" s="107">
        <v>12404</v>
      </c>
      <c r="M22" s="109">
        <v>17378175</v>
      </c>
      <c r="N22" s="100">
        <v>12331</v>
      </c>
      <c r="O22" s="103">
        <v>364</v>
      </c>
      <c r="P22" s="103">
        <v>35</v>
      </c>
      <c r="Q22" s="104">
        <v>12730</v>
      </c>
      <c r="R22" s="105" t="s">
        <v>69</v>
      </c>
    </row>
    <row r="23" spans="1:18" ht="15.75" customHeight="1">
      <c r="A23" s="110" t="s">
        <v>70</v>
      </c>
      <c r="B23" s="111">
        <v>59083</v>
      </c>
      <c r="C23" s="112">
        <v>198569147</v>
      </c>
      <c r="D23" s="111">
        <v>51014</v>
      </c>
      <c r="E23" s="112">
        <v>15919304</v>
      </c>
      <c r="F23" s="111">
        <v>110097</v>
      </c>
      <c r="G23" s="112">
        <v>214488451</v>
      </c>
      <c r="H23" s="111">
        <v>4868</v>
      </c>
      <c r="I23" s="113">
        <v>17752013</v>
      </c>
      <c r="J23" s="111">
        <v>7072</v>
      </c>
      <c r="K23" s="113">
        <v>785030</v>
      </c>
      <c r="L23" s="111">
        <v>117440</v>
      </c>
      <c r="M23" s="113">
        <v>197521468</v>
      </c>
      <c r="N23" s="111">
        <v>118159</v>
      </c>
      <c r="O23" s="129">
        <v>3092</v>
      </c>
      <c r="P23" s="129">
        <v>330</v>
      </c>
      <c r="Q23" s="130">
        <v>121581</v>
      </c>
      <c r="R23" s="131" t="s">
        <v>71</v>
      </c>
    </row>
    <row r="24" spans="1:18" ht="15.75" customHeight="1">
      <c r="A24" s="132"/>
      <c r="B24" s="133"/>
      <c r="C24" s="134"/>
      <c r="D24" s="133"/>
      <c r="E24" s="134"/>
      <c r="F24" s="135"/>
      <c r="G24" s="134"/>
      <c r="H24" s="135"/>
      <c r="I24" s="134"/>
      <c r="J24" s="135"/>
      <c r="K24" s="134"/>
      <c r="L24" s="135"/>
      <c r="M24" s="134"/>
      <c r="N24" s="136"/>
      <c r="O24" s="137"/>
      <c r="P24" s="137"/>
      <c r="Q24" s="138"/>
      <c r="R24" s="139" t="s">
        <v>55</v>
      </c>
    </row>
    <row r="25" spans="1:18" ht="15.75" customHeight="1">
      <c r="A25" s="99" t="s">
        <v>72</v>
      </c>
      <c r="B25" s="100">
        <f>_xlfn.COMPOUNDVALUE(694)</f>
        <v>10125</v>
      </c>
      <c r="C25" s="101">
        <v>599458972</v>
      </c>
      <c r="D25" s="100">
        <f>_xlfn.COMPOUNDVALUE(695)</f>
        <v>3244</v>
      </c>
      <c r="E25" s="101">
        <v>1828497</v>
      </c>
      <c r="F25" s="100">
        <f>_xlfn.COMPOUNDVALUE(696)</f>
        <v>13369</v>
      </c>
      <c r="G25" s="101">
        <v>601287468</v>
      </c>
      <c r="H25" s="100">
        <f>_xlfn.COMPOUNDVALUE(697)</f>
        <v>2834</v>
      </c>
      <c r="I25" s="102">
        <v>258916466</v>
      </c>
      <c r="J25" s="100">
        <v>1228</v>
      </c>
      <c r="K25" s="102">
        <v>512321</v>
      </c>
      <c r="L25" s="100">
        <v>16394</v>
      </c>
      <c r="M25" s="102">
        <v>342883324</v>
      </c>
      <c r="N25" s="100">
        <v>12890</v>
      </c>
      <c r="O25" s="103">
        <v>2313</v>
      </c>
      <c r="P25" s="103">
        <v>387</v>
      </c>
      <c r="Q25" s="104">
        <v>15590</v>
      </c>
      <c r="R25" s="105" t="s">
        <v>72</v>
      </c>
    </row>
    <row r="26" spans="1:18" ht="15.75" customHeight="1">
      <c r="A26" s="99" t="s">
        <v>73</v>
      </c>
      <c r="B26" s="100">
        <f>_xlfn.COMPOUNDVALUE(698)</f>
        <v>11323</v>
      </c>
      <c r="C26" s="101">
        <v>161024644</v>
      </c>
      <c r="D26" s="100">
        <f>_xlfn.COMPOUNDVALUE(699)</f>
        <v>3667</v>
      </c>
      <c r="E26" s="101">
        <v>1548989</v>
      </c>
      <c r="F26" s="100">
        <f>_xlfn.COMPOUNDVALUE(700)</f>
        <v>14990</v>
      </c>
      <c r="G26" s="101">
        <v>162573633</v>
      </c>
      <c r="H26" s="100">
        <f>_xlfn.COMPOUNDVALUE(701)</f>
        <v>2127</v>
      </c>
      <c r="I26" s="102">
        <v>30915239</v>
      </c>
      <c r="J26" s="100">
        <v>1018</v>
      </c>
      <c r="K26" s="102">
        <v>229481</v>
      </c>
      <c r="L26" s="100">
        <v>17276</v>
      </c>
      <c r="M26" s="102">
        <v>131887875</v>
      </c>
      <c r="N26" s="100">
        <v>15700</v>
      </c>
      <c r="O26" s="103">
        <v>1137</v>
      </c>
      <c r="P26" s="103">
        <v>283</v>
      </c>
      <c r="Q26" s="104">
        <v>17120</v>
      </c>
      <c r="R26" s="105" t="s">
        <v>73</v>
      </c>
    </row>
    <row r="27" spans="1:18" ht="15.75" customHeight="1">
      <c r="A27" s="99" t="s">
        <v>74</v>
      </c>
      <c r="B27" s="100">
        <f>_xlfn.COMPOUNDVALUE(702)</f>
        <v>8954</v>
      </c>
      <c r="C27" s="101">
        <v>192964615</v>
      </c>
      <c r="D27" s="100">
        <f>_xlfn.COMPOUNDVALUE(703)</f>
        <v>2724</v>
      </c>
      <c r="E27" s="101">
        <v>1690684</v>
      </c>
      <c r="F27" s="100">
        <f>_xlfn.COMPOUNDVALUE(704)</f>
        <v>11678</v>
      </c>
      <c r="G27" s="101">
        <v>194655298</v>
      </c>
      <c r="H27" s="100">
        <f>_xlfn.COMPOUNDVALUE(705)</f>
        <v>2100</v>
      </c>
      <c r="I27" s="102">
        <v>53557121</v>
      </c>
      <c r="J27" s="100">
        <v>1084</v>
      </c>
      <c r="K27" s="102">
        <v>50710</v>
      </c>
      <c r="L27" s="100">
        <v>13936</v>
      </c>
      <c r="M27" s="102">
        <v>141148888</v>
      </c>
      <c r="N27" s="100">
        <v>11980</v>
      </c>
      <c r="O27" s="103">
        <v>1278</v>
      </c>
      <c r="P27" s="103">
        <v>308</v>
      </c>
      <c r="Q27" s="104">
        <v>13566</v>
      </c>
      <c r="R27" s="105" t="s">
        <v>74</v>
      </c>
    </row>
    <row r="28" spans="1:18" ht="15.75" customHeight="1">
      <c r="A28" s="99" t="s">
        <v>75</v>
      </c>
      <c r="B28" s="100">
        <f>_xlfn.COMPOUNDVALUE(706)</f>
        <v>12252</v>
      </c>
      <c r="C28" s="101">
        <v>225226104</v>
      </c>
      <c r="D28" s="100">
        <f>_xlfn.COMPOUNDVALUE(707)</f>
        <v>4033</v>
      </c>
      <c r="E28" s="101">
        <v>1629572</v>
      </c>
      <c r="F28" s="100">
        <f>_xlfn.COMPOUNDVALUE(708)</f>
        <v>16285</v>
      </c>
      <c r="G28" s="101">
        <v>226855676</v>
      </c>
      <c r="H28" s="100">
        <f>_xlfn.COMPOUNDVALUE(709)</f>
        <v>2002</v>
      </c>
      <c r="I28" s="102">
        <v>84816991</v>
      </c>
      <c r="J28" s="100">
        <v>1287</v>
      </c>
      <c r="K28" s="102">
        <v>-95147</v>
      </c>
      <c r="L28" s="100">
        <v>18509</v>
      </c>
      <c r="M28" s="102">
        <v>141943538</v>
      </c>
      <c r="N28" s="100">
        <v>18469</v>
      </c>
      <c r="O28" s="103">
        <v>1097</v>
      </c>
      <c r="P28" s="103">
        <v>390</v>
      </c>
      <c r="Q28" s="104">
        <v>19956</v>
      </c>
      <c r="R28" s="105" t="s">
        <v>75</v>
      </c>
    </row>
    <row r="29" spans="1:18" ht="15.75" customHeight="1">
      <c r="A29" s="99" t="s">
        <v>181</v>
      </c>
      <c r="B29" s="100">
        <f>_xlfn.COMPOUNDVALUE(710)</f>
        <v>15499</v>
      </c>
      <c r="C29" s="101">
        <v>529160166</v>
      </c>
      <c r="D29" s="100">
        <f>_xlfn.COMPOUNDVALUE(711)</f>
        <v>5137</v>
      </c>
      <c r="E29" s="101">
        <v>2108400</v>
      </c>
      <c r="F29" s="100">
        <f>_xlfn.COMPOUNDVALUE(712)</f>
        <v>20636</v>
      </c>
      <c r="G29" s="101">
        <v>531268567</v>
      </c>
      <c r="H29" s="100">
        <f>_xlfn.COMPOUNDVALUE(713)</f>
        <v>3916</v>
      </c>
      <c r="I29" s="102">
        <v>207151621</v>
      </c>
      <c r="J29" s="100">
        <v>1602</v>
      </c>
      <c r="K29" s="102">
        <v>802801</v>
      </c>
      <c r="L29" s="100">
        <v>24898</v>
      </c>
      <c r="M29" s="102">
        <v>324919747</v>
      </c>
      <c r="N29" s="100">
        <v>21700</v>
      </c>
      <c r="O29" s="103">
        <v>2570</v>
      </c>
      <c r="P29" s="103">
        <v>571</v>
      </c>
      <c r="Q29" s="104">
        <v>24841</v>
      </c>
      <c r="R29" s="105" t="s">
        <v>76</v>
      </c>
    </row>
    <row r="30" spans="1:18" ht="15.75" customHeight="1">
      <c r="A30" s="99"/>
      <c r="B30" s="100"/>
      <c r="C30" s="101"/>
      <c r="D30" s="100"/>
      <c r="E30" s="101"/>
      <c r="F30" s="100"/>
      <c r="G30" s="101"/>
      <c r="H30" s="100"/>
      <c r="I30" s="102"/>
      <c r="J30" s="100"/>
      <c r="K30" s="102"/>
      <c r="L30" s="100"/>
      <c r="M30" s="102"/>
      <c r="N30" s="100"/>
      <c r="O30" s="103"/>
      <c r="P30" s="103"/>
      <c r="Q30" s="104"/>
      <c r="R30" s="105" t="s">
        <v>55</v>
      </c>
    </row>
    <row r="31" spans="1:18" ht="15.75" customHeight="1">
      <c r="A31" s="99" t="s">
        <v>77</v>
      </c>
      <c r="B31" s="100">
        <f>_xlfn.COMPOUNDVALUE(714)</f>
        <v>13650</v>
      </c>
      <c r="C31" s="101">
        <v>196704746</v>
      </c>
      <c r="D31" s="100">
        <f>_xlfn.COMPOUNDVALUE(715)</f>
        <v>4926</v>
      </c>
      <c r="E31" s="101">
        <v>2263590</v>
      </c>
      <c r="F31" s="100">
        <f>_xlfn.COMPOUNDVALUE(716)</f>
        <v>18576</v>
      </c>
      <c r="G31" s="101">
        <v>198968335</v>
      </c>
      <c r="H31" s="100">
        <f>_xlfn.COMPOUNDVALUE(717)</f>
        <v>2496</v>
      </c>
      <c r="I31" s="102">
        <v>120410771</v>
      </c>
      <c r="J31" s="100">
        <v>1692</v>
      </c>
      <c r="K31" s="102">
        <v>620277</v>
      </c>
      <c r="L31" s="100">
        <v>21430</v>
      </c>
      <c r="M31" s="102">
        <v>79177841</v>
      </c>
      <c r="N31" s="100">
        <v>22648</v>
      </c>
      <c r="O31" s="103">
        <v>1789</v>
      </c>
      <c r="P31" s="103">
        <v>621</v>
      </c>
      <c r="Q31" s="104">
        <v>25058</v>
      </c>
      <c r="R31" s="105" t="s">
        <v>77</v>
      </c>
    </row>
    <row r="32" spans="1:18" ht="15.75" customHeight="1">
      <c r="A32" s="99" t="s">
        <v>78</v>
      </c>
      <c r="B32" s="100">
        <f>_xlfn.COMPOUNDVALUE(718)</f>
        <v>7215</v>
      </c>
      <c r="C32" s="101">
        <v>140416452</v>
      </c>
      <c r="D32" s="100">
        <f>_xlfn.COMPOUNDVALUE(719)</f>
        <v>3342</v>
      </c>
      <c r="E32" s="101">
        <v>1207433</v>
      </c>
      <c r="F32" s="100">
        <f>_xlfn.COMPOUNDVALUE(720)</f>
        <v>10557</v>
      </c>
      <c r="G32" s="101">
        <v>141623885</v>
      </c>
      <c r="H32" s="100">
        <f>_xlfn.COMPOUNDVALUE(721)</f>
        <v>1190</v>
      </c>
      <c r="I32" s="102">
        <v>29569504</v>
      </c>
      <c r="J32" s="100">
        <v>766</v>
      </c>
      <c r="K32" s="102">
        <v>-396224</v>
      </c>
      <c r="L32" s="100">
        <v>11912</v>
      </c>
      <c r="M32" s="102">
        <v>111658157</v>
      </c>
      <c r="N32" s="100">
        <v>11116</v>
      </c>
      <c r="O32" s="103">
        <v>663</v>
      </c>
      <c r="P32" s="103">
        <v>158</v>
      </c>
      <c r="Q32" s="104">
        <v>11937</v>
      </c>
      <c r="R32" s="105" t="s">
        <v>78</v>
      </c>
    </row>
    <row r="33" spans="1:18" ht="15.75" customHeight="1">
      <c r="A33" s="99" t="s">
        <v>79</v>
      </c>
      <c r="B33" s="100">
        <f>_xlfn.COMPOUNDVALUE(722)</f>
        <v>8227</v>
      </c>
      <c r="C33" s="101">
        <v>75449817</v>
      </c>
      <c r="D33" s="100">
        <f>_xlfn.COMPOUNDVALUE(723)</f>
        <v>4193</v>
      </c>
      <c r="E33" s="101">
        <v>1700263</v>
      </c>
      <c r="F33" s="100">
        <f>_xlfn.COMPOUNDVALUE(724)</f>
        <v>12420</v>
      </c>
      <c r="G33" s="101">
        <v>77150080</v>
      </c>
      <c r="H33" s="100">
        <f>_xlfn.COMPOUNDVALUE(725)</f>
        <v>911</v>
      </c>
      <c r="I33" s="102">
        <v>4862320</v>
      </c>
      <c r="J33" s="100">
        <v>892</v>
      </c>
      <c r="K33" s="102">
        <v>653037</v>
      </c>
      <c r="L33" s="100">
        <v>13519</v>
      </c>
      <c r="M33" s="102">
        <v>72940797</v>
      </c>
      <c r="N33" s="100">
        <v>13761</v>
      </c>
      <c r="O33" s="103">
        <v>560</v>
      </c>
      <c r="P33" s="103">
        <v>169</v>
      </c>
      <c r="Q33" s="104">
        <v>14490</v>
      </c>
      <c r="R33" s="105" t="s">
        <v>79</v>
      </c>
    </row>
    <row r="34" spans="1:18" ht="15.75" customHeight="1">
      <c r="A34" s="99" t="s">
        <v>80</v>
      </c>
      <c r="B34" s="100">
        <f>_xlfn.COMPOUNDVALUE(726)</f>
        <v>9071</v>
      </c>
      <c r="C34" s="101">
        <v>198229705</v>
      </c>
      <c r="D34" s="100">
        <f>_xlfn.COMPOUNDVALUE(727)</f>
        <v>4011</v>
      </c>
      <c r="E34" s="101">
        <v>1672031</v>
      </c>
      <c r="F34" s="100">
        <f>_xlfn.COMPOUNDVALUE(728)</f>
        <v>13082</v>
      </c>
      <c r="G34" s="101">
        <v>199901736</v>
      </c>
      <c r="H34" s="100">
        <f>_xlfn.COMPOUNDVALUE(729)</f>
        <v>1321</v>
      </c>
      <c r="I34" s="102">
        <v>36354644</v>
      </c>
      <c r="J34" s="100">
        <v>1054</v>
      </c>
      <c r="K34" s="102">
        <v>-1122068</v>
      </c>
      <c r="L34" s="100">
        <v>14705</v>
      </c>
      <c r="M34" s="102">
        <v>162425024</v>
      </c>
      <c r="N34" s="100">
        <v>14868</v>
      </c>
      <c r="O34" s="103">
        <v>755</v>
      </c>
      <c r="P34" s="103">
        <v>326</v>
      </c>
      <c r="Q34" s="104">
        <v>15949</v>
      </c>
      <c r="R34" s="105" t="s">
        <v>80</v>
      </c>
    </row>
    <row r="35" spans="1:18" ht="15.75" customHeight="1">
      <c r="A35" s="99" t="s">
        <v>81</v>
      </c>
      <c r="B35" s="100">
        <f>_xlfn.COMPOUNDVALUE(730)</f>
        <v>2898</v>
      </c>
      <c r="C35" s="101">
        <v>35713600</v>
      </c>
      <c r="D35" s="100">
        <f>_xlfn.COMPOUNDVALUE(731)</f>
        <v>1987</v>
      </c>
      <c r="E35" s="101">
        <v>688906</v>
      </c>
      <c r="F35" s="100">
        <f>_xlfn.COMPOUNDVALUE(732)</f>
        <v>4885</v>
      </c>
      <c r="G35" s="101">
        <v>36402506</v>
      </c>
      <c r="H35" s="100">
        <f>_xlfn.COMPOUNDVALUE(733)</f>
        <v>324</v>
      </c>
      <c r="I35" s="102">
        <v>8259284</v>
      </c>
      <c r="J35" s="100">
        <v>326</v>
      </c>
      <c r="K35" s="102">
        <v>3437</v>
      </c>
      <c r="L35" s="100">
        <v>5295</v>
      </c>
      <c r="M35" s="102">
        <v>28146659</v>
      </c>
      <c r="N35" s="100">
        <v>5213</v>
      </c>
      <c r="O35" s="103">
        <v>246</v>
      </c>
      <c r="P35" s="103">
        <v>40</v>
      </c>
      <c r="Q35" s="104">
        <v>5499</v>
      </c>
      <c r="R35" s="105" t="s">
        <v>81</v>
      </c>
    </row>
    <row r="36" spans="1:18" ht="15.75" customHeight="1">
      <c r="A36" s="99"/>
      <c r="B36" s="100"/>
      <c r="C36" s="101"/>
      <c r="D36" s="100"/>
      <c r="E36" s="101"/>
      <c r="F36" s="100"/>
      <c r="G36" s="101"/>
      <c r="H36" s="100"/>
      <c r="I36" s="102"/>
      <c r="J36" s="100"/>
      <c r="K36" s="102"/>
      <c r="L36" s="100"/>
      <c r="M36" s="102"/>
      <c r="N36" s="100"/>
      <c r="O36" s="103"/>
      <c r="P36" s="103"/>
      <c r="Q36" s="104"/>
      <c r="R36" s="105" t="s">
        <v>55</v>
      </c>
    </row>
    <row r="37" spans="1:18" ht="15.75" customHeight="1">
      <c r="A37" s="99" t="s">
        <v>82</v>
      </c>
      <c r="B37" s="100">
        <f>_xlfn.COMPOUNDVALUE(734)</f>
        <v>3755</v>
      </c>
      <c r="C37" s="101">
        <v>29970620</v>
      </c>
      <c r="D37" s="100">
        <f>_xlfn.COMPOUNDVALUE(735)</f>
        <v>2196</v>
      </c>
      <c r="E37" s="101">
        <v>773831</v>
      </c>
      <c r="F37" s="100">
        <f>_xlfn.COMPOUNDVALUE(736)</f>
        <v>5951</v>
      </c>
      <c r="G37" s="101">
        <v>30744451</v>
      </c>
      <c r="H37" s="100">
        <f>_xlfn.COMPOUNDVALUE(737)</f>
        <v>453</v>
      </c>
      <c r="I37" s="102">
        <v>1501362</v>
      </c>
      <c r="J37" s="100">
        <v>288</v>
      </c>
      <c r="K37" s="102">
        <v>180631</v>
      </c>
      <c r="L37" s="100">
        <v>6482</v>
      </c>
      <c r="M37" s="102">
        <v>29423720</v>
      </c>
      <c r="N37" s="100">
        <v>6193</v>
      </c>
      <c r="O37" s="103">
        <v>245</v>
      </c>
      <c r="P37" s="103">
        <v>49</v>
      </c>
      <c r="Q37" s="104">
        <v>6487</v>
      </c>
      <c r="R37" s="105" t="s">
        <v>82</v>
      </c>
    </row>
    <row r="38" spans="1:18" ht="15.75" customHeight="1">
      <c r="A38" s="99" t="s">
        <v>83</v>
      </c>
      <c r="B38" s="100">
        <f>_xlfn.COMPOUNDVALUE(738)</f>
        <v>5619</v>
      </c>
      <c r="C38" s="101">
        <v>53883577</v>
      </c>
      <c r="D38" s="100">
        <f>_xlfn.COMPOUNDVALUE(739)</f>
        <v>2594</v>
      </c>
      <c r="E38" s="101">
        <v>875198</v>
      </c>
      <c r="F38" s="100">
        <f>_xlfn.COMPOUNDVALUE(740)</f>
        <v>8213</v>
      </c>
      <c r="G38" s="101">
        <v>54758775</v>
      </c>
      <c r="H38" s="100">
        <f>_xlfn.COMPOUNDVALUE(741)</f>
        <v>832</v>
      </c>
      <c r="I38" s="102">
        <v>5939183</v>
      </c>
      <c r="J38" s="100">
        <v>538</v>
      </c>
      <c r="K38" s="102">
        <v>48078</v>
      </c>
      <c r="L38" s="100">
        <v>9132</v>
      </c>
      <c r="M38" s="102">
        <v>48867671</v>
      </c>
      <c r="N38" s="100">
        <v>8937</v>
      </c>
      <c r="O38" s="103">
        <v>334</v>
      </c>
      <c r="P38" s="103">
        <v>92</v>
      </c>
      <c r="Q38" s="104">
        <v>9363</v>
      </c>
      <c r="R38" s="105" t="s">
        <v>83</v>
      </c>
    </row>
    <row r="39" spans="1:18" ht="15.75" customHeight="1">
      <c r="A39" s="99" t="s">
        <v>84</v>
      </c>
      <c r="B39" s="100">
        <f>_xlfn.COMPOUNDVALUE(742)</f>
        <v>5539</v>
      </c>
      <c r="C39" s="101">
        <v>49660306</v>
      </c>
      <c r="D39" s="100">
        <f>_xlfn.COMPOUNDVALUE(743)</f>
        <v>3038</v>
      </c>
      <c r="E39" s="101">
        <v>913427</v>
      </c>
      <c r="F39" s="100">
        <f>_xlfn.COMPOUNDVALUE(744)</f>
        <v>8577</v>
      </c>
      <c r="G39" s="101">
        <v>50573733</v>
      </c>
      <c r="H39" s="100">
        <f>_xlfn.COMPOUNDVALUE(745)</f>
        <v>635</v>
      </c>
      <c r="I39" s="102">
        <v>3383008</v>
      </c>
      <c r="J39" s="100">
        <v>438</v>
      </c>
      <c r="K39" s="102">
        <v>160282</v>
      </c>
      <c r="L39" s="100">
        <v>9334</v>
      </c>
      <c r="M39" s="102">
        <v>47351006</v>
      </c>
      <c r="N39" s="100">
        <v>9101</v>
      </c>
      <c r="O39" s="103">
        <v>293</v>
      </c>
      <c r="P39" s="103">
        <v>63</v>
      </c>
      <c r="Q39" s="104">
        <v>9457</v>
      </c>
      <c r="R39" s="105" t="s">
        <v>84</v>
      </c>
    </row>
    <row r="40" spans="1:18" ht="15.75" customHeight="1">
      <c r="A40" s="99" t="s">
        <v>85</v>
      </c>
      <c r="B40" s="100">
        <f>_xlfn.COMPOUNDVALUE(746)</f>
        <v>4753</v>
      </c>
      <c r="C40" s="101">
        <v>59408659</v>
      </c>
      <c r="D40" s="100">
        <f>_xlfn.COMPOUNDVALUE(747)</f>
        <v>2506</v>
      </c>
      <c r="E40" s="101">
        <v>800558</v>
      </c>
      <c r="F40" s="100">
        <f>_xlfn.COMPOUNDVALUE(748)</f>
        <v>7259</v>
      </c>
      <c r="G40" s="101">
        <v>60209217</v>
      </c>
      <c r="H40" s="100">
        <f>_xlfn.COMPOUNDVALUE(749)</f>
        <v>505</v>
      </c>
      <c r="I40" s="102">
        <v>4306171</v>
      </c>
      <c r="J40" s="100">
        <v>415</v>
      </c>
      <c r="K40" s="102">
        <v>24437</v>
      </c>
      <c r="L40" s="100">
        <v>7888</v>
      </c>
      <c r="M40" s="102">
        <v>55927483</v>
      </c>
      <c r="N40" s="100">
        <v>8165</v>
      </c>
      <c r="O40" s="103">
        <v>223</v>
      </c>
      <c r="P40" s="103">
        <v>50</v>
      </c>
      <c r="Q40" s="104">
        <v>8438</v>
      </c>
      <c r="R40" s="105" t="s">
        <v>85</v>
      </c>
    </row>
    <row r="41" spans="1:18" ht="15.75" customHeight="1">
      <c r="A41" s="99" t="s">
        <v>86</v>
      </c>
      <c r="B41" s="100">
        <f>_xlfn.COMPOUNDVALUE(750)</f>
        <v>1907</v>
      </c>
      <c r="C41" s="101">
        <v>6617724</v>
      </c>
      <c r="D41" s="100">
        <f>_xlfn.COMPOUNDVALUE(751)</f>
        <v>1558</v>
      </c>
      <c r="E41" s="101">
        <v>436964</v>
      </c>
      <c r="F41" s="100">
        <f>_xlfn.COMPOUNDVALUE(752)</f>
        <v>3465</v>
      </c>
      <c r="G41" s="101">
        <v>7054688</v>
      </c>
      <c r="H41" s="100">
        <f>_xlfn.COMPOUNDVALUE(753)</f>
        <v>110</v>
      </c>
      <c r="I41" s="102">
        <v>482874</v>
      </c>
      <c r="J41" s="100">
        <v>215</v>
      </c>
      <c r="K41" s="102">
        <v>284112</v>
      </c>
      <c r="L41" s="100">
        <v>3643</v>
      </c>
      <c r="M41" s="102">
        <v>6855926</v>
      </c>
      <c r="N41" s="100">
        <v>3596</v>
      </c>
      <c r="O41" s="103">
        <v>61</v>
      </c>
      <c r="P41" s="103">
        <v>13</v>
      </c>
      <c r="Q41" s="104">
        <v>3670</v>
      </c>
      <c r="R41" s="105" t="s">
        <v>86</v>
      </c>
    </row>
    <row r="42" spans="1:18" ht="15.75" customHeight="1">
      <c r="A42" s="168"/>
      <c r="B42" s="100"/>
      <c r="C42" s="101"/>
      <c r="D42" s="100"/>
      <c r="E42" s="101"/>
      <c r="F42" s="100"/>
      <c r="G42" s="101"/>
      <c r="H42" s="100"/>
      <c r="I42" s="102"/>
      <c r="J42" s="100"/>
      <c r="K42" s="102"/>
      <c r="L42" s="100"/>
      <c r="M42" s="102"/>
      <c r="N42" s="100"/>
      <c r="O42" s="103"/>
      <c r="P42" s="103"/>
      <c r="Q42" s="104"/>
      <c r="R42" s="170" t="s">
        <v>55</v>
      </c>
    </row>
    <row r="43" spans="1:18" ht="15.75" customHeight="1">
      <c r="A43" s="164" t="s">
        <v>87</v>
      </c>
      <c r="B43" s="100">
        <f>_xlfn.COMPOUNDVALUE(754)</f>
        <v>5301</v>
      </c>
      <c r="C43" s="101">
        <v>86443473</v>
      </c>
      <c r="D43" s="100">
        <f>_xlfn.COMPOUNDVALUE(755)</f>
        <v>2851</v>
      </c>
      <c r="E43" s="101">
        <v>924391</v>
      </c>
      <c r="F43" s="100">
        <f>_xlfn.COMPOUNDVALUE(756)</f>
        <v>8152</v>
      </c>
      <c r="G43" s="101">
        <v>87367864</v>
      </c>
      <c r="H43" s="100">
        <f>_xlfn.COMPOUNDVALUE(757)</f>
        <v>579</v>
      </c>
      <c r="I43" s="102">
        <v>8039203</v>
      </c>
      <c r="J43" s="100">
        <v>501</v>
      </c>
      <c r="K43" s="102">
        <v>3263</v>
      </c>
      <c r="L43" s="100">
        <v>8852</v>
      </c>
      <c r="M43" s="102">
        <v>79331923</v>
      </c>
      <c r="N43" s="100">
        <v>8774</v>
      </c>
      <c r="O43" s="103">
        <v>348</v>
      </c>
      <c r="P43" s="103">
        <v>65</v>
      </c>
      <c r="Q43" s="104">
        <v>9187</v>
      </c>
      <c r="R43" s="148" t="s">
        <v>87</v>
      </c>
    </row>
    <row r="44" spans="1:18" ht="15.75" customHeight="1">
      <c r="A44" s="99" t="s">
        <v>88</v>
      </c>
      <c r="B44" s="100">
        <f>_xlfn.COMPOUNDVALUE(758)</f>
        <v>3171</v>
      </c>
      <c r="C44" s="101">
        <v>39591691</v>
      </c>
      <c r="D44" s="100">
        <f>_xlfn.COMPOUNDVALUE(759)</f>
        <v>2155</v>
      </c>
      <c r="E44" s="101">
        <v>711890</v>
      </c>
      <c r="F44" s="100">
        <f>_xlfn.COMPOUNDVALUE(760)</f>
        <v>5326</v>
      </c>
      <c r="G44" s="101">
        <v>40303580</v>
      </c>
      <c r="H44" s="100">
        <f>_xlfn.COMPOUNDVALUE(761)</f>
        <v>298</v>
      </c>
      <c r="I44" s="102">
        <v>941357</v>
      </c>
      <c r="J44" s="100">
        <v>398</v>
      </c>
      <c r="K44" s="102">
        <v>-101609</v>
      </c>
      <c r="L44" s="100">
        <v>5717</v>
      </c>
      <c r="M44" s="102">
        <v>39260615</v>
      </c>
      <c r="N44" s="100">
        <v>5564</v>
      </c>
      <c r="O44" s="103">
        <v>220</v>
      </c>
      <c r="P44" s="103">
        <v>43</v>
      </c>
      <c r="Q44" s="104">
        <v>5827</v>
      </c>
      <c r="R44" s="105" t="s">
        <v>88</v>
      </c>
    </row>
    <row r="45" spans="1:18" ht="15.75" customHeight="1">
      <c r="A45" s="99" t="s">
        <v>89</v>
      </c>
      <c r="B45" s="100">
        <f>_xlfn.COMPOUNDVALUE(762)</f>
        <v>2115</v>
      </c>
      <c r="C45" s="101">
        <v>7956741</v>
      </c>
      <c r="D45" s="100">
        <f>_xlfn.COMPOUNDVALUE(763)</f>
        <v>1846</v>
      </c>
      <c r="E45" s="101">
        <v>574874</v>
      </c>
      <c r="F45" s="100">
        <f>_xlfn.COMPOUNDVALUE(764)</f>
        <v>3961</v>
      </c>
      <c r="G45" s="101">
        <v>8531615</v>
      </c>
      <c r="H45" s="100">
        <f>_xlfn.COMPOUNDVALUE(765)</f>
        <v>193</v>
      </c>
      <c r="I45" s="102">
        <v>1093087</v>
      </c>
      <c r="J45" s="100">
        <v>166</v>
      </c>
      <c r="K45" s="102">
        <v>5883</v>
      </c>
      <c r="L45" s="100">
        <v>4217</v>
      </c>
      <c r="M45" s="102">
        <v>7444412</v>
      </c>
      <c r="N45" s="100">
        <v>4307</v>
      </c>
      <c r="O45" s="103">
        <v>106</v>
      </c>
      <c r="P45" s="103">
        <v>10</v>
      </c>
      <c r="Q45" s="104">
        <v>4423</v>
      </c>
      <c r="R45" s="105" t="s">
        <v>89</v>
      </c>
    </row>
    <row r="46" spans="1:18" ht="15.75" customHeight="1">
      <c r="A46" s="99" t="s">
        <v>90</v>
      </c>
      <c r="B46" s="100">
        <f>_xlfn.COMPOUNDVALUE(766)</f>
        <v>6456</v>
      </c>
      <c r="C46" s="101">
        <v>37789307</v>
      </c>
      <c r="D46" s="100">
        <f>_xlfn.COMPOUNDVALUE(767)</f>
        <v>4460</v>
      </c>
      <c r="E46" s="101">
        <v>1568017</v>
      </c>
      <c r="F46" s="100">
        <f>_xlfn.COMPOUNDVALUE(768)</f>
        <v>10916</v>
      </c>
      <c r="G46" s="101">
        <v>39357324</v>
      </c>
      <c r="H46" s="100">
        <f>_xlfn.COMPOUNDVALUE(769)</f>
        <v>616</v>
      </c>
      <c r="I46" s="102">
        <v>3268077</v>
      </c>
      <c r="J46" s="100">
        <v>573</v>
      </c>
      <c r="K46" s="102">
        <v>173263</v>
      </c>
      <c r="L46" s="100">
        <v>11713</v>
      </c>
      <c r="M46" s="102">
        <v>36262510</v>
      </c>
      <c r="N46" s="100">
        <v>11702</v>
      </c>
      <c r="O46" s="103">
        <v>403</v>
      </c>
      <c r="P46" s="103">
        <v>99</v>
      </c>
      <c r="Q46" s="104">
        <v>12204</v>
      </c>
      <c r="R46" s="105" t="s">
        <v>90</v>
      </c>
    </row>
    <row r="47" spans="1:18" ht="15.75" customHeight="1">
      <c r="A47" s="99" t="s">
        <v>91</v>
      </c>
      <c r="B47" s="100">
        <f>_xlfn.COMPOUNDVALUE(770)</f>
        <v>4281</v>
      </c>
      <c r="C47" s="101">
        <v>22969526</v>
      </c>
      <c r="D47" s="100">
        <f>_xlfn.COMPOUNDVALUE(771)</f>
        <v>3056</v>
      </c>
      <c r="E47" s="101">
        <v>961367</v>
      </c>
      <c r="F47" s="100">
        <f>_xlfn.COMPOUNDVALUE(772)</f>
        <v>7337</v>
      </c>
      <c r="G47" s="101">
        <v>23930892</v>
      </c>
      <c r="H47" s="100">
        <f>_xlfn.COMPOUNDVALUE(773)</f>
        <v>381</v>
      </c>
      <c r="I47" s="102">
        <v>6557397</v>
      </c>
      <c r="J47" s="100">
        <v>432</v>
      </c>
      <c r="K47" s="102">
        <v>39412</v>
      </c>
      <c r="L47" s="100">
        <v>7826</v>
      </c>
      <c r="M47" s="102">
        <v>17412908</v>
      </c>
      <c r="N47" s="100">
        <v>7863</v>
      </c>
      <c r="O47" s="103">
        <v>203</v>
      </c>
      <c r="P47" s="103">
        <v>39</v>
      </c>
      <c r="Q47" s="104">
        <v>8105</v>
      </c>
      <c r="R47" s="105" t="s">
        <v>91</v>
      </c>
    </row>
    <row r="48" spans="1:18" ht="15.75" customHeight="1">
      <c r="A48" s="99"/>
      <c r="B48" s="100"/>
      <c r="C48" s="101"/>
      <c r="D48" s="100"/>
      <c r="E48" s="101"/>
      <c r="F48" s="100"/>
      <c r="G48" s="101"/>
      <c r="H48" s="100"/>
      <c r="I48" s="102"/>
      <c r="J48" s="100"/>
      <c r="K48" s="102"/>
      <c r="L48" s="100"/>
      <c r="M48" s="102"/>
      <c r="N48" s="100"/>
      <c r="O48" s="103"/>
      <c r="P48" s="103"/>
      <c r="Q48" s="104"/>
      <c r="R48" s="105" t="s">
        <v>55</v>
      </c>
    </row>
    <row r="49" spans="1:18" ht="15.75" customHeight="1">
      <c r="A49" s="99" t="s">
        <v>92</v>
      </c>
      <c r="B49" s="100">
        <f>_xlfn.COMPOUNDVALUE(774)</f>
        <v>2494</v>
      </c>
      <c r="C49" s="101">
        <v>7207126</v>
      </c>
      <c r="D49" s="100">
        <f>_xlfn.COMPOUNDVALUE(775)</f>
        <v>2063</v>
      </c>
      <c r="E49" s="101">
        <v>696208</v>
      </c>
      <c r="F49" s="100">
        <f>_xlfn.COMPOUNDVALUE(776)</f>
        <v>4557</v>
      </c>
      <c r="G49" s="101">
        <v>7903334</v>
      </c>
      <c r="H49" s="100">
        <f>_xlfn.COMPOUNDVALUE(777)</f>
        <v>259</v>
      </c>
      <c r="I49" s="102">
        <v>2431953</v>
      </c>
      <c r="J49" s="100">
        <v>241</v>
      </c>
      <c r="K49" s="102">
        <v>46917</v>
      </c>
      <c r="L49" s="100">
        <v>4895</v>
      </c>
      <c r="M49" s="102">
        <v>5518299</v>
      </c>
      <c r="N49" s="100">
        <v>4782</v>
      </c>
      <c r="O49" s="103">
        <v>155</v>
      </c>
      <c r="P49" s="103">
        <v>10</v>
      </c>
      <c r="Q49" s="104">
        <v>4947</v>
      </c>
      <c r="R49" s="105" t="s">
        <v>92</v>
      </c>
    </row>
    <row r="50" spans="1:18" ht="15.75" customHeight="1">
      <c r="A50" s="99" t="s">
        <v>93</v>
      </c>
      <c r="B50" s="100">
        <f>_xlfn.COMPOUNDVALUE(778)</f>
        <v>4622</v>
      </c>
      <c r="C50" s="101">
        <v>37218304</v>
      </c>
      <c r="D50" s="100">
        <f>_xlfn.COMPOUNDVALUE(779)</f>
        <v>3595</v>
      </c>
      <c r="E50" s="101">
        <v>1209450</v>
      </c>
      <c r="F50" s="100">
        <f>_xlfn.COMPOUNDVALUE(780)</f>
        <v>8217</v>
      </c>
      <c r="G50" s="101">
        <v>38427754</v>
      </c>
      <c r="H50" s="100">
        <f>_xlfn.COMPOUNDVALUE(781)</f>
        <v>355</v>
      </c>
      <c r="I50" s="102">
        <v>35825016</v>
      </c>
      <c r="J50" s="100">
        <v>374</v>
      </c>
      <c r="K50" s="102">
        <v>-44814</v>
      </c>
      <c r="L50" s="100">
        <v>8666</v>
      </c>
      <c r="M50" s="102">
        <v>2557925</v>
      </c>
      <c r="N50" s="100">
        <v>8936</v>
      </c>
      <c r="O50" s="103">
        <v>193</v>
      </c>
      <c r="P50" s="103">
        <v>22</v>
      </c>
      <c r="Q50" s="104">
        <v>9151</v>
      </c>
      <c r="R50" s="105" t="s">
        <v>93</v>
      </c>
    </row>
    <row r="51" spans="1:18" ht="15.75" customHeight="1">
      <c r="A51" s="99" t="s">
        <v>94</v>
      </c>
      <c r="B51" s="100">
        <f>_xlfn.COMPOUNDVALUE(782)</f>
        <v>4723</v>
      </c>
      <c r="C51" s="101">
        <v>13058723</v>
      </c>
      <c r="D51" s="100">
        <f>_xlfn.COMPOUNDVALUE(783)</f>
        <v>4010</v>
      </c>
      <c r="E51" s="101">
        <v>1391515</v>
      </c>
      <c r="F51" s="100">
        <f>_xlfn.COMPOUNDVALUE(784)</f>
        <v>8733</v>
      </c>
      <c r="G51" s="101">
        <v>14450237</v>
      </c>
      <c r="H51" s="100">
        <f>_xlfn.COMPOUNDVALUE(785)</f>
        <v>448</v>
      </c>
      <c r="I51" s="102">
        <v>674083</v>
      </c>
      <c r="J51" s="100">
        <v>520</v>
      </c>
      <c r="K51" s="102">
        <v>11513</v>
      </c>
      <c r="L51" s="100">
        <v>9396</v>
      </c>
      <c r="M51" s="102">
        <v>13787668</v>
      </c>
      <c r="N51" s="100">
        <v>9906</v>
      </c>
      <c r="O51" s="103">
        <v>282</v>
      </c>
      <c r="P51" s="103">
        <v>72</v>
      </c>
      <c r="Q51" s="104">
        <v>10260</v>
      </c>
      <c r="R51" s="105" t="s">
        <v>94</v>
      </c>
    </row>
    <row r="52" spans="1:18" ht="15.75" customHeight="1">
      <c r="A52" s="99" t="s">
        <v>95</v>
      </c>
      <c r="B52" s="100">
        <f>_xlfn.COMPOUNDVALUE(786)</f>
        <v>4188</v>
      </c>
      <c r="C52" s="101">
        <v>11228889</v>
      </c>
      <c r="D52" s="100">
        <f>_xlfn.COMPOUNDVALUE(787)</f>
        <v>3787</v>
      </c>
      <c r="E52" s="101">
        <v>1320326</v>
      </c>
      <c r="F52" s="100">
        <f>_xlfn.COMPOUNDVALUE(788)</f>
        <v>7975</v>
      </c>
      <c r="G52" s="101">
        <v>12549215</v>
      </c>
      <c r="H52" s="100">
        <f>_xlfn.COMPOUNDVALUE(789)</f>
        <v>302</v>
      </c>
      <c r="I52" s="102">
        <v>185168</v>
      </c>
      <c r="J52" s="100">
        <v>494</v>
      </c>
      <c r="K52" s="102">
        <v>73444</v>
      </c>
      <c r="L52" s="100">
        <v>8464</v>
      </c>
      <c r="M52" s="102">
        <v>12437491</v>
      </c>
      <c r="N52" s="100">
        <v>8890</v>
      </c>
      <c r="O52" s="103">
        <v>218</v>
      </c>
      <c r="P52" s="103">
        <v>31</v>
      </c>
      <c r="Q52" s="104">
        <v>9139</v>
      </c>
      <c r="R52" s="105" t="s">
        <v>95</v>
      </c>
    </row>
    <row r="53" spans="1:18" ht="15.75" customHeight="1">
      <c r="A53" s="99" t="s">
        <v>96</v>
      </c>
      <c r="B53" s="100">
        <f>_xlfn.COMPOUNDVALUE(790)</f>
        <v>4306</v>
      </c>
      <c r="C53" s="101">
        <v>19904200</v>
      </c>
      <c r="D53" s="100">
        <f>_xlfn.COMPOUNDVALUE(791)</f>
        <v>3397</v>
      </c>
      <c r="E53" s="101">
        <v>1184134</v>
      </c>
      <c r="F53" s="100">
        <f>_xlfn.COMPOUNDVALUE(792)</f>
        <v>7703</v>
      </c>
      <c r="G53" s="101">
        <v>21088334</v>
      </c>
      <c r="H53" s="100">
        <f>_xlfn.COMPOUNDVALUE(793)</f>
        <v>445</v>
      </c>
      <c r="I53" s="102">
        <v>1358703</v>
      </c>
      <c r="J53" s="100">
        <v>459</v>
      </c>
      <c r="K53" s="102">
        <v>102163</v>
      </c>
      <c r="L53" s="100">
        <v>8303</v>
      </c>
      <c r="M53" s="102">
        <v>19831793</v>
      </c>
      <c r="N53" s="100">
        <v>8421</v>
      </c>
      <c r="O53" s="103">
        <v>255</v>
      </c>
      <c r="P53" s="103">
        <v>39</v>
      </c>
      <c r="Q53" s="104">
        <v>8715</v>
      </c>
      <c r="R53" s="105" t="s">
        <v>96</v>
      </c>
    </row>
    <row r="54" spans="1:18" ht="15.75" customHeight="1">
      <c r="A54" s="99"/>
      <c r="B54" s="100"/>
      <c r="C54" s="101"/>
      <c r="D54" s="100"/>
      <c r="E54" s="101"/>
      <c r="F54" s="100"/>
      <c r="G54" s="101"/>
      <c r="H54" s="100"/>
      <c r="I54" s="102"/>
      <c r="J54" s="100"/>
      <c r="K54" s="102"/>
      <c r="L54" s="100"/>
      <c r="M54" s="102"/>
      <c r="N54" s="100"/>
      <c r="O54" s="103"/>
      <c r="P54" s="103"/>
      <c r="Q54" s="104"/>
      <c r="R54" s="105" t="s">
        <v>55</v>
      </c>
    </row>
    <row r="55" spans="1:18" ht="15.75" customHeight="1">
      <c r="A55" s="99" t="s">
        <v>97</v>
      </c>
      <c r="B55" s="100">
        <f>_xlfn.COMPOUNDVALUE(794)</f>
        <v>19819</v>
      </c>
      <c r="C55" s="101">
        <v>269549054</v>
      </c>
      <c r="D55" s="100">
        <f>_xlfn.COMPOUNDVALUE(795)</f>
        <v>8192</v>
      </c>
      <c r="E55" s="101">
        <v>3468431</v>
      </c>
      <c r="F55" s="100">
        <f>_xlfn.COMPOUNDVALUE(796)</f>
        <v>28011</v>
      </c>
      <c r="G55" s="101">
        <v>273017485</v>
      </c>
      <c r="H55" s="100">
        <f>_xlfn.COMPOUNDVALUE(797)</f>
        <v>2296</v>
      </c>
      <c r="I55" s="102">
        <v>16664023</v>
      </c>
      <c r="J55" s="100">
        <v>1771</v>
      </c>
      <c r="K55" s="102">
        <v>-140926</v>
      </c>
      <c r="L55" s="100">
        <v>30838</v>
      </c>
      <c r="M55" s="102">
        <v>256212536</v>
      </c>
      <c r="N55" s="100">
        <v>31630</v>
      </c>
      <c r="O55" s="103">
        <v>1296</v>
      </c>
      <c r="P55" s="103">
        <v>578</v>
      </c>
      <c r="Q55" s="104">
        <v>33504</v>
      </c>
      <c r="R55" s="105" t="s">
        <v>97</v>
      </c>
    </row>
    <row r="56" spans="1:18" ht="15.75" customHeight="1">
      <c r="A56" s="99" t="s">
        <v>98</v>
      </c>
      <c r="B56" s="100">
        <f>_xlfn.COMPOUNDVALUE(798)</f>
        <v>4924</v>
      </c>
      <c r="C56" s="101">
        <v>42743714</v>
      </c>
      <c r="D56" s="100">
        <f>_xlfn.COMPOUNDVALUE(799)</f>
        <v>3647</v>
      </c>
      <c r="E56" s="101">
        <v>1222210</v>
      </c>
      <c r="F56" s="100">
        <f>_xlfn.COMPOUNDVALUE(800)</f>
        <v>8571</v>
      </c>
      <c r="G56" s="101">
        <v>43965924</v>
      </c>
      <c r="H56" s="100">
        <f>_xlfn.COMPOUNDVALUE(801)</f>
        <v>495</v>
      </c>
      <c r="I56" s="102">
        <v>701568</v>
      </c>
      <c r="J56" s="100">
        <v>527</v>
      </c>
      <c r="K56" s="102">
        <v>47061</v>
      </c>
      <c r="L56" s="100">
        <v>9223</v>
      </c>
      <c r="M56" s="102">
        <v>43311417</v>
      </c>
      <c r="N56" s="100">
        <v>9649</v>
      </c>
      <c r="O56" s="103">
        <v>311</v>
      </c>
      <c r="P56" s="103">
        <v>59</v>
      </c>
      <c r="Q56" s="104">
        <v>10019</v>
      </c>
      <c r="R56" s="105" t="s">
        <v>98</v>
      </c>
    </row>
    <row r="57" spans="1:18" ht="15.75" customHeight="1">
      <c r="A57" s="99" t="s">
        <v>99</v>
      </c>
      <c r="B57" s="100">
        <f>_xlfn.COMPOUNDVALUE(802)</f>
        <v>4115</v>
      </c>
      <c r="C57" s="101">
        <v>15177318</v>
      </c>
      <c r="D57" s="100">
        <f>_xlfn.COMPOUNDVALUE(803)</f>
        <v>3373</v>
      </c>
      <c r="E57" s="101">
        <v>1124128</v>
      </c>
      <c r="F57" s="100">
        <f>_xlfn.COMPOUNDVALUE(804)</f>
        <v>7488</v>
      </c>
      <c r="G57" s="101">
        <v>16301446</v>
      </c>
      <c r="H57" s="100">
        <f>_xlfn.COMPOUNDVALUE(805)</f>
        <v>391</v>
      </c>
      <c r="I57" s="102">
        <v>899307</v>
      </c>
      <c r="J57" s="100">
        <v>436</v>
      </c>
      <c r="K57" s="102">
        <v>88424</v>
      </c>
      <c r="L57" s="100">
        <v>8054</v>
      </c>
      <c r="M57" s="102">
        <v>15490563</v>
      </c>
      <c r="N57" s="100">
        <v>8050</v>
      </c>
      <c r="O57" s="103">
        <v>258</v>
      </c>
      <c r="P57" s="103">
        <v>41</v>
      </c>
      <c r="Q57" s="104">
        <v>8349</v>
      </c>
      <c r="R57" s="105" t="s">
        <v>99</v>
      </c>
    </row>
    <row r="58" spans="1:18" ht="15.75" customHeight="1">
      <c r="A58" s="99" t="s">
        <v>100</v>
      </c>
      <c r="B58" s="100">
        <f>_xlfn.COMPOUNDVALUE(806)</f>
        <v>3018</v>
      </c>
      <c r="C58" s="101">
        <v>10223132</v>
      </c>
      <c r="D58" s="100">
        <f>_xlfn.COMPOUNDVALUE(807)</f>
        <v>2733</v>
      </c>
      <c r="E58" s="101">
        <v>957721</v>
      </c>
      <c r="F58" s="100">
        <f>_xlfn.COMPOUNDVALUE(808)</f>
        <v>5751</v>
      </c>
      <c r="G58" s="101">
        <v>11180852</v>
      </c>
      <c r="H58" s="100">
        <f>_xlfn.COMPOUNDVALUE(809)</f>
        <v>322</v>
      </c>
      <c r="I58" s="102">
        <v>648176</v>
      </c>
      <c r="J58" s="100">
        <v>374</v>
      </c>
      <c r="K58" s="102">
        <v>154657</v>
      </c>
      <c r="L58" s="100">
        <v>6202</v>
      </c>
      <c r="M58" s="102">
        <v>10687333</v>
      </c>
      <c r="N58" s="100">
        <v>5972</v>
      </c>
      <c r="O58" s="103">
        <v>216</v>
      </c>
      <c r="P58" s="103">
        <v>32</v>
      </c>
      <c r="Q58" s="104">
        <v>6220</v>
      </c>
      <c r="R58" s="105" t="s">
        <v>100</v>
      </c>
    </row>
    <row r="59" spans="1:18" ht="15.75" customHeight="1">
      <c r="A59" s="99" t="s">
        <v>101</v>
      </c>
      <c r="B59" s="100">
        <f>_xlfn.COMPOUNDVALUE(810)</f>
        <v>8867</v>
      </c>
      <c r="C59" s="101">
        <v>71772371</v>
      </c>
      <c r="D59" s="100">
        <f>_xlfn.COMPOUNDVALUE(811)</f>
        <v>4937</v>
      </c>
      <c r="E59" s="101">
        <v>1835679</v>
      </c>
      <c r="F59" s="100">
        <f>_xlfn.COMPOUNDVALUE(812)</f>
        <v>13804</v>
      </c>
      <c r="G59" s="101">
        <v>73608050</v>
      </c>
      <c r="H59" s="100">
        <f>_xlfn.COMPOUNDVALUE(813)</f>
        <v>989</v>
      </c>
      <c r="I59" s="102">
        <v>3372788</v>
      </c>
      <c r="J59" s="100">
        <v>932</v>
      </c>
      <c r="K59" s="102">
        <v>383341</v>
      </c>
      <c r="L59" s="100">
        <v>15054</v>
      </c>
      <c r="M59" s="102">
        <v>70618604</v>
      </c>
      <c r="N59" s="100">
        <v>14898</v>
      </c>
      <c r="O59" s="103">
        <v>488</v>
      </c>
      <c r="P59" s="103">
        <v>175</v>
      </c>
      <c r="Q59" s="104">
        <v>15561</v>
      </c>
      <c r="R59" s="105" t="s">
        <v>101</v>
      </c>
    </row>
    <row r="60" spans="1:18" ht="15.75" customHeight="1">
      <c r="A60" s="99"/>
      <c r="B60" s="100"/>
      <c r="C60" s="101"/>
      <c r="D60" s="100"/>
      <c r="E60" s="101"/>
      <c r="F60" s="100"/>
      <c r="G60" s="101"/>
      <c r="H60" s="100"/>
      <c r="I60" s="102"/>
      <c r="J60" s="100"/>
      <c r="K60" s="102"/>
      <c r="L60" s="100"/>
      <c r="M60" s="102"/>
      <c r="N60" s="100"/>
      <c r="O60" s="103"/>
      <c r="P60" s="103"/>
      <c r="Q60" s="104"/>
      <c r="R60" s="105" t="s">
        <v>55</v>
      </c>
    </row>
    <row r="61" spans="1:18" ht="15.75" customHeight="1">
      <c r="A61" s="99" t="s">
        <v>102</v>
      </c>
      <c r="B61" s="100">
        <f>_xlfn.COMPOUNDVALUE(814)</f>
        <v>4582</v>
      </c>
      <c r="C61" s="101">
        <v>32629163</v>
      </c>
      <c r="D61" s="100">
        <f>_xlfn.COMPOUNDVALUE(815)</f>
        <v>3446</v>
      </c>
      <c r="E61" s="101">
        <v>1103442</v>
      </c>
      <c r="F61" s="100">
        <f>_xlfn.COMPOUNDVALUE(816)</f>
        <v>8028</v>
      </c>
      <c r="G61" s="101">
        <v>33732605</v>
      </c>
      <c r="H61" s="100">
        <f>_xlfn.COMPOUNDVALUE(817)</f>
        <v>395</v>
      </c>
      <c r="I61" s="102">
        <v>952140</v>
      </c>
      <c r="J61" s="100">
        <v>462</v>
      </c>
      <c r="K61" s="102">
        <v>-66588</v>
      </c>
      <c r="L61" s="100">
        <v>8605</v>
      </c>
      <c r="M61" s="102">
        <v>32713877</v>
      </c>
      <c r="N61" s="100">
        <v>8678</v>
      </c>
      <c r="O61" s="103">
        <v>217</v>
      </c>
      <c r="P61" s="103">
        <v>38</v>
      </c>
      <c r="Q61" s="104">
        <v>8933</v>
      </c>
      <c r="R61" s="105" t="s">
        <v>102</v>
      </c>
    </row>
    <row r="62" spans="1:18" ht="15.75" customHeight="1">
      <c r="A62" s="99" t="s">
        <v>103</v>
      </c>
      <c r="B62" s="100">
        <f>_xlfn.COMPOUNDVALUE(818)</f>
        <v>3936</v>
      </c>
      <c r="C62" s="101">
        <v>17865307</v>
      </c>
      <c r="D62" s="100">
        <f>_xlfn.COMPOUNDVALUE(819)</f>
        <v>2761</v>
      </c>
      <c r="E62" s="101">
        <v>873114</v>
      </c>
      <c r="F62" s="100">
        <f>_xlfn.COMPOUNDVALUE(820)</f>
        <v>6697</v>
      </c>
      <c r="G62" s="101">
        <v>18738421</v>
      </c>
      <c r="H62" s="100">
        <f>_xlfn.COMPOUNDVALUE(821)</f>
        <v>337</v>
      </c>
      <c r="I62" s="102">
        <v>1146463</v>
      </c>
      <c r="J62" s="100">
        <v>353</v>
      </c>
      <c r="K62" s="102">
        <v>38972</v>
      </c>
      <c r="L62" s="100">
        <v>7167</v>
      </c>
      <c r="M62" s="102">
        <v>17630930</v>
      </c>
      <c r="N62" s="100">
        <v>7097</v>
      </c>
      <c r="O62" s="103">
        <v>164</v>
      </c>
      <c r="P62" s="103">
        <v>36</v>
      </c>
      <c r="Q62" s="104">
        <v>7297</v>
      </c>
      <c r="R62" s="105" t="s">
        <v>103</v>
      </c>
    </row>
    <row r="63" spans="1:18" ht="15.75" customHeight="1">
      <c r="A63" s="99" t="s">
        <v>104</v>
      </c>
      <c r="B63" s="100">
        <f>_xlfn.COMPOUNDVALUE(822)</f>
        <v>7382</v>
      </c>
      <c r="C63" s="101">
        <v>28664599</v>
      </c>
      <c r="D63" s="100">
        <f>_xlfn.COMPOUNDVALUE(823)</f>
        <v>5399</v>
      </c>
      <c r="E63" s="101">
        <v>1742936</v>
      </c>
      <c r="F63" s="100">
        <f>_xlfn.COMPOUNDVALUE(824)</f>
        <v>12781</v>
      </c>
      <c r="G63" s="101">
        <v>30407535</v>
      </c>
      <c r="H63" s="100">
        <f>_xlfn.COMPOUNDVALUE(825)</f>
        <v>528</v>
      </c>
      <c r="I63" s="102">
        <v>2795867</v>
      </c>
      <c r="J63" s="100">
        <v>743</v>
      </c>
      <c r="K63" s="102">
        <v>107813</v>
      </c>
      <c r="L63" s="100">
        <v>13522</v>
      </c>
      <c r="M63" s="102">
        <v>27719480</v>
      </c>
      <c r="N63" s="100">
        <v>13847</v>
      </c>
      <c r="O63" s="103">
        <v>315</v>
      </c>
      <c r="P63" s="103">
        <v>31</v>
      </c>
      <c r="Q63" s="104">
        <v>14193</v>
      </c>
      <c r="R63" s="105" t="s">
        <v>104</v>
      </c>
    </row>
    <row r="64" spans="1:18" ht="15.75" customHeight="1">
      <c r="A64" s="99" t="s">
        <v>105</v>
      </c>
      <c r="B64" s="100">
        <f>_xlfn.COMPOUNDVALUE(826)</f>
        <v>5206</v>
      </c>
      <c r="C64" s="101">
        <v>12689692</v>
      </c>
      <c r="D64" s="100">
        <f>_xlfn.COMPOUNDVALUE(827)</f>
        <v>4338</v>
      </c>
      <c r="E64" s="101">
        <v>1391691</v>
      </c>
      <c r="F64" s="100">
        <f>_xlfn.COMPOUNDVALUE(828)</f>
        <v>9544</v>
      </c>
      <c r="G64" s="101">
        <v>14081383</v>
      </c>
      <c r="H64" s="100">
        <f>_xlfn.COMPOUNDVALUE(829)</f>
        <v>350</v>
      </c>
      <c r="I64" s="102">
        <v>1990430</v>
      </c>
      <c r="J64" s="100">
        <v>592</v>
      </c>
      <c r="K64" s="102">
        <v>110903</v>
      </c>
      <c r="L64" s="100">
        <v>10097</v>
      </c>
      <c r="M64" s="102">
        <v>12201857</v>
      </c>
      <c r="N64" s="100">
        <v>10286</v>
      </c>
      <c r="O64" s="103">
        <v>268</v>
      </c>
      <c r="P64" s="103">
        <v>23</v>
      </c>
      <c r="Q64" s="104">
        <v>10577</v>
      </c>
      <c r="R64" s="105" t="s">
        <v>105</v>
      </c>
    </row>
    <row r="65" spans="1:18" ht="15.75" customHeight="1">
      <c r="A65" s="106" t="s">
        <v>106</v>
      </c>
      <c r="B65" s="107">
        <f>_xlfn.COMPOUNDVALUE(830)</f>
        <v>3080</v>
      </c>
      <c r="C65" s="108">
        <v>5760320</v>
      </c>
      <c r="D65" s="107">
        <f>_xlfn.COMPOUNDVALUE(831)</f>
        <v>2890</v>
      </c>
      <c r="E65" s="108">
        <v>951189</v>
      </c>
      <c r="F65" s="107">
        <f>_xlfn.COMPOUNDVALUE(832)</f>
        <v>5970</v>
      </c>
      <c r="G65" s="108">
        <v>6711509</v>
      </c>
      <c r="H65" s="107">
        <f>_xlfn.COMPOUNDVALUE(833)</f>
        <v>256</v>
      </c>
      <c r="I65" s="109">
        <v>303547</v>
      </c>
      <c r="J65" s="107">
        <v>458</v>
      </c>
      <c r="K65" s="109">
        <v>11726</v>
      </c>
      <c r="L65" s="107">
        <v>6415</v>
      </c>
      <c r="M65" s="109">
        <v>6419688</v>
      </c>
      <c r="N65" s="100">
        <v>6489</v>
      </c>
      <c r="O65" s="103">
        <v>145</v>
      </c>
      <c r="P65" s="103">
        <v>15</v>
      </c>
      <c r="Q65" s="104">
        <v>6649</v>
      </c>
      <c r="R65" s="105" t="s">
        <v>106</v>
      </c>
    </row>
    <row r="66" spans="1:18" ht="15.75" customHeight="1">
      <c r="A66" s="106"/>
      <c r="B66" s="107"/>
      <c r="C66" s="108"/>
      <c r="D66" s="107"/>
      <c r="E66" s="108"/>
      <c r="F66" s="107"/>
      <c r="G66" s="108"/>
      <c r="H66" s="107"/>
      <c r="I66" s="109"/>
      <c r="J66" s="107"/>
      <c r="K66" s="109"/>
      <c r="L66" s="107"/>
      <c r="M66" s="109"/>
      <c r="N66" s="100"/>
      <c r="O66" s="103"/>
      <c r="P66" s="103"/>
      <c r="Q66" s="104"/>
      <c r="R66" s="105" t="s">
        <v>55</v>
      </c>
    </row>
    <row r="67" spans="1:18" ht="15.75" customHeight="1">
      <c r="A67" s="106" t="s">
        <v>107</v>
      </c>
      <c r="B67" s="107">
        <f>_xlfn.COMPOUNDVALUE(834)</f>
        <v>5496</v>
      </c>
      <c r="C67" s="108">
        <v>15382814</v>
      </c>
      <c r="D67" s="107">
        <f>_xlfn.COMPOUNDVALUE(835)</f>
        <v>4044</v>
      </c>
      <c r="E67" s="108">
        <v>1329755</v>
      </c>
      <c r="F67" s="107">
        <f>_xlfn.COMPOUNDVALUE(836)</f>
        <v>9540</v>
      </c>
      <c r="G67" s="108">
        <v>16712570</v>
      </c>
      <c r="H67" s="107">
        <f>_xlfn.COMPOUNDVALUE(837)</f>
        <v>413</v>
      </c>
      <c r="I67" s="109">
        <v>1583915</v>
      </c>
      <c r="J67" s="107">
        <v>588</v>
      </c>
      <c r="K67" s="109">
        <v>125352</v>
      </c>
      <c r="L67" s="107">
        <v>10221</v>
      </c>
      <c r="M67" s="109">
        <v>15254007</v>
      </c>
      <c r="N67" s="100">
        <v>10404</v>
      </c>
      <c r="O67" s="103">
        <v>195</v>
      </c>
      <c r="P67" s="103">
        <v>33</v>
      </c>
      <c r="Q67" s="104">
        <v>10632</v>
      </c>
      <c r="R67" s="105" t="s">
        <v>107</v>
      </c>
    </row>
    <row r="68" spans="1:18" ht="15.75" customHeight="1">
      <c r="A68" s="106" t="s">
        <v>108</v>
      </c>
      <c r="B68" s="107">
        <f>_xlfn.COMPOUNDVALUE(838)</f>
        <v>4429</v>
      </c>
      <c r="C68" s="108">
        <v>11563254</v>
      </c>
      <c r="D68" s="107">
        <f>_xlfn.COMPOUNDVALUE(839)</f>
        <v>3410</v>
      </c>
      <c r="E68" s="108">
        <v>1062447</v>
      </c>
      <c r="F68" s="107">
        <f>_xlfn.COMPOUNDVALUE(840)</f>
        <v>7839</v>
      </c>
      <c r="G68" s="108">
        <v>12625702</v>
      </c>
      <c r="H68" s="107">
        <f>_xlfn.COMPOUNDVALUE(841)</f>
        <v>265</v>
      </c>
      <c r="I68" s="109">
        <v>685797</v>
      </c>
      <c r="J68" s="107">
        <v>395</v>
      </c>
      <c r="K68" s="109">
        <v>93948</v>
      </c>
      <c r="L68" s="107">
        <v>8256</v>
      </c>
      <c r="M68" s="109">
        <v>12033853</v>
      </c>
      <c r="N68" s="100">
        <v>8630</v>
      </c>
      <c r="O68" s="103">
        <v>129</v>
      </c>
      <c r="P68" s="103">
        <v>13</v>
      </c>
      <c r="Q68" s="104">
        <v>8772</v>
      </c>
      <c r="R68" s="105" t="s">
        <v>108</v>
      </c>
    </row>
    <row r="69" spans="1:18" ht="15.75" customHeight="1">
      <c r="A69" s="106" t="s">
        <v>109</v>
      </c>
      <c r="B69" s="107">
        <f>_xlfn.COMPOUNDVALUE(842)</f>
        <v>6001</v>
      </c>
      <c r="C69" s="108">
        <v>14530593</v>
      </c>
      <c r="D69" s="107">
        <f>_xlfn.COMPOUNDVALUE(843)</f>
        <v>5001</v>
      </c>
      <c r="E69" s="108">
        <v>1508418</v>
      </c>
      <c r="F69" s="107">
        <f>_xlfn.COMPOUNDVALUE(844)</f>
        <v>11002</v>
      </c>
      <c r="G69" s="108">
        <v>16039011</v>
      </c>
      <c r="H69" s="107">
        <f>_xlfn.COMPOUNDVALUE(845)</f>
        <v>420</v>
      </c>
      <c r="I69" s="109">
        <v>899282</v>
      </c>
      <c r="J69" s="107">
        <v>634</v>
      </c>
      <c r="K69" s="109">
        <v>69431</v>
      </c>
      <c r="L69" s="107">
        <v>11620</v>
      </c>
      <c r="M69" s="109">
        <v>15209160</v>
      </c>
      <c r="N69" s="100">
        <v>11839</v>
      </c>
      <c r="O69" s="103">
        <v>234</v>
      </c>
      <c r="P69" s="103">
        <v>42</v>
      </c>
      <c r="Q69" s="104">
        <v>12115</v>
      </c>
      <c r="R69" s="105" t="s">
        <v>109</v>
      </c>
    </row>
    <row r="70" spans="1:18" ht="15.75" customHeight="1">
      <c r="A70" s="106" t="s">
        <v>110</v>
      </c>
      <c r="B70" s="107">
        <f>_xlfn.COMPOUNDVALUE(846)</f>
        <v>6551</v>
      </c>
      <c r="C70" s="108">
        <v>15676570</v>
      </c>
      <c r="D70" s="107">
        <f>_xlfn.COMPOUNDVALUE(847)</f>
        <v>5045</v>
      </c>
      <c r="E70" s="108">
        <v>1609890</v>
      </c>
      <c r="F70" s="107">
        <f>_xlfn.COMPOUNDVALUE(848)</f>
        <v>11596</v>
      </c>
      <c r="G70" s="108">
        <v>17286460</v>
      </c>
      <c r="H70" s="107">
        <f>_xlfn.COMPOUNDVALUE(849)</f>
        <v>448</v>
      </c>
      <c r="I70" s="109">
        <v>1511603</v>
      </c>
      <c r="J70" s="107">
        <v>661</v>
      </c>
      <c r="K70" s="109">
        <v>119524</v>
      </c>
      <c r="L70" s="107">
        <v>12261</v>
      </c>
      <c r="M70" s="109">
        <v>15894381</v>
      </c>
      <c r="N70" s="100">
        <v>12515</v>
      </c>
      <c r="O70" s="103">
        <v>212</v>
      </c>
      <c r="P70" s="103">
        <v>24</v>
      </c>
      <c r="Q70" s="104">
        <v>12751</v>
      </c>
      <c r="R70" s="105" t="s">
        <v>110</v>
      </c>
    </row>
    <row r="71" spans="1:18" ht="15.75" customHeight="1">
      <c r="A71" s="106" t="s">
        <v>111</v>
      </c>
      <c r="B71" s="107">
        <f>_xlfn.COMPOUNDVALUE(850)</f>
        <v>3137</v>
      </c>
      <c r="C71" s="108">
        <v>10290957</v>
      </c>
      <c r="D71" s="107">
        <f>_xlfn.COMPOUNDVALUE(851)</f>
        <v>2052</v>
      </c>
      <c r="E71" s="108">
        <v>695043</v>
      </c>
      <c r="F71" s="107">
        <f>_xlfn.COMPOUNDVALUE(852)</f>
        <v>5189</v>
      </c>
      <c r="G71" s="108">
        <v>10986000</v>
      </c>
      <c r="H71" s="107">
        <f>_xlfn.COMPOUNDVALUE(853)</f>
        <v>245</v>
      </c>
      <c r="I71" s="109">
        <v>721434</v>
      </c>
      <c r="J71" s="107">
        <v>335</v>
      </c>
      <c r="K71" s="109">
        <v>35566</v>
      </c>
      <c r="L71" s="107">
        <v>5555</v>
      </c>
      <c r="M71" s="109">
        <v>10300133</v>
      </c>
      <c r="N71" s="100">
        <v>5613</v>
      </c>
      <c r="O71" s="103">
        <v>168</v>
      </c>
      <c r="P71" s="103">
        <v>16</v>
      </c>
      <c r="Q71" s="104">
        <v>5797</v>
      </c>
      <c r="R71" s="105" t="s">
        <v>111</v>
      </c>
    </row>
    <row r="72" spans="1:18" ht="15.75" customHeight="1">
      <c r="A72" s="110" t="s">
        <v>112</v>
      </c>
      <c r="B72" s="111">
        <v>252987</v>
      </c>
      <c r="C72" s="112">
        <v>3411776545</v>
      </c>
      <c r="D72" s="111">
        <v>141644</v>
      </c>
      <c r="E72" s="112">
        <v>51556609</v>
      </c>
      <c r="F72" s="111">
        <v>394631</v>
      </c>
      <c r="G72" s="112">
        <v>3463333150</v>
      </c>
      <c r="H72" s="111">
        <v>33782</v>
      </c>
      <c r="I72" s="113">
        <v>945676943</v>
      </c>
      <c r="J72" s="111">
        <v>26262</v>
      </c>
      <c r="K72" s="113">
        <v>3444804</v>
      </c>
      <c r="L72" s="111">
        <v>435492</v>
      </c>
      <c r="M72" s="113">
        <v>2521101019</v>
      </c>
      <c r="N72" s="111">
        <v>429079</v>
      </c>
      <c r="O72" s="129">
        <v>20563</v>
      </c>
      <c r="P72" s="129">
        <v>5106</v>
      </c>
      <c r="Q72" s="130">
        <v>454748</v>
      </c>
      <c r="R72" s="131" t="s">
        <v>113</v>
      </c>
    </row>
    <row r="73" spans="1:18" ht="15.75" customHeight="1">
      <c r="A73" s="132"/>
      <c r="B73" s="141"/>
      <c r="C73" s="142"/>
      <c r="D73" s="141"/>
      <c r="E73" s="142"/>
      <c r="F73" s="141"/>
      <c r="G73" s="142"/>
      <c r="H73" s="141"/>
      <c r="I73" s="143"/>
      <c r="J73" s="141"/>
      <c r="K73" s="143"/>
      <c r="L73" s="141"/>
      <c r="M73" s="143"/>
      <c r="N73" s="136"/>
      <c r="O73" s="137"/>
      <c r="P73" s="137"/>
      <c r="Q73" s="138"/>
      <c r="R73" s="139" t="s">
        <v>55</v>
      </c>
    </row>
    <row r="74" spans="1:18" ht="15.75" customHeight="1">
      <c r="A74" s="99" t="s">
        <v>114</v>
      </c>
      <c r="B74" s="100">
        <f>_xlfn.COMPOUNDVALUE(854)</f>
        <v>5683</v>
      </c>
      <c r="C74" s="101">
        <v>17504270</v>
      </c>
      <c r="D74" s="100">
        <f>_xlfn.COMPOUNDVALUE(855)</f>
        <v>4762</v>
      </c>
      <c r="E74" s="101">
        <v>1517448</v>
      </c>
      <c r="F74" s="100">
        <f>_xlfn.COMPOUNDVALUE(856)</f>
        <v>10445</v>
      </c>
      <c r="G74" s="101">
        <v>19021718</v>
      </c>
      <c r="H74" s="100">
        <f>_xlfn.COMPOUNDVALUE(857)</f>
        <v>392</v>
      </c>
      <c r="I74" s="102">
        <v>2092998</v>
      </c>
      <c r="J74" s="100">
        <v>612</v>
      </c>
      <c r="K74" s="102">
        <v>-29580</v>
      </c>
      <c r="L74" s="100">
        <v>11044</v>
      </c>
      <c r="M74" s="102">
        <v>16899140</v>
      </c>
      <c r="N74" s="144">
        <v>11218</v>
      </c>
      <c r="O74" s="145">
        <v>276</v>
      </c>
      <c r="P74" s="145">
        <v>40</v>
      </c>
      <c r="Q74" s="146">
        <v>11534</v>
      </c>
      <c r="R74" s="147" t="s">
        <v>114</v>
      </c>
    </row>
    <row r="75" spans="1:18" ht="15.75" customHeight="1">
      <c r="A75" s="106" t="s">
        <v>115</v>
      </c>
      <c r="B75" s="107">
        <f>_xlfn.COMPOUNDVALUE(858)</f>
        <v>6990</v>
      </c>
      <c r="C75" s="108">
        <v>25547730</v>
      </c>
      <c r="D75" s="107">
        <f>_xlfn.COMPOUNDVALUE(859)</f>
        <v>6119</v>
      </c>
      <c r="E75" s="108">
        <v>2079343</v>
      </c>
      <c r="F75" s="107">
        <f>_xlfn.COMPOUNDVALUE(860)</f>
        <v>13109</v>
      </c>
      <c r="G75" s="108">
        <v>27627073</v>
      </c>
      <c r="H75" s="107">
        <f>_xlfn.COMPOUNDVALUE(861)</f>
        <v>512</v>
      </c>
      <c r="I75" s="109">
        <v>1569326</v>
      </c>
      <c r="J75" s="107">
        <v>822</v>
      </c>
      <c r="K75" s="109">
        <v>59468</v>
      </c>
      <c r="L75" s="107">
        <v>13871</v>
      </c>
      <c r="M75" s="109">
        <v>26117215</v>
      </c>
      <c r="N75" s="100">
        <v>14179</v>
      </c>
      <c r="O75" s="103">
        <v>317</v>
      </c>
      <c r="P75" s="103">
        <v>35</v>
      </c>
      <c r="Q75" s="104">
        <v>14531</v>
      </c>
      <c r="R75" s="105" t="s">
        <v>115</v>
      </c>
    </row>
    <row r="76" spans="1:18" ht="15.75" customHeight="1">
      <c r="A76" s="106" t="s">
        <v>116</v>
      </c>
      <c r="B76" s="107">
        <f>_xlfn.COMPOUNDVALUE(862)</f>
        <v>4909</v>
      </c>
      <c r="C76" s="108">
        <v>22136162</v>
      </c>
      <c r="D76" s="107">
        <f>_xlfn.COMPOUNDVALUE(863)</f>
        <v>4516</v>
      </c>
      <c r="E76" s="108">
        <v>1542942</v>
      </c>
      <c r="F76" s="107">
        <f>_xlfn.COMPOUNDVALUE(864)</f>
        <v>9425</v>
      </c>
      <c r="G76" s="108">
        <v>23679104</v>
      </c>
      <c r="H76" s="107">
        <f>_xlfn.COMPOUNDVALUE(865)</f>
        <v>458</v>
      </c>
      <c r="I76" s="109">
        <v>1751886</v>
      </c>
      <c r="J76" s="107">
        <v>509</v>
      </c>
      <c r="K76" s="109">
        <v>80389</v>
      </c>
      <c r="L76" s="107">
        <v>10077</v>
      </c>
      <c r="M76" s="109">
        <v>22007607</v>
      </c>
      <c r="N76" s="100">
        <v>10048</v>
      </c>
      <c r="O76" s="103">
        <v>261</v>
      </c>
      <c r="P76" s="103">
        <v>44</v>
      </c>
      <c r="Q76" s="104">
        <v>10353</v>
      </c>
      <c r="R76" s="105" t="s">
        <v>116</v>
      </c>
    </row>
    <row r="77" spans="1:18" ht="15.75" customHeight="1">
      <c r="A77" s="106" t="s">
        <v>117</v>
      </c>
      <c r="B77" s="107">
        <f>_xlfn.COMPOUNDVALUE(866)</f>
        <v>4208</v>
      </c>
      <c r="C77" s="108">
        <v>12385061</v>
      </c>
      <c r="D77" s="107">
        <f>_xlfn.COMPOUNDVALUE(867)</f>
        <v>3879</v>
      </c>
      <c r="E77" s="108">
        <v>1223890</v>
      </c>
      <c r="F77" s="107">
        <f>_xlfn.COMPOUNDVALUE(868)</f>
        <v>8087</v>
      </c>
      <c r="G77" s="108">
        <v>13608951</v>
      </c>
      <c r="H77" s="107">
        <f>_xlfn.COMPOUNDVALUE(869)</f>
        <v>250</v>
      </c>
      <c r="I77" s="109">
        <v>984656</v>
      </c>
      <c r="J77" s="107">
        <v>396</v>
      </c>
      <c r="K77" s="109">
        <v>47188</v>
      </c>
      <c r="L77" s="107">
        <v>8463</v>
      </c>
      <c r="M77" s="109">
        <v>12671483</v>
      </c>
      <c r="N77" s="100">
        <v>8760</v>
      </c>
      <c r="O77" s="103">
        <v>147</v>
      </c>
      <c r="P77" s="103">
        <v>16</v>
      </c>
      <c r="Q77" s="104">
        <v>8923</v>
      </c>
      <c r="R77" s="105" t="s">
        <v>117</v>
      </c>
    </row>
    <row r="78" spans="1:18" ht="15.75" customHeight="1">
      <c r="A78" s="106" t="s">
        <v>118</v>
      </c>
      <c r="B78" s="107">
        <f>_xlfn.COMPOUNDVALUE(870)</f>
        <v>5611</v>
      </c>
      <c r="C78" s="108">
        <v>25097488</v>
      </c>
      <c r="D78" s="107">
        <f>_xlfn.COMPOUNDVALUE(871)</f>
        <v>4923</v>
      </c>
      <c r="E78" s="108">
        <v>1616765</v>
      </c>
      <c r="F78" s="107">
        <f>_xlfn.COMPOUNDVALUE(872)</f>
        <v>10534</v>
      </c>
      <c r="G78" s="108">
        <v>26714253</v>
      </c>
      <c r="H78" s="107">
        <f>_xlfn.COMPOUNDVALUE(873)</f>
        <v>397</v>
      </c>
      <c r="I78" s="109">
        <v>1933779</v>
      </c>
      <c r="J78" s="107">
        <v>683</v>
      </c>
      <c r="K78" s="109">
        <v>149583</v>
      </c>
      <c r="L78" s="107">
        <v>11175</v>
      </c>
      <c r="M78" s="109">
        <v>24930057</v>
      </c>
      <c r="N78" s="100">
        <v>11489</v>
      </c>
      <c r="O78" s="103">
        <v>276</v>
      </c>
      <c r="P78" s="103">
        <v>27</v>
      </c>
      <c r="Q78" s="104">
        <v>11792</v>
      </c>
      <c r="R78" s="105" t="s">
        <v>118</v>
      </c>
    </row>
    <row r="79" spans="1:18" ht="15.75" customHeight="1">
      <c r="A79" s="168"/>
      <c r="B79" s="171"/>
      <c r="C79" s="172"/>
      <c r="D79" s="171"/>
      <c r="E79" s="172"/>
      <c r="F79" s="171"/>
      <c r="G79" s="172"/>
      <c r="H79" s="171"/>
      <c r="I79" s="173"/>
      <c r="J79" s="171"/>
      <c r="K79" s="173"/>
      <c r="L79" s="171"/>
      <c r="M79" s="172"/>
      <c r="N79" s="100"/>
      <c r="O79" s="103"/>
      <c r="P79" s="103"/>
      <c r="Q79" s="104"/>
      <c r="R79" s="170" t="s">
        <v>55</v>
      </c>
    </row>
    <row r="80" spans="1:18" ht="15.75" customHeight="1">
      <c r="A80" s="99" t="s">
        <v>119</v>
      </c>
      <c r="B80" s="100">
        <f>_xlfn.COMPOUNDVALUE(874)</f>
        <v>3934</v>
      </c>
      <c r="C80" s="101">
        <v>9655803</v>
      </c>
      <c r="D80" s="100">
        <f>_xlfn.COMPOUNDVALUE(875)</f>
        <v>3517</v>
      </c>
      <c r="E80" s="101">
        <v>1173703</v>
      </c>
      <c r="F80" s="100">
        <f>_xlfn.COMPOUNDVALUE(876)</f>
        <v>7451</v>
      </c>
      <c r="G80" s="101">
        <v>10829506</v>
      </c>
      <c r="H80" s="100">
        <f>_xlfn.COMPOUNDVALUE(877)</f>
        <v>276</v>
      </c>
      <c r="I80" s="102">
        <v>458732</v>
      </c>
      <c r="J80" s="100">
        <v>494</v>
      </c>
      <c r="K80" s="102">
        <v>50938</v>
      </c>
      <c r="L80" s="100">
        <v>7880</v>
      </c>
      <c r="M80" s="101">
        <v>10421711</v>
      </c>
      <c r="N80" s="100">
        <v>8337</v>
      </c>
      <c r="O80" s="103">
        <v>224</v>
      </c>
      <c r="P80" s="103">
        <v>28</v>
      </c>
      <c r="Q80" s="104">
        <v>8589</v>
      </c>
      <c r="R80" s="148" t="s">
        <v>119</v>
      </c>
    </row>
    <row r="81" spans="1:18" ht="15.75" customHeight="1">
      <c r="A81" s="106" t="s">
        <v>120</v>
      </c>
      <c r="B81" s="107">
        <f>_xlfn.COMPOUNDVALUE(878)</f>
        <v>2940</v>
      </c>
      <c r="C81" s="108">
        <v>13160595</v>
      </c>
      <c r="D81" s="107">
        <f>_xlfn.COMPOUNDVALUE(879)</f>
        <v>2746</v>
      </c>
      <c r="E81" s="108">
        <v>904537</v>
      </c>
      <c r="F81" s="107">
        <f>_xlfn.COMPOUNDVALUE(880)</f>
        <v>5686</v>
      </c>
      <c r="G81" s="108">
        <v>14065132</v>
      </c>
      <c r="H81" s="107">
        <f>_xlfn.COMPOUNDVALUE(881)</f>
        <v>222</v>
      </c>
      <c r="I81" s="109">
        <v>3897284</v>
      </c>
      <c r="J81" s="107">
        <v>441</v>
      </c>
      <c r="K81" s="109">
        <v>82017</v>
      </c>
      <c r="L81" s="107">
        <v>6103</v>
      </c>
      <c r="M81" s="109">
        <v>10249866</v>
      </c>
      <c r="N81" s="100">
        <v>6210</v>
      </c>
      <c r="O81" s="103">
        <v>142</v>
      </c>
      <c r="P81" s="103">
        <v>15</v>
      </c>
      <c r="Q81" s="104">
        <v>6367</v>
      </c>
      <c r="R81" s="105" t="s">
        <v>120</v>
      </c>
    </row>
    <row r="82" spans="1:18" ht="15.75" customHeight="1">
      <c r="A82" s="106" t="s">
        <v>121</v>
      </c>
      <c r="B82" s="107">
        <f>_xlfn.COMPOUNDVALUE(882)</f>
        <v>6060</v>
      </c>
      <c r="C82" s="108">
        <v>15168192</v>
      </c>
      <c r="D82" s="107">
        <f>_xlfn.COMPOUNDVALUE(883)</f>
        <v>5641</v>
      </c>
      <c r="E82" s="108">
        <v>1761232</v>
      </c>
      <c r="F82" s="107">
        <f>_xlfn.COMPOUNDVALUE(884)</f>
        <v>11701</v>
      </c>
      <c r="G82" s="108">
        <v>16929425</v>
      </c>
      <c r="H82" s="107">
        <f>_xlfn.COMPOUNDVALUE(885)</f>
        <v>393</v>
      </c>
      <c r="I82" s="109">
        <v>2590299</v>
      </c>
      <c r="J82" s="107">
        <v>695</v>
      </c>
      <c r="K82" s="109">
        <v>39659</v>
      </c>
      <c r="L82" s="107">
        <v>12389</v>
      </c>
      <c r="M82" s="109">
        <v>14378785</v>
      </c>
      <c r="N82" s="100">
        <v>12248</v>
      </c>
      <c r="O82" s="103">
        <v>264</v>
      </c>
      <c r="P82" s="103">
        <v>30</v>
      </c>
      <c r="Q82" s="104">
        <v>12542</v>
      </c>
      <c r="R82" s="105" t="s">
        <v>121</v>
      </c>
    </row>
    <row r="83" spans="1:18" ht="15.75" customHeight="1">
      <c r="A83" s="110" t="s">
        <v>122</v>
      </c>
      <c r="B83" s="111">
        <v>40335</v>
      </c>
      <c r="C83" s="112">
        <v>140655301</v>
      </c>
      <c r="D83" s="111">
        <v>36103</v>
      </c>
      <c r="E83" s="112">
        <v>11819860</v>
      </c>
      <c r="F83" s="111">
        <v>76438</v>
      </c>
      <c r="G83" s="112">
        <v>152475162</v>
      </c>
      <c r="H83" s="111">
        <v>2900</v>
      </c>
      <c r="I83" s="113">
        <v>15278960</v>
      </c>
      <c r="J83" s="111">
        <v>4652</v>
      </c>
      <c r="K83" s="113">
        <v>479662</v>
      </c>
      <c r="L83" s="111">
        <v>81002</v>
      </c>
      <c r="M83" s="113">
        <v>137675864</v>
      </c>
      <c r="N83" s="111">
        <v>82489</v>
      </c>
      <c r="O83" s="129">
        <v>1907</v>
      </c>
      <c r="P83" s="129">
        <v>235</v>
      </c>
      <c r="Q83" s="130">
        <v>84631</v>
      </c>
      <c r="R83" s="131" t="s">
        <v>123</v>
      </c>
    </row>
    <row r="84" spans="1:18" ht="15.75" customHeight="1">
      <c r="A84" s="132"/>
      <c r="B84" s="141"/>
      <c r="C84" s="142"/>
      <c r="D84" s="141"/>
      <c r="E84" s="142"/>
      <c r="F84" s="141"/>
      <c r="G84" s="142"/>
      <c r="H84" s="141"/>
      <c r="I84" s="143"/>
      <c r="J84" s="141"/>
      <c r="K84" s="143"/>
      <c r="L84" s="141"/>
      <c r="M84" s="143"/>
      <c r="N84" s="136"/>
      <c r="O84" s="137"/>
      <c r="P84" s="137"/>
      <c r="Q84" s="138"/>
      <c r="R84" s="139" t="s">
        <v>55</v>
      </c>
    </row>
    <row r="85" spans="1:18" ht="15.75" customHeight="1">
      <c r="A85" s="110" t="s">
        <v>124</v>
      </c>
      <c r="B85" s="111">
        <v>293322</v>
      </c>
      <c r="C85" s="112">
        <v>3552431844</v>
      </c>
      <c r="D85" s="111">
        <v>177747</v>
      </c>
      <c r="E85" s="112">
        <v>63376467</v>
      </c>
      <c r="F85" s="111">
        <v>471069</v>
      </c>
      <c r="G85" s="112">
        <v>3615808312</v>
      </c>
      <c r="H85" s="111">
        <v>36682</v>
      </c>
      <c r="I85" s="113">
        <v>960955901</v>
      </c>
      <c r="J85" s="111">
        <v>30914</v>
      </c>
      <c r="K85" s="113">
        <v>3924467</v>
      </c>
      <c r="L85" s="111">
        <v>516494</v>
      </c>
      <c r="M85" s="113">
        <v>2658776878</v>
      </c>
      <c r="N85" s="111">
        <v>511568</v>
      </c>
      <c r="O85" s="129">
        <v>22470</v>
      </c>
      <c r="P85" s="129">
        <v>5341</v>
      </c>
      <c r="Q85" s="130">
        <v>539379</v>
      </c>
      <c r="R85" s="131" t="s">
        <v>125</v>
      </c>
    </row>
    <row r="86" spans="1:18" ht="15.75" customHeight="1">
      <c r="A86" s="132"/>
      <c r="B86" s="133"/>
      <c r="C86" s="134"/>
      <c r="D86" s="133"/>
      <c r="E86" s="134"/>
      <c r="F86" s="135"/>
      <c r="G86" s="134"/>
      <c r="H86" s="135"/>
      <c r="I86" s="134"/>
      <c r="J86" s="135"/>
      <c r="K86" s="134"/>
      <c r="L86" s="135"/>
      <c r="M86" s="134"/>
      <c r="N86" s="136"/>
      <c r="O86" s="137"/>
      <c r="P86" s="137"/>
      <c r="Q86" s="138"/>
      <c r="R86" s="139" t="s">
        <v>55</v>
      </c>
    </row>
    <row r="87" spans="1:18" ht="15.75" customHeight="1">
      <c r="A87" s="99" t="s">
        <v>126</v>
      </c>
      <c r="B87" s="100">
        <f>_xlfn.COMPOUNDVALUE(886)</f>
        <v>3448</v>
      </c>
      <c r="C87" s="101">
        <v>16246663</v>
      </c>
      <c r="D87" s="100">
        <f>_xlfn.COMPOUNDVALUE(887)</f>
        <v>2565</v>
      </c>
      <c r="E87" s="101">
        <v>828948</v>
      </c>
      <c r="F87" s="100">
        <f>_xlfn.COMPOUNDVALUE(888)</f>
        <v>6013</v>
      </c>
      <c r="G87" s="101">
        <v>17075611</v>
      </c>
      <c r="H87" s="100">
        <f>_xlfn.COMPOUNDVALUE(889)</f>
        <v>236</v>
      </c>
      <c r="I87" s="102">
        <v>2383099</v>
      </c>
      <c r="J87" s="100">
        <v>381</v>
      </c>
      <c r="K87" s="102">
        <v>42070</v>
      </c>
      <c r="L87" s="100">
        <v>6352</v>
      </c>
      <c r="M87" s="102">
        <v>14734582</v>
      </c>
      <c r="N87" s="100">
        <v>6655</v>
      </c>
      <c r="O87" s="103">
        <v>171</v>
      </c>
      <c r="P87" s="103">
        <v>27</v>
      </c>
      <c r="Q87" s="104">
        <v>6853</v>
      </c>
      <c r="R87" s="105" t="s">
        <v>126</v>
      </c>
    </row>
    <row r="88" spans="1:18" ht="15.75" customHeight="1">
      <c r="A88" s="99" t="s">
        <v>127</v>
      </c>
      <c r="B88" s="100">
        <f>_xlfn.COMPOUNDVALUE(890)</f>
        <v>7457</v>
      </c>
      <c r="C88" s="101">
        <v>71610865</v>
      </c>
      <c r="D88" s="100">
        <f>_xlfn.COMPOUNDVALUE(891)</f>
        <v>3946</v>
      </c>
      <c r="E88" s="101">
        <v>1527496</v>
      </c>
      <c r="F88" s="100">
        <f>_xlfn.COMPOUNDVALUE(892)</f>
        <v>11403</v>
      </c>
      <c r="G88" s="101">
        <v>73138361</v>
      </c>
      <c r="H88" s="100">
        <f>_xlfn.COMPOUNDVALUE(893)</f>
        <v>1351</v>
      </c>
      <c r="I88" s="102">
        <v>8557185</v>
      </c>
      <c r="J88" s="100">
        <v>766</v>
      </c>
      <c r="K88" s="102">
        <v>253614</v>
      </c>
      <c r="L88" s="100">
        <v>12924</v>
      </c>
      <c r="M88" s="102">
        <v>64834791</v>
      </c>
      <c r="N88" s="100">
        <v>13057</v>
      </c>
      <c r="O88" s="103">
        <v>596</v>
      </c>
      <c r="P88" s="103">
        <v>129</v>
      </c>
      <c r="Q88" s="104">
        <v>13782</v>
      </c>
      <c r="R88" s="105" t="s">
        <v>127</v>
      </c>
    </row>
    <row r="89" spans="1:18" ht="15.75" customHeight="1">
      <c r="A89" s="99" t="s">
        <v>128</v>
      </c>
      <c r="B89" s="100">
        <f>_xlfn.COMPOUNDVALUE(894)</f>
        <v>4879</v>
      </c>
      <c r="C89" s="101">
        <v>14958360</v>
      </c>
      <c r="D89" s="100">
        <f>_xlfn.COMPOUNDVALUE(895)</f>
        <v>4147</v>
      </c>
      <c r="E89" s="101">
        <v>1330429</v>
      </c>
      <c r="F89" s="100">
        <f>_xlfn.COMPOUNDVALUE(896)</f>
        <v>9026</v>
      </c>
      <c r="G89" s="101">
        <v>16288789</v>
      </c>
      <c r="H89" s="100">
        <f>_xlfn.COMPOUNDVALUE(897)</f>
        <v>370</v>
      </c>
      <c r="I89" s="102">
        <v>1375616</v>
      </c>
      <c r="J89" s="100">
        <v>546</v>
      </c>
      <c r="K89" s="102">
        <v>121934</v>
      </c>
      <c r="L89" s="100">
        <v>9620</v>
      </c>
      <c r="M89" s="102">
        <v>15035107</v>
      </c>
      <c r="N89" s="100">
        <v>9994</v>
      </c>
      <c r="O89" s="103">
        <v>220</v>
      </c>
      <c r="P89" s="103">
        <v>17</v>
      </c>
      <c r="Q89" s="104">
        <v>10231</v>
      </c>
      <c r="R89" s="105" t="s">
        <v>128</v>
      </c>
    </row>
    <row r="90" spans="1:18" ht="15.75" customHeight="1">
      <c r="A90" s="99" t="s">
        <v>129</v>
      </c>
      <c r="B90" s="100">
        <f>_xlfn.COMPOUNDVALUE(898)</f>
        <v>6892</v>
      </c>
      <c r="C90" s="101">
        <v>20528372</v>
      </c>
      <c r="D90" s="100">
        <f>_xlfn.COMPOUNDVALUE(899)</f>
        <v>5540</v>
      </c>
      <c r="E90" s="101">
        <v>1786605</v>
      </c>
      <c r="F90" s="100">
        <f>_xlfn.COMPOUNDVALUE(900)</f>
        <v>12432</v>
      </c>
      <c r="G90" s="101">
        <v>22314977</v>
      </c>
      <c r="H90" s="100">
        <f>_xlfn.COMPOUNDVALUE(901)</f>
        <v>660</v>
      </c>
      <c r="I90" s="102">
        <v>1052122</v>
      </c>
      <c r="J90" s="100">
        <v>710</v>
      </c>
      <c r="K90" s="102">
        <v>110554</v>
      </c>
      <c r="L90" s="100">
        <v>13374</v>
      </c>
      <c r="M90" s="102">
        <v>21373409</v>
      </c>
      <c r="N90" s="100">
        <v>13630</v>
      </c>
      <c r="O90" s="103">
        <v>319</v>
      </c>
      <c r="P90" s="103">
        <v>41</v>
      </c>
      <c r="Q90" s="104">
        <v>13990</v>
      </c>
      <c r="R90" s="105" t="s">
        <v>129</v>
      </c>
    </row>
    <row r="91" spans="1:18" ht="15.75" customHeight="1">
      <c r="A91" s="99" t="s">
        <v>130</v>
      </c>
      <c r="B91" s="100">
        <f>_xlfn.COMPOUNDVALUE(902)</f>
        <v>7294</v>
      </c>
      <c r="C91" s="101">
        <v>46081602</v>
      </c>
      <c r="D91" s="100">
        <f>_xlfn.COMPOUNDVALUE(903)</f>
        <v>5382</v>
      </c>
      <c r="E91" s="101">
        <v>1837918</v>
      </c>
      <c r="F91" s="100">
        <f>_xlfn.COMPOUNDVALUE(904)</f>
        <v>12676</v>
      </c>
      <c r="G91" s="101">
        <v>47919520</v>
      </c>
      <c r="H91" s="100">
        <f>_xlfn.COMPOUNDVALUE(905)</f>
        <v>851</v>
      </c>
      <c r="I91" s="102">
        <v>82127866</v>
      </c>
      <c r="J91" s="100">
        <v>779</v>
      </c>
      <c r="K91" s="102">
        <v>27249</v>
      </c>
      <c r="L91" s="100">
        <v>13756</v>
      </c>
      <c r="M91" s="102">
        <v>-34181096</v>
      </c>
      <c r="N91" s="100">
        <v>13599</v>
      </c>
      <c r="O91" s="103">
        <v>470</v>
      </c>
      <c r="P91" s="103">
        <v>63</v>
      </c>
      <c r="Q91" s="104">
        <v>14132</v>
      </c>
      <c r="R91" s="105" t="s">
        <v>130</v>
      </c>
    </row>
    <row r="92" spans="1:18" ht="15.75" customHeight="1">
      <c r="A92" s="99"/>
      <c r="B92" s="100"/>
      <c r="C92" s="101"/>
      <c r="D92" s="100"/>
      <c r="E92" s="101"/>
      <c r="F92" s="100"/>
      <c r="G92" s="101"/>
      <c r="H92" s="100"/>
      <c r="I92" s="102"/>
      <c r="J92" s="100"/>
      <c r="K92" s="102"/>
      <c r="L92" s="100"/>
      <c r="M92" s="102"/>
      <c r="N92" s="100"/>
      <c r="O92" s="103"/>
      <c r="P92" s="103"/>
      <c r="Q92" s="104"/>
      <c r="R92" s="105" t="s">
        <v>55</v>
      </c>
    </row>
    <row r="93" spans="1:18" ht="15.75" customHeight="1">
      <c r="A93" s="99" t="s">
        <v>131</v>
      </c>
      <c r="B93" s="100">
        <f>_xlfn.COMPOUNDVALUE(906)</f>
        <v>3940</v>
      </c>
      <c r="C93" s="101">
        <v>12809290</v>
      </c>
      <c r="D93" s="100">
        <f>_xlfn.COMPOUNDVALUE(907)</f>
        <v>3637</v>
      </c>
      <c r="E93" s="101">
        <v>1170997</v>
      </c>
      <c r="F93" s="100">
        <f>_xlfn.COMPOUNDVALUE(908)</f>
        <v>7577</v>
      </c>
      <c r="G93" s="101">
        <v>13980287</v>
      </c>
      <c r="H93" s="100">
        <f>_xlfn.COMPOUNDVALUE(909)</f>
        <v>268</v>
      </c>
      <c r="I93" s="102">
        <v>2188124</v>
      </c>
      <c r="J93" s="100">
        <v>524</v>
      </c>
      <c r="K93" s="102">
        <v>30824</v>
      </c>
      <c r="L93" s="100">
        <v>8000</v>
      </c>
      <c r="M93" s="102">
        <v>11822988</v>
      </c>
      <c r="N93" s="100">
        <v>8289</v>
      </c>
      <c r="O93" s="103">
        <v>219</v>
      </c>
      <c r="P93" s="103">
        <v>37</v>
      </c>
      <c r="Q93" s="104">
        <v>8545</v>
      </c>
      <c r="R93" s="105" t="s">
        <v>131</v>
      </c>
    </row>
    <row r="94" spans="1:18" ht="15.75" customHeight="1">
      <c r="A94" s="99" t="s">
        <v>196</v>
      </c>
      <c r="B94" s="100">
        <f>_xlfn.COMPOUNDVALUE(910)</f>
        <v>6763</v>
      </c>
      <c r="C94" s="101">
        <v>19255998</v>
      </c>
      <c r="D94" s="100">
        <f>_xlfn.COMPOUNDVALUE(911)</f>
        <v>5877</v>
      </c>
      <c r="E94" s="101">
        <v>2028658</v>
      </c>
      <c r="F94" s="100">
        <f>_xlfn.COMPOUNDVALUE(912)</f>
        <v>12640</v>
      </c>
      <c r="G94" s="101">
        <v>21284656</v>
      </c>
      <c r="H94" s="100">
        <f>_xlfn.COMPOUNDVALUE(913)</f>
        <v>677</v>
      </c>
      <c r="I94" s="102">
        <v>2008385</v>
      </c>
      <c r="J94" s="100">
        <v>762</v>
      </c>
      <c r="K94" s="102">
        <v>85955</v>
      </c>
      <c r="L94" s="100">
        <v>13549</v>
      </c>
      <c r="M94" s="102">
        <v>19362226</v>
      </c>
      <c r="N94" s="100">
        <v>13903</v>
      </c>
      <c r="O94" s="103">
        <v>431</v>
      </c>
      <c r="P94" s="103">
        <v>46</v>
      </c>
      <c r="Q94" s="104">
        <v>14380</v>
      </c>
      <c r="R94" s="105" t="s">
        <v>132</v>
      </c>
    </row>
    <row r="95" spans="1:18" ht="15.75" customHeight="1">
      <c r="A95" s="99" t="s">
        <v>133</v>
      </c>
      <c r="B95" s="100">
        <f>_xlfn.COMPOUNDVALUE(914)</f>
        <v>5274</v>
      </c>
      <c r="C95" s="101">
        <v>49242929</v>
      </c>
      <c r="D95" s="100">
        <f>_xlfn.COMPOUNDVALUE(915)</f>
        <v>3622</v>
      </c>
      <c r="E95" s="101">
        <v>1323705</v>
      </c>
      <c r="F95" s="100">
        <f>_xlfn.COMPOUNDVALUE(916)</f>
        <v>8896</v>
      </c>
      <c r="G95" s="101">
        <v>50566633</v>
      </c>
      <c r="H95" s="100">
        <f>_xlfn.COMPOUNDVALUE(917)</f>
        <v>426</v>
      </c>
      <c r="I95" s="102">
        <v>14544979</v>
      </c>
      <c r="J95" s="100">
        <v>470</v>
      </c>
      <c r="K95" s="102">
        <v>66131</v>
      </c>
      <c r="L95" s="100">
        <v>9490</v>
      </c>
      <c r="M95" s="102">
        <v>36087785</v>
      </c>
      <c r="N95" s="100">
        <v>9793</v>
      </c>
      <c r="O95" s="103">
        <v>189</v>
      </c>
      <c r="P95" s="103">
        <v>29</v>
      </c>
      <c r="Q95" s="104">
        <v>10011</v>
      </c>
      <c r="R95" s="105" t="s">
        <v>133</v>
      </c>
    </row>
    <row r="96" spans="1:18" ht="15.75" customHeight="1">
      <c r="A96" s="99" t="s">
        <v>134</v>
      </c>
      <c r="B96" s="100">
        <f>_xlfn.COMPOUNDVALUE(918)</f>
        <v>6175</v>
      </c>
      <c r="C96" s="101">
        <v>31841606</v>
      </c>
      <c r="D96" s="100">
        <f>_xlfn.COMPOUNDVALUE(919)</f>
        <v>5625</v>
      </c>
      <c r="E96" s="101">
        <v>1922018</v>
      </c>
      <c r="F96" s="100">
        <f>_xlfn.COMPOUNDVALUE(920)</f>
        <v>11800</v>
      </c>
      <c r="G96" s="101">
        <v>33763624</v>
      </c>
      <c r="H96" s="100">
        <f>_xlfn.COMPOUNDVALUE(921)</f>
        <v>473</v>
      </c>
      <c r="I96" s="102">
        <v>14579137</v>
      </c>
      <c r="J96" s="100">
        <v>569</v>
      </c>
      <c r="K96" s="102">
        <v>31636</v>
      </c>
      <c r="L96" s="100">
        <v>12494</v>
      </c>
      <c r="M96" s="102">
        <v>19216123</v>
      </c>
      <c r="N96" s="100">
        <v>13105</v>
      </c>
      <c r="O96" s="103">
        <v>293</v>
      </c>
      <c r="P96" s="103">
        <v>28</v>
      </c>
      <c r="Q96" s="104">
        <v>13426</v>
      </c>
      <c r="R96" s="105" t="s">
        <v>134</v>
      </c>
    </row>
    <row r="97" spans="1:18" ht="15.75" customHeight="1">
      <c r="A97" s="99" t="s">
        <v>135</v>
      </c>
      <c r="B97" s="100">
        <f>_xlfn.COMPOUNDVALUE(922)</f>
        <v>2876</v>
      </c>
      <c r="C97" s="101">
        <v>5078531</v>
      </c>
      <c r="D97" s="100">
        <f>_xlfn.COMPOUNDVALUE(923)</f>
        <v>2761</v>
      </c>
      <c r="E97" s="101">
        <v>892868</v>
      </c>
      <c r="F97" s="100">
        <f>_xlfn.COMPOUNDVALUE(924)</f>
        <v>5637</v>
      </c>
      <c r="G97" s="101">
        <v>5971400</v>
      </c>
      <c r="H97" s="100">
        <f>_xlfn.COMPOUNDVALUE(925)</f>
        <v>277</v>
      </c>
      <c r="I97" s="102">
        <v>1035821</v>
      </c>
      <c r="J97" s="100">
        <v>432</v>
      </c>
      <c r="K97" s="102">
        <v>73183</v>
      </c>
      <c r="L97" s="100">
        <v>6095</v>
      </c>
      <c r="M97" s="102">
        <v>5008761</v>
      </c>
      <c r="N97" s="100">
        <v>6192</v>
      </c>
      <c r="O97" s="103">
        <v>169</v>
      </c>
      <c r="P97" s="103">
        <v>17</v>
      </c>
      <c r="Q97" s="104">
        <v>6378</v>
      </c>
      <c r="R97" s="105" t="s">
        <v>135</v>
      </c>
    </row>
    <row r="98" spans="1:18" ht="15.75" customHeight="1">
      <c r="A98" s="99"/>
      <c r="B98" s="100"/>
      <c r="C98" s="101"/>
      <c r="D98" s="100"/>
      <c r="E98" s="101"/>
      <c r="F98" s="100"/>
      <c r="G98" s="101"/>
      <c r="H98" s="100"/>
      <c r="I98" s="102"/>
      <c r="J98" s="100"/>
      <c r="K98" s="102"/>
      <c r="L98" s="100"/>
      <c r="M98" s="102"/>
      <c r="N98" s="100"/>
      <c r="O98" s="103"/>
      <c r="P98" s="103"/>
      <c r="Q98" s="104"/>
      <c r="R98" s="105" t="s">
        <v>55</v>
      </c>
    </row>
    <row r="99" spans="1:18" ht="15.75" customHeight="1">
      <c r="A99" s="99" t="s">
        <v>136</v>
      </c>
      <c r="B99" s="100">
        <f>_xlfn.COMPOUNDVALUE(926)</f>
        <v>4068</v>
      </c>
      <c r="C99" s="101">
        <v>10295269</v>
      </c>
      <c r="D99" s="100">
        <f>_xlfn.COMPOUNDVALUE(927)</f>
        <v>4449</v>
      </c>
      <c r="E99" s="101">
        <v>1314147</v>
      </c>
      <c r="F99" s="100">
        <f>_xlfn.COMPOUNDVALUE(928)</f>
        <v>8517</v>
      </c>
      <c r="G99" s="101">
        <v>11609416</v>
      </c>
      <c r="H99" s="100">
        <f>_xlfn.COMPOUNDVALUE(929)</f>
        <v>248</v>
      </c>
      <c r="I99" s="102">
        <v>408130</v>
      </c>
      <c r="J99" s="100">
        <v>442</v>
      </c>
      <c r="K99" s="102">
        <v>85244</v>
      </c>
      <c r="L99" s="100">
        <v>8925</v>
      </c>
      <c r="M99" s="102">
        <v>11286530</v>
      </c>
      <c r="N99" s="100">
        <v>8988</v>
      </c>
      <c r="O99" s="103">
        <v>142</v>
      </c>
      <c r="P99" s="103">
        <v>22</v>
      </c>
      <c r="Q99" s="104">
        <v>9152</v>
      </c>
      <c r="R99" s="105" t="s">
        <v>136</v>
      </c>
    </row>
    <row r="100" spans="1:18" ht="15.75" customHeight="1">
      <c r="A100" s="99" t="s">
        <v>137</v>
      </c>
      <c r="B100" s="100">
        <f>_xlfn.COMPOUNDVALUE(930)</f>
        <v>5200</v>
      </c>
      <c r="C100" s="101">
        <v>19937987</v>
      </c>
      <c r="D100" s="100">
        <f>_xlfn.COMPOUNDVALUE(931)</f>
        <v>5041</v>
      </c>
      <c r="E100" s="101">
        <v>1544632</v>
      </c>
      <c r="F100" s="100">
        <f>_xlfn.COMPOUNDVALUE(932)</f>
        <v>10241</v>
      </c>
      <c r="G100" s="101">
        <v>21482619</v>
      </c>
      <c r="H100" s="100">
        <f>_xlfn.COMPOUNDVALUE(933)</f>
        <v>342</v>
      </c>
      <c r="I100" s="102">
        <v>1130606</v>
      </c>
      <c r="J100" s="100">
        <v>464</v>
      </c>
      <c r="K100" s="102">
        <v>59725</v>
      </c>
      <c r="L100" s="100">
        <v>10730</v>
      </c>
      <c r="M100" s="102">
        <v>20411738</v>
      </c>
      <c r="N100" s="100">
        <v>10947</v>
      </c>
      <c r="O100" s="103">
        <v>185</v>
      </c>
      <c r="P100" s="103">
        <v>20</v>
      </c>
      <c r="Q100" s="104">
        <v>11152</v>
      </c>
      <c r="R100" s="105" t="s">
        <v>137</v>
      </c>
    </row>
    <row r="101" spans="1:18" ht="15.75" customHeight="1">
      <c r="A101" s="106" t="s">
        <v>138</v>
      </c>
      <c r="B101" s="107">
        <f>_xlfn.COMPOUNDVALUE(934)</f>
        <v>2670</v>
      </c>
      <c r="C101" s="108">
        <v>5894339</v>
      </c>
      <c r="D101" s="107">
        <f>_xlfn.COMPOUNDVALUE(935)</f>
        <v>2933</v>
      </c>
      <c r="E101" s="108">
        <v>906127</v>
      </c>
      <c r="F101" s="107">
        <f>_xlfn.COMPOUNDVALUE(936)</f>
        <v>5603</v>
      </c>
      <c r="G101" s="108">
        <v>6800466</v>
      </c>
      <c r="H101" s="107">
        <f>_xlfn.COMPOUNDVALUE(937)</f>
        <v>252</v>
      </c>
      <c r="I101" s="109">
        <v>285115</v>
      </c>
      <c r="J101" s="107">
        <v>383</v>
      </c>
      <c r="K101" s="109">
        <v>87981</v>
      </c>
      <c r="L101" s="107">
        <v>5998</v>
      </c>
      <c r="M101" s="109">
        <v>6603331</v>
      </c>
      <c r="N101" s="100">
        <v>5932</v>
      </c>
      <c r="O101" s="103">
        <v>171</v>
      </c>
      <c r="P101" s="103">
        <v>21</v>
      </c>
      <c r="Q101" s="104">
        <v>6124</v>
      </c>
      <c r="R101" s="105" t="s">
        <v>138</v>
      </c>
    </row>
    <row r="102" spans="1:18" ht="15.75" customHeight="1">
      <c r="A102" s="106" t="s">
        <v>139</v>
      </c>
      <c r="B102" s="107">
        <f>_xlfn.COMPOUNDVALUE(938)</f>
        <v>6358</v>
      </c>
      <c r="C102" s="108">
        <v>18038128</v>
      </c>
      <c r="D102" s="107">
        <f>_xlfn.COMPOUNDVALUE(939)</f>
        <v>5902</v>
      </c>
      <c r="E102" s="108">
        <v>1881038</v>
      </c>
      <c r="F102" s="107">
        <f>_xlfn.COMPOUNDVALUE(940)</f>
        <v>12260</v>
      </c>
      <c r="G102" s="108">
        <v>19919166</v>
      </c>
      <c r="H102" s="107">
        <f>_xlfn.COMPOUNDVALUE(941)</f>
        <v>471</v>
      </c>
      <c r="I102" s="109">
        <v>3313910</v>
      </c>
      <c r="J102" s="107">
        <v>707</v>
      </c>
      <c r="K102" s="109">
        <v>48765</v>
      </c>
      <c r="L102" s="107">
        <v>12952</v>
      </c>
      <c r="M102" s="109">
        <v>16654021</v>
      </c>
      <c r="N102" s="100">
        <v>13633</v>
      </c>
      <c r="O102" s="103">
        <v>325</v>
      </c>
      <c r="P102" s="103">
        <v>29</v>
      </c>
      <c r="Q102" s="104">
        <v>13987</v>
      </c>
      <c r="R102" s="105" t="s">
        <v>139</v>
      </c>
    </row>
    <row r="103" spans="1:18" ht="15.75" customHeight="1">
      <c r="A103" s="106" t="s">
        <v>140</v>
      </c>
      <c r="B103" s="107">
        <f>_xlfn.COMPOUNDVALUE(942)</f>
        <v>4375</v>
      </c>
      <c r="C103" s="108">
        <v>12380932</v>
      </c>
      <c r="D103" s="107">
        <f>_xlfn.COMPOUNDVALUE(943)</f>
        <v>3596</v>
      </c>
      <c r="E103" s="108">
        <v>1082639</v>
      </c>
      <c r="F103" s="107">
        <f>_xlfn.COMPOUNDVALUE(944)</f>
        <v>7971</v>
      </c>
      <c r="G103" s="108">
        <v>13463571</v>
      </c>
      <c r="H103" s="107">
        <f>_xlfn.COMPOUNDVALUE(945)</f>
        <v>184</v>
      </c>
      <c r="I103" s="109">
        <v>821468</v>
      </c>
      <c r="J103" s="107">
        <v>427</v>
      </c>
      <c r="K103" s="109">
        <v>59139</v>
      </c>
      <c r="L103" s="107">
        <v>8271</v>
      </c>
      <c r="M103" s="109">
        <v>12701242</v>
      </c>
      <c r="N103" s="100">
        <v>8346</v>
      </c>
      <c r="O103" s="103">
        <v>160</v>
      </c>
      <c r="P103" s="103">
        <v>14</v>
      </c>
      <c r="Q103" s="104">
        <v>8520</v>
      </c>
      <c r="R103" s="105" t="s">
        <v>140</v>
      </c>
    </row>
    <row r="104" spans="1:18" ht="15.75" customHeight="1">
      <c r="A104" s="106"/>
      <c r="B104" s="107"/>
      <c r="C104" s="108"/>
      <c r="D104" s="107"/>
      <c r="E104" s="108"/>
      <c r="F104" s="107"/>
      <c r="G104" s="108"/>
      <c r="H104" s="107"/>
      <c r="I104" s="109"/>
      <c r="J104" s="107"/>
      <c r="K104" s="109"/>
      <c r="L104" s="107"/>
      <c r="M104" s="109"/>
      <c r="N104" s="100"/>
      <c r="O104" s="103"/>
      <c r="P104" s="103"/>
      <c r="Q104" s="104"/>
      <c r="R104" s="105" t="s">
        <v>55</v>
      </c>
    </row>
    <row r="105" spans="1:18" ht="15.75" customHeight="1">
      <c r="A105" s="106" t="s">
        <v>141</v>
      </c>
      <c r="B105" s="107">
        <f>_xlfn.COMPOUNDVALUE(946)</f>
        <v>6825</v>
      </c>
      <c r="C105" s="108">
        <v>18414272</v>
      </c>
      <c r="D105" s="107">
        <f>_xlfn.COMPOUNDVALUE(947)</f>
        <v>5798</v>
      </c>
      <c r="E105" s="108">
        <v>1942556</v>
      </c>
      <c r="F105" s="107">
        <f>_xlfn.COMPOUNDVALUE(948)</f>
        <v>12623</v>
      </c>
      <c r="G105" s="108">
        <v>20356828</v>
      </c>
      <c r="H105" s="107">
        <f>_xlfn.COMPOUNDVALUE(949)</f>
        <v>499</v>
      </c>
      <c r="I105" s="109">
        <v>10270755</v>
      </c>
      <c r="J105" s="107">
        <v>725</v>
      </c>
      <c r="K105" s="109">
        <v>12286</v>
      </c>
      <c r="L105" s="107">
        <v>13415</v>
      </c>
      <c r="M105" s="109">
        <v>10098359</v>
      </c>
      <c r="N105" s="100">
        <v>13866</v>
      </c>
      <c r="O105" s="103">
        <v>304</v>
      </c>
      <c r="P105" s="103">
        <v>32</v>
      </c>
      <c r="Q105" s="104">
        <v>14202</v>
      </c>
      <c r="R105" s="105" t="s">
        <v>141</v>
      </c>
    </row>
    <row r="106" spans="1:18" ht="15.75" customHeight="1">
      <c r="A106" s="106" t="s">
        <v>142</v>
      </c>
      <c r="B106" s="107">
        <f>_xlfn.COMPOUNDVALUE(950)</f>
        <v>3187</v>
      </c>
      <c r="C106" s="108">
        <v>12863436</v>
      </c>
      <c r="D106" s="107">
        <f>_xlfn.COMPOUNDVALUE(951)</f>
        <v>2719</v>
      </c>
      <c r="E106" s="108">
        <v>884164</v>
      </c>
      <c r="F106" s="107">
        <f>_xlfn.COMPOUNDVALUE(952)</f>
        <v>5906</v>
      </c>
      <c r="G106" s="108">
        <v>13747599</v>
      </c>
      <c r="H106" s="107">
        <f>_xlfn.COMPOUNDVALUE(953)</f>
        <v>199</v>
      </c>
      <c r="I106" s="109">
        <v>1151478</v>
      </c>
      <c r="J106" s="107">
        <v>351</v>
      </c>
      <c r="K106" s="109">
        <v>67847</v>
      </c>
      <c r="L106" s="107">
        <v>6200</v>
      </c>
      <c r="M106" s="109">
        <v>12663968</v>
      </c>
      <c r="N106" s="100">
        <v>6314</v>
      </c>
      <c r="O106" s="103">
        <v>179</v>
      </c>
      <c r="P106" s="103">
        <v>21</v>
      </c>
      <c r="Q106" s="104">
        <v>6514</v>
      </c>
      <c r="R106" s="105" t="s">
        <v>142</v>
      </c>
    </row>
    <row r="107" spans="1:18" ht="15.75" customHeight="1">
      <c r="A107" s="106" t="s">
        <v>143</v>
      </c>
      <c r="B107" s="107">
        <f>_xlfn.COMPOUNDVALUE(954)</f>
        <v>5156</v>
      </c>
      <c r="C107" s="108">
        <v>15872063</v>
      </c>
      <c r="D107" s="107">
        <f>_xlfn.COMPOUNDVALUE(955)</f>
        <v>4587</v>
      </c>
      <c r="E107" s="108">
        <v>1515239</v>
      </c>
      <c r="F107" s="107">
        <f>_xlfn.COMPOUNDVALUE(956)</f>
        <v>9743</v>
      </c>
      <c r="G107" s="108">
        <v>17387302</v>
      </c>
      <c r="H107" s="107">
        <f>_xlfn.COMPOUNDVALUE(957)</f>
        <v>443</v>
      </c>
      <c r="I107" s="109">
        <v>2202203</v>
      </c>
      <c r="J107" s="107">
        <v>461</v>
      </c>
      <c r="K107" s="109">
        <v>44260</v>
      </c>
      <c r="L107" s="107">
        <v>10361</v>
      </c>
      <c r="M107" s="109">
        <v>15229359</v>
      </c>
      <c r="N107" s="100">
        <v>10573</v>
      </c>
      <c r="O107" s="103">
        <v>282</v>
      </c>
      <c r="P107" s="103">
        <v>39</v>
      </c>
      <c r="Q107" s="104">
        <v>10894</v>
      </c>
      <c r="R107" s="105" t="s">
        <v>143</v>
      </c>
    </row>
    <row r="108" spans="1:18" ht="15.75" customHeight="1">
      <c r="A108" s="110" t="s">
        <v>144</v>
      </c>
      <c r="B108" s="111">
        <v>92837</v>
      </c>
      <c r="C108" s="112">
        <v>401350642</v>
      </c>
      <c r="D108" s="111">
        <v>78127</v>
      </c>
      <c r="E108" s="112">
        <v>25720184</v>
      </c>
      <c r="F108" s="111">
        <v>170964</v>
      </c>
      <c r="G108" s="112">
        <v>427070826</v>
      </c>
      <c r="H108" s="111">
        <v>8227</v>
      </c>
      <c r="I108" s="113">
        <v>149435999</v>
      </c>
      <c r="J108" s="111">
        <v>9899</v>
      </c>
      <c r="K108" s="113">
        <v>1308396</v>
      </c>
      <c r="L108" s="111">
        <v>182506</v>
      </c>
      <c r="M108" s="113">
        <v>278943224</v>
      </c>
      <c r="N108" s="111">
        <v>186816</v>
      </c>
      <c r="O108" s="129">
        <v>4825</v>
      </c>
      <c r="P108" s="129">
        <v>632</v>
      </c>
      <c r="Q108" s="130">
        <v>192273</v>
      </c>
      <c r="R108" s="131" t="s">
        <v>145</v>
      </c>
    </row>
    <row r="109" spans="1:18" ht="15.75" customHeight="1">
      <c r="A109" s="132"/>
      <c r="B109" s="133"/>
      <c r="C109" s="134"/>
      <c r="D109" s="133"/>
      <c r="E109" s="134"/>
      <c r="F109" s="135"/>
      <c r="G109" s="134"/>
      <c r="H109" s="135"/>
      <c r="I109" s="134"/>
      <c r="J109" s="135"/>
      <c r="K109" s="134"/>
      <c r="L109" s="135"/>
      <c r="M109" s="134"/>
      <c r="N109" s="136"/>
      <c r="O109" s="137"/>
      <c r="P109" s="137"/>
      <c r="Q109" s="138"/>
      <c r="R109" s="139" t="s">
        <v>55</v>
      </c>
    </row>
    <row r="110" spans="1:18" ht="15.75" customHeight="1">
      <c r="A110" s="99" t="s">
        <v>146</v>
      </c>
      <c r="B110" s="100">
        <f>_xlfn.COMPOUNDVALUE(958)</f>
        <v>6469</v>
      </c>
      <c r="C110" s="101">
        <v>19150832</v>
      </c>
      <c r="D110" s="100">
        <f>_xlfn.COMPOUNDVALUE(959)</f>
        <v>5107</v>
      </c>
      <c r="E110" s="101">
        <v>1522133</v>
      </c>
      <c r="F110" s="100">
        <f>_xlfn.COMPOUNDVALUE(960)</f>
        <v>11576</v>
      </c>
      <c r="G110" s="101">
        <v>20672965</v>
      </c>
      <c r="H110" s="100">
        <f>_xlfn.COMPOUNDVALUE(961)</f>
        <v>335</v>
      </c>
      <c r="I110" s="102">
        <v>833241</v>
      </c>
      <c r="J110" s="100">
        <v>676</v>
      </c>
      <c r="K110" s="102">
        <v>136211</v>
      </c>
      <c r="L110" s="100">
        <v>12062</v>
      </c>
      <c r="M110" s="102">
        <v>19975935</v>
      </c>
      <c r="N110" s="100">
        <v>12080</v>
      </c>
      <c r="O110" s="103">
        <v>217</v>
      </c>
      <c r="P110" s="103">
        <v>18</v>
      </c>
      <c r="Q110" s="104">
        <v>12315</v>
      </c>
      <c r="R110" s="105" t="s">
        <v>146</v>
      </c>
    </row>
    <row r="111" spans="1:18" ht="15.75" customHeight="1">
      <c r="A111" s="106" t="s">
        <v>147</v>
      </c>
      <c r="B111" s="107">
        <f>_xlfn.COMPOUNDVALUE(962)</f>
        <v>1691</v>
      </c>
      <c r="C111" s="108">
        <v>3470111</v>
      </c>
      <c r="D111" s="107">
        <f>_xlfn.COMPOUNDVALUE(963)</f>
        <v>1812</v>
      </c>
      <c r="E111" s="108">
        <v>460765</v>
      </c>
      <c r="F111" s="107">
        <f>_xlfn.COMPOUNDVALUE(964)</f>
        <v>3503</v>
      </c>
      <c r="G111" s="108">
        <v>3930876</v>
      </c>
      <c r="H111" s="107">
        <f>_xlfn.COMPOUNDVALUE(965)</f>
        <v>70</v>
      </c>
      <c r="I111" s="109">
        <v>97144</v>
      </c>
      <c r="J111" s="107">
        <v>255</v>
      </c>
      <c r="K111" s="109">
        <v>27404</v>
      </c>
      <c r="L111" s="107">
        <v>3637</v>
      </c>
      <c r="M111" s="109">
        <v>3861136</v>
      </c>
      <c r="N111" s="100">
        <v>3776</v>
      </c>
      <c r="O111" s="103">
        <v>60</v>
      </c>
      <c r="P111" s="103">
        <v>13</v>
      </c>
      <c r="Q111" s="104">
        <v>3849</v>
      </c>
      <c r="R111" s="105" t="s">
        <v>147</v>
      </c>
    </row>
    <row r="112" spans="1:18" ht="15.75" customHeight="1">
      <c r="A112" s="106" t="s">
        <v>148</v>
      </c>
      <c r="B112" s="107">
        <f>_xlfn.COMPOUNDVALUE(966)</f>
        <v>2981</v>
      </c>
      <c r="C112" s="108">
        <v>6411085</v>
      </c>
      <c r="D112" s="107">
        <f>_xlfn.COMPOUNDVALUE(967)</f>
        <v>2533</v>
      </c>
      <c r="E112" s="108">
        <v>770200</v>
      </c>
      <c r="F112" s="107">
        <f>_xlfn.COMPOUNDVALUE(968)</f>
        <v>5514</v>
      </c>
      <c r="G112" s="108">
        <v>7181285</v>
      </c>
      <c r="H112" s="107">
        <f>_xlfn.COMPOUNDVALUE(969)</f>
        <v>125</v>
      </c>
      <c r="I112" s="109">
        <v>4227290</v>
      </c>
      <c r="J112" s="107">
        <v>307</v>
      </c>
      <c r="K112" s="109">
        <v>11238</v>
      </c>
      <c r="L112" s="107">
        <v>5706</v>
      </c>
      <c r="M112" s="109">
        <v>2965233</v>
      </c>
      <c r="N112" s="100">
        <v>5664</v>
      </c>
      <c r="O112" s="103">
        <v>103</v>
      </c>
      <c r="P112" s="103">
        <v>4</v>
      </c>
      <c r="Q112" s="104">
        <v>5771</v>
      </c>
      <c r="R112" s="105" t="s">
        <v>148</v>
      </c>
    </row>
    <row r="113" spans="1:18" ht="15.75" customHeight="1">
      <c r="A113" s="106" t="s">
        <v>149</v>
      </c>
      <c r="B113" s="107">
        <f>_xlfn.COMPOUNDVALUE(970)</f>
        <v>679</v>
      </c>
      <c r="C113" s="108">
        <v>1475979</v>
      </c>
      <c r="D113" s="107">
        <f>_xlfn.COMPOUNDVALUE(971)</f>
        <v>735</v>
      </c>
      <c r="E113" s="108">
        <v>203395</v>
      </c>
      <c r="F113" s="107">
        <f>_xlfn.COMPOUNDVALUE(972)</f>
        <v>1414</v>
      </c>
      <c r="G113" s="108">
        <v>1679373</v>
      </c>
      <c r="H113" s="107">
        <f>_xlfn.COMPOUNDVALUE(973)</f>
        <v>19</v>
      </c>
      <c r="I113" s="109">
        <v>15004</v>
      </c>
      <c r="J113" s="107">
        <v>161</v>
      </c>
      <c r="K113" s="109">
        <v>14258</v>
      </c>
      <c r="L113" s="107">
        <v>1447</v>
      </c>
      <c r="M113" s="109">
        <v>1678627</v>
      </c>
      <c r="N113" s="100">
        <v>1421</v>
      </c>
      <c r="O113" s="103">
        <v>24</v>
      </c>
      <c r="P113" s="103">
        <v>1</v>
      </c>
      <c r="Q113" s="104">
        <v>1446</v>
      </c>
      <c r="R113" s="105" t="s">
        <v>149</v>
      </c>
    </row>
    <row r="114" spans="1:18" ht="15.75" customHeight="1">
      <c r="A114" s="110" t="s">
        <v>150</v>
      </c>
      <c r="B114" s="111">
        <v>11820</v>
      </c>
      <c r="C114" s="112">
        <v>30508007</v>
      </c>
      <c r="D114" s="111">
        <v>10187</v>
      </c>
      <c r="E114" s="112">
        <v>2956493</v>
      </c>
      <c r="F114" s="111">
        <v>22007</v>
      </c>
      <c r="G114" s="112">
        <v>33464500</v>
      </c>
      <c r="H114" s="111">
        <v>549</v>
      </c>
      <c r="I114" s="113">
        <v>5172679</v>
      </c>
      <c r="J114" s="111">
        <v>1399</v>
      </c>
      <c r="K114" s="113">
        <v>189110</v>
      </c>
      <c r="L114" s="111">
        <v>22852</v>
      </c>
      <c r="M114" s="113">
        <v>28480931</v>
      </c>
      <c r="N114" s="111">
        <v>22941</v>
      </c>
      <c r="O114" s="129">
        <v>404</v>
      </c>
      <c r="P114" s="129">
        <v>36</v>
      </c>
      <c r="Q114" s="130">
        <v>23381</v>
      </c>
      <c r="R114" s="131" t="s">
        <v>151</v>
      </c>
    </row>
    <row r="115" spans="1:18" ht="15.75" customHeight="1" thickBot="1">
      <c r="A115" s="114"/>
      <c r="B115" s="140"/>
      <c r="C115" s="116"/>
      <c r="D115" s="140"/>
      <c r="E115" s="116"/>
      <c r="F115" s="115"/>
      <c r="G115" s="116"/>
      <c r="H115" s="115"/>
      <c r="I115" s="116"/>
      <c r="J115" s="115"/>
      <c r="K115" s="116"/>
      <c r="L115" s="115"/>
      <c r="M115" s="116"/>
      <c r="N115" s="117"/>
      <c r="O115" s="118"/>
      <c r="P115" s="118"/>
      <c r="Q115" s="119"/>
      <c r="R115" s="120" t="s">
        <v>55</v>
      </c>
    </row>
    <row r="116" spans="1:18" ht="15.75" customHeight="1" thickBot="1" thickTop="1">
      <c r="A116" s="121" t="s">
        <v>54</v>
      </c>
      <c r="B116" s="122">
        <v>457062</v>
      </c>
      <c r="C116" s="123">
        <v>4182859641</v>
      </c>
      <c r="D116" s="122">
        <v>317075</v>
      </c>
      <c r="E116" s="123">
        <v>107972448</v>
      </c>
      <c r="F116" s="122">
        <v>774137</v>
      </c>
      <c r="G116" s="123">
        <v>4290832089</v>
      </c>
      <c r="H116" s="122">
        <v>50326</v>
      </c>
      <c r="I116" s="124">
        <v>1133316591</v>
      </c>
      <c r="J116" s="122">
        <v>49284</v>
      </c>
      <c r="K116" s="124">
        <v>6207004</v>
      </c>
      <c r="L116" s="122">
        <v>839292</v>
      </c>
      <c r="M116" s="124">
        <v>3163722501</v>
      </c>
      <c r="N116" s="125">
        <v>839484</v>
      </c>
      <c r="O116" s="126">
        <v>30791</v>
      </c>
      <c r="P116" s="126">
        <v>6339</v>
      </c>
      <c r="Q116" s="127">
        <v>876614</v>
      </c>
      <c r="R116" s="128" t="s">
        <v>54</v>
      </c>
    </row>
    <row r="117" spans="1:9" ht="13.5">
      <c r="A117" s="219" t="s">
        <v>198</v>
      </c>
      <c r="B117" s="219"/>
      <c r="C117" s="219"/>
      <c r="D117" s="219"/>
      <c r="E117" s="219"/>
      <c r="F117" s="219"/>
      <c r="G117" s="219"/>
      <c r="H117" s="219"/>
      <c r="I117" s="219"/>
    </row>
  </sheetData>
  <sheetProtection/>
  <mergeCells count="16">
    <mergeCell ref="A117:I117"/>
    <mergeCell ref="N3:Q3"/>
    <mergeCell ref="R3:R5"/>
    <mergeCell ref="B4:C4"/>
    <mergeCell ref="D4:E4"/>
    <mergeCell ref="F4:G4"/>
    <mergeCell ref="N4:N5"/>
    <mergeCell ref="O4:O5"/>
    <mergeCell ref="P4:P5"/>
    <mergeCell ref="Q4:Q5"/>
    <mergeCell ref="A2:I2"/>
    <mergeCell ref="A3:A5"/>
    <mergeCell ref="B3:G3"/>
    <mergeCell ref="H3:I4"/>
    <mergeCell ref="J3:K4"/>
    <mergeCell ref="L3:M4"/>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64" r:id="rId1"/>
  <headerFooter alignWithMargins="0">
    <oddFooter>&amp;R東京国税局
消費税
(H24)</oddFooter>
  </headerFooter>
  <rowBreaks count="2" manualBreakCount="2">
    <brk id="42" max="17" man="1"/>
    <brk id="7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2014-05-21T05:48:47Z</cp:lastPrinted>
  <dcterms:created xsi:type="dcterms:W3CDTF">2003-07-09T01:05:10Z</dcterms:created>
  <dcterms:modified xsi:type="dcterms:W3CDTF">2014-05-21T05:50:08Z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