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945" tabRatio="901" activeTab="5"/>
  </bookViews>
  <sheets>
    <sheet name="(1)　課税状況" sheetId="1" r:id="rId1"/>
    <sheet name="(2)　課税状況の累年比較" sheetId="2" r:id="rId2"/>
    <sheet name="(3)　課税事業者等届出件数" sheetId="3" r:id="rId3"/>
    <sheet name="(4)税務署別（個人事業者）" sheetId="4" r:id="rId4"/>
    <sheet name="(4)税務署別（法人）" sheetId="5" r:id="rId5"/>
    <sheet name="(4)税務署別（合計）" sheetId="6" r:id="rId6"/>
  </sheets>
  <definedNames>
    <definedName name="_xlfn.COMPOUNDVALUE" hidden="1">#NAME?</definedName>
    <definedName name="_xlnm.Print_Area" localSheetId="5">'(4)税務署別（合計）'!$A$1:$R$42</definedName>
  </definedNames>
  <calcPr fullCalcOnLoad="1"/>
</workbook>
</file>

<file path=xl/sharedStrings.xml><?xml version="1.0" encoding="utf-8"?>
<sst xmlns="http://schemas.openxmlformats.org/spreadsheetml/2006/main" count="381" uniqueCount="173">
  <si>
    <t>区　　　分</t>
  </si>
  <si>
    <t>件　　　数</t>
  </si>
  <si>
    <t>税　　　額</t>
  </si>
  <si>
    <t>件</t>
  </si>
  <si>
    <t>千円</t>
  </si>
  <si>
    <t>加算税</t>
  </si>
  <si>
    <t>課税事業者届出書</t>
  </si>
  <si>
    <t>課税事業者選択届出書</t>
  </si>
  <si>
    <t>新設法人に該当する旨の届出書</t>
  </si>
  <si>
    <t>（注）納税義務者でなくなった旨の届出書又は課税事業者選択不適用届出書を提出した者は含まない。</t>
  </si>
  <si>
    <t>納税申告計</t>
  </si>
  <si>
    <t>還付申告及び処理</t>
  </si>
  <si>
    <t>個　人　事　業　者</t>
  </si>
  <si>
    <t>一般申告及び処理</t>
  </si>
  <si>
    <t>法　　　　　　　人</t>
  </si>
  <si>
    <t>合　　　　　　　計</t>
  </si>
  <si>
    <t>件　　数</t>
  </si>
  <si>
    <t>税　　額</t>
  </si>
  <si>
    <t>(3)　課税事業者等届出件数</t>
  </si>
  <si>
    <t>千円</t>
  </si>
  <si>
    <t>件</t>
  </si>
  <si>
    <t>(2)　課税状況の累年比較</t>
  </si>
  <si>
    <t>合計</t>
  </si>
  <si>
    <t>　イ　個人事業者</t>
  </si>
  <si>
    <t>税務署名</t>
  </si>
  <si>
    <t>納　　　税　　　申　　　告　　　及　　　び　　　処　　　理</t>
  </si>
  <si>
    <t>既往年分の
申告及び処理</t>
  </si>
  <si>
    <t>合　　　　　　計</t>
  </si>
  <si>
    <t>税務署名</t>
  </si>
  <si>
    <t>簡易申告及び処理</t>
  </si>
  <si>
    <t>小　　　　　　計</t>
  </si>
  <si>
    <t>件数</t>
  </si>
  <si>
    <t>税額</t>
  </si>
  <si>
    <t>税　額　①</t>
  </si>
  <si>
    <t>税　額　②</t>
  </si>
  <si>
    <t>税　額　③</t>
  </si>
  <si>
    <t>税　　　額
(①－②＋③)</t>
  </si>
  <si>
    <t>徳島</t>
  </si>
  <si>
    <t>徳島</t>
  </si>
  <si>
    <t>鳴門</t>
  </si>
  <si>
    <t>鳴門</t>
  </si>
  <si>
    <t>阿南</t>
  </si>
  <si>
    <t>阿南</t>
  </si>
  <si>
    <t>川島</t>
  </si>
  <si>
    <t>川島</t>
  </si>
  <si>
    <t>脇町</t>
  </si>
  <si>
    <t>脇町</t>
  </si>
  <si>
    <t>池田</t>
  </si>
  <si>
    <t>池田</t>
  </si>
  <si>
    <t>徳島県計</t>
  </si>
  <si>
    <t>徳島県計</t>
  </si>
  <si>
    <t>高松</t>
  </si>
  <si>
    <t>高松</t>
  </si>
  <si>
    <t>丸亀</t>
  </si>
  <si>
    <t>丸亀</t>
  </si>
  <si>
    <t>坂出</t>
  </si>
  <si>
    <t>坂出</t>
  </si>
  <si>
    <t>観音寺</t>
  </si>
  <si>
    <t>観音寺</t>
  </si>
  <si>
    <t>長尾</t>
  </si>
  <si>
    <t>長尾</t>
  </si>
  <si>
    <t>土庄</t>
  </si>
  <si>
    <t>土庄</t>
  </si>
  <si>
    <t>香川県計</t>
  </si>
  <si>
    <t>香川県計</t>
  </si>
  <si>
    <t>松山</t>
  </si>
  <si>
    <t>松山</t>
  </si>
  <si>
    <t>今治</t>
  </si>
  <si>
    <t>今治</t>
  </si>
  <si>
    <t>宇和島</t>
  </si>
  <si>
    <t>宇和島</t>
  </si>
  <si>
    <t>八幡浜</t>
  </si>
  <si>
    <t>八幡浜</t>
  </si>
  <si>
    <t>新居浜</t>
  </si>
  <si>
    <t>新居浜</t>
  </si>
  <si>
    <t>伊予西条</t>
  </si>
  <si>
    <t>伊予西条</t>
  </si>
  <si>
    <t>大洲</t>
  </si>
  <si>
    <t>大洲</t>
  </si>
  <si>
    <t>伊予三島</t>
  </si>
  <si>
    <t>伊予三島</t>
  </si>
  <si>
    <t>愛媛県計</t>
  </si>
  <si>
    <t>愛媛県計</t>
  </si>
  <si>
    <t>高知</t>
  </si>
  <si>
    <t>高知</t>
  </si>
  <si>
    <t>安芸</t>
  </si>
  <si>
    <t>安芸</t>
  </si>
  <si>
    <t>南国</t>
  </si>
  <si>
    <t>南国</t>
  </si>
  <si>
    <t>須崎</t>
  </si>
  <si>
    <t>須崎</t>
  </si>
  <si>
    <t>中村</t>
  </si>
  <si>
    <t>中村</t>
  </si>
  <si>
    <t>伊野</t>
  </si>
  <si>
    <t>伊野</t>
  </si>
  <si>
    <t>高知県計</t>
  </si>
  <si>
    <t>高知県計</t>
  </si>
  <si>
    <t>総　計</t>
  </si>
  <si>
    <t>総　計</t>
  </si>
  <si>
    <t>　ロ　法　　　人</t>
  </si>
  <si>
    <t>税務署名</t>
  </si>
  <si>
    <t>徳島</t>
  </si>
  <si>
    <t>鳴門</t>
  </si>
  <si>
    <t>阿南</t>
  </si>
  <si>
    <t>川島</t>
  </si>
  <si>
    <t>脇町</t>
  </si>
  <si>
    <t>池田</t>
  </si>
  <si>
    <t>徳島県計</t>
  </si>
  <si>
    <t>高松</t>
  </si>
  <si>
    <t>丸亀</t>
  </si>
  <si>
    <t>坂出</t>
  </si>
  <si>
    <t>観音寺</t>
  </si>
  <si>
    <t>　ハ　個人事業者と法人の合計</t>
  </si>
  <si>
    <t>課　税　事　業　者　等　届　出　件　数</t>
  </si>
  <si>
    <t>課税事業者
届出</t>
  </si>
  <si>
    <t>課税事業者
選択届出</t>
  </si>
  <si>
    <t>新設法人に
該当する旨
の届出</t>
  </si>
  <si>
    <t>合　　　計</t>
  </si>
  <si>
    <t>税　　額
(①－②＋③)</t>
  </si>
  <si>
    <t/>
  </si>
  <si>
    <t>香川県計</t>
  </si>
  <si>
    <t>愛媛県計</t>
  </si>
  <si>
    <t>高知県計</t>
  </si>
  <si>
    <t>調査対象等：</t>
  </si>
  <si>
    <t>(1)　課税状況</t>
  </si>
  <si>
    <t>現年分</t>
  </si>
  <si>
    <t>一般申告及び処理</t>
  </si>
  <si>
    <t>簡易申告及び処理</t>
  </si>
  <si>
    <t>納税申告計</t>
  </si>
  <si>
    <t>還付申告及び処理</t>
  </si>
  <si>
    <t>既往年分</t>
  </si>
  <si>
    <t>申告及び処理による
増差税額のあるもの</t>
  </si>
  <si>
    <t>申告及び処理による
減差税額のあるもの</t>
  </si>
  <si>
    <t>長尾</t>
  </si>
  <si>
    <t>土庄</t>
  </si>
  <si>
    <t>香川県計</t>
  </si>
  <si>
    <t>松山</t>
  </si>
  <si>
    <t>今治</t>
  </si>
  <si>
    <t>宇和島</t>
  </si>
  <si>
    <t>八幡浜</t>
  </si>
  <si>
    <t>新居浜</t>
  </si>
  <si>
    <t>伊予西条</t>
  </si>
  <si>
    <t>大洲</t>
  </si>
  <si>
    <t>伊予三島</t>
  </si>
  <si>
    <t>愛媛県計</t>
  </si>
  <si>
    <t>高知</t>
  </si>
  <si>
    <t>安芸</t>
  </si>
  <si>
    <t>南国</t>
  </si>
  <si>
    <t>須崎</t>
  </si>
  <si>
    <t>中村</t>
  </si>
  <si>
    <t>伊野</t>
  </si>
  <si>
    <t>高知県計</t>
  </si>
  <si>
    <t>総　計</t>
  </si>
  <si>
    <t>　税関分は含まない。</t>
  </si>
  <si>
    <t>（注）この表は「(1)　課税状況」の現年分及び既往年分を税務署別に示したものである（加算税を除く。）。</t>
  </si>
  <si>
    <t>（注）この表は「(1)　課税状況」の現年分及び既往年分並びに「(3)　課税事業者等届出件数」を税務署別に示したものである（加算税を除く。）。</t>
  </si>
  <si>
    <t>実件</t>
  </si>
  <si>
    <t>(4)　税務署別課税状況等</t>
  </si>
  <si>
    <t>(4)　税務署別課税状況等（続）</t>
  </si>
  <si>
    <t>平成28年度</t>
  </si>
  <si>
    <t>平成29年度</t>
  </si>
  <si>
    <t>平成30年度</t>
  </si>
  <si>
    <t>令和元年度</t>
  </si>
  <si>
    <t>７　消　費　税</t>
  </si>
  <si>
    <t>（注）</t>
  </si>
  <si>
    <t>件　　　数</t>
  </si>
  <si>
    <t>個　人　事　業　者</t>
  </si>
  <si>
    <t>法　　　　　人</t>
  </si>
  <si>
    <t>合　　　　　計</t>
  </si>
  <si>
    <t>令和２年度</t>
  </si>
  <si>
    <t>調査対象等：令和２年度末（令和３年３月31日現在）の届出件数を示している。</t>
  </si>
  <si>
    <t xml:space="preserve"> 「現年分」は、令和２年４月１日から令和３年３月31日までに終了した課税期間に係る消費税の申告及び処理（更正、決定等）による課税事績(令和３年６月30日までのもの。国・地方公共団体等及び消費税申告期限延長届出書を提出した法人については令和３年９月30日までのもの。)に基づいて作成した。</t>
  </si>
  <si>
    <t xml:space="preserve"> 「既往年分」は、令和２年３月31日以前に終了した課税期間に係る消費税の申告及び処理（更正、決定等）による課税事績（令和２年７月１日から令和３年６月30日までのもの。国・地方公共団体等及び消費税申告期限延長届出書を提出した法人については令和２年10月１日から令和３年６月30日までのもの。）に基づいて作成した。</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</si>
</sst>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s>
  <fonts count="50">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8"/>
      <name val="ＭＳ 明朝"/>
      <family val="1"/>
    </font>
    <font>
      <sz val="8"/>
      <name val="ＭＳ Ｐゴシック"/>
      <family val="3"/>
    </font>
    <font>
      <sz val="11"/>
      <name val="ＭＳ ゴシック"/>
      <family val="3"/>
    </font>
    <font>
      <b/>
      <sz val="9"/>
      <name val="ＭＳ 明朝"/>
      <family val="1"/>
    </font>
    <font>
      <b/>
      <sz val="11"/>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indexed="27"/>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style="thin"/>
      <right style="hair"/>
      <top style="thin"/>
      <bottom>
        <color indexed="63"/>
      </bottom>
    </border>
    <border>
      <left style="medium"/>
      <right style="thin"/>
      <top style="medium"/>
      <bottom>
        <color indexed="63"/>
      </bottom>
    </border>
    <border>
      <left style="thin"/>
      <right style="thin"/>
      <top style="medium"/>
      <bottom>
        <color indexed="63"/>
      </bottom>
    </border>
    <border>
      <left style="thin"/>
      <right>
        <color indexed="63"/>
      </right>
      <top style="medium"/>
      <bottom>
        <color indexed="63"/>
      </bottom>
    </border>
    <border>
      <left style="hair"/>
      <right style="medium"/>
      <top style="thin"/>
      <bottom>
        <color indexed="63"/>
      </bottom>
    </border>
    <border>
      <left style="hair"/>
      <right style="thin"/>
      <top style="thin"/>
      <bottom style="hair">
        <color indexed="55"/>
      </bottom>
    </border>
    <border>
      <left style="hair"/>
      <right style="medium"/>
      <top style="thin"/>
      <bottom style="hair">
        <color indexed="55"/>
      </bottom>
    </border>
    <border>
      <left style="hair"/>
      <right style="thin"/>
      <top style="hair">
        <color indexed="55"/>
      </top>
      <bottom style="hair">
        <color indexed="55"/>
      </bottom>
    </border>
    <border>
      <left style="hair"/>
      <right style="thin"/>
      <top style="hair">
        <color indexed="55"/>
      </top>
      <bottom style="thin"/>
    </border>
    <border>
      <left style="thin"/>
      <right style="hair"/>
      <top style="thin"/>
      <bottom style="hair">
        <color indexed="55"/>
      </bottom>
    </border>
    <border>
      <left style="thin"/>
      <right style="hair"/>
      <top style="hair">
        <color indexed="55"/>
      </top>
      <bottom style="thin"/>
    </border>
    <border>
      <left style="hair"/>
      <right style="medium"/>
      <top style="hair">
        <color indexed="55"/>
      </top>
      <bottom style="thin"/>
    </border>
    <border>
      <left style="hair"/>
      <right style="thin"/>
      <top style="hair">
        <color indexed="55"/>
      </top>
      <bottom style="medium"/>
    </border>
    <border>
      <left style="thin"/>
      <right style="hair"/>
      <top style="hair">
        <color indexed="55"/>
      </top>
      <bottom style="medium"/>
    </border>
    <border>
      <left style="hair"/>
      <right style="medium"/>
      <top style="hair">
        <color indexed="55"/>
      </top>
      <bottom style="medium"/>
    </border>
    <border>
      <left style="hair"/>
      <right style="hair"/>
      <top style="thin"/>
      <bottom>
        <color indexed="63"/>
      </bottom>
    </border>
    <border>
      <left style="hair"/>
      <right style="thin"/>
      <top>
        <color indexed="63"/>
      </top>
      <bottom style="hair">
        <color indexed="55"/>
      </bottom>
    </border>
    <border>
      <left style="hair"/>
      <right style="medium"/>
      <top>
        <color indexed="63"/>
      </top>
      <bottom style="hair">
        <color indexed="55"/>
      </bottom>
    </border>
    <border>
      <left style="medium"/>
      <right>
        <color indexed="63"/>
      </right>
      <top style="thin"/>
      <bottom>
        <color indexed="63"/>
      </bottom>
    </border>
    <border>
      <left style="thin"/>
      <right style="hair"/>
      <top>
        <color indexed="63"/>
      </top>
      <bottom style="hair">
        <color indexed="55"/>
      </bottom>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medium"/>
      <top style="thin"/>
      <bottom>
        <color indexed="63"/>
      </bottom>
    </border>
    <border>
      <left style="thin"/>
      <right style="medium"/>
      <top style="medium"/>
      <bottom>
        <color indexed="63"/>
      </bottom>
    </border>
    <border>
      <left style="thin"/>
      <right style="hair"/>
      <top style="hair"/>
      <bottom style="thin"/>
    </border>
    <border>
      <left style="hair"/>
      <right style="thin"/>
      <top style="hair"/>
      <bottom style="thin"/>
    </border>
    <border>
      <left style="hair"/>
      <right/>
      <top style="hair"/>
      <bottom style="thin"/>
    </border>
    <border>
      <left style="hair"/>
      <right/>
      <top style="thin"/>
      <bottom/>
    </border>
    <border>
      <left style="medium"/>
      <right/>
      <top/>
      <bottom style="hair">
        <color indexed="55"/>
      </bottom>
    </border>
    <border>
      <left style="thin"/>
      <right style="medium"/>
      <top style="thin">
        <color indexed="55"/>
      </top>
      <bottom style="hair">
        <color indexed="55"/>
      </bottom>
    </border>
    <border>
      <left style="medium"/>
      <right/>
      <top style="hair">
        <color indexed="55"/>
      </top>
      <bottom style="hair">
        <color indexed="55"/>
      </bottom>
    </border>
    <border>
      <left style="thin"/>
      <right style="medium"/>
      <top style="hair">
        <color indexed="55"/>
      </top>
      <bottom style="hair">
        <color indexed="55"/>
      </bottom>
    </border>
    <border>
      <left style="medium"/>
      <right/>
      <top style="hair">
        <color indexed="55"/>
      </top>
      <bottom style="thin">
        <color indexed="55"/>
      </bottom>
    </border>
    <border>
      <left style="thin"/>
      <right style="medium"/>
      <top style="hair">
        <color indexed="55"/>
      </top>
      <bottom style="thin">
        <color indexed="55"/>
      </bottom>
    </border>
    <border>
      <left style="medium"/>
      <right/>
      <top style="thin">
        <color indexed="55"/>
      </top>
      <bottom style="thin">
        <color indexed="55"/>
      </bottom>
    </border>
    <border>
      <left style="thin"/>
      <right style="medium"/>
      <top style="thin">
        <color indexed="55"/>
      </top>
      <bottom style="thin">
        <color indexed="55"/>
      </bottom>
    </border>
    <border>
      <left style="medium"/>
      <right/>
      <top/>
      <bottom style="double"/>
    </border>
    <border>
      <left style="thin"/>
      <right style="medium"/>
      <top/>
      <bottom style="double"/>
    </border>
    <border>
      <left style="medium"/>
      <right>
        <color indexed="63"/>
      </right>
      <top>
        <color indexed="63"/>
      </top>
      <bottom style="medium"/>
    </border>
    <border>
      <left style="thin"/>
      <right style="medium"/>
      <top>
        <color indexed="63"/>
      </top>
      <bottom style="medium"/>
    </border>
    <border>
      <left style="thin"/>
      <right style="medium"/>
      <top/>
      <bottom style="hair">
        <color indexed="55"/>
      </bottom>
    </border>
    <border>
      <left style="thin"/>
      <right style="medium"/>
      <top style="thin">
        <color indexed="23"/>
      </top>
      <bottom/>
    </border>
    <border>
      <left style="thin"/>
      <right style="medium"/>
      <top style="double"/>
      <bottom style="medium"/>
    </border>
    <border>
      <left style="hair"/>
      <right style="hair"/>
      <top>
        <color indexed="63"/>
      </top>
      <bottom style="hair">
        <color indexed="55"/>
      </bottom>
    </border>
    <border>
      <left style="hair"/>
      <right style="hair"/>
      <top style="hair">
        <color indexed="55"/>
      </top>
      <bottom style="hair">
        <color indexed="55"/>
      </bottom>
    </border>
    <border>
      <left style="hair"/>
      <right style="medium"/>
      <top style="hair">
        <color indexed="55"/>
      </top>
      <bottom style="hair">
        <color indexed="55"/>
      </bottom>
    </border>
    <border>
      <left style="hair"/>
      <right style="hair"/>
      <top style="hair">
        <color indexed="55"/>
      </top>
      <bottom>
        <color indexed="63"/>
      </bottom>
    </border>
    <border>
      <left style="hair"/>
      <right style="thin"/>
      <top style="hair">
        <color indexed="55"/>
      </top>
      <bottom>
        <color indexed="63"/>
      </bottom>
    </border>
    <border>
      <left style="hair"/>
      <right style="medium"/>
      <top style="hair">
        <color indexed="55"/>
      </top>
      <bottom>
        <color indexed="63"/>
      </bottom>
    </border>
    <border>
      <left style="hair"/>
      <right style="hair"/>
      <top style="thin"/>
      <bottom style="hair">
        <color indexed="55"/>
      </bottom>
    </border>
    <border>
      <left style="hair"/>
      <right style="hair"/>
      <top>
        <color indexed="63"/>
      </top>
      <bottom style="medium"/>
    </border>
    <border>
      <left style="hair"/>
      <right style="thin"/>
      <top>
        <color indexed="63"/>
      </top>
      <bottom style="medium"/>
    </border>
    <border>
      <left style="hair"/>
      <right/>
      <top/>
      <bottom style="hair">
        <color indexed="55"/>
      </bottom>
    </border>
    <border>
      <left style="thin"/>
      <right style="hair"/>
      <top style="hair">
        <color indexed="55"/>
      </top>
      <bottom style="hair">
        <color indexed="55"/>
      </bottom>
    </border>
    <border>
      <left style="hair"/>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style="hair"/>
      <right/>
      <top style="hair">
        <color indexed="55"/>
      </top>
      <bottom style="thin">
        <color indexed="55"/>
      </bottom>
    </border>
    <border>
      <left style="thin"/>
      <right/>
      <top style="thin">
        <color indexed="55"/>
      </top>
      <bottom style="hair"/>
    </border>
    <border>
      <left style="hair"/>
      <right style="thin"/>
      <top style="thin">
        <color indexed="55"/>
      </top>
      <bottom style="hair"/>
    </border>
    <border>
      <left style="thin"/>
      <right style="hair"/>
      <top style="thin">
        <color indexed="55"/>
      </top>
      <bottom style="hair"/>
    </border>
    <border>
      <left style="thin"/>
      <right/>
      <top style="thin">
        <color indexed="55"/>
      </top>
      <bottom style="double"/>
    </border>
    <border>
      <left style="hair"/>
      <right style="thin"/>
      <top style="thin">
        <color indexed="55"/>
      </top>
      <bottom style="double"/>
    </border>
    <border>
      <left style="thin"/>
      <right style="hair"/>
      <top style="thin">
        <color indexed="55"/>
      </top>
      <bottom style="double"/>
    </border>
    <border>
      <left style="thin"/>
      <right style="hair"/>
      <top>
        <color indexed="63"/>
      </top>
      <bottom style="medium"/>
    </border>
    <border>
      <left style="hair"/>
      <right/>
      <top/>
      <bottom style="medium"/>
    </border>
    <border>
      <left style="hair">
        <color theme="1"/>
      </left>
      <right style="hair">
        <color theme="1"/>
      </right>
      <top style="thin"/>
      <bottom>
        <color indexed="63"/>
      </bottom>
    </border>
    <border>
      <left style="hair"/>
      <right style="thin">
        <color theme="1"/>
      </right>
      <top style="thin"/>
      <bottom/>
    </border>
    <border>
      <left style="hair"/>
      <right style="thin">
        <color theme="1"/>
      </right>
      <top/>
      <bottom style="hair">
        <color indexed="55"/>
      </bottom>
    </border>
    <border>
      <left style="hair">
        <color theme="1"/>
      </left>
      <right style="thin">
        <color theme="1"/>
      </right>
      <top style="thin"/>
      <bottom>
        <color indexed="63"/>
      </bottom>
    </border>
    <border>
      <left>
        <color indexed="63"/>
      </left>
      <right>
        <color indexed="63"/>
      </right>
      <top style="thin"/>
      <bottom>
        <color indexed="63"/>
      </bottom>
    </border>
    <border>
      <left style="hair"/>
      <right style="hair">
        <color theme="1"/>
      </right>
      <top style="thin"/>
      <bottom>
        <color indexed="63"/>
      </bottom>
    </border>
    <border>
      <left style="medium"/>
      <right>
        <color indexed="63"/>
      </right>
      <top>
        <color indexed="63"/>
      </top>
      <bottom>
        <color indexed="63"/>
      </bottom>
    </border>
    <border>
      <left style="thin"/>
      <right style="medium"/>
      <top style="thin">
        <color indexed="23"/>
      </top>
      <bottom style="double"/>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color indexed="63"/>
      </left>
      <right/>
      <top/>
      <bottom style="hair">
        <color indexed="55"/>
      </bottom>
    </border>
    <border>
      <left style="hair"/>
      <right style="hair">
        <color theme="1"/>
      </right>
      <top>
        <color indexed="63"/>
      </top>
      <bottom style="hair">
        <color indexed="55"/>
      </bottom>
    </border>
    <border>
      <left style="hair">
        <color theme="1"/>
      </left>
      <right style="hair">
        <color theme="1"/>
      </right>
      <top>
        <color indexed="63"/>
      </top>
      <bottom style="hair">
        <color indexed="55"/>
      </bottom>
    </border>
    <border>
      <left style="thin"/>
      <right>
        <color indexed="63"/>
      </right>
      <top/>
      <bottom style="hair">
        <color indexed="55"/>
      </bottom>
    </border>
    <border>
      <left>
        <color indexed="63"/>
      </left>
      <right style="hair"/>
      <top>
        <color indexed="63"/>
      </top>
      <bottom style="hair">
        <color indexed="55"/>
      </bottom>
    </border>
    <border>
      <left style="hair"/>
      <right style="hair"/>
      <top style="hair">
        <color indexed="55"/>
      </top>
      <bottom style="thin">
        <color indexed="55"/>
      </bottom>
    </border>
    <border>
      <left style="thin"/>
      <right style="hair"/>
      <top style="thin">
        <color indexed="55"/>
      </top>
      <bottom/>
    </border>
    <border>
      <left style="hair"/>
      <right style="hair"/>
      <top style="thin">
        <color indexed="55"/>
      </top>
      <bottom/>
    </border>
    <border>
      <left style="hair"/>
      <right/>
      <top style="thin">
        <color indexed="55"/>
      </top>
      <bottom/>
    </border>
    <border>
      <left style="thin"/>
      <right style="hair"/>
      <top style="thin">
        <color indexed="55"/>
      </top>
      <bottom style="hair">
        <color indexed="55"/>
      </bottom>
    </border>
    <border>
      <left style="hair"/>
      <right style="hair"/>
      <top style="thin">
        <color indexed="55"/>
      </top>
      <bottom style="hair">
        <color indexed="55"/>
      </bottom>
    </border>
    <border>
      <left style="hair"/>
      <right/>
      <top style="thin">
        <color indexed="55"/>
      </top>
      <bottom style="hair">
        <color indexed="55"/>
      </bottom>
    </border>
    <border>
      <left style="thin"/>
      <right style="hair"/>
      <top style="double"/>
      <bottom style="medium"/>
    </border>
    <border>
      <left style="hair"/>
      <right style="hair"/>
      <top style="double"/>
      <bottom style="medium"/>
    </border>
    <border>
      <left style="hair"/>
      <right/>
      <top style="double"/>
      <bottom style="medium"/>
    </border>
    <border>
      <left style="hair"/>
      <right style="hair"/>
      <top style="hair">
        <color indexed="55"/>
      </top>
      <bottom style="thin"/>
    </border>
    <border>
      <left style="hair"/>
      <right style="medium"/>
      <top style="thin"/>
      <bottom style="medium"/>
    </border>
    <border>
      <left>
        <color indexed="63"/>
      </left>
      <right style="hair"/>
      <top style="thin"/>
      <bottom style="thin"/>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hair"/>
      <top>
        <color indexed="63"/>
      </top>
      <bottom>
        <color indexed="63"/>
      </bottom>
    </border>
    <border>
      <left style="medium"/>
      <right style="hair"/>
      <top>
        <color indexed="63"/>
      </top>
      <bottom style="thin"/>
    </border>
    <border>
      <left style="medium"/>
      <right style="hair"/>
      <top style="thin"/>
      <bottom style="hair"/>
    </border>
    <border>
      <left style="medium"/>
      <right style="hair"/>
      <top style="hair"/>
      <bottom style="thin"/>
    </border>
    <border>
      <left>
        <color indexed="63"/>
      </left>
      <right style="thin"/>
      <top>
        <color indexed="63"/>
      </top>
      <bottom style="medium"/>
    </border>
    <border>
      <left style="thin"/>
      <right>
        <color indexed="63"/>
      </right>
      <top style="medium"/>
      <bottom style="thin"/>
    </border>
    <border>
      <left style="thin"/>
      <right style="thin"/>
      <top style="medium"/>
      <bottom style="thin"/>
    </border>
    <border>
      <left>
        <color indexed="63"/>
      </left>
      <right style="medium"/>
      <top style="medium"/>
      <bottom>
        <color indexed="63"/>
      </bottom>
    </border>
    <border>
      <left style="medium"/>
      <right style="hair"/>
      <top style="hair"/>
      <bottom style="medium"/>
    </border>
    <border>
      <left style="medium"/>
      <right style="hair"/>
      <top>
        <color indexed="63"/>
      </top>
      <bottom style="hair"/>
    </border>
    <border>
      <left style="thin"/>
      <right style="medium"/>
      <top/>
      <bottom/>
    </border>
    <border>
      <left style="thin"/>
      <right style="medium"/>
      <top/>
      <bottom style="thin"/>
    </border>
    <border>
      <left style="thin"/>
      <right style="thin"/>
      <top style="hair"/>
      <bottom style="hair"/>
    </border>
    <border>
      <left style="thin"/>
      <right style="hair"/>
      <top style="hair"/>
      <bottom style="hair"/>
    </border>
    <border>
      <left style="hair"/>
      <right style="thin"/>
      <top style="hair"/>
      <bottom style="hair"/>
    </border>
    <border>
      <left style="medium"/>
      <right/>
      <top/>
      <bottom style="thin"/>
    </border>
    <border>
      <left style="thin"/>
      <right style="thin"/>
      <top style="medium"/>
      <bottom style="hair"/>
    </border>
    <border>
      <left style="thin"/>
      <right style="hair"/>
      <top style="medium"/>
      <bottom style="hair"/>
    </border>
    <border>
      <left style="hair"/>
      <right/>
      <top style="medium"/>
      <bottom style="hair"/>
    </border>
    <border>
      <left style="hair"/>
      <right/>
      <top style="hair"/>
      <bottom style="hair"/>
    </border>
    <border>
      <left/>
      <right/>
      <top/>
      <bottom style="medium"/>
    </border>
    <border>
      <left style="thin"/>
      <right style="medium"/>
      <top style="medium"/>
      <bottom style="hair"/>
    </border>
    <border>
      <left/>
      <right/>
      <top style="medium"/>
      <bottom style="hair"/>
    </border>
    <border>
      <left>
        <color indexed="63"/>
      </left>
      <right style="medium"/>
      <top/>
      <bottom/>
    </border>
    <border>
      <left>
        <color indexed="63"/>
      </left>
      <right style="medium"/>
      <top/>
      <bottom style="thin"/>
    </border>
    <border>
      <left style="thin"/>
      <right>
        <color indexed="63"/>
      </right>
      <top style="hair"/>
      <bottom>
        <color indexed="63"/>
      </bottom>
    </border>
    <border>
      <left style="thin"/>
      <right>
        <color indexed="63"/>
      </right>
      <top/>
      <bottom style="thin"/>
    </border>
    <border>
      <left style="hair"/>
      <right style="hair">
        <color theme="1"/>
      </right>
      <top style="hair"/>
      <bottom/>
    </border>
    <border>
      <left style="hair"/>
      <right style="hair">
        <color theme="1"/>
      </right>
      <top/>
      <bottom style="thin"/>
    </border>
    <border>
      <left style="hair">
        <color theme="1"/>
      </left>
      <right style="hair">
        <color theme="1"/>
      </right>
      <top style="hair"/>
      <bottom style="hair"/>
    </border>
    <border>
      <left style="hair">
        <color theme="1"/>
      </left>
      <right style="hair">
        <color theme="1"/>
      </right>
      <top style="hair"/>
      <bottom style="thin"/>
    </border>
    <border>
      <left style="hair">
        <color theme="1"/>
      </left>
      <right style="thin">
        <color theme="1"/>
      </right>
      <top style="hair"/>
      <bottom style="hair"/>
    </border>
    <border>
      <left style="hair">
        <color theme="1"/>
      </left>
      <right style="thin">
        <color theme="1"/>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4" fillId="0" borderId="0" applyNumberFormat="0" applyFill="0" applyBorder="0" applyAlignment="0" applyProtection="0"/>
    <xf numFmtId="0" fontId="47" fillId="32" borderId="0" applyNumberFormat="0" applyBorder="0" applyAlignment="0" applyProtection="0"/>
  </cellStyleXfs>
  <cellXfs count="233">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horizontal="left" vertical="center"/>
    </xf>
    <xf numFmtId="3" fontId="2" fillId="0" borderId="0" xfId="0" applyNumberFormat="1"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Alignment="1">
      <alignment horizontal="left"/>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3" fontId="2" fillId="33" borderId="18"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0" fontId="2" fillId="0" borderId="18" xfId="0" applyFont="1" applyBorder="1" applyAlignment="1">
      <alignment horizontal="distributed" vertical="center"/>
    </xf>
    <xf numFmtId="0" fontId="2" fillId="0" borderId="20" xfId="0" applyFont="1" applyBorder="1" applyAlignment="1">
      <alignment horizontal="distributed" vertical="center"/>
    </xf>
    <xf numFmtId="0" fontId="6" fillId="0" borderId="20" xfId="0" applyFont="1" applyBorder="1" applyAlignment="1">
      <alignment horizontal="distributed" vertical="center"/>
    </xf>
    <xf numFmtId="0" fontId="2" fillId="0" borderId="21" xfId="0" applyFont="1" applyBorder="1" applyAlignment="1">
      <alignment horizontal="distributed" vertical="center"/>
    </xf>
    <xf numFmtId="3" fontId="2" fillId="34" borderId="22" xfId="0" applyNumberFormat="1" applyFont="1" applyFill="1" applyBorder="1" applyAlignment="1">
      <alignment horizontal="right" vertical="center"/>
    </xf>
    <xf numFmtId="3" fontId="2" fillId="34" borderId="23" xfId="0" applyNumberFormat="1" applyFont="1" applyFill="1" applyBorder="1" applyAlignment="1">
      <alignment horizontal="right" vertical="center"/>
    </xf>
    <xf numFmtId="3" fontId="2" fillId="33" borderId="21" xfId="0" applyNumberFormat="1" applyFont="1" applyFill="1" applyBorder="1" applyAlignment="1">
      <alignment horizontal="right" vertical="center"/>
    </xf>
    <xf numFmtId="3" fontId="2" fillId="33" borderId="24" xfId="0" applyNumberFormat="1" applyFont="1" applyFill="1" applyBorder="1" applyAlignment="1">
      <alignment horizontal="right" vertical="center"/>
    </xf>
    <xf numFmtId="0" fontId="2" fillId="0" borderId="25" xfId="0" applyFont="1" applyBorder="1" applyAlignment="1">
      <alignment horizontal="distributed" vertical="center"/>
    </xf>
    <xf numFmtId="3" fontId="2" fillId="34" borderId="26" xfId="0" applyNumberFormat="1" applyFont="1" applyFill="1" applyBorder="1" applyAlignment="1">
      <alignment horizontal="right" vertical="center"/>
    </xf>
    <xf numFmtId="3" fontId="2" fillId="33" borderId="25"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0" fontId="7" fillId="33" borderId="10" xfId="0" applyFont="1" applyFill="1" applyBorder="1" applyAlignment="1">
      <alignment horizontal="right" vertical="top"/>
    </xf>
    <xf numFmtId="0" fontId="7" fillId="34" borderId="28" xfId="0" applyFont="1" applyFill="1" applyBorder="1" applyAlignment="1">
      <alignment horizontal="right" vertical="top"/>
    </xf>
    <xf numFmtId="0" fontId="2" fillId="0" borderId="29" xfId="0" applyFont="1" applyBorder="1" applyAlignment="1">
      <alignment horizontal="distributed"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0" fontId="7" fillId="0" borderId="31" xfId="0" applyFont="1" applyFill="1" applyBorder="1" applyAlignment="1">
      <alignment horizontal="center" vertical="center"/>
    </xf>
    <xf numFmtId="0" fontId="7" fillId="33" borderId="17" xfId="0" applyFont="1" applyFill="1" applyBorder="1" applyAlignment="1">
      <alignment horizontal="right" vertical="top"/>
    </xf>
    <xf numFmtId="0" fontId="7" fillId="0" borderId="10" xfId="0" applyFont="1" applyFill="1" applyBorder="1" applyAlignment="1">
      <alignment horizontal="center" vertical="center"/>
    </xf>
    <xf numFmtId="3" fontId="2" fillId="34" borderId="32" xfId="0" applyNumberFormat="1" applyFont="1" applyFill="1" applyBorder="1" applyAlignment="1">
      <alignment horizontal="right" vertical="center"/>
    </xf>
    <xf numFmtId="0" fontId="2" fillId="0" borderId="31" xfId="0" applyFont="1" applyBorder="1" applyAlignment="1">
      <alignment horizontal="center" vertical="center"/>
    </xf>
    <xf numFmtId="0" fontId="7" fillId="34" borderId="13" xfId="0" applyFont="1" applyFill="1" applyBorder="1" applyAlignment="1">
      <alignment horizontal="right"/>
    </xf>
    <xf numFmtId="0" fontId="7" fillId="33" borderId="10" xfId="0" applyFont="1" applyFill="1" applyBorder="1" applyAlignment="1">
      <alignment horizontal="right"/>
    </xf>
    <xf numFmtId="0" fontId="7" fillId="33" borderId="17" xfId="0" applyFont="1" applyFill="1" applyBorder="1" applyAlignment="1">
      <alignment horizontal="right"/>
    </xf>
    <xf numFmtId="0" fontId="7" fillId="34" borderId="33" xfId="0" applyFont="1" applyFill="1" applyBorder="1" applyAlignment="1">
      <alignment horizontal="right"/>
    </xf>
    <xf numFmtId="0" fontId="7" fillId="34" borderId="34" xfId="0" applyFont="1" applyFill="1" applyBorder="1" applyAlignment="1">
      <alignment horizontal="right"/>
    </xf>
    <xf numFmtId="0" fontId="7" fillId="34" borderId="35" xfId="0" applyFont="1" applyFill="1" applyBorder="1" applyAlignment="1">
      <alignment horizontal="right"/>
    </xf>
    <xf numFmtId="0" fontId="7" fillId="34" borderId="36" xfId="0" applyFont="1" applyFill="1" applyBorder="1" applyAlignment="1">
      <alignment horizontal="right"/>
    </xf>
    <xf numFmtId="0" fontId="5" fillId="0" borderId="0" xfId="0" applyFont="1" applyAlignment="1">
      <alignment horizontal="center" vertical="top"/>
    </xf>
    <xf numFmtId="0" fontId="2" fillId="0" borderId="18" xfId="0" applyFont="1" applyBorder="1" applyAlignment="1">
      <alignment horizontal="distributed" vertical="center" wrapText="1"/>
    </xf>
    <xf numFmtId="0" fontId="2" fillId="0" borderId="0" xfId="0" applyFont="1" applyBorder="1" applyAlignment="1">
      <alignment horizontal="left" vertical="top"/>
    </xf>
    <xf numFmtId="0" fontId="0" fillId="0" borderId="0" xfId="0" applyFont="1" applyAlignment="1">
      <alignment/>
    </xf>
    <xf numFmtId="0" fontId="2" fillId="0" borderId="37" xfId="0" applyFont="1" applyBorder="1" applyAlignment="1">
      <alignment horizontal="distributed" vertical="center" indent="1"/>
    </xf>
    <xf numFmtId="0" fontId="2" fillId="0" borderId="0" xfId="61" applyFont="1" applyAlignment="1">
      <alignment horizontal="left" vertical="center"/>
      <protection/>
    </xf>
    <xf numFmtId="0" fontId="2" fillId="0" borderId="0" xfId="61" applyFont="1" applyAlignment="1">
      <alignment horizontal="left" vertical="top"/>
      <protection/>
    </xf>
    <xf numFmtId="0" fontId="2" fillId="0" borderId="38" xfId="61" applyFont="1" applyBorder="1" applyAlignment="1">
      <alignment horizontal="distributed" vertical="center" indent="1"/>
      <protection/>
    </xf>
    <xf numFmtId="0" fontId="2" fillId="0" borderId="39" xfId="61" applyFont="1" applyBorder="1" applyAlignment="1">
      <alignment horizontal="distributed" vertical="center" indent="1"/>
      <protection/>
    </xf>
    <xf numFmtId="0" fontId="2" fillId="0" borderId="39" xfId="61" applyFont="1" applyBorder="1" applyAlignment="1">
      <alignment horizontal="center" vertical="center"/>
      <protection/>
    </xf>
    <xf numFmtId="0" fontId="2" fillId="0" borderId="40" xfId="61" applyFont="1" applyBorder="1" applyAlignment="1">
      <alignment horizontal="center" vertical="center"/>
      <protection/>
    </xf>
    <xf numFmtId="0" fontId="2" fillId="0" borderId="40" xfId="61" applyFont="1" applyBorder="1" applyAlignment="1">
      <alignment horizontal="centerContinuous" vertical="center" wrapText="1"/>
      <protection/>
    </xf>
    <xf numFmtId="0" fontId="7" fillId="35" borderId="31" xfId="61" applyFont="1" applyFill="1" applyBorder="1" applyAlignment="1">
      <alignment horizontal="distributed" vertical="top"/>
      <protection/>
    </xf>
    <xf numFmtId="0" fontId="7" fillId="34" borderId="13" xfId="61" applyFont="1" applyFill="1" applyBorder="1" applyAlignment="1">
      <alignment horizontal="right" vertical="top"/>
      <protection/>
    </xf>
    <xf numFmtId="0" fontId="7" fillId="33" borderId="10" xfId="61" applyFont="1" applyFill="1" applyBorder="1" applyAlignment="1">
      <alignment horizontal="right" vertical="top"/>
      <protection/>
    </xf>
    <xf numFmtId="0" fontId="7" fillId="33" borderId="41" xfId="61" applyFont="1" applyFill="1" applyBorder="1" applyAlignment="1">
      <alignment horizontal="right" vertical="top"/>
      <protection/>
    </xf>
    <xf numFmtId="0" fontId="7" fillId="35" borderId="36" xfId="61" applyFont="1" applyFill="1" applyBorder="1" applyAlignment="1">
      <alignment horizontal="distributed" vertical="top"/>
      <protection/>
    </xf>
    <xf numFmtId="0" fontId="8" fillId="0" borderId="0" xfId="61" applyFont="1" applyAlignment="1">
      <alignment horizontal="right" vertical="top"/>
      <protection/>
    </xf>
    <xf numFmtId="0" fontId="2" fillId="36" borderId="42" xfId="61" applyFont="1" applyFill="1" applyBorder="1" applyAlignment="1">
      <alignment horizontal="distributed" vertical="center"/>
      <protection/>
    </xf>
    <xf numFmtId="0" fontId="2" fillId="36" borderId="43" xfId="61" applyFont="1" applyFill="1" applyBorder="1" applyAlignment="1">
      <alignment horizontal="distributed" vertical="center"/>
      <protection/>
    </xf>
    <xf numFmtId="0" fontId="9" fillId="0" borderId="0" xfId="61" applyFont="1">
      <alignment/>
      <protection/>
    </xf>
    <xf numFmtId="0" fontId="2" fillId="36" borderId="44" xfId="61" applyFont="1" applyFill="1" applyBorder="1" applyAlignment="1">
      <alignment horizontal="distributed" vertical="center"/>
      <protection/>
    </xf>
    <xf numFmtId="0" fontId="2" fillId="36" borderId="45" xfId="61" applyFont="1" applyFill="1" applyBorder="1" applyAlignment="1">
      <alignment horizontal="distributed" vertical="center"/>
      <protection/>
    </xf>
    <xf numFmtId="0" fontId="6" fillId="36" borderId="46" xfId="61" applyFont="1" applyFill="1" applyBorder="1" applyAlignment="1">
      <alignment horizontal="distributed" vertical="center"/>
      <protection/>
    </xf>
    <xf numFmtId="0" fontId="6" fillId="36" borderId="47" xfId="61" applyFont="1" applyFill="1" applyBorder="1" applyAlignment="1">
      <alignment horizontal="distributed" vertical="center"/>
      <protection/>
    </xf>
    <xf numFmtId="0" fontId="10" fillId="0" borderId="48" xfId="61" applyFont="1" applyFill="1" applyBorder="1" applyAlignment="1">
      <alignment horizontal="distributed" vertical="center"/>
      <protection/>
    </xf>
    <xf numFmtId="0" fontId="10" fillId="0" borderId="49" xfId="61" applyFont="1" applyFill="1" applyBorder="1" applyAlignment="1">
      <alignment horizontal="center" vertical="center"/>
      <protection/>
    </xf>
    <xf numFmtId="0" fontId="10" fillId="0" borderId="50" xfId="61" applyFont="1" applyFill="1" applyBorder="1" applyAlignment="1">
      <alignment horizontal="distributed" vertical="center"/>
      <protection/>
    </xf>
    <xf numFmtId="0" fontId="10" fillId="0" borderId="51" xfId="61" applyFont="1" applyFill="1" applyBorder="1" applyAlignment="1">
      <alignment horizontal="center" vertical="center"/>
      <protection/>
    </xf>
    <xf numFmtId="0" fontId="11" fillId="0" borderId="0" xfId="61" applyFont="1">
      <alignment/>
      <protection/>
    </xf>
    <xf numFmtId="0" fontId="6" fillId="0" borderId="52" xfId="61" applyFont="1" applyBorder="1" applyAlignment="1">
      <alignment horizontal="center" vertical="center"/>
      <protection/>
    </xf>
    <xf numFmtId="0" fontId="6" fillId="0" borderId="53" xfId="61" applyFont="1" applyBorder="1" applyAlignment="1">
      <alignment horizontal="center" vertical="center"/>
      <protection/>
    </xf>
    <xf numFmtId="0" fontId="2" fillId="0" borderId="0" xfId="61" applyFont="1" applyBorder="1" applyAlignment="1">
      <alignment horizontal="left" vertical="center"/>
      <protection/>
    </xf>
    <xf numFmtId="0" fontId="8" fillId="0" borderId="0" xfId="61" applyFont="1" applyAlignment="1">
      <alignment vertical="top"/>
      <protection/>
    </xf>
    <xf numFmtId="0" fontId="2" fillId="0" borderId="39" xfId="61" applyFont="1" applyBorder="1" applyAlignment="1">
      <alignment horizontal="center" vertical="center" wrapText="1"/>
      <protection/>
    </xf>
    <xf numFmtId="0" fontId="2" fillId="36" borderId="54" xfId="61" applyFont="1" applyFill="1" applyBorder="1" applyAlignment="1">
      <alignment horizontal="distributed" vertical="center"/>
      <protection/>
    </xf>
    <xf numFmtId="0" fontId="10" fillId="0" borderId="55" xfId="61" applyFont="1" applyFill="1" applyBorder="1" applyAlignment="1">
      <alignment horizontal="center" vertical="center"/>
      <protection/>
    </xf>
    <xf numFmtId="0" fontId="6" fillId="0" borderId="56" xfId="61" applyFont="1" applyBorder="1" applyAlignment="1">
      <alignment horizontal="center" vertical="center"/>
      <protection/>
    </xf>
    <xf numFmtId="3" fontId="2" fillId="34" borderId="57" xfId="0" applyNumberFormat="1" applyFont="1" applyFill="1" applyBorder="1" applyAlignment="1">
      <alignment horizontal="right" vertical="center"/>
    </xf>
    <xf numFmtId="3" fontId="2" fillId="34" borderId="58"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3" fontId="2" fillId="33" borderId="59" xfId="0" applyNumberFormat="1" applyFont="1" applyFill="1" applyBorder="1" applyAlignment="1">
      <alignment horizontal="right" vertical="center"/>
    </xf>
    <xf numFmtId="3" fontId="6" fillId="34" borderId="58" xfId="0" applyNumberFormat="1" applyFont="1" applyFill="1" applyBorder="1" applyAlignment="1">
      <alignment horizontal="right" vertical="center"/>
    </xf>
    <xf numFmtId="3" fontId="6" fillId="33" borderId="20" xfId="0" applyNumberFormat="1" applyFont="1" applyFill="1" applyBorder="1" applyAlignment="1">
      <alignment horizontal="right" vertical="center"/>
    </xf>
    <xf numFmtId="3" fontId="6" fillId="33" borderId="59" xfId="0" applyNumberFormat="1" applyFont="1" applyFill="1" applyBorder="1" applyAlignment="1">
      <alignment horizontal="right" vertical="center"/>
    </xf>
    <xf numFmtId="3" fontId="2" fillId="34" borderId="60" xfId="0" applyNumberFormat="1" applyFont="1" applyFill="1" applyBorder="1" applyAlignment="1">
      <alignment horizontal="right" vertical="center"/>
    </xf>
    <xf numFmtId="3" fontId="2" fillId="33" borderId="61" xfId="0" applyNumberFormat="1" applyFont="1" applyFill="1" applyBorder="1" applyAlignment="1">
      <alignment horizontal="right" vertical="center"/>
    </xf>
    <xf numFmtId="3" fontId="2" fillId="33" borderId="62" xfId="0" applyNumberFormat="1" applyFont="1" applyFill="1" applyBorder="1" applyAlignment="1">
      <alignment horizontal="right" vertical="center"/>
    </xf>
    <xf numFmtId="3" fontId="2" fillId="34" borderId="63" xfId="0" applyNumberFormat="1" applyFont="1" applyFill="1" applyBorder="1" applyAlignment="1">
      <alignment horizontal="right" vertical="center"/>
    </xf>
    <xf numFmtId="3" fontId="2" fillId="34" borderId="63" xfId="0" applyNumberFormat="1" applyFont="1" applyFill="1" applyBorder="1" applyAlignment="1">
      <alignment vertical="center"/>
    </xf>
    <xf numFmtId="3" fontId="2" fillId="34" borderId="64" xfId="0" applyNumberFormat="1" applyFont="1" applyFill="1" applyBorder="1" applyAlignment="1">
      <alignment horizontal="right" vertical="center"/>
    </xf>
    <xf numFmtId="3" fontId="2" fillId="33" borderId="65" xfId="0" applyNumberFormat="1" applyFont="1" applyFill="1" applyBorder="1" applyAlignment="1">
      <alignment horizontal="right" vertical="center"/>
    </xf>
    <xf numFmtId="0" fontId="0" fillId="0" borderId="0" xfId="61" applyFont="1">
      <alignment/>
      <protection/>
    </xf>
    <xf numFmtId="177" fontId="2" fillId="34" borderId="32" xfId="61" applyNumberFormat="1" applyFont="1" applyFill="1" applyBorder="1" applyAlignment="1">
      <alignment horizontal="right" vertical="center"/>
      <protection/>
    </xf>
    <xf numFmtId="177" fontId="2" fillId="33" borderId="29" xfId="61" applyNumberFormat="1" applyFont="1" applyFill="1" applyBorder="1" applyAlignment="1">
      <alignment horizontal="right" vertical="center"/>
      <protection/>
    </xf>
    <xf numFmtId="177" fontId="2" fillId="33" borderId="66" xfId="61" applyNumberFormat="1" applyFont="1" applyFill="1" applyBorder="1" applyAlignment="1">
      <alignment horizontal="right" vertical="center"/>
      <protection/>
    </xf>
    <xf numFmtId="177" fontId="2" fillId="34" borderId="67" xfId="61" applyNumberFormat="1" applyFont="1" applyFill="1" applyBorder="1" applyAlignment="1">
      <alignment horizontal="right" vertical="center"/>
      <protection/>
    </xf>
    <xf numFmtId="177" fontId="2" fillId="33" borderId="20" xfId="61" applyNumberFormat="1" applyFont="1" applyFill="1" applyBorder="1" applyAlignment="1">
      <alignment horizontal="right" vertical="center"/>
      <protection/>
    </xf>
    <xf numFmtId="177" fontId="2" fillId="33" borderId="68" xfId="61" applyNumberFormat="1" applyFont="1" applyFill="1" applyBorder="1" applyAlignment="1">
      <alignment horizontal="right" vertical="center"/>
      <protection/>
    </xf>
    <xf numFmtId="177" fontId="6" fillId="34" borderId="69" xfId="61" applyNumberFormat="1" applyFont="1" applyFill="1" applyBorder="1" applyAlignment="1">
      <alignment horizontal="right" vertical="center"/>
      <protection/>
    </xf>
    <xf numFmtId="177" fontId="6" fillId="33" borderId="70" xfId="61" applyNumberFormat="1" applyFont="1" applyFill="1" applyBorder="1" applyAlignment="1">
      <alignment horizontal="right" vertical="center"/>
      <protection/>
    </xf>
    <xf numFmtId="177" fontId="6" fillId="33" borderId="71" xfId="61" applyNumberFormat="1" applyFont="1" applyFill="1" applyBorder="1" applyAlignment="1">
      <alignment horizontal="right" vertical="center"/>
      <protection/>
    </xf>
    <xf numFmtId="177" fontId="10" fillId="0" borderId="72" xfId="61" applyNumberFormat="1" applyFont="1" applyFill="1" applyBorder="1" applyAlignment="1">
      <alignment horizontal="right" vertical="center"/>
      <protection/>
    </xf>
    <xf numFmtId="177" fontId="10" fillId="0" borderId="73" xfId="61" applyNumberFormat="1" applyFont="1" applyFill="1" applyBorder="1" applyAlignment="1">
      <alignment horizontal="right" vertical="center"/>
      <protection/>
    </xf>
    <xf numFmtId="177" fontId="10" fillId="0" borderId="74" xfId="61" applyNumberFormat="1" applyFont="1" applyFill="1" applyBorder="1" applyAlignment="1">
      <alignment horizontal="right" vertical="center"/>
      <protection/>
    </xf>
    <xf numFmtId="177" fontId="2" fillId="0" borderId="75" xfId="61" applyNumberFormat="1" applyFont="1" applyFill="1" applyBorder="1" applyAlignment="1">
      <alignment horizontal="right" vertical="center"/>
      <protection/>
    </xf>
    <xf numFmtId="177" fontId="2" fillId="0" borderId="76" xfId="61" applyNumberFormat="1" applyFont="1" applyFill="1" applyBorder="1" applyAlignment="1">
      <alignment horizontal="right" vertical="center"/>
      <protection/>
    </xf>
    <xf numFmtId="177" fontId="2" fillId="0" borderId="77" xfId="61" applyNumberFormat="1" applyFont="1" applyFill="1" applyBorder="1" applyAlignment="1">
      <alignment horizontal="right" vertical="center"/>
      <protection/>
    </xf>
    <xf numFmtId="177" fontId="6" fillId="34" borderId="78" xfId="61" applyNumberFormat="1" applyFont="1" applyFill="1" applyBorder="1" applyAlignment="1">
      <alignment horizontal="right" vertical="center"/>
      <protection/>
    </xf>
    <xf numFmtId="177" fontId="6" fillId="33" borderId="65" xfId="61" applyNumberFormat="1" applyFont="1" applyFill="1" applyBorder="1" applyAlignment="1">
      <alignment horizontal="right" vertical="center"/>
      <protection/>
    </xf>
    <xf numFmtId="177" fontId="6" fillId="33" borderId="79" xfId="61" applyNumberFormat="1" applyFont="1" applyFill="1" applyBorder="1" applyAlignment="1">
      <alignment horizontal="right" vertical="center"/>
      <protection/>
    </xf>
    <xf numFmtId="0" fontId="0" fillId="0" borderId="0" xfId="61" applyFont="1" applyAlignment="1">
      <alignment horizontal="center"/>
      <protection/>
    </xf>
    <xf numFmtId="0" fontId="0" fillId="0" borderId="0" xfId="61" applyFont="1" applyBorder="1">
      <alignment/>
      <protection/>
    </xf>
    <xf numFmtId="0" fontId="2" fillId="0" borderId="0" xfId="0" applyFont="1" applyAlignment="1">
      <alignment horizontal="right" vertical="top"/>
    </xf>
    <xf numFmtId="0" fontId="2" fillId="0" borderId="0" xfId="0" applyFont="1" applyAlignment="1" quotePrefix="1">
      <alignment horizontal="right" vertical="top"/>
    </xf>
    <xf numFmtId="0" fontId="7" fillId="34" borderId="80" xfId="0" applyFont="1" applyFill="1" applyBorder="1" applyAlignment="1">
      <alignment horizontal="right"/>
    </xf>
    <xf numFmtId="0" fontId="7" fillId="33" borderId="81" xfId="61" applyFont="1" applyFill="1" applyBorder="1" applyAlignment="1">
      <alignment horizontal="right" vertical="top"/>
      <protection/>
    </xf>
    <xf numFmtId="177" fontId="2" fillId="33" borderId="82" xfId="61" applyNumberFormat="1" applyFont="1" applyFill="1" applyBorder="1" applyAlignment="1">
      <alignment horizontal="right" vertical="center"/>
      <protection/>
    </xf>
    <xf numFmtId="0" fontId="7" fillId="34" borderId="83" xfId="0" applyFont="1" applyFill="1" applyBorder="1" applyAlignment="1">
      <alignment horizontal="right"/>
    </xf>
    <xf numFmtId="0" fontId="7" fillId="34" borderId="84" xfId="0" applyFont="1" applyFill="1" applyBorder="1" applyAlignment="1">
      <alignment horizontal="right"/>
    </xf>
    <xf numFmtId="0" fontId="7" fillId="34" borderId="85" xfId="0" applyFont="1" applyFill="1" applyBorder="1" applyAlignment="1">
      <alignment horizontal="right"/>
    </xf>
    <xf numFmtId="0" fontId="0" fillId="0" borderId="86" xfId="61" applyFont="1" applyBorder="1">
      <alignment/>
      <protection/>
    </xf>
    <xf numFmtId="0" fontId="0" fillId="0" borderId="86" xfId="61" applyFont="1" applyBorder="1">
      <alignment/>
      <protection/>
    </xf>
    <xf numFmtId="0" fontId="8" fillId="0" borderId="86" xfId="61" applyFont="1" applyBorder="1" applyAlignment="1">
      <alignment vertical="top"/>
      <protection/>
    </xf>
    <xf numFmtId="0" fontId="7" fillId="35" borderId="12" xfId="61" applyFont="1" applyFill="1" applyBorder="1" applyAlignment="1">
      <alignment horizontal="distributed" vertical="top"/>
      <protection/>
    </xf>
    <xf numFmtId="0" fontId="10" fillId="0" borderId="87" xfId="61" applyFont="1" applyFill="1" applyBorder="1" applyAlignment="1">
      <alignment horizontal="center" vertical="center"/>
      <protection/>
    </xf>
    <xf numFmtId="3" fontId="2" fillId="34" borderId="88" xfId="0" applyNumberFormat="1" applyFont="1" applyFill="1" applyBorder="1" applyAlignment="1">
      <alignment vertical="center"/>
    </xf>
    <xf numFmtId="3" fontId="2" fillId="34" borderId="89" xfId="0" applyNumberFormat="1" applyFont="1" applyFill="1" applyBorder="1" applyAlignment="1">
      <alignment vertical="center"/>
    </xf>
    <xf numFmtId="3" fontId="2" fillId="34" borderId="90" xfId="0" applyNumberFormat="1" applyFont="1" applyFill="1" applyBorder="1" applyAlignment="1">
      <alignment vertical="center"/>
    </xf>
    <xf numFmtId="3" fontId="2" fillId="34" borderId="53" xfId="0" applyNumberFormat="1" applyFont="1" applyFill="1" applyBorder="1" applyAlignment="1">
      <alignment vertical="center"/>
    </xf>
    <xf numFmtId="0" fontId="2" fillId="0" borderId="91" xfId="0" applyFont="1" applyBorder="1" applyAlignment="1">
      <alignment horizontal="left" vertical="top" wrapText="1"/>
    </xf>
    <xf numFmtId="3" fontId="48" fillId="34" borderId="57" xfId="0" applyNumberFormat="1" applyFont="1" applyFill="1" applyBorder="1" applyAlignment="1">
      <alignment horizontal="right" vertical="center"/>
    </xf>
    <xf numFmtId="3" fontId="49" fillId="34" borderId="58" xfId="0" applyNumberFormat="1" applyFont="1" applyFill="1" applyBorder="1" applyAlignment="1">
      <alignment horizontal="right" vertical="center"/>
    </xf>
    <xf numFmtId="3" fontId="48" fillId="34" borderId="60" xfId="0" applyNumberFormat="1" applyFont="1" applyFill="1" applyBorder="1" applyAlignment="1">
      <alignment horizontal="right" vertical="center"/>
    </xf>
    <xf numFmtId="3" fontId="48" fillId="34" borderId="22" xfId="0" applyNumberFormat="1" applyFont="1" applyFill="1" applyBorder="1" applyAlignment="1">
      <alignment horizontal="right" vertical="center"/>
    </xf>
    <xf numFmtId="3" fontId="48" fillId="34" borderId="26" xfId="0" applyNumberFormat="1" applyFont="1" applyFill="1" applyBorder="1" applyAlignment="1">
      <alignment horizontal="right" vertical="center"/>
    </xf>
    <xf numFmtId="177" fontId="48" fillId="33" borderId="29" xfId="61" applyNumberFormat="1" applyFont="1" applyFill="1" applyBorder="1" applyAlignment="1">
      <alignment horizontal="right" vertical="center"/>
      <protection/>
    </xf>
    <xf numFmtId="177" fontId="48" fillId="33" borderId="20" xfId="61" applyNumberFormat="1" applyFont="1" applyFill="1" applyBorder="1" applyAlignment="1">
      <alignment horizontal="right" vertical="center"/>
      <protection/>
    </xf>
    <xf numFmtId="177" fontId="48" fillId="33" borderId="66" xfId="61" applyNumberFormat="1" applyFont="1" applyFill="1" applyBorder="1" applyAlignment="1">
      <alignment horizontal="right" vertical="center"/>
      <protection/>
    </xf>
    <xf numFmtId="177" fontId="48" fillId="33" borderId="68" xfId="61" applyNumberFormat="1" applyFont="1" applyFill="1" applyBorder="1" applyAlignment="1">
      <alignment horizontal="right" vertical="center"/>
      <protection/>
    </xf>
    <xf numFmtId="177" fontId="48" fillId="34" borderId="67" xfId="61" applyNumberFormat="1" applyFont="1" applyFill="1" applyBorder="1" applyAlignment="1">
      <alignment horizontal="right" vertical="center"/>
      <protection/>
    </xf>
    <xf numFmtId="177" fontId="49" fillId="34" borderId="69" xfId="61" applyNumberFormat="1" applyFont="1" applyFill="1" applyBorder="1" applyAlignment="1">
      <alignment horizontal="right" vertical="center"/>
      <protection/>
    </xf>
    <xf numFmtId="177" fontId="49" fillId="33" borderId="71" xfId="61" applyNumberFormat="1" applyFont="1" applyFill="1" applyBorder="1" applyAlignment="1">
      <alignment horizontal="right" vertical="center"/>
      <protection/>
    </xf>
    <xf numFmtId="177" fontId="49" fillId="34" borderId="78" xfId="61" applyNumberFormat="1" applyFont="1" applyFill="1" applyBorder="1" applyAlignment="1">
      <alignment horizontal="right" vertical="center"/>
      <protection/>
    </xf>
    <xf numFmtId="41" fontId="2" fillId="34" borderId="92" xfId="61" applyNumberFormat="1" applyFont="1" applyFill="1" applyBorder="1" applyAlignment="1">
      <alignment horizontal="right" vertical="center"/>
      <protection/>
    </xf>
    <xf numFmtId="41" fontId="2" fillId="34" borderId="93" xfId="61" applyNumberFormat="1" applyFont="1" applyFill="1" applyBorder="1" applyAlignment="1">
      <alignment horizontal="right" vertical="center"/>
      <protection/>
    </xf>
    <xf numFmtId="41" fontId="2" fillId="34" borderId="94" xfId="61" applyNumberFormat="1" applyFont="1" applyFill="1" applyBorder="1" applyAlignment="1">
      <alignment horizontal="right" vertical="center"/>
      <protection/>
    </xf>
    <xf numFmtId="41" fontId="2" fillId="34" borderId="95" xfId="61" applyNumberFormat="1" applyFont="1" applyFill="1" applyBorder="1" applyAlignment="1">
      <alignment horizontal="right" vertical="center"/>
      <protection/>
    </xf>
    <xf numFmtId="41" fontId="2" fillId="34" borderId="96" xfId="61" applyNumberFormat="1" applyFont="1" applyFill="1" applyBorder="1" applyAlignment="1">
      <alignment horizontal="right" vertical="center"/>
      <protection/>
    </xf>
    <xf numFmtId="41" fontId="2" fillId="34" borderId="66" xfId="61" applyNumberFormat="1" applyFont="1" applyFill="1" applyBorder="1" applyAlignment="1">
      <alignment horizontal="right" vertical="center"/>
      <protection/>
    </xf>
    <xf numFmtId="41" fontId="2" fillId="34" borderId="57" xfId="61" applyNumberFormat="1" applyFont="1" applyFill="1" applyBorder="1" applyAlignment="1">
      <alignment horizontal="right" vertical="center"/>
      <protection/>
    </xf>
    <xf numFmtId="41" fontId="2" fillId="34" borderId="32" xfId="61" applyNumberFormat="1" applyFont="1" applyFill="1" applyBorder="1" applyAlignment="1">
      <alignment horizontal="right" vertical="center"/>
      <protection/>
    </xf>
    <xf numFmtId="41" fontId="6" fillId="34" borderId="69" xfId="61" applyNumberFormat="1" applyFont="1" applyFill="1" applyBorder="1" applyAlignment="1">
      <alignment horizontal="right" vertical="center"/>
      <protection/>
    </xf>
    <xf numFmtId="41" fontId="6" fillId="34" borderId="97" xfId="61" applyNumberFormat="1" applyFont="1" applyFill="1" applyBorder="1" applyAlignment="1">
      <alignment horizontal="right" vertical="center"/>
      <protection/>
    </xf>
    <xf numFmtId="41" fontId="6" fillId="34" borderId="71" xfId="61" applyNumberFormat="1" applyFont="1" applyFill="1" applyBorder="1" applyAlignment="1">
      <alignment horizontal="right" vertical="center"/>
      <protection/>
    </xf>
    <xf numFmtId="41" fontId="2" fillId="0" borderId="98" xfId="61" applyNumberFormat="1" applyFont="1" applyFill="1" applyBorder="1" applyAlignment="1">
      <alignment horizontal="right" vertical="center"/>
      <protection/>
    </xf>
    <xf numFmtId="41" fontId="2" fillId="0" borderId="99" xfId="61" applyNumberFormat="1" applyFont="1" applyFill="1" applyBorder="1" applyAlignment="1">
      <alignment horizontal="right" vertical="center"/>
      <protection/>
    </xf>
    <xf numFmtId="41" fontId="2" fillId="0" borderId="100" xfId="61" applyNumberFormat="1" applyFont="1" applyFill="1" applyBorder="1" applyAlignment="1">
      <alignment horizontal="right" vertical="center"/>
      <protection/>
    </xf>
    <xf numFmtId="41" fontId="2" fillId="34" borderId="101" xfId="61" applyNumberFormat="1" applyFont="1" applyFill="1" applyBorder="1" applyAlignment="1">
      <alignment horizontal="right" vertical="center"/>
      <protection/>
    </xf>
    <xf numFmtId="41" fontId="2" fillId="34" borderId="102" xfId="61" applyNumberFormat="1" applyFont="1" applyFill="1" applyBorder="1" applyAlignment="1">
      <alignment horizontal="right" vertical="center"/>
      <protection/>
    </xf>
    <xf numFmtId="41" fontId="2" fillId="34" borderId="103" xfId="61" applyNumberFormat="1" applyFont="1" applyFill="1" applyBorder="1" applyAlignment="1">
      <alignment horizontal="right" vertical="center"/>
      <protection/>
    </xf>
    <xf numFmtId="41" fontId="6" fillId="34" borderId="104" xfId="61" applyNumberFormat="1" applyFont="1" applyFill="1" applyBorder="1" applyAlignment="1">
      <alignment horizontal="right" vertical="center"/>
      <protection/>
    </xf>
    <xf numFmtId="41" fontId="6" fillId="34" borderId="105" xfId="61" applyNumberFormat="1" applyFont="1" applyFill="1" applyBorder="1" applyAlignment="1">
      <alignment horizontal="right" vertical="center"/>
      <protection/>
    </xf>
    <xf numFmtId="41" fontId="6" fillId="34" borderId="106" xfId="61" applyNumberFormat="1" applyFont="1" applyFill="1" applyBorder="1" applyAlignment="1">
      <alignment horizontal="right" vertical="center"/>
      <protection/>
    </xf>
    <xf numFmtId="0" fontId="2" fillId="0" borderId="21" xfId="0" applyFont="1" applyBorder="1" applyAlignment="1">
      <alignment horizontal="distributed" vertical="center" wrapText="1"/>
    </xf>
    <xf numFmtId="3" fontId="2" fillId="34" borderId="107" xfId="0" applyNumberFormat="1" applyFont="1" applyFill="1" applyBorder="1" applyAlignment="1">
      <alignment horizontal="right" vertical="center"/>
    </xf>
    <xf numFmtId="3" fontId="2" fillId="34" borderId="107" xfId="0" applyNumberFormat="1" applyFont="1" applyFill="1" applyBorder="1" applyAlignment="1">
      <alignment vertical="center"/>
    </xf>
    <xf numFmtId="3" fontId="2" fillId="33" borderId="108" xfId="0" applyNumberFormat="1" applyFont="1" applyFill="1" applyBorder="1" applyAlignment="1">
      <alignment horizontal="right" vertical="center"/>
    </xf>
    <xf numFmtId="0" fontId="2" fillId="0" borderId="109" xfId="0" applyFont="1" applyBorder="1" applyAlignment="1">
      <alignment horizontal="center" vertical="center"/>
    </xf>
    <xf numFmtId="0" fontId="5" fillId="0" borderId="0" xfId="0" applyFont="1" applyAlignment="1">
      <alignment horizontal="center" vertical="top"/>
    </xf>
    <xf numFmtId="0" fontId="2" fillId="0" borderId="0" xfId="0" applyFont="1" applyAlignment="1">
      <alignment horizontal="left" vertical="top"/>
    </xf>
    <xf numFmtId="0" fontId="2" fillId="0" borderId="110" xfId="0" applyFont="1" applyBorder="1" applyAlignment="1">
      <alignment horizontal="center" vertical="center"/>
    </xf>
    <xf numFmtId="0" fontId="2" fillId="0" borderId="111" xfId="0" applyFont="1" applyBorder="1" applyAlignment="1">
      <alignment horizontal="center" vertical="center"/>
    </xf>
    <xf numFmtId="0" fontId="2" fillId="0" borderId="86" xfId="0" applyFont="1" applyBorder="1" applyAlignment="1">
      <alignment horizontal="center" vertical="center"/>
    </xf>
    <xf numFmtId="0" fontId="2" fillId="0" borderId="112" xfId="0" applyFont="1" applyBorder="1" applyAlignment="1">
      <alignment horizontal="center" vertical="center"/>
    </xf>
    <xf numFmtId="0" fontId="2" fillId="0" borderId="113" xfId="0" applyFont="1" applyBorder="1" applyAlignment="1">
      <alignment horizontal="center" vertical="center"/>
    </xf>
    <xf numFmtId="0" fontId="2" fillId="0" borderId="114" xfId="0" applyFont="1" applyBorder="1" applyAlignment="1">
      <alignment horizontal="center" vertical="center"/>
    </xf>
    <xf numFmtId="0" fontId="2" fillId="0" borderId="115" xfId="0" applyFont="1" applyBorder="1" applyAlignment="1">
      <alignment horizontal="center" vertical="center"/>
    </xf>
    <xf numFmtId="0" fontId="2" fillId="0" borderId="116" xfId="0" applyFont="1" applyBorder="1" applyAlignment="1">
      <alignment horizontal="distributed" vertical="center" wrapText="1"/>
    </xf>
    <xf numFmtId="0" fontId="2" fillId="0" borderId="116" xfId="0" applyFont="1" applyBorder="1" applyAlignment="1">
      <alignment horizontal="distributed" vertical="center"/>
    </xf>
    <xf numFmtId="0" fontId="2" fillId="0" borderId="117" xfId="0" applyFont="1" applyBorder="1" applyAlignment="1">
      <alignment horizontal="distributed" vertical="center"/>
    </xf>
    <xf numFmtId="0" fontId="2" fillId="0" borderId="118" xfId="0" applyFont="1" applyBorder="1" applyAlignment="1">
      <alignment horizontal="distributed" vertical="center" wrapText="1"/>
    </xf>
    <xf numFmtId="0" fontId="2" fillId="0" borderId="119" xfId="0" applyFont="1" applyBorder="1" applyAlignment="1">
      <alignment horizontal="distributed" vertical="center"/>
    </xf>
    <xf numFmtId="0" fontId="2" fillId="0" borderId="52" xfId="0" applyFont="1" applyBorder="1" applyAlignment="1">
      <alignment horizontal="distributed" vertical="center"/>
    </xf>
    <xf numFmtId="0" fontId="2" fillId="0" borderId="120" xfId="0" applyFont="1" applyBorder="1" applyAlignment="1">
      <alignment horizontal="distributed" vertical="center"/>
    </xf>
    <xf numFmtId="0" fontId="2" fillId="0" borderId="91" xfId="0" applyFont="1" applyBorder="1" applyAlignment="1">
      <alignment horizontal="left" vertical="top" wrapText="1"/>
    </xf>
    <xf numFmtId="0" fontId="2" fillId="0" borderId="0" xfId="0" applyFont="1" applyAlignment="1">
      <alignment horizontal="left" vertical="top" wrapText="1"/>
    </xf>
    <xf numFmtId="0" fontId="2" fillId="0" borderId="121" xfId="0" applyFont="1" applyBorder="1" applyAlignment="1">
      <alignment horizontal="center" vertical="center"/>
    </xf>
    <xf numFmtId="0" fontId="2" fillId="0" borderId="122" xfId="0" applyFont="1" applyBorder="1" applyAlignment="1">
      <alignment horizontal="center" vertical="center"/>
    </xf>
    <xf numFmtId="0" fontId="2" fillId="0" borderId="91" xfId="0" applyFont="1" applyBorder="1" applyAlignment="1">
      <alignment horizontal="center" vertical="center"/>
    </xf>
    <xf numFmtId="0" fontId="2" fillId="0" borderId="123" xfId="0" applyFont="1" applyBorder="1" applyAlignment="1">
      <alignment horizontal="center" vertical="center"/>
    </xf>
    <xf numFmtId="0" fontId="2" fillId="0" borderId="118"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19" xfId="0" applyFont="1" applyBorder="1" applyAlignment="1">
      <alignment horizontal="center" vertical="center"/>
    </xf>
    <xf numFmtId="0" fontId="2" fillId="0" borderId="91" xfId="0" applyFont="1" applyBorder="1" applyAlignment="1">
      <alignment horizontal="left" vertical="center"/>
    </xf>
    <xf numFmtId="0" fontId="2" fillId="0" borderId="0" xfId="0" applyFont="1" applyAlignment="1">
      <alignment horizontal="left" vertical="center"/>
    </xf>
    <xf numFmtId="0" fontId="2" fillId="0" borderId="37" xfId="61" applyFont="1" applyBorder="1" applyAlignment="1">
      <alignment horizontal="distributed" vertical="center" wrapText="1"/>
      <protection/>
    </xf>
    <xf numFmtId="0" fontId="2" fillId="0" borderId="126" xfId="61" applyFont="1" applyBorder="1" applyAlignment="1">
      <alignment horizontal="distributed" vertical="center" wrapText="1"/>
      <protection/>
    </xf>
    <xf numFmtId="0" fontId="2" fillId="0" borderId="127" xfId="61" applyFont="1" applyBorder="1" applyAlignment="1">
      <alignment horizontal="distributed" vertical="center" wrapText="1"/>
      <protection/>
    </xf>
    <xf numFmtId="0" fontId="2" fillId="0" borderId="128" xfId="61" applyFont="1" applyBorder="1" applyAlignment="1">
      <alignment horizontal="center" vertical="center"/>
      <protection/>
    </xf>
    <xf numFmtId="0" fontId="2" fillId="0" borderId="129" xfId="61" applyFont="1" applyBorder="1" applyAlignment="1">
      <alignment horizontal="center" vertical="center"/>
      <protection/>
    </xf>
    <xf numFmtId="0" fontId="2" fillId="0" borderId="130" xfId="61" applyFont="1" applyBorder="1" applyAlignment="1">
      <alignment horizontal="center" vertical="center"/>
      <protection/>
    </xf>
    <xf numFmtId="0" fontId="2" fillId="0" borderId="91" xfId="61" applyFont="1" applyBorder="1" applyAlignment="1">
      <alignment horizontal="left" vertical="center"/>
      <protection/>
    </xf>
    <xf numFmtId="0" fontId="2" fillId="0" borderId="0" xfId="61" applyFont="1" applyAlignment="1">
      <alignment horizontal="left" vertical="center"/>
      <protection/>
    </xf>
    <xf numFmtId="0" fontId="2" fillId="0" borderId="110" xfId="61" applyFont="1" applyBorder="1" applyAlignment="1">
      <alignment horizontal="distributed" vertical="center"/>
      <protection/>
    </xf>
    <xf numFmtId="0" fontId="2" fillId="0" borderId="86" xfId="61" applyFont="1" applyBorder="1" applyAlignment="1">
      <alignment horizontal="distributed" vertical="center"/>
      <protection/>
    </xf>
    <xf numFmtId="0" fontId="2" fillId="0" borderId="131" xfId="61" applyFont="1" applyBorder="1" applyAlignment="1">
      <alignment horizontal="distributed" vertical="center"/>
      <protection/>
    </xf>
    <xf numFmtId="0" fontId="2" fillId="0" borderId="132" xfId="61" applyFont="1" applyBorder="1" applyAlignment="1">
      <alignment horizontal="center" vertical="center"/>
      <protection/>
    </xf>
    <xf numFmtId="0" fontId="2" fillId="0" borderId="133" xfId="61" applyFont="1" applyBorder="1" applyAlignment="1">
      <alignment horizontal="center" vertical="center"/>
      <protection/>
    </xf>
    <xf numFmtId="0" fontId="2" fillId="0" borderId="134" xfId="61" applyFont="1" applyBorder="1" applyAlignment="1">
      <alignment horizontal="center" vertical="center"/>
      <protection/>
    </xf>
    <xf numFmtId="0" fontId="2" fillId="0" borderId="135" xfId="61" applyFont="1" applyBorder="1" applyAlignment="1">
      <alignment horizontal="center" vertical="center"/>
      <protection/>
    </xf>
    <xf numFmtId="0" fontId="2" fillId="0" borderId="133" xfId="61" applyFont="1" applyBorder="1" applyAlignment="1">
      <alignment horizontal="center" vertical="center" wrapText="1"/>
      <protection/>
    </xf>
    <xf numFmtId="0" fontId="2" fillId="0" borderId="136" xfId="61" applyFont="1" applyBorder="1" applyAlignment="1">
      <alignment horizontal="left" vertical="center"/>
      <protection/>
    </xf>
    <xf numFmtId="0" fontId="2" fillId="0" borderId="137" xfId="61" applyFont="1" applyBorder="1" applyAlignment="1">
      <alignment horizontal="center" vertical="center"/>
      <protection/>
    </xf>
    <xf numFmtId="0" fontId="2" fillId="0" borderId="138" xfId="61" applyFont="1" applyBorder="1" applyAlignment="1">
      <alignment horizontal="center" vertical="center"/>
      <protection/>
    </xf>
    <xf numFmtId="0" fontId="2" fillId="0" borderId="139" xfId="61" applyFont="1" applyBorder="1" applyAlignment="1">
      <alignment horizontal="distributed" vertical="center" wrapText="1"/>
      <protection/>
    </xf>
    <xf numFmtId="0" fontId="2" fillId="0" borderId="140" xfId="61" applyFont="1" applyBorder="1" applyAlignment="1">
      <alignment horizontal="distributed" vertical="center" wrapText="1"/>
      <protection/>
    </xf>
    <xf numFmtId="0" fontId="2" fillId="0" borderId="141" xfId="61" applyFont="1" applyBorder="1" applyAlignment="1">
      <alignment horizontal="distributed" vertical="center" wrapText="1"/>
      <protection/>
    </xf>
    <xf numFmtId="0" fontId="2" fillId="0" borderId="142" xfId="61" applyFont="1" applyBorder="1" applyAlignment="1">
      <alignment horizontal="distributed" vertical="center"/>
      <protection/>
    </xf>
    <xf numFmtId="0" fontId="2" fillId="0" borderId="143" xfId="61" applyFont="1" applyBorder="1" applyAlignment="1">
      <alignment horizontal="distributed" vertical="center" wrapText="1"/>
      <protection/>
    </xf>
    <xf numFmtId="0" fontId="2" fillId="0" borderId="144" xfId="61" applyFont="1" applyBorder="1" applyAlignment="1">
      <alignment horizontal="distributed" vertical="center"/>
      <protection/>
    </xf>
    <xf numFmtId="0" fontId="2" fillId="0" borderId="145" xfId="61" applyFont="1" applyBorder="1" applyAlignment="1">
      <alignment horizontal="distributed" vertical="center" wrapText="1"/>
      <protection/>
    </xf>
    <xf numFmtId="0" fontId="2" fillId="0" borderId="146" xfId="61" applyFont="1" applyBorder="1" applyAlignment="1">
      <alignment horizontal="distributed" vertical="center" wrapText="1"/>
      <protection/>
    </xf>
    <xf numFmtId="0" fontId="2" fillId="0" borderId="147" xfId="61" applyFont="1" applyBorder="1" applyAlignment="1">
      <alignment horizontal="center" vertical="center"/>
      <protection/>
    </xf>
    <xf numFmtId="0" fontId="2" fillId="0" borderId="148" xfId="61" applyFont="1" applyBorder="1" applyAlignment="1">
      <alignment horizontal="center" vertical="center"/>
      <protection/>
    </xf>
    <xf numFmtId="0" fontId="2" fillId="0" borderId="132"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H17"/>
  <sheetViews>
    <sheetView showGridLines="0" workbookViewId="0" topLeftCell="A7">
      <selection activeCell="B15" sqref="B15:H15"/>
    </sheetView>
  </sheetViews>
  <sheetFormatPr defaultColWidth="5.875" defaultRowHeight="13.5"/>
  <cols>
    <col min="1" max="1" width="10.625" style="1" customWidth="1"/>
    <col min="2" max="2" width="16.00390625" style="1" customWidth="1"/>
    <col min="3" max="3" width="9.125" style="1" customWidth="1"/>
    <col min="4" max="4" width="10.625" style="1" customWidth="1"/>
    <col min="5" max="5" width="9.125" style="1" customWidth="1"/>
    <col min="6" max="6" width="11.375" style="1" bestFit="1" customWidth="1"/>
    <col min="7" max="7" width="9.125" style="1" customWidth="1"/>
    <col min="8" max="8" width="11.375" style="1" bestFit="1" customWidth="1"/>
    <col min="9" max="16384" width="5.875" style="1" customWidth="1"/>
  </cols>
  <sheetData>
    <row r="1" spans="1:8" ht="15">
      <c r="A1" s="175" t="s">
        <v>163</v>
      </c>
      <c r="B1" s="175"/>
      <c r="C1" s="175"/>
      <c r="D1" s="175"/>
      <c r="E1" s="175"/>
      <c r="F1" s="175"/>
      <c r="G1" s="175"/>
      <c r="H1" s="175"/>
    </row>
    <row r="2" spans="1:8" ht="15">
      <c r="A2" s="46"/>
      <c r="B2" s="46"/>
      <c r="C2" s="46"/>
      <c r="D2" s="46"/>
      <c r="E2" s="46"/>
      <c r="F2" s="46"/>
      <c r="G2" s="46"/>
      <c r="H2" s="46"/>
    </row>
    <row r="3" spans="1:8" ht="12" thickBot="1">
      <c r="A3" s="176" t="s">
        <v>124</v>
      </c>
      <c r="B3" s="176"/>
      <c r="C3" s="176"/>
      <c r="D3" s="176"/>
      <c r="E3" s="176"/>
      <c r="F3" s="176"/>
      <c r="G3" s="176"/>
      <c r="H3" s="176"/>
    </row>
    <row r="4" spans="1:8" ht="24" customHeight="1">
      <c r="A4" s="177" t="s">
        <v>0</v>
      </c>
      <c r="B4" s="178"/>
      <c r="C4" s="193" t="s">
        <v>166</v>
      </c>
      <c r="D4" s="182"/>
      <c r="E4" s="181" t="s">
        <v>167</v>
      </c>
      <c r="F4" s="182"/>
      <c r="G4" s="181" t="s">
        <v>168</v>
      </c>
      <c r="H4" s="183"/>
    </row>
    <row r="5" spans="1:8" ht="24" customHeight="1">
      <c r="A5" s="179"/>
      <c r="B5" s="180"/>
      <c r="C5" s="174" t="s">
        <v>165</v>
      </c>
      <c r="D5" s="6" t="s">
        <v>2</v>
      </c>
      <c r="E5" s="174" t="s">
        <v>1</v>
      </c>
      <c r="F5" s="6" t="s">
        <v>2</v>
      </c>
      <c r="G5" s="174" t="s">
        <v>1</v>
      </c>
      <c r="H5" s="14" t="s">
        <v>2</v>
      </c>
    </row>
    <row r="6" spans="1:8" ht="12" customHeight="1">
      <c r="A6" s="34"/>
      <c r="B6" s="36"/>
      <c r="C6" s="30" t="s">
        <v>20</v>
      </c>
      <c r="D6" s="29" t="s">
        <v>19</v>
      </c>
      <c r="E6" s="30" t="s">
        <v>20</v>
      </c>
      <c r="F6" s="29" t="s">
        <v>19</v>
      </c>
      <c r="G6" s="30" t="s">
        <v>20</v>
      </c>
      <c r="H6" s="35" t="s">
        <v>19</v>
      </c>
    </row>
    <row r="7" spans="1:8" ht="30" customHeight="1">
      <c r="A7" s="184" t="s">
        <v>125</v>
      </c>
      <c r="B7" s="31" t="s">
        <v>126</v>
      </c>
      <c r="C7" s="137">
        <v>12727</v>
      </c>
      <c r="D7" s="32">
        <v>7592237</v>
      </c>
      <c r="E7" s="84">
        <v>37512</v>
      </c>
      <c r="F7" s="32">
        <v>306732118</v>
      </c>
      <c r="G7" s="84">
        <v>50239</v>
      </c>
      <c r="H7" s="33">
        <v>314324355</v>
      </c>
    </row>
    <row r="8" spans="1:8" ht="30" customHeight="1">
      <c r="A8" s="185"/>
      <c r="B8" s="18" t="s">
        <v>127</v>
      </c>
      <c r="C8" s="85">
        <v>19981</v>
      </c>
      <c r="D8" s="86">
        <v>8311186</v>
      </c>
      <c r="E8" s="85">
        <v>15876</v>
      </c>
      <c r="F8" s="86">
        <v>11011883</v>
      </c>
      <c r="G8" s="85">
        <v>35857</v>
      </c>
      <c r="H8" s="87">
        <v>19323069</v>
      </c>
    </row>
    <row r="9" spans="1:8" s="3" customFormat="1" ht="30" customHeight="1">
      <c r="A9" s="185"/>
      <c r="B9" s="19" t="s">
        <v>128</v>
      </c>
      <c r="C9" s="138">
        <v>32708</v>
      </c>
      <c r="D9" s="89">
        <v>15903424</v>
      </c>
      <c r="E9" s="88">
        <v>53388</v>
      </c>
      <c r="F9" s="89">
        <v>317744001</v>
      </c>
      <c r="G9" s="88">
        <v>86096</v>
      </c>
      <c r="H9" s="90">
        <v>333647424</v>
      </c>
    </row>
    <row r="10" spans="1:8" ht="30" customHeight="1">
      <c r="A10" s="186"/>
      <c r="B10" s="20" t="s">
        <v>129</v>
      </c>
      <c r="C10" s="139">
        <v>1853</v>
      </c>
      <c r="D10" s="92">
        <v>1324654</v>
      </c>
      <c r="E10" s="91">
        <v>3533</v>
      </c>
      <c r="F10" s="92">
        <v>69089296</v>
      </c>
      <c r="G10" s="91">
        <v>5386</v>
      </c>
      <c r="H10" s="93">
        <v>70413950</v>
      </c>
    </row>
    <row r="11" spans="1:8" ht="30" customHeight="1">
      <c r="A11" s="187" t="s">
        <v>130</v>
      </c>
      <c r="B11" s="47" t="s">
        <v>131</v>
      </c>
      <c r="C11" s="94">
        <v>1325</v>
      </c>
      <c r="D11" s="15">
        <v>431316</v>
      </c>
      <c r="E11" s="95">
        <v>1510</v>
      </c>
      <c r="F11" s="15">
        <v>670307</v>
      </c>
      <c r="G11" s="95">
        <v>2835</v>
      </c>
      <c r="H11" s="16">
        <v>1101623</v>
      </c>
    </row>
    <row r="12" spans="1:8" ht="30" customHeight="1">
      <c r="A12" s="188"/>
      <c r="B12" s="170" t="s">
        <v>132</v>
      </c>
      <c r="C12" s="171">
        <v>241</v>
      </c>
      <c r="D12" s="23">
        <v>41534</v>
      </c>
      <c r="E12" s="172">
        <v>337</v>
      </c>
      <c r="F12" s="23">
        <v>348453</v>
      </c>
      <c r="G12" s="172">
        <v>578</v>
      </c>
      <c r="H12" s="24">
        <v>389988</v>
      </c>
    </row>
    <row r="13" spans="1:8" ht="30" customHeight="1" thickBot="1">
      <c r="A13" s="189" t="s">
        <v>5</v>
      </c>
      <c r="B13" s="190"/>
      <c r="C13" s="96">
        <v>1240</v>
      </c>
      <c r="D13" s="97">
        <v>64001</v>
      </c>
      <c r="E13" s="96">
        <v>1265</v>
      </c>
      <c r="F13" s="97">
        <v>118433</v>
      </c>
      <c r="G13" s="96">
        <v>2505</v>
      </c>
      <c r="H13" s="173">
        <v>182434</v>
      </c>
    </row>
    <row r="14" spans="1:8" s="4" customFormat="1" ht="45.75" customHeight="1">
      <c r="A14" s="136" t="s">
        <v>123</v>
      </c>
      <c r="B14" s="191" t="s">
        <v>171</v>
      </c>
      <c r="C14" s="191"/>
      <c r="D14" s="191"/>
      <c r="E14" s="191"/>
      <c r="F14" s="191"/>
      <c r="G14" s="191"/>
      <c r="H14" s="191"/>
    </row>
    <row r="15" spans="2:8" ht="45" customHeight="1">
      <c r="B15" s="192" t="s">
        <v>172</v>
      </c>
      <c r="C15" s="192"/>
      <c r="D15" s="192"/>
      <c r="E15" s="192"/>
      <c r="F15" s="192"/>
      <c r="G15" s="192"/>
      <c r="H15" s="192"/>
    </row>
    <row r="16" spans="1:2" ht="14.25" customHeight="1">
      <c r="A16" s="119" t="s">
        <v>164</v>
      </c>
      <c r="B16" s="1" t="s">
        <v>153</v>
      </c>
    </row>
    <row r="17" ht="11.25">
      <c r="A17" s="120"/>
    </row>
  </sheetData>
  <sheetProtection/>
  <mergeCells count="11">
    <mergeCell ref="A11:A12"/>
    <mergeCell ref="A13:B13"/>
    <mergeCell ref="B14:H14"/>
    <mergeCell ref="B15:H15"/>
    <mergeCell ref="C4:D4"/>
    <mergeCell ref="A1:H1"/>
    <mergeCell ref="A3:H3"/>
    <mergeCell ref="A4:B5"/>
    <mergeCell ref="E4:F4"/>
    <mergeCell ref="G4:H4"/>
    <mergeCell ref="A7:A10"/>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(R02)</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workbookViewId="0" topLeftCell="A1">
      <selection activeCell="M9" sqref="M9"/>
    </sheetView>
  </sheetViews>
  <sheetFormatPr defaultColWidth="9.00390625" defaultRowHeight="13.5"/>
  <cols>
    <col min="1" max="1" width="10.625" style="49" customWidth="1"/>
    <col min="2" max="2" width="15.625" style="49" customWidth="1"/>
    <col min="3" max="3" width="8.625" style="49" customWidth="1"/>
    <col min="4" max="4" width="10.625" style="49" customWidth="1"/>
    <col min="5" max="5" width="8.625" style="49" customWidth="1"/>
    <col min="6" max="6" width="12.875" style="49" bestFit="1" customWidth="1"/>
    <col min="7" max="7" width="8.625" style="49" customWidth="1"/>
    <col min="8" max="8" width="12.875" style="49" bestFit="1" customWidth="1"/>
    <col min="9" max="16384" width="9.00390625" style="49" customWidth="1"/>
  </cols>
  <sheetData>
    <row r="1" s="1" customFormat="1" ht="12" thickBot="1">
      <c r="A1" s="1" t="s">
        <v>21</v>
      </c>
    </row>
    <row r="2" spans="1:8" s="1" customFormat="1" ht="15" customHeight="1">
      <c r="A2" s="177" t="s">
        <v>0</v>
      </c>
      <c r="B2" s="178"/>
      <c r="C2" s="194" t="s">
        <v>12</v>
      </c>
      <c r="D2" s="194"/>
      <c r="E2" s="194" t="s">
        <v>14</v>
      </c>
      <c r="F2" s="194"/>
      <c r="G2" s="195" t="s">
        <v>15</v>
      </c>
      <c r="H2" s="196"/>
    </row>
    <row r="3" spans="1:8" s="1" customFormat="1" ht="15" customHeight="1">
      <c r="A3" s="179"/>
      <c r="B3" s="180"/>
      <c r="C3" s="9" t="s">
        <v>16</v>
      </c>
      <c r="D3" s="6" t="s">
        <v>17</v>
      </c>
      <c r="E3" s="9" t="s">
        <v>16</v>
      </c>
      <c r="F3" s="7" t="s">
        <v>17</v>
      </c>
      <c r="G3" s="9" t="s">
        <v>16</v>
      </c>
      <c r="H3" s="8" t="s">
        <v>17</v>
      </c>
    </row>
    <row r="4" spans="1:8" s="10" customFormat="1" ht="15" customHeight="1">
      <c r="A4" s="38"/>
      <c r="B4" s="6"/>
      <c r="C4" s="39" t="s">
        <v>3</v>
      </c>
      <c r="D4" s="40" t="s">
        <v>4</v>
      </c>
      <c r="E4" s="39" t="s">
        <v>3</v>
      </c>
      <c r="F4" s="40" t="s">
        <v>4</v>
      </c>
      <c r="G4" s="39" t="s">
        <v>3</v>
      </c>
      <c r="H4" s="41" t="s">
        <v>4</v>
      </c>
    </row>
    <row r="5" spans="1:8" s="48" customFormat="1" ht="30" customHeight="1">
      <c r="A5" s="199" t="s">
        <v>159</v>
      </c>
      <c r="B5" s="31" t="s">
        <v>10</v>
      </c>
      <c r="C5" s="37">
        <v>35168</v>
      </c>
      <c r="D5" s="32">
        <v>15811903</v>
      </c>
      <c r="E5" s="37">
        <v>54026</v>
      </c>
      <c r="F5" s="32">
        <v>271287602</v>
      </c>
      <c r="G5" s="37">
        <v>89194</v>
      </c>
      <c r="H5" s="33">
        <v>287099505</v>
      </c>
    </row>
    <row r="6" spans="1:8" s="48" customFormat="1" ht="30" customHeight="1">
      <c r="A6" s="200"/>
      <c r="B6" s="20" t="s">
        <v>11</v>
      </c>
      <c r="C6" s="22">
        <v>940</v>
      </c>
      <c r="D6" s="23">
        <v>739892</v>
      </c>
      <c r="E6" s="22">
        <v>2450</v>
      </c>
      <c r="F6" s="23">
        <v>50664012</v>
      </c>
      <c r="G6" s="22">
        <v>3390</v>
      </c>
      <c r="H6" s="24">
        <v>51403904</v>
      </c>
    </row>
    <row r="7" spans="1:8" s="48" customFormat="1" ht="30" customHeight="1">
      <c r="A7" s="199" t="s">
        <v>160</v>
      </c>
      <c r="B7" s="17" t="s">
        <v>10</v>
      </c>
      <c r="C7" s="21">
        <v>35033</v>
      </c>
      <c r="D7" s="15">
        <v>15797039</v>
      </c>
      <c r="E7" s="21">
        <v>54140</v>
      </c>
      <c r="F7" s="15">
        <v>275906325</v>
      </c>
      <c r="G7" s="21">
        <v>89173</v>
      </c>
      <c r="H7" s="16">
        <v>291703363</v>
      </c>
    </row>
    <row r="8" spans="1:8" s="48" customFormat="1" ht="30" customHeight="1">
      <c r="A8" s="200"/>
      <c r="B8" s="20" t="s">
        <v>11</v>
      </c>
      <c r="C8" s="22">
        <v>1010</v>
      </c>
      <c r="D8" s="23">
        <v>761698</v>
      </c>
      <c r="E8" s="22">
        <v>2418</v>
      </c>
      <c r="F8" s="23">
        <v>52391110</v>
      </c>
      <c r="G8" s="22">
        <v>3428</v>
      </c>
      <c r="H8" s="24">
        <v>53152808</v>
      </c>
    </row>
    <row r="9" spans="1:8" s="48" customFormat="1" ht="30" customHeight="1">
      <c r="A9" s="199" t="s">
        <v>161</v>
      </c>
      <c r="B9" s="17" t="s">
        <v>10</v>
      </c>
      <c r="C9" s="21">
        <v>34859</v>
      </c>
      <c r="D9" s="15">
        <v>15792603</v>
      </c>
      <c r="E9" s="21">
        <v>54084</v>
      </c>
      <c r="F9" s="15">
        <v>276476407</v>
      </c>
      <c r="G9" s="21">
        <v>88943</v>
      </c>
      <c r="H9" s="16">
        <v>292269010</v>
      </c>
    </row>
    <row r="10" spans="1:8" s="48" customFormat="1" ht="30" customHeight="1">
      <c r="A10" s="200"/>
      <c r="B10" s="20" t="s">
        <v>11</v>
      </c>
      <c r="C10" s="22">
        <v>1058</v>
      </c>
      <c r="D10" s="23">
        <v>771815</v>
      </c>
      <c r="E10" s="22">
        <v>2602</v>
      </c>
      <c r="F10" s="23">
        <v>57470992</v>
      </c>
      <c r="G10" s="22">
        <v>3660</v>
      </c>
      <c r="H10" s="24">
        <v>58242807</v>
      </c>
    </row>
    <row r="11" spans="1:8" s="48" customFormat="1" ht="30" customHeight="1">
      <c r="A11" s="199" t="s">
        <v>162</v>
      </c>
      <c r="B11" s="17" t="s">
        <v>10</v>
      </c>
      <c r="C11" s="21">
        <v>33856</v>
      </c>
      <c r="D11" s="15">
        <v>15839529</v>
      </c>
      <c r="E11" s="21">
        <v>53925</v>
      </c>
      <c r="F11" s="15">
        <v>291809637</v>
      </c>
      <c r="G11" s="21">
        <v>87781</v>
      </c>
      <c r="H11" s="16">
        <v>307649166</v>
      </c>
    </row>
    <row r="12" spans="1:8" s="48" customFormat="1" ht="30" customHeight="1">
      <c r="A12" s="200"/>
      <c r="B12" s="20" t="s">
        <v>11</v>
      </c>
      <c r="C12" s="22">
        <v>1267</v>
      </c>
      <c r="D12" s="23">
        <v>978491</v>
      </c>
      <c r="E12" s="22">
        <v>2871</v>
      </c>
      <c r="F12" s="23">
        <v>64636814</v>
      </c>
      <c r="G12" s="22">
        <v>4138</v>
      </c>
      <c r="H12" s="24">
        <v>65615305</v>
      </c>
    </row>
    <row r="13" spans="1:8" s="1" customFormat="1" ht="30" customHeight="1">
      <c r="A13" s="197" t="s">
        <v>169</v>
      </c>
      <c r="B13" s="17" t="s">
        <v>10</v>
      </c>
      <c r="C13" s="140">
        <v>32708</v>
      </c>
      <c r="D13" s="15">
        <v>15903424</v>
      </c>
      <c r="E13" s="21">
        <v>53388</v>
      </c>
      <c r="F13" s="15">
        <v>317744001</v>
      </c>
      <c r="G13" s="21">
        <v>86096</v>
      </c>
      <c r="H13" s="16">
        <v>333647424</v>
      </c>
    </row>
    <row r="14" spans="1:8" s="1" customFormat="1" ht="30" customHeight="1" thickBot="1">
      <c r="A14" s="198"/>
      <c r="B14" s="25" t="s">
        <v>11</v>
      </c>
      <c r="C14" s="141">
        <v>1853</v>
      </c>
      <c r="D14" s="27">
        <v>1324654</v>
      </c>
      <c r="E14" s="26">
        <v>3533</v>
      </c>
      <c r="F14" s="27">
        <v>69089296</v>
      </c>
      <c r="G14" s="26">
        <v>5386</v>
      </c>
      <c r="H14" s="28">
        <v>70413950</v>
      </c>
    </row>
    <row r="15" spans="5:7" s="1" customFormat="1" ht="11.25">
      <c r="E15" s="2"/>
      <c r="G15" s="2"/>
    </row>
    <row r="16" spans="5:7" s="1" customFormat="1" ht="11.25">
      <c r="E16" s="2"/>
      <c r="G16" s="2"/>
    </row>
    <row r="17" spans="5:7" s="1" customFormat="1" ht="11.25">
      <c r="E17" s="2"/>
      <c r="G17" s="2"/>
    </row>
    <row r="18" spans="5:7" s="1" customFormat="1" ht="11.25">
      <c r="E18" s="2"/>
      <c r="G18" s="2"/>
    </row>
    <row r="19" spans="5:7" s="1" customFormat="1" ht="11.25">
      <c r="E19" s="2"/>
      <c r="G19" s="2"/>
    </row>
    <row r="20" spans="5:7" s="1" customFormat="1" ht="11.25">
      <c r="E20" s="2"/>
      <c r="G20" s="2"/>
    </row>
    <row r="21" spans="5:7" s="1" customFormat="1" ht="11.25">
      <c r="E21" s="2"/>
      <c r="G21" s="2"/>
    </row>
    <row r="22" spans="5:7" s="1" customFormat="1" ht="11.25">
      <c r="E22" s="2"/>
      <c r="G22" s="2"/>
    </row>
  </sheetData>
  <sheetProtection/>
  <mergeCells count="9">
    <mergeCell ref="E2:F2"/>
    <mergeCell ref="G2:H2"/>
    <mergeCell ref="A2:B3"/>
    <mergeCell ref="A13:A14"/>
    <mergeCell ref="A5:A6"/>
    <mergeCell ref="A11:A12"/>
    <mergeCell ref="C2:D2"/>
    <mergeCell ref="A9:A10"/>
    <mergeCell ref="A7:A8"/>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(R02)</oddFooter>
  </headerFooter>
</worksheet>
</file>

<file path=xl/worksheets/sheet3.xml><?xml version="1.0" encoding="utf-8"?>
<worksheet xmlns="http://schemas.openxmlformats.org/spreadsheetml/2006/main" xmlns:r="http://schemas.openxmlformats.org/officeDocument/2006/relationships">
  <dimension ref="A1:I6"/>
  <sheetViews>
    <sheetView showGridLines="0" workbookViewId="0" topLeftCell="A1">
      <selection activeCell="D15" sqref="D15"/>
    </sheetView>
  </sheetViews>
  <sheetFormatPr defaultColWidth="9.00390625" defaultRowHeight="13.5"/>
  <cols>
    <col min="1" max="2" width="18.625" style="49" customWidth="1"/>
    <col min="3" max="3" width="23.625" style="49" customWidth="1"/>
    <col min="4" max="4" width="18.625" style="49" customWidth="1"/>
    <col min="5" max="16384" width="9.00390625" style="49" customWidth="1"/>
  </cols>
  <sheetData>
    <row r="1" s="1" customFormat="1" ht="20.25" customHeight="1" thickBot="1">
      <c r="A1" s="1" t="s">
        <v>18</v>
      </c>
    </row>
    <row r="2" spans="1:4" s="4" customFormat="1" ht="19.5" customHeight="1">
      <c r="A2" s="11" t="s">
        <v>6</v>
      </c>
      <c r="B2" s="12" t="s">
        <v>7</v>
      </c>
      <c r="C2" s="13" t="s">
        <v>8</v>
      </c>
      <c r="D2" s="50" t="s">
        <v>22</v>
      </c>
    </row>
    <row r="3" spans="1:4" s="10" customFormat="1" ht="15" customHeight="1">
      <c r="A3" s="42" t="s">
        <v>3</v>
      </c>
      <c r="B3" s="43" t="s">
        <v>3</v>
      </c>
      <c r="C3" s="44" t="s">
        <v>3</v>
      </c>
      <c r="D3" s="45" t="s">
        <v>3</v>
      </c>
    </row>
    <row r="4" spans="1:9" s="4" customFormat="1" ht="30" customHeight="1" thickBot="1">
      <c r="A4" s="132">
        <v>91726</v>
      </c>
      <c r="B4" s="133">
        <v>3110</v>
      </c>
      <c r="C4" s="134">
        <v>173</v>
      </c>
      <c r="D4" s="135">
        <v>95009</v>
      </c>
      <c r="E4" s="5"/>
      <c r="G4" s="5"/>
      <c r="I4" s="5"/>
    </row>
    <row r="5" spans="1:4" s="4" customFormat="1" ht="15" customHeight="1">
      <c r="A5" s="201" t="s">
        <v>170</v>
      </c>
      <c r="B5" s="201"/>
      <c r="C5" s="201"/>
      <c r="D5" s="201"/>
    </row>
    <row r="6" spans="1:4" s="4" customFormat="1" ht="15" customHeight="1">
      <c r="A6" s="202" t="s">
        <v>9</v>
      </c>
      <c r="B6" s="202"/>
      <c r="C6" s="202"/>
      <c r="D6" s="202"/>
    </row>
  </sheetData>
  <sheetProtection/>
  <mergeCells count="2">
    <mergeCell ref="A5:D5"/>
    <mergeCell ref="A6:D6"/>
  </mergeCells>
  <printOptions horizontalCentered="1"/>
  <pageMargins left="0.7086614173228347" right="0.7086614173228347" top="0.7480314960629921" bottom="0.7480314960629921" header="0.31496062992125984" footer="0.31496062992125984"/>
  <pageSetup horizontalDpi="600" verticalDpi="600" orientation="portrait" paperSize="9" scale="77" r:id="rId1"/>
  <headerFooter>
    <oddFooter>&amp;R&amp;K01+000高松国税局
消費税
(R02)</oddFooter>
  </headerFooter>
</worksheet>
</file>

<file path=xl/worksheets/sheet4.xml><?xml version="1.0" encoding="utf-8"?>
<worksheet xmlns="http://schemas.openxmlformats.org/spreadsheetml/2006/main" xmlns:r="http://schemas.openxmlformats.org/officeDocument/2006/relationships">
  <dimension ref="A1:O56"/>
  <sheetViews>
    <sheetView zoomScale="85" zoomScaleNormal="85" zoomScaleSheetLayoutView="100" workbookViewId="0" topLeftCell="A1">
      <selection activeCell="B7" sqref="B7:M41"/>
    </sheetView>
  </sheetViews>
  <sheetFormatPr defaultColWidth="9.00390625" defaultRowHeight="13.5"/>
  <cols>
    <col min="1" max="1" width="11.37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4" width="11.375" style="98" customWidth="1"/>
    <col min="15" max="16384" width="9.00390625" style="98" customWidth="1"/>
  </cols>
  <sheetData>
    <row r="1" spans="1:14" ht="13.5">
      <c r="A1" s="51" t="s">
        <v>157</v>
      </c>
      <c r="B1" s="51"/>
      <c r="C1" s="51"/>
      <c r="D1" s="51"/>
      <c r="E1" s="51"/>
      <c r="F1" s="51"/>
      <c r="G1" s="51"/>
      <c r="H1" s="52"/>
      <c r="I1" s="52"/>
      <c r="J1" s="52"/>
      <c r="K1" s="52"/>
      <c r="L1" s="52"/>
      <c r="M1" s="52"/>
      <c r="N1" s="52"/>
    </row>
    <row r="2" spans="1:14" ht="14.25" thickBot="1">
      <c r="A2" s="210" t="s">
        <v>23</v>
      </c>
      <c r="B2" s="210"/>
      <c r="C2" s="210"/>
      <c r="D2" s="210"/>
      <c r="E2" s="210"/>
      <c r="F2" s="210"/>
      <c r="G2" s="210"/>
      <c r="H2" s="52"/>
      <c r="I2" s="52"/>
      <c r="J2" s="52"/>
      <c r="K2" s="52"/>
      <c r="L2" s="52"/>
      <c r="M2" s="52"/>
      <c r="N2" s="52"/>
    </row>
    <row r="3" spans="1:14" ht="19.5" customHeight="1">
      <c r="A3" s="211" t="s">
        <v>24</v>
      </c>
      <c r="B3" s="214" t="s">
        <v>25</v>
      </c>
      <c r="C3" s="214"/>
      <c r="D3" s="214"/>
      <c r="E3" s="214"/>
      <c r="F3" s="214"/>
      <c r="G3" s="214"/>
      <c r="H3" s="215" t="s">
        <v>11</v>
      </c>
      <c r="I3" s="216"/>
      <c r="J3" s="218" t="s">
        <v>26</v>
      </c>
      <c r="K3" s="216"/>
      <c r="L3" s="215" t="s">
        <v>27</v>
      </c>
      <c r="M3" s="216"/>
      <c r="N3" s="203" t="s">
        <v>28</v>
      </c>
    </row>
    <row r="4" spans="1:14" ht="17.25" customHeight="1">
      <c r="A4" s="212"/>
      <c r="B4" s="206" t="s">
        <v>13</v>
      </c>
      <c r="C4" s="206"/>
      <c r="D4" s="207" t="s">
        <v>29</v>
      </c>
      <c r="E4" s="208"/>
      <c r="F4" s="207" t="s">
        <v>30</v>
      </c>
      <c r="G4" s="208"/>
      <c r="H4" s="207"/>
      <c r="I4" s="217"/>
      <c r="J4" s="207"/>
      <c r="K4" s="217"/>
      <c r="L4" s="207"/>
      <c r="M4" s="217"/>
      <c r="N4" s="204"/>
    </row>
    <row r="5" spans="1:14" s="117" customFormat="1" ht="28.5" customHeight="1">
      <c r="A5" s="213"/>
      <c r="B5" s="53" t="s">
        <v>31</v>
      </c>
      <c r="C5" s="54" t="s">
        <v>32</v>
      </c>
      <c r="D5" s="53" t="s">
        <v>31</v>
      </c>
      <c r="E5" s="54" t="s">
        <v>32</v>
      </c>
      <c r="F5" s="53" t="s">
        <v>31</v>
      </c>
      <c r="G5" s="55" t="s">
        <v>33</v>
      </c>
      <c r="H5" s="53" t="s">
        <v>31</v>
      </c>
      <c r="I5" s="56" t="s">
        <v>34</v>
      </c>
      <c r="J5" s="53" t="s">
        <v>31</v>
      </c>
      <c r="K5" s="56" t="s">
        <v>35</v>
      </c>
      <c r="L5" s="53" t="s">
        <v>31</v>
      </c>
      <c r="M5" s="57" t="s">
        <v>36</v>
      </c>
      <c r="N5" s="205"/>
    </row>
    <row r="6" spans="1:14" s="63" customFormat="1" ht="10.5">
      <c r="A6" s="58"/>
      <c r="B6" s="59" t="s">
        <v>3</v>
      </c>
      <c r="C6" s="60" t="s">
        <v>4</v>
      </c>
      <c r="D6" s="59" t="s">
        <v>3</v>
      </c>
      <c r="E6" s="60" t="s">
        <v>4</v>
      </c>
      <c r="F6" s="59" t="s">
        <v>3</v>
      </c>
      <c r="G6" s="60" t="s">
        <v>4</v>
      </c>
      <c r="H6" s="59" t="s">
        <v>3</v>
      </c>
      <c r="I6" s="61" t="s">
        <v>4</v>
      </c>
      <c r="J6" s="59" t="s">
        <v>3</v>
      </c>
      <c r="K6" s="61" t="s">
        <v>4</v>
      </c>
      <c r="L6" s="59" t="s">
        <v>156</v>
      </c>
      <c r="M6" s="61" t="s">
        <v>4</v>
      </c>
      <c r="N6" s="62"/>
    </row>
    <row r="7" spans="1:14" s="66" customFormat="1" ht="15.75" customHeight="1">
      <c r="A7" s="64" t="s">
        <v>37</v>
      </c>
      <c r="B7" s="99">
        <f>_xlfn.COMPOUNDVALUE(1)</f>
        <v>1206</v>
      </c>
      <c r="C7" s="142">
        <v>670018</v>
      </c>
      <c r="D7" s="99">
        <f>_xlfn.COMPOUNDVALUE(2)</f>
        <v>1673</v>
      </c>
      <c r="E7" s="142">
        <v>691791</v>
      </c>
      <c r="F7" s="99">
        <f>_xlfn.COMPOUNDVALUE(3)</f>
        <v>2879</v>
      </c>
      <c r="G7" s="142">
        <v>1361809</v>
      </c>
      <c r="H7" s="99">
        <f>_xlfn.COMPOUNDVALUE(4)</f>
        <v>183</v>
      </c>
      <c r="I7" s="144">
        <v>108354</v>
      </c>
      <c r="J7" s="99">
        <v>199</v>
      </c>
      <c r="K7" s="101">
        <v>49007</v>
      </c>
      <c r="L7" s="99">
        <v>3183</v>
      </c>
      <c r="M7" s="101">
        <v>1302462</v>
      </c>
      <c r="N7" s="81" t="s">
        <v>38</v>
      </c>
    </row>
    <row r="8" spans="1:14" s="66" customFormat="1" ht="15.75" customHeight="1">
      <c r="A8" s="67" t="s">
        <v>39</v>
      </c>
      <c r="B8" s="102">
        <f>_xlfn.COMPOUNDVALUE(5)</f>
        <v>516</v>
      </c>
      <c r="C8" s="143">
        <v>340146</v>
      </c>
      <c r="D8" s="102">
        <f>_xlfn.COMPOUNDVALUE(6)</f>
        <v>1053</v>
      </c>
      <c r="E8" s="143">
        <v>388454</v>
      </c>
      <c r="F8" s="102">
        <f>_xlfn.COMPOUNDVALUE(7)</f>
        <v>1569</v>
      </c>
      <c r="G8" s="143">
        <v>728600</v>
      </c>
      <c r="H8" s="102">
        <f>_xlfn.COMPOUNDVALUE(8)</f>
        <v>64</v>
      </c>
      <c r="I8" s="145">
        <v>53611</v>
      </c>
      <c r="J8" s="102">
        <v>71</v>
      </c>
      <c r="K8" s="104">
        <v>26402</v>
      </c>
      <c r="L8" s="102">
        <v>1672</v>
      </c>
      <c r="M8" s="104">
        <v>701390</v>
      </c>
      <c r="N8" s="68" t="s">
        <v>40</v>
      </c>
    </row>
    <row r="9" spans="1:14" s="66" customFormat="1" ht="15.75" customHeight="1">
      <c r="A9" s="67" t="s">
        <v>41</v>
      </c>
      <c r="B9" s="102">
        <f>_xlfn.COMPOUNDVALUE(9)</f>
        <v>396</v>
      </c>
      <c r="C9" s="143">
        <v>181311</v>
      </c>
      <c r="D9" s="102">
        <f>_xlfn.COMPOUNDVALUE(10)</f>
        <v>425</v>
      </c>
      <c r="E9" s="143">
        <v>159031</v>
      </c>
      <c r="F9" s="102">
        <f>_xlfn.COMPOUNDVALUE(11)</f>
        <v>821</v>
      </c>
      <c r="G9" s="143">
        <v>340342</v>
      </c>
      <c r="H9" s="102">
        <f>_xlfn.COMPOUNDVALUE(12)</f>
        <v>79</v>
      </c>
      <c r="I9" s="145">
        <v>87031</v>
      </c>
      <c r="J9" s="102">
        <v>37</v>
      </c>
      <c r="K9" s="104">
        <v>10197</v>
      </c>
      <c r="L9" s="102">
        <v>917</v>
      </c>
      <c r="M9" s="104">
        <v>263508</v>
      </c>
      <c r="N9" s="68" t="s">
        <v>42</v>
      </c>
    </row>
    <row r="10" spans="1:14" s="66" customFormat="1" ht="15.75" customHeight="1">
      <c r="A10" s="67" t="s">
        <v>43</v>
      </c>
      <c r="B10" s="102">
        <f>_xlfn.COMPOUNDVALUE(13)</f>
        <v>277</v>
      </c>
      <c r="C10" s="143">
        <v>150937</v>
      </c>
      <c r="D10" s="102">
        <f>_xlfn.COMPOUNDVALUE(14)</f>
        <v>372</v>
      </c>
      <c r="E10" s="143">
        <v>127515</v>
      </c>
      <c r="F10" s="102">
        <f>_xlfn.COMPOUNDVALUE(15)</f>
        <v>649</v>
      </c>
      <c r="G10" s="143">
        <v>278451</v>
      </c>
      <c r="H10" s="102">
        <f>_xlfn.COMPOUNDVALUE(16)</f>
        <v>54</v>
      </c>
      <c r="I10" s="145">
        <v>34569</v>
      </c>
      <c r="J10" s="102">
        <v>10</v>
      </c>
      <c r="K10" s="104">
        <v>10400</v>
      </c>
      <c r="L10" s="102">
        <v>708</v>
      </c>
      <c r="M10" s="104">
        <v>254282</v>
      </c>
      <c r="N10" s="68" t="s">
        <v>44</v>
      </c>
    </row>
    <row r="11" spans="1:14" s="66" customFormat="1" ht="15.75" customHeight="1">
      <c r="A11" s="67" t="s">
        <v>45</v>
      </c>
      <c r="B11" s="102">
        <f>_xlfn.COMPOUNDVALUE(17)</f>
        <v>128</v>
      </c>
      <c r="C11" s="143">
        <v>62597</v>
      </c>
      <c r="D11" s="102">
        <f>_xlfn.COMPOUNDVALUE(18)</f>
        <v>177</v>
      </c>
      <c r="E11" s="143">
        <v>78269</v>
      </c>
      <c r="F11" s="102">
        <f>_xlfn.COMPOUNDVALUE(19)</f>
        <v>305</v>
      </c>
      <c r="G11" s="143">
        <v>140866</v>
      </c>
      <c r="H11" s="102">
        <f>_xlfn.COMPOUNDVALUE(20)</f>
        <v>26</v>
      </c>
      <c r="I11" s="145">
        <v>14245</v>
      </c>
      <c r="J11" s="102">
        <v>16</v>
      </c>
      <c r="K11" s="104">
        <v>4126</v>
      </c>
      <c r="L11" s="102">
        <v>340</v>
      </c>
      <c r="M11" s="104">
        <v>130747</v>
      </c>
      <c r="N11" s="68" t="s">
        <v>46</v>
      </c>
    </row>
    <row r="12" spans="1:14" s="66" customFormat="1" ht="15.75" customHeight="1">
      <c r="A12" s="67" t="s">
        <v>47</v>
      </c>
      <c r="B12" s="102">
        <f>_xlfn.COMPOUNDVALUE(21)</f>
        <v>126</v>
      </c>
      <c r="C12" s="143">
        <v>59765</v>
      </c>
      <c r="D12" s="102">
        <f>_xlfn.COMPOUNDVALUE(22)</f>
        <v>143</v>
      </c>
      <c r="E12" s="143">
        <v>59251</v>
      </c>
      <c r="F12" s="102">
        <f>_xlfn.COMPOUNDVALUE(23)</f>
        <v>269</v>
      </c>
      <c r="G12" s="143">
        <v>119016</v>
      </c>
      <c r="H12" s="102">
        <f>_xlfn.COMPOUNDVALUE(24)</f>
        <v>11</v>
      </c>
      <c r="I12" s="145">
        <v>3273</v>
      </c>
      <c r="J12" s="102">
        <v>11</v>
      </c>
      <c r="K12" s="104">
        <v>1146</v>
      </c>
      <c r="L12" s="102">
        <v>281</v>
      </c>
      <c r="M12" s="104">
        <v>116888</v>
      </c>
      <c r="N12" s="68" t="s">
        <v>48</v>
      </c>
    </row>
    <row r="13" spans="1:14" s="66" customFormat="1" ht="15.75" customHeight="1">
      <c r="A13" s="69" t="s">
        <v>49</v>
      </c>
      <c r="B13" s="105">
        <v>2649</v>
      </c>
      <c r="C13" s="106">
        <v>1464774</v>
      </c>
      <c r="D13" s="105">
        <v>3843</v>
      </c>
      <c r="E13" s="106">
        <v>1504310</v>
      </c>
      <c r="F13" s="105">
        <v>6492</v>
      </c>
      <c r="G13" s="106">
        <v>2969084</v>
      </c>
      <c r="H13" s="105">
        <v>417</v>
      </c>
      <c r="I13" s="107">
        <v>301083</v>
      </c>
      <c r="J13" s="105">
        <v>344</v>
      </c>
      <c r="K13" s="107">
        <v>101277</v>
      </c>
      <c r="L13" s="105">
        <v>7101</v>
      </c>
      <c r="M13" s="107">
        <v>2769278</v>
      </c>
      <c r="N13" s="70" t="s">
        <v>50</v>
      </c>
    </row>
    <row r="14" spans="1:14" s="66" customFormat="1" ht="15.75" customHeight="1">
      <c r="A14" s="71"/>
      <c r="B14" s="108"/>
      <c r="C14" s="109"/>
      <c r="D14" s="108"/>
      <c r="E14" s="109"/>
      <c r="F14" s="110"/>
      <c r="G14" s="109"/>
      <c r="H14" s="110"/>
      <c r="I14" s="109"/>
      <c r="J14" s="110"/>
      <c r="K14" s="109"/>
      <c r="L14" s="110"/>
      <c r="M14" s="109"/>
      <c r="N14" s="72"/>
    </row>
    <row r="15" spans="1:14" s="66" customFormat="1" ht="15.75" customHeight="1">
      <c r="A15" s="64" t="s">
        <v>51</v>
      </c>
      <c r="B15" s="99">
        <f>_xlfn.COMPOUNDVALUE(25)</f>
        <v>1345</v>
      </c>
      <c r="C15" s="142">
        <v>804649</v>
      </c>
      <c r="D15" s="99">
        <f>_xlfn.COMPOUNDVALUE(26)</f>
        <v>1755</v>
      </c>
      <c r="E15" s="142">
        <v>855506</v>
      </c>
      <c r="F15" s="99">
        <f>_xlfn.COMPOUNDVALUE(27)</f>
        <v>3100</v>
      </c>
      <c r="G15" s="142">
        <v>1660155</v>
      </c>
      <c r="H15" s="99">
        <f>_xlfn.COMPOUNDVALUE(28)</f>
        <v>229</v>
      </c>
      <c r="I15" s="144">
        <v>140457</v>
      </c>
      <c r="J15" s="99">
        <v>163</v>
      </c>
      <c r="K15" s="101">
        <v>48506</v>
      </c>
      <c r="L15" s="99">
        <v>3399</v>
      </c>
      <c r="M15" s="101">
        <v>1568204</v>
      </c>
      <c r="N15" s="65" t="s">
        <v>52</v>
      </c>
    </row>
    <row r="16" spans="1:14" s="66" customFormat="1" ht="15.75" customHeight="1">
      <c r="A16" s="67" t="s">
        <v>53</v>
      </c>
      <c r="B16" s="102">
        <f>_xlfn.COMPOUNDVALUE(29)</f>
        <v>509</v>
      </c>
      <c r="C16" s="143">
        <v>312139</v>
      </c>
      <c r="D16" s="102">
        <f>_xlfn.COMPOUNDVALUE(30)</f>
        <v>773</v>
      </c>
      <c r="E16" s="143">
        <v>353989</v>
      </c>
      <c r="F16" s="102">
        <f>_xlfn.COMPOUNDVALUE(31)</f>
        <v>1282</v>
      </c>
      <c r="G16" s="143">
        <v>666128</v>
      </c>
      <c r="H16" s="102">
        <f>_xlfn.COMPOUNDVALUE(32)</f>
        <v>60</v>
      </c>
      <c r="I16" s="145">
        <v>39794</v>
      </c>
      <c r="J16" s="102">
        <v>58</v>
      </c>
      <c r="K16" s="104">
        <v>12162</v>
      </c>
      <c r="L16" s="102">
        <v>1368</v>
      </c>
      <c r="M16" s="104">
        <v>638496</v>
      </c>
      <c r="N16" s="68" t="s">
        <v>54</v>
      </c>
    </row>
    <row r="17" spans="1:14" s="66" customFormat="1" ht="15.75" customHeight="1">
      <c r="A17" s="67" t="s">
        <v>55</v>
      </c>
      <c r="B17" s="102">
        <f>_xlfn.COMPOUNDVALUE(33)</f>
        <v>249</v>
      </c>
      <c r="C17" s="143">
        <v>157183</v>
      </c>
      <c r="D17" s="102">
        <f>_xlfn.COMPOUNDVALUE(34)</f>
        <v>353</v>
      </c>
      <c r="E17" s="143">
        <v>163246</v>
      </c>
      <c r="F17" s="102">
        <f>_xlfn.COMPOUNDVALUE(35)</f>
        <v>602</v>
      </c>
      <c r="G17" s="143">
        <v>320430</v>
      </c>
      <c r="H17" s="102">
        <f>_xlfn.COMPOUNDVALUE(36)</f>
        <v>29</v>
      </c>
      <c r="I17" s="145">
        <v>15448</v>
      </c>
      <c r="J17" s="102">
        <v>32</v>
      </c>
      <c r="K17" s="104">
        <v>8169</v>
      </c>
      <c r="L17" s="102">
        <v>639</v>
      </c>
      <c r="M17" s="104">
        <v>313150</v>
      </c>
      <c r="N17" s="68" t="s">
        <v>56</v>
      </c>
    </row>
    <row r="18" spans="1:14" s="66" customFormat="1" ht="15.75" customHeight="1">
      <c r="A18" s="67" t="s">
        <v>57</v>
      </c>
      <c r="B18" s="102">
        <f>_xlfn.COMPOUNDVALUE(37)</f>
        <v>400</v>
      </c>
      <c r="C18" s="143">
        <v>197616</v>
      </c>
      <c r="D18" s="102">
        <f>_xlfn.COMPOUNDVALUE(38)</f>
        <v>780</v>
      </c>
      <c r="E18" s="143">
        <v>294859</v>
      </c>
      <c r="F18" s="102">
        <f>_xlfn.COMPOUNDVALUE(39)</f>
        <v>1180</v>
      </c>
      <c r="G18" s="143">
        <v>492475</v>
      </c>
      <c r="H18" s="102">
        <f>_xlfn.COMPOUNDVALUE(40)</f>
        <v>59</v>
      </c>
      <c r="I18" s="145">
        <v>44789</v>
      </c>
      <c r="J18" s="102">
        <v>34</v>
      </c>
      <c r="K18" s="104">
        <v>16487</v>
      </c>
      <c r="L18" s="102">
        <v>1254</v>
      </c>
      <c r="M18" s="104">
        <v>464173</v>
      </c>
      <c r="N18" s="68" t="s">
        <v>58</v>
      </c>
    </row>
    <row r="19" spans="1:14" s="66" customFormat="1" ht="15.75" customHeight="1">
      <c r="A19" s="67" t="s">
        <v>59</v>
      </c>
      <c r="B19" s="102">
        <f>_xlfn.COMPOUNDVALUE(41)</f>
        <v>282</v>
      </c>
      <c r="C19" s="143">
        <v>141520</v>
      </c>
      <c r="D19" s="102">
        <f>_xlfn.COMPOUNDVALUE(42)</f>
        <v>353</v>
      </c>
      <c r="E19" s="143">
        <v>140805</v>
      </c>
      <c r="F19" s="102">
        <f>_xlfn.COMPOUNDVALUE(43)</f>
        <v>635</v>
      </c>
      <c r="G19" s="143">
        <v>282325</v>
      </c>
      <c r="H19" s="102">
        <f>_xlfn.COMPOUNDVALUE(44)</f>
        <v>50</v>
      </c>
      <c r="I19" s="145">
        <v>37696</v>
      </c>
      <c r="J19" s="102">
        <v>13</v>
      </c>
      <c r="K19" s="104">
        <v>905</v>
      </c>
      <c r="L19" s="102">
        <v>687</v>
      </c>
      <c r="M19" s="104">
        <v>245534</v>
      </c>
      <c r="N19" s="68" t="s">
        <v>60</v>
      </c>
    </row>
    <row r="20" spans="1:14" s="66" customFormat="1" ht="15.75" customHeight="1">
      <c r="A20" s="67" t="s">
        <v>61</v>
      </c>
      <c r="B20" s="102">
        <f>_xlfn.COMPOUNDVALUE(45)</f>
        <v>88</v>
      </c>
      <c r="C20" s="143">
        <v>34716</v>
      </c>
      <c r="D20" s="102">
        <f>_xlfn.COMPOUNDVALUE(46)</f>
        <v>193</v>
      </c>
      <c r="E20" s="143">
        <v>64881</v>
      </c>
      <c r="F20" s="102">
        <f>_xlfn.COMPOUNDVALUE(47)</f>
        <v>281</v>
      </c>
      <c r="G20" s="143">
        <v>99597</v>
      </c>
      <c r="H20" s="102">
        <f>_xlfn.COMPOUNDVALUE(48)</f>
        <v>8</v>
      </c>
      <c r="I20" s="145">
        <v>3169</v>
      </c>
      <c r="J20" s="102">
        <v>19</v>
      </c>
      <c r="K20" s="104">
        <v>1421</v>
      </c>
      <c r="L20" s="102">
        <v>293</v>
      </c>
      <c r="M20" s="104">
        <v>97848</v>
      </c>
      <c r="N20" s="68" t="s">
        <v>62</v>
      </c>
    </row>
    <row r="21" spans="1:14" s="66" customFormat="1" ht="15.75" customHeight="1">
      <c r="A21" s="69" t="s">
        <v>63</v>
      </c>
      <c r="B21" s="105">
        <v>2873</v>
      </c>
      <c r="C21" s="106">
        <v>1647823</v>
      </c>
      <c r="D21" s="105">
        <v>4207</v>
      </c>
      <c r="E21" s="106">
        <v>1873285</v>
      </c>
      <c r="F21" s="105">
        <v>7080</v>
      </c>
      <c r="G21" s="106">
        <v>3521108</v>
      </c>
      <c r="H21" s="105">
        <v>435</v>
      </c>
      <c r="I21" s="107">
        <v>281353</v>
      </c>
      <c r="J21" s="105">
        <v>319</v>
      </c>
      <c r="K21" s="107">
        <v>87650</v>
      </c>
      <c r="L21" s="105">
        <v>7640</v>
      </c>
      <c r="M21" s="107">
        <v>3327406</v>
      </c>
      <c r="N21" s="70" t="s">
        <v>64</v>
      </c>
    </row>
    <row r="22" spans="1:14" s="66" customFormat="1" ht="15.75" customHeight="1">
      <c r="A22" s="71"/>
      <c r="B22" s="108"/>
      <c r="C22" s="109"/>
      <c r="D22" s="108"/>
      <c r="E22" s="109"/>
      <c r="F22" s="110"/>
      <c r="G22" s="109"/>
      <c r="H22" s="110"/>
      <c r="I22" s="109"/>
      <c r="J22" s="110"/>
      <c r="K22" s="109"/>
      <c r="L22" s="110"/>
      <c r="M22" s="109"/>
      <c r="N22" s="72"/>
    </row>
    <row r="23" spans="1:14" s="66" customFormat="1" ht="15.75" customHeight="1">
      <c r="A23" s="64" t="s">
        <v>65</v>
      </c>
      <c r="B23" s="99">
        <f>_xlfn.COMPOUNDVALUE(49)</f>
        <v>2085</v>
      </c>
      <c r="C23" s="142">
        <v>1144906</v>
      </c>
      <c r="D23" s="99">
        <f>_xlfn.COMPOUNDVALUE(50)</f>
        <v>2494</v>
      </c>
      <c r="E23" s="142">
        <v>1135470</v>
      </c>
      <c r="F23" s="99">
        <f>_xlfn.COMPOUNDVALUE(51)</f>
        <v>4579</v>
      </c>
      <c r="G23" s="142">
        <v>2280376</v>
      </c>
      <c r="H23" s="99">
        <f>_xlfn.COMPOUNDVALUE(52)</f>
        <v>234</v>
      </c>
      <c r="I23" s="144">
        <v>128204</v>
      </c>
      <c r="J23" s="99">
        <v>208</v>
      </c>
      <c r="K23" s="101">
        <v>60350</v>
      </c>
      <c r="L23" s="99">
        <v>4916</v>
      </c>
      <c r="M23" s="101">
        <v>2212522</v>
      </c>
      <c r="N23" s="65" t="s">
        <v>66</v>
      </c>
    </row>
    <row r="24" spans="1:14" s="66" customFormat="1" ht="15.75" customHeight="1">
      <c r="A24" s="67" t="s">
        <v>67</v>
      </c>
      <c r="B24" s="146">
        <f>_xlfn.COMPOUNDVALUE(53)</f>
        <v>580</v>
      </c>
      <c r="C24" s="143">
        <v>409766</v>
      </c>
      <c r="D24" s="102">
        <f>_xlfn.COMPOUNDVALUE(54)</f>
        <v>869</v>
      </c>
      <c r="E24" s="143">
        <v>445496</v>
      </c>
      <c r="F24" s="146">
        <f>_xlfn.COMPOUNDVALUE(55)</f>
        <v>1449</v>
      </c>
      <c r="G24" s="143">
        <v>855261</v>
      </c>
      <c r="H24" s="146">
        <f>_xlfn.COMPOUNDVALUE(56)</f>
        <v>59</v>
      </c>
      <c r="I24" s="145">
        <v>33097</v>
      </c>
      <c r="J24" s="102">
        <v>56</v>
      </c>
      <c r="K24" s="104">
        <v>14869</v>
      </c>
      <c r="L24" s="102">
        <v>1540</v>
      </c>
      <c r="M24" s="104">
        <v>837033</v>
      </c>
      <c r="N24" s="68" t="s">
        <v>68</v>
      </c>
    </row>
    <row r="25" spans="1:14" s="66" customFormat="1" ht="15.75" customHeight="1">
      <c r="A25" s="67" t="s">
        <v>69</v>
      </c>
      <c r="B25" s="102">
        <f>_xlfn.COMPOUNDVALUE(57)</f>
        <v>465</v>
      </c>
      <c r="C25" s="143">
        <v>447245</v>
      </c>
      <c r="D25" s="102">
        <f>_xlfn.COMPOUNDVALUE(58)</f>
        <v>887</v>
      </c>
      <c r="E25" s="143">
        <v>347595</v>
      </c>
      <c r="F25" s="102">
        <f>_xlfn.COMPOUNDVALUE(59)</f>
        <v>1352</v>
      </c>
      <c r="G25" s="143">
        <v>794840</v>
      </c>
      <c r="H25" s="102">
        <f>_xlfn.COMPOUNDVALUE(60)</f>
        <v>183</v>
      </c>
      <c r="I25" s="145">
        <v>322446</v>
      </c>
      <c r="J25" s="102">
        <v>61</v>
      </c>
      <c r="K25" s="104">
        <v>3984</v>
      </c>
      <c r="L25" s="102">
        <v>1550</v>
      </c>
      <c r="M25" s="104">
        <v>476379</v>
      </c>
      <c r="N25" s="68" t="s">
        <v>70</v>
      </c>
    </row>
    <row r="26" spans="1:14" s="66" customFormat="1" ht="15.75" customHeight="1">
      <c r="A26" s="67" t="s">
        <v>71</v>
      </c>
      <c r="B26" s="102">
        <f>_xlfn.COMPOUNDVALUE(61)</f>
        <v>243</v>
      </c>
      <c r="C26" s="143">
        <v>142278</v>
      </c>
      <c r="D26" s="102">
        <f>_xlfn.COMPOUNDVALUE(62)</f>
        <v>744</v>
      </c>
      <c r="E26" s="143">
        <v>249230</v>
      </c>
      <c r="F26" s="102">
        <f>_xlfn.COMPOUNDVALUE(63)</f>
        <v>987</v>
      </c>
      <c r="G26" s="143">
        <v>391508</v>
      </c>
      <c r="H26" s="102">
        <f>_xlfn.COMPOUNDVALUE(64)</f>
        <v>48</v>
      </c>
      <c r="I26" s="145">
        <v>38539</v>
      </c>
      <c r="J26" s="102">
        <v>30</v>
      </c>
      <c r="K26" s="104">
        <v>1611</v>
      </c>
      <c r="L26" s="102">
        <v>1047</v>
      </c>
      <c r="M26" s="104">
        <v>354580</v>
      </c>
      <c r="N26" s="68" t="s">
        <v>72</v>
      </c>
    </row>
    <row r="27" spans="1:14" s="66" customFormat="1" ht="15.75" customHeight="1">
      <c r="A27" s="67" t="s">
        <v>73</v>
      </c>
      <c r="B27" s="102">
        <f>_xlfn.COMPOUNDVALUE(65)</f>
        <v>313</v>
      </c>
      <c r="C27" s="143">
        <v>167267</v>
      </c>
      <c r="D27" s="102">
        <f>_xlfn.COMPOUNDVALUE(66)</f>
        <v>437</v>
      </c>
      <c r="E27" s="143">
        <v>212011</v>
      </c>
      <c r="F27" s="102">
        <f>_xlfn.COMPOUNDVALUE(67)</f>
        <v>750</v>
      </c>
      <c r="G27" s="143">
        <v>379278</v>
      </c>
      <c r="H27" s="102">
        <f>_xlfn.COMPOUNDVALUE(68)</f>
        <v>25</v>
      </c>
      <c r="I27" s="145">
        <v>7283</v>
      </c>
      <c r="J27" s="102">
        <v>32</v>
      </c>
      <c r="K27" s="104">
        <v>9698</v>
      </c>
      <c r="L27" s="102">
        <v>793</v>
      </c>
      <c r="M27" s="104">
        <v>381692</v>
      </c>
      <c r="N27" s="68" t="s">
        <v>74</v>
      </c>
    </row>
    <row r="28" spans="1:14" s="66" customFormat="1" ht="15.75" customHeight="1">
      <c r="A28" s="67" t="s">
        <v>75</v>
      </c>
      <c r="B28" s="102">
        <f>_xlfn.COMPOUNDVALUE(69)</f>
        <v>331</v>
      </c>
      <c r="C28" s="143">
        <v>196072</v>
      </c>
      <c r="D28" s="102">
        <f>_xlfn.COMPOUNDVALUE(70)</f>
        <v>450</v>
      </c>
      <c r="E28" s="143">
        <v>189141</v>
      </c>
      <c r="F28" s="102">
        <f>_xlfn.COMPOUNDVALUE(71)</f>
        <v>781</v>
      </c>
      <c r="G28" s="143">
        <v>385213</v>
      </c>
      <c r="H28" s="102">
        <f>_xlfn.COMPOUNDVALUE(72)</f>
        <v>39</v>
      </c>
      <c r="I28" s="145">
        <v>17672</v>
      </c>
      <c r="J28" s="102">
        <v>16</v>
      </c>
      <c r="K28" s="104">
        <v>4356</v>
      </c>
      <c r="L28" s="102">
        <v>826</v>
      </c>
      <c r="M28" s="104">
        <v>371896</v>
      </c>
      <c r="N28" s="68" t="s">
        <v>76</v>
      </c>
    </row>
    <row r="29" spans="1:14" s="66" customFormat="1" ht="15.75" customHeight="1">
      <c r="A29" s="67" t="s">
        <v>77</v>
      </c>
      <c r="B29" s="102">
        <f>_xlfn.COMPOUNDVALUE(73)</f>
        <v>208</v>
      </c>
      <c r="C29" s="143">
        <v>102991</v>
      </c>
      <c r="D29" s="102">
        <f>_xlfn.COMPOUNDVALUE(74)</f>
        <v>323</v>
      </c>
      <c r="E29" s="143">
        <v>116286</v>
      </c>
      <c r="F29" s="102">
        <f>_xlfn.COMPOUNDVALUE(75)</f>
        <v>531</v>
      </c>
      <c r="G29" s="143">
        <v>219277</v>
      </c>
      <c r="H29" s="102">
        <f>_xlfn.COMPOUNDVALUE(76)</f>
        <v>25</v>
      </c>
      <c r="I29" s="145">
        <v>7013</v>
      </c>
      <c r="J29" s="102">
        <v>26</v>
      </c>
      <c r="K29" s="104">
        <v>2930</v>
      </c>
      <c r="L29" s="102">
        <v>564</v>
      </c>
      <c r="M29" s="104">
        <v>215195</v>
      </c>
      <c r="N29" s="68" t="s">
        <v>78</v>
      </c>
    </row>
    <row r="30" spans="1:14" s="66" customFormat="1" ht="15.75" customHeight="1">
      <c r="A30" s="67" t="s">
        <v>79</v>
      </c>
      <c r="B30" s="102">
        <f>_xlfn.COMPOUNDVALUE(77)</f>
        <v>224</v>
      </c>
      <c r="C30" s="143">
        <v>113474</v>
      </c>
      <c r="D30" s="102">
        <f>_xlfn.COMPOUNDVALUE(78)</f>
        <v>287</v>
      </c>
      <c r="E30" s="143">
        <v>138011</v>
      </c>
      <c r="F30" s="102">
        <f>_xlfn.COMPOUNDVALUE(79)</f>
        <v>511</v>
      </c>
      <c r="G30" s="143">
        <v>251485</v>
      </c>
      <c r="H30" s="102">
        <f>_xlfn.COMPOUNDVALUE(80)</f>
        <v>24</v>
      </c>
      <c r="I30" s="145">
        <v>9184</v>
      </c>
      <c r="J30" s="102">
        <v>15</v>
      </c>
      <c r="K30" s="104">
        <v>730</v>
      </c>
      <c r="L30" s="102">
        <v>543</v>
      </c>
      <c r="M30" s="104">
        <v>243032</v>
      </c>
      <c r="N30" s="68" t="s">
        <v>80</v>
      </c>
    </row>
    <row r="31" spans="1:14" s="66" customFormat="1" ht="15.75" customHeight="1">
      <c r="A31" s="69" t="s">
        <v>81</v>
      </c>
      <c r="B31" s="147">
        <v>4449</v>
      </c>
      <c r="C31" s="106">
        <v>2723999</v>
      </c>
      <c r="D31" s="105">
        <v>6491</v>
      </c>
      <c r="E31" s="106">
        <v>2833239</v>
      </c>
      <c r="F31" s="147">
        <v>10940</v>
      </c>
      <c r="G31" s="106">
        <v>5557238</v>
      </c>
      <c r="H31" s="147">
        <v>637</v>
      </c>
      <c r="I31" s="148">
        <v>563438</v>
      </c>
      <c r="J31" s="105">
        <v>444</v>
      </c>
      <c r="K31" s="107">
        <v>98528</v>
      </c>
      <c r="L31" s="105">
        <v>11779</v>
      </c>
      <c r="M31" s="107">
        <v>5092329</v>
      </c>
      <c r="N31" s="70" t="s">
        <v>82</v>
      </c>
    </row>
    <row r="32" spans="1:14" s="66" customFormat="1" ht="15.75" customHeight="1">
      <c r="A32" s="71"/>
      <c r="B32" s="108"/>
      <c r="C32" s="109"/>
      <c r="D32" s="108"/>
      <c r="E32" s="109"/>
      <c r="F32" s="110"/>
      <c r="G32" s="109"/>
      <c r="H32" s="110"/>
      <c r="I32" s="109"/>
      <c r="J32" s="110"/>
      <c r="K32" s="109"/>
      <c r="L32" s="110"/>
      <c r="M32" s="109"/>
      <c r="N32" s="72"/>
    </row>
    <row r="33" spans="1:14" s="66" customFormat="1" ht="15.75" customHeight="1">
      <c r="A33" s="64" t="s">
        <v>83</v>
      </c>
      <c r="B33" s="99">
        <f>_xlfn.COMPOUNDVALUE(81)</f>
        <v>1263</v>
      </c>
      <c r="C33" s="142">
        <v>839761</v>
      </c>
      <c r="D33" s="99">
        <f>_xlfn.COMPOUNDVALUE(82)</f>
        <v>1751</v>
      </c>
      <c r="E33" s="142">
        <v>829420</v>
      </c>
      <c r="F33" s="99">
        <f>_xlfn.COMPOUNDVALUE(83)</f>
        <v>3014</v>
      </c>
      <c r="G33" s="142">
        <v>1669180</v>
      </c>
      <c r="H33" s="99">
        <f>_xlfn.COMPOUNDVALUE(84)</f>
        <v>147</v>
      </c>
      <c r="I33" s="144">
        <v>61238</v>
      </c>
      <c r="J33" s="99">
        <v>223</v>
      </c>
      <c r="K33" s="101">
        <v>61836</v>
      </c>
      <c r="L33" s="99">
        <v>3274</v>
      </c>
      <c r="M33" s="101">
        <v>1669777</v>
      </c>
      <c r="N33" s="65" t="s">
        <v>84</v>
      </c>
    </row>
    <row r="34" spans="1:14" s="66" customFormat="1" ht="15.75" customHeight="1">
      <c r="A34" s="67" t="s">
        <v>85</v>
      </c>
      <c r="B34" s="102">
        <f>_xlfn.COMPOUNDVALUE(85)</f>
        <v>200</v>
      </c>
      <c r="C34" s="143">
        <v>130408</v>
      </c>
      <c r="D34" s="102">
        <f>_xlfn.COMPOUNDVALUE(86)</f>
        <v>755</v>
      </c>
      <c r="E34" s="143">
        <v>224747</v>
      </c>
      <c r="F34" s="102">
        <f>_xlfn.COMPOUNDVALUE(87)</f>
        <v>955</v>
      </c>
      <c r="G34" s="143">
        <v>355155</v>
      </c>
      <c r="H34" s="102">
        <f>_xlfn.COMPOUNDVALUE(88)</f>
        <v>33</v>
      </c>
      <c r="I34" s="145">
        <v>24366</v>
      </c>
      <c r="J34" s="102">
        <v>87</v>
      </c>
      <c r="K34" s="104">
        <v>6541</v>
      </c>
      <c r="L34" s="102">
        <v>1031</v>
      </c>
      <c r="M34" s="104">
        <v>337330</v>
      </c>
      <c r="N34" s="68" t="s">
        <v>86</v>
      </c>
    </row>
    <row r="35" spans="1:14" s="66" customFormat="1" ht="15.75" customHeight="1">
      <c r="A35" s="67" t="s">
        <v>87</v>
      </c>
      <c r="B35" s="102">
        <f>_xlfn.COMPOUNDVALUE(89)</f>
        <v>358</v>
      </c>
      <c r="C35" s="143">
        <v>193201</v>
      </c>
      <c r="D35" s="102">
        <f>_xlfn.COMPOUNDVALUE(90)</f>
        <v>864</v>
      </c>
      <c r="E35" s="143">
        <v>302264</v>
      </c>
      <c r="F35" s="102">
        <f>_xlfn.COMPOUNDVALUE(91)</f>
        <v>1222</v>
      </c>
      <c r="G35" s="143">
        <v>495465</v>
      </c>
      <c r="H35" s="102">
        <f>_xlfn.COMPOUNDVALUE(92)</f>
        <v>49</v>
      </c>
      <c r="I35" s="145">
        <v>16901</v>
      </c>
      <c r="J35" s="102">
        <v>58</v>
      </c>
      <c r="K35" s="104">
        <v>7462</v>
      </c>
      <c r="L35" s="102">
        <v>1296</v>
      </c>
      <c r="M35" s="104">
        <v>486026</v>
      </c>
      <c r="N35" s="68" t="s">
        <v>88</v>
      </c>
    </row>
    <row r="36" spans="1:14" s="66" customFormat="1" ht="15.75" customHeight="1">
      <c r="A36" s="67" t="s">
        <v>89</v>
      </c>
      <c r="B36" s="102">
        <f>_xlfn.COMPOUNDVALUE(93)</f>
        <v>279</v>
      </c>
      <c r="C36" s="143">
        <v>190118</v>
      </c>
      <c r="D36" s="102">
        <f>_xlfn.COMPOUNDVALUE(94)</f>
        <v>857</v>
      </c>
      <c r="E36" s="143">
        <v>293313</v>
      </c>
      <c r="F36" s="102">
        <f>_xlfn.COMPOUNDVALUE(95)</f>
        <v>1136</v>
      </c>
      <c r="G36" s="143">
        <v>483430</v>
      </c>
      <c r="H36" s="102">
        <f>_xlfn.COMPOUNDVALUE(96)</f>
        <v>50</v>
      </c>
      <c r="I36" s="145">
        <v>35038</v>
      </c>
      <c r="J36" s="102">
        <v>26</v>
      </c>
      <c r="K36" s="104">
        <v>10035</v>
      </c>
      <c r="L36" s="102">
        <v>1199</v>
      </c>
      <c r="M36" s="104">
        <v>458427</v>
      </c>
      <c r="N36" s="68" t="s">
        <v>90</v>
      </c>
    </row>
    <row r="37" spans="1:14" s="66" customFormat="1" ht="15.75" customHeight="1">
      <c r="A37" s="67" t="s">
        <v>91</v>
      </c>
      <c r="B37" s="102">
        <f>_xlfn.COMPOUNDVALUE(97)</f>
        <v>458</v>
      </c>
      <c r="C37" s="143">
        <v>279189</v>
      </c>
      <c r="D37" s="102">
        <f>_xlfn.COMPOUNDVALUE(98)</f>
        <v>625</v>
      </c>
      <c r="E37" s="143">
        <v>230681</v>
      </c>
      <c r="F37" s="102">
        <f>_xlfn.COMPOUNDVALUE(99)</f>
        <v>1083</v>
      </c>
      <c r="G37" s="143">
        <v>509870</v>
      </c>
      <c r="H37" s="102">
        <f>_xlfn.COMPOUNDVALUE(100)</f>
        <v>67</v>
      </c>
      <c r="I37" s="145">
        <v>28220</v>
      </c>
      <c r="J37" s="102">
        <v>21</v>
      </c>
      <c r="K37" s="104">
        <v>6587</v>
      </c>
      <c r="L37" s="102">
        <v>1163</v>
      </c>
      <c r="M37" s="104">
        <v>488237</v>
      </c>
      <c r="N37" s="68" t="s">
        <v>92</v>
      </c>
    </row>
    <row r="38" spans="1:14" s="66" customFormat="1" ht="15.75" customHeight="1">
      <c r="A38" s="67" t="s">
        <v>93</v>
      </c>
      <c r="B38" s="102">
        <f>_xlfn.COMPOUNDVALUE(101)</f>
        <v>198</v>
      </c>
      <c r="C38" s="143">
        <v>122966</v>
      </c>
      <c r="D38" s="102">
        <f>_xlfn.COMPOUNDVALUE(102)</f>
        <v>588</v>
      </c>
      <c r="E38" s="143">
        <v>219927</v>
      </c>
      <c r="F38" s="102">
        <f>_xlfn.COMPOUNDVALUE(103)</f>
        <v>786</v>
      </c>
      <c r="G38" s="143">
        <v>342893</v>
      </c>
      <c r="H38" s="102">
        <f>_xlfn.COMPOUNDVALUE(104)</f>
        <v>18</v>
      </c>
      <c r="I38" s="145">
        <v>13016</v>
      </c>
      <c r="J38" s="102">
        <v>44</v>
      </c>
      <c r="K38" s="104">
        <v>9865</v>
      </c>
      <c r="L38" s="102">
        <v>822</v>
      </c>
      <c r="M38" s="104">
        <v>339742</v>
      </c>
      <c r="N38" s="68" t="s">
        <v>94</v>
      </c>
    </row>
    <row r="39" spans="1:14" s="66" customFormat="1" ht="15.75" customHeight="1">
      <c r="A39" s="69" t="s">
        <v>95</v>
      </c>
      <c r="B39" s="105">
        <v>2756</v>
      </c>
      <c r="C39" s="106">
        <v>1755641</v>
      </c>
      <c r="D39" s="105">
        <v>5440</v>
      </c>
      <c r="E39" s="106">
        <v>2100352</v>
      </c>
      <c r="F39" s="105">
        <v>8196</v>
      </c>
      <c r="G39" s="106">
        <v>3855993</v>
      </c>
      <c r="H39" s="105">
        <v>364</v>
      </c>
      <c r="I39" s="107">
        <v>178780</v>
      </c>
      <c r="J39" s="105">
        <v>459</v>
      </c>
      <c r="K39" s="107">
        <v>102326</v>
      </c>
      <c r="L39" s="105">
        <v>8785</v>
      </c>
      <c r="M39" s="107">
        <v>3779539</v>
      </c>
      <c r="N39" s="70" t="s">
        <v>96</v>
      </c>
    </row>
    <row r="40" spans="1:15" s="66" customFormat="1" ht="15.75" customHeight="1" thickBot="1">
      <c r="A40" s="73"/>
      <c r="B40" s="111"/>
      <c r="C40" s="112"/>
      <c r="D40" s="111"/>
      <c r="E40" s="112"/>
      <c r="F40" s="113"/>
      <c r="G40" s="112"/>
      <c r="H40" s="113"/>
      <c r="I40" s="112"/>
      <c r="J40" s="113"/>
      <c r="K40" s="112"/>
      <c r="L40" s="113"/>
      <c r="M40" s="112"/>
      <c r="N40" s="74"/>
      <c r="O40" s="75"/>
    </row>
    <row r="41" spans="1:14" s="66" customFormat="1" ht="15.75" customHeight="1" thickBot="1" thickTop="1">
      <c r="A41" s="76" t="s">
        <v>97</v>
      </c>
      <c r="B41" s="149">
        <v>12727</v>
      </c>
      <c r="C41" s="115">
        <v>7592237</v>
      </c>
      <c r="D41" s="114">
        <v>19981</v>
      </c>
      <c r="E41" s="115">
        <v>8311186</v>
      </c>
      <c r="F41" s="149">
        <v>32708</v>
      </c>
      <c r="G41" s="115">
        <v>15903424</v>
      </c>
      <c r="H41" s="149">
        <v>1853</v>
      </c>
      <c r="I41" s="116">
        <v>1324654</v>
      </c>
      <c r="J41" s="114">
        <v>1566</v>
      </c>
      <c r="K41" s="116">
        <v>389782</v>
      </c>
      <c r="L41" s="114">
        <v>35305</v>
      </c>
      <c r="M41" s="116">
        <v>14968551</v>
      </c>
      <c r="N41" s="77" t="s">
        <v>98</v>
      </c>
    </row>
    <row r="42" spans="1:14" ht="13.5">
      <c r="A42" s="209" t="s">
        <v>154</v>
      </c>
      <c r="B42" s="209"/>
      <c r="C42" s="209"/>
      <c r="D42" s="209"/>
      <c r="E42" s="209"/>
      <c r="F42" s="209"/>
      <c r="G42" s="209"/>
      <c r="H42" s="209"/>
      <c r="I42" s="209"/>
      <c r="J42" s="78"/>
      <c r="K42" s="78"/>
      <c r="L42" s="52"/>
      <c r="M42" s="52"/>
      <c r="N42" s="52"/>
    </row>
    <row r="44" spans="2:10" ht="13.5">
      <c r="B44" s="118"/>
      <c r="C44" s="118"/>
      <c r="D44" s="118"/>
      <c r="E44" s="118"/>
      <c r="F44" s="118"/>
      <c r="G44" s="118"/>
      <c r="H44" s="118"/>
      <c r="J44" s="118"/>
    </row>
    <row r="45" spans="2:10" ht="13.5">
      <c r="B45" s="118"/>
      <c r="C45" s="118"/>
      <c r="D45" s="118"/>
      <c r="E45" s="118"/>
      <c r="F45" s="118"/>
      <c r="G45" s="118"/>
      <c r="H45" s="118"/>
      <c r="J45" s="118"/>
    </row>
    <row r="46" spans="2:10" ht="13.5">
      <c r="B46" s="118"/>
      <c r="C46" s="118"/>
      <c r="D46" s="118"/>
      <c r="E46" s="118"/>
      <c r="F46" s="118"/>
      <c r="G46" s="118"/>
      <c r="H46" s="118"/>
      <c r="J46" s="118"/>
    </row>
    <row r="47" spans="2:10" ht="13.5">
      <c r="B47" s="118"/>
      <c r="C47" s="118"/>
      <c r="D47" s="118"/>
      <c r="E47" s="118"/>
      <c r="F47" s="118"/>
      <c r="G47" s="118"/>
      <c r="H47" s="118"/>
      <c r="J47" s="118"/>
    </row>
    <row r="48" spans="2:10" ht="13.5">
      <c r="B48" s="118"/>
      <c r="C48" s="118"/>
      <c r="D48" s="118"/>
      <c r="E48" s="118"/>
      <c r="F48" s="118"/>
      <c r="G48" s="118"/>
      <c r="H48" s="118"/>
      <c r="J48" s="118"/>
    </row>
    <row r="49" spans="2:10" ht="13.5">
      <c r="B49" s="118"/>
      <c r="C49" s="118"/>
      <c r="D49" s="118"/>
      <c r="E49" s="118"/>
      <c r="F49" s="118"/>
      <c r="G49" s="118"/>
      <c r="H49" s="118"/>
      <c r="J49" s="118"/>
    </row>
    <row r="50" spans="2:10" ht="13.5">
      <c r="B50" s="118"/>
      <c r="C50" s="118"/>
      <c r="D50" s="118"/>
      <c r="E50" s="118"/>
      <c r="F50" s="118"/>
      <c r="G50" s="118"/>
      <c r="H50" s="118"/>
      <c r="J50" s="118"/>
    </row>
    <row r="51" spans="2:10" ht="13.5">
      <c r="B51" s="118"/>
      <c r="C51" s="118"/>
      <c r="D51" s="118"/>
      <c r="E51" s="118"/>
      <c r="F51" s="118"/>
      <c r="G51" s="118"/>
      <c r="H51" s="118"/>
      <c r="J51" s="118"/>
    </row>
    <row r="52" spans="2:10" ht="13.5">
      <c r="B52" s="118"/>
      <c r="C52" s="118"/>
      <c r="D52" s="118"/>
      <c r="E52" s="118"/>
      <c r="F52" s="118"/>
      <c r="G52" s="118"/>
      <c r="H52" s="118"/>
      <c r="J52" s="118"/>
    </row>
    <row r="53" spans="2:10" ht="13.5">
      <c r="B53" s="118"/>
      <c r="C53" s="118"/>
      <c r="D53" s="118"/>
      <c r="E53" s="118"/>
      <c r="F53" s="118"/>
      <c r="G53" s="118"/>
      <c r="H53" s="118"/>
      <c r="J53" s="118"/>
    </row>
    <row r="54" spans="2:10" ht="13.5">
      <c r="B54" s="118"/>
      <c r="C54" s="118"/>
      <c r="D54" s="118"/>
      <c r="E54" s="118"/>
      <c r="F54" s="118"/>
      <c r="G54" s="118"/>
      <c r="H54" s="118"/>
      <c r="J54" s="118"/>
    </row>
    <row r="55" spans="2:10" ht="13.5">
      <c r="B55" s="118"/>
      <c r="C55" s="118"/>
      <c r="D55" s="118"/>
      <c r="E55" s="118"/>
      <c r="F55" s="118"/>
      <c r="G55" s="118"/>
      <c r="H55" s="118"/>
      <c r="J55" s="118"/>
    </row>
    <row r="56" spans="2:10" ht="13.5">
      <c r="B56" s="118"/>
      <c r="C56" s="118"/>
      <c r="D56" s="118"/>
      <c r="E56" s="118"/>
      <c r="F56" s="118"/>
      <c r="G56" s="118"/>
      <c r="H56" s="118"/>
      <c r="J56" s="118"/>
    </row>
  </sheetData>
  <sheetProtection/>
  <mergeCells count="11">
    <mergeCell ref="L3:M4"/>
    <mergeCell ref="N3:N5"/>
    <mergeCell ref="B4:C4"/>
    <mergeCell ref="D4:E4"/>
    <mergeCell ref="F4:G4"/>
    <mergeCell ref="A42:I42"/>
    <mergeCell ref="A2:G2"/>
    <mergeCell ref="A3:A5"/>
    <mergeCell ref="B3:G3"/>
    <mergeCell ref="H3:I4"/>
    <mergeCell ref="J3:K4"/>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&amp;R&amp;K01+000高松国税局
消費税
(R02)</oddFooter>
  </headerFooter>
</worksheet>
</file>

<file path=xl/worksheets/sheet5.xml><?xml version="1.0" encoding="utf-8"?>
<worksheet xmlns="http://schemas.openxmlformats.org/spreadsheetml/2006/main" xmlns:r="http://schemas.openxmlformats.org/officeDocument/2006/relationships">
  <dimension ref="A1:N42"/>
  <sheetViews>
    <sheetView zoomScaleSheetLayoutView="98" workbookViewId="0" topLeftCell="A34">
      <selection activeCell="I56" sqref="I56"/>
    </sheetView>
  </sheetViews>
  <sheetFormatPr defaultColWidth="9.00390625" defaultRowHeight="13.5"/>
  <cols>
    <col min="1" max="1" width="11.12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4" width="11.375" style="98" customWidth="1"/>
    <col min="15" max="16384" width="9.00390625" style="98" customWidth="1"/>
  </cols>
  <sheetData>
    <row r="1" spans="1:13" ht="13.5">
      <c r="A1" s="51" t="s">
        <v>158</v>
      </c>
      <c r="B1" s="51"/>
      <c r="C1" s="51"/>
      <c r="D1" s="51"/>
      <c r="E1" s="51"/>
      <c r="F1" s="51"/>
      <c r="G1" s="51"/>
      <c r="H1" s="51"/>
      <c r="I1" s="51"/>
      <c r="J1" s="51"/>
      <c r="K1" s="51"/>
      <c r="L1" s="52"/>
      <c r="M1" s="52"/>
    </row>
    <row r="2" spans="1:13" ht="14.25" thickBot="1">
      <c r="A2" s="219" t="s">
        <v>99</v>
      </c>
      <c r="B2" s="219"/>
      <c r="C2" s="219"/>
      <c r="D2" s="219"/>
      <c r="E2" s="219"/>
      <c r="F2" s="219"/>
      <c r="G2" s="219"/>
      <c r="H2" s="219"/>
      <c r="I2" s="219"/>
      <c r="J2" s="78"/>
      <c r="K2" s="78"/>
      <c r="L2" s="52"/>
      <c r="M2" s="52"/>
    </row>
    <row r="3" spans="1:14" ht="19.5" customHeight="1">
      <c r="A3" s="211" t="s">
        <v>24</v>
      </c>
      <c r="B3" s="214" t="s">
        <v>25</v>
      </c>
      <c r="C3" s="214"/>
      <c r="D3" s="214"/>
      <c r="E3" s="214"/>
      <c r="F3" s="214"/>
      <c r="G3" s="214"/>
      <c r="H3" s="215" t="s">
        <v>11</v>
      </c>
      <c r="I3" s="216"/>
      <c r="J3" s="218" t="s">
        <v>26</v>
      </c>
      <c r="K3" s="216"/>
      <c r="L3" s="215" t="s">
        <v>27</v>
      </c>
      <c r="M3" s="216"/>
      <c r="N3" s="203" t="s">
        <v>100</v>
      </c>
    </row>
    <row r="4" spans="1:14" ht="17.25" customHeight="1">
      <c r="A4" s="212"/>
      <c r="B4" s="207" t="s">
        <v>13</v>
      </c>
      <c r="C4" s="208"/>
      <c r="D4" s="207" t="s">
        <v>29</v>
      </c>
      <c r="E4" s="208"/>
      <c r="F4" s="207" t="s">
        <v>30</v>
      </c>
      <c r="G4" s="208"/>
      <c r="H4" s="207"/>
      <c r="I4" s="217"/>
      <c r="J4" s="207"/>
      <c r="K4" s="217"/>
      <c r="L4" s="207"/>
      <c r="M4" s="217"/>
      <c r="N4" s="204"/>
    </row>
    <row r="5" spans="1:14" ht="28.5" customHeight="1">
      <c r="A5" s="213"/>
      <c r="B5" s="53" t="s">
        <v>31</v>
      </c>
      <c r="C5" s="54" t="s">
        <v>32</v>
      </c>
      <c r="D5" s="53" t="s">
        <v>31</v>
      </c>
      <c r="E5" s="54" t="s">
        <v>32</v>
      </c>
      <c r="F5" s="53" t="s">
        <v>31</v>
      </c>
      <c r="G5" s="55" t="s">
        <v>33</v>
      </c>
      <c r="H5" s="53" t="s">
        <v>31</v>
      </c>
      <c r="I5" s="56" t="s">
        <v>34</v>
      </c>
      <c r="J5" s="53" t="s">
        <v>31</v>
      </c>
      <c r="K5" s="56" t="s">
        <v>35</v>
      </c>
      <c r="L5" s="53" t="s">
        <v>31</v>
      </c>
      <c r="M5" s="57" t="s">
        <v>36</v>
      </c>
      <c r="N5" s="205"/>
    </row>
    <row r="6" spans="1:14" s="79" customFormat="1" ht="10.5">
      <c r="A6" s="58"/>
      <c r="B6" s="59" t="s">
        <v>3</v>
      </c>
      <c r="C6" s="60" t="s">
        <v>4</v>
      </c>
      <c r="D6" s="59" t="s">
        <v>3</v>
      </c>
      <c r="E6" s="60" t="s">
        <v>4</v>
      </c>
      <c r="F6" s="59" t="s">
        <v>3</v>
      </c>
      <c r="G6" s="60" t="s">
        <v>4</v>
      </c>
      <c r="H6" s="59" t="s">
        <v>3</v>
      </c>
      <c r="I6" s="61" t="s">
        <v>4</v>
      </c>
      <c r="J6" s="59" t="s">
        <v>3</v>
      </c>
      <c r="K6" s="61" t="s">
        <v>4</v>
      </c>
      <c r="L6" s="59" t="s">
        <v>156</v>
      </c>
      <c r="M6" s="61" t="s">
        <v>4</v>
      </c>
      <c r="N6" s="62"/>
    </row>
    <row r="7" spans="1:14" ht="15.75" customHeight="1">
      <c r="A7" s="64" t="s">
        <v>101</v>
      </c>
      <c r="B7" s="99">
        <f>_xlfn.COMPOUNDVALUE(105)</f>
        <v>3955</v>
      </c>
      <c r="C7" s="100">
        <v>29884218</v>
      </c>
      <c r="D7" s="99">
        <f>_xlfn.COMPOUNDVALUE(106)</f>
        <v>1553</v>
      </c>
      <c r="E7" s="100">
        <v>1096740</v>
      </c>
      <c r="F7" s="99">
        <f>_xlfn.COMPOUNDVALUE(107)</f>
        <v>5508</v>
      </c>
      <c r="G7" s="100">
        <v>30980958</v>
      </c>
      <c r="H7" s="99">
        <f>_xlfn.COMPOUNDVALUE(108)</f>
        <v>325</v>
      </c>
      <c r="I7" s="101">
        <v>1252044</v>
      </c>
      <c r="J7" s="99">
        <v>269</v>
      </c>
      <c r="K7" s="101">
        <v>29074</v>
      </c>
      <c r="L7" s="99">
        <v>5876</v>
      </c>
      <c r="M7" s="101">
        <v>29757988</v>
      </c>
      <c r="N7" s="81" t="s">
        <v>38</v>
      </c>
    </row>
    <row r="8" spans="1:14" ht="15.75" customHeight="1">
      <c r="A8" s="67" t="s">
        <v>102</v>
      </c>
      <c r="B8" s="102">
        <f>_xlfn.COMPOUNDVALUE(109)</f>
        <v>1263</v>
      </c>
      <c r="C8" s="103">
        <v>9409108</v>
      </c>
      <c r="D8" s="102">
        <f>_xlfn.COMPOUNDVALUE(110)</f>
        <v>548</v>
      </c>
      <c r="E8" s="103">
        <v>360643</v>
      </c>
      <c r="F8" s="102">
        <f>_xlfn.COMPOUNDVALUE(111)</f>
        <v>1811</v>
      </c>
      <c r="G8" s="103">
        <v>9769751</v>
      </c>
      <c r="H8" s="102">
        <f>_xlfn.COMPOUNDVALUE(112)</f>
        <v>132</v>
      </c>
      <c r="I8" s="104">
        <v>958664</v>
      </c>
      <c r="J8" s="102">
        <v>81</v>
      </c>
      <c r="K8" s="104">
        <v>40126</v>
      </c>
      <c r="L8" s="102">
        <v>1959</v>
      </c>
      <c r="M8" s="104">
        <v>8851213</v>
      </c>
      <c r="N8" s="68" t="s">
        <v>40</v>
      </c>
    </row>
    <row r="9" spans="1:14" ht="15.75" customHeight="1">
      <c r="A9" s="67" t="s">
        <v>103</v>
      </c>
      <c r="B9" s="102">
        <f>_xlfn.COMPOUNDVALUE(113)</f>
        <v>871</v>
      </c>
      <c r="C9" s="103">
        <v>5280687</v>
      </c>
      <c r="D9" s="102">
        <f>_xlfn.COMPOUNDVALUE(114)</f>
        <v>329</v>
      </c>
      <c r="E9" s="103">
        <v>233146</v>
      </c>
      <c r="F9" s="102">
        <f>_xlfn.COMPOUNDVALUE(115)</f>
        <v>1200</v>
      </c>
      <c r="G9" s="103">
        <v>5513833</v>
      </c>
      <c r="H9" s="102">
        <f>_xlfn.COMPOUNDVALUE(116)</f>
        <v>97</v>
      </c>
      <c r="I9" s="104">
        <v>12668174</v>
      </c>
      <c r="J9" s="102">
        <v>44</v>
      </c>
      <c r="K9" s="104">
        <v>9757</v>
      </c>
      <c r="L9" s="102">
        <v>1305</v>
      </c>
      <c r="M9" s="104">
        <v>-7144584</v>
      </c>
      <c r="N9" s="68" t="s">
        <v>42</v>
      </c>
    </row>
    <row r="10" spans="1:14" ht="15.75" customHeight="1">
      <c r="A10" s="67" t="s">
        <v>104</v>
      </c>
      <c r="B10" s="102">
        <f>_xlfn.COMPOUNDVALUE(117)</f>
        <v>638</v>
      </c>
      <c r="C10" s="103">
        <v>2626707</v>
      </c>
      <c r="D10" s="102">
        <f>_xlfn.COMPOUNDVALUE(118)</f>
        <v>323</v>
      </c>
      <c r="E10" s="103">
        <v>222753</v>
      </c>
      <c r="F10" s="102">
        <f>_xlfn.COMPOUNDVALUE(119)</f>
        <v>961</v>
      </c>
      <c r="G10" s="103">
        <v>2849460</v>
      </c>
      <c r="H10" s="102">
        <f>_xlfn.COMPOUNDVALUE(120)</f>
        <v>70</v>
      </c>
      <c r="I10" s="104">
        <v>586083</v>
      </c>
      <c r="J10" s="102">
        <v>33</v>
      </c>
      <c r="K10" s="104">
        <v>7515</v>
      </c>
      <c r="L10" s="102">
        <v>1047</v>
      </c>
      <c r="M10" s="104">
        <v>2270892</v>
      </c>
      <c r="N10" s="68" t="s">
        <v>44</v>
      </c>
    </row>
    <row r="11" spans="1:14" ht="15.75" customHeight="1">
      <c r="A11" s="67" t="s">
        <v>105</v>
      </c>
      <c r="B11" s="102">
        <f>_xlfn.COMPOUNDVALUE(121)</f>
        <v>346</v>
      </c>
      <c r="C11" s="103">
        <v>1740268</v>
      </c>
      <c r="D11" s="102">
        <f>_xlfn.COMPOUNDVALUE(122)</f>
        <v>171</v>
      </c>
      <c r="E11" s="103">
        <v>101651</v>
      </c>
      <c r="F11" s="102">
        <f>_xlfn.COMPOUNDVALUE(123)</f>
        <v>517</v>
      </c>
      <c r="G11" s="103">
        <v>1841919</v>
      </c>
      <c r="H11" s="102">
        <f>_xlfn.COMPOUNDVALUE(124)</f>
        <v>17</v>
      </c>
      <c r="I11" s="104">
        <v>29270</v>
      </c>
      <c r="J11" s="102">
        <v>12</v>
      </c>
      <c r="K11" s="104">
        <v>3533</v>
      </c>
      <c r="L11" s="102">
        <v>534</v>
      </c>
      <c r="M11" s="104">
        <v>1816182</v>
      </c>
      <c r="N11" s="68" t="s">
        <v>46</v>
      </c>
    </row>
    <row r="12" spans="1:14" ht="15.75" customHeight="1">
      <c r="A12" s="67" t="s">
        <v>106</v>
      </c>
      <c r="B12" s="102">
        <f>_xlfn.COMPOUNDVALUE(125)</f>
        <v>371</v>
      </c>
      <c r="C12" s="103">
        <v>1560420</v>
      </c>
      <c r="D12" s="102">
        <f>_xlfn.COMPOUNDVALUE(126)</f>
        <v>173</v>
      </c>
      <c r="E12" s="103">
        <v>109126</v>
      </c>
      <c r="F12" s="102">
        <f>_xlfn.COMPOUNDVALUE(127)</f>
        <v>544</v>
      </c>
      <c r="G12" s="103">
        <v>1669545</v>
      </c>
      <c r="H12" s="102">
        <f>_xlfn.COMPOUNDVALUE(128)</f>
        <v>37</v>
      </c>
      <c r="I12" s="104">
        <v>44416</v>
      </c>
      <c r="J12" s="102">
        <v>29</v>
      </c>
      <c r="K12" s="104">
        <v>5175</v>
      </c>
      <c r="L12" s="102">
        <v>583</v>
      </c>
      <c r="M12" s="104">
        <v>1630304</v>
      </c>
      <c r="N12" s="68" t="s">
        <v>48</v>
      </c>
    </row>
    <row r="13" spans="1:14" ht="15.75" customHeight="1">
      <c r="A13" s="69" t="s">
        <v>107</v>
      </c>
      <c r="B13" s="105">
        <v>7444</v>
      </c>
      <c r="C13" s="106">
        <v>50501407</v>
      </c>
      <c r="D13" s="105">
        <v>3097</v>
      </c>
      <c r="E13" s="106">
        <v>2124058</v>
      </c>
      <c r="F13" s="105">
        <v>10541</v>
      </c>
      <c r="G13" s="106">
        <v>52625466</v>
      </c>
      <c r="H13" s="105">
        <v>678</v>
      </c>
      <c r="I13" s="107">
        <v>15538651</v>
      </c>
      <c r="J13" s="105">
        <v>468</v>
      </c>
      <c r="K13" s="107">
        <v>95180</v>
      </c>
      <c r="L13" s="105">
        <v>11304</v>
      </c>
      <c r="M13" s="107">
        <v>37181995</v>
      </c>
      <c r="N13" s="70" t="s">
        <v>50</v>
      </c>
    </row>
    <row r="14" spans="1:14" ht="15.75" customHeight="1">
      <c r="A14" s="71"/>
      <c r="B14" s="108"/>
      <c r="C14" s="109"/>
      <c r="D14" s="108"/>
      <c r="E14" s="109"/>
      <c r="F14" s="110"/>
      <c r="G14" s="109"/>
      <c r="H14" s="110"/>
      <c r="I14" s="109"/>
      <c r="J14" s="110"/>
      <c r="K14" s="109"/>
      <c r="L14" s="110"/>
      <c r="M14" s="109"/>
      <c r="N14" s="72"/>
    </row>
    <row r="15" spans="1:14" ht="15.75" customHeight="1">
      <c r="A15" s="64" t="s">
        <v>108</v>
      </c>
      <c r="B15" s="99">
        <f>_xlfn.COMPOUNDVALUE(129)</f>
        <v>5269</v>
      </c>
      <c r="C15" s="100">
        <v>59273753</v>
      </c>
      <c r="D15" s="99">
        <f>_xlfn.COMPOUNDVALUE(130)</f>
        <v>2397</v>
      </c>
      <c r="E15" s="100">
        <v>1628779</v>
      </c>
      <c r="F15" s="99">
        <f>_xlfn.COMPOUNDVALUE(131)</f>
        <v>7666</v>
      </c>
      <c r="G15" s="100">
        <v>60902532</v>
      </c>
      <c r="H15" s="99">
        <f>_xlfn.COMPOUNDVALUE(132)</f>
        <v>488</v>
      </c>
      <c r="I15" s="101">
        <v>5427603</v>
      </c>
      <c r="J15" s="99">
        <v>238</v>
      </c>
      <c r="K15" s="101">
        <v>7704</v>
      </c>
      <c r="L15" s="99">
        <v>8195</v>
      </c>
      <c r="M15" s="101">
        <v>55482633</v>
      </c>
      <c r="N15" s="65" t="s">
        <v>52</v>
      </c>
    </row>
    <row r="16" spans="1:14" ht="15.75" customHeight="1">
      <c r="A16" s="67" t="s">
        <v>109</v>
      </c>
      <c r="B16" s="102">
        <f>_xlfn.COMPOUNDVALUE(133)</f>
        <v>1736</v>
      </c>
      <c r="C16" s="103">
        <v>12593100</v>
      </c>
      <c r="D16" s="102">
        <f>_xlfn.COMPOUNDVALUE(134)</f>
        <v>798</v>
      </c>
      <c r="E16" s="103">
        <v>528564</v>
      </c>
      <c r="F16" s="102">
        <f>_xlfn.COMPOUNDVALUE(135)</f>
        <v>2534</v>
      </c>
      <c r="G16" s="103">
        <v>13121665</v>
      </c>
      <c r="H16" s="102">
        <f>_xlfn.COMPOUNDVALUE(136)</f>
        <v>181</v>
      </c>
      <c r="I16" s="104">
        <v>1300872</v>
      </c>
      <c r="J16" s="102">
        <v>58</v>
      </c>
      <c r="K16" s="104">
        <v>-674</v>
      </c>
      <c r="L16" s="102">
        <v>2727</v>
      </c>
      <c r="M16" s="104">
        <v>11820118</v>
      </c>
      <c r="N16" s="68" t="s">
        <v>54</v>
      </c>
    </row>
    <row r="17" spans="1:14" ht="15.75" customHeight="1">
      <c r="A17" s="67" t="s">
        <v>110</v>
      </c>
      <c r="B17" s="102">
        <f>_xlfn.COMPOUNDVALUE(137)</f>
        <v>1024</v>
      </c>
      <c r="C17" s="103">
        <v>6450053</v>
      </c>
      <c r="D17" s="102">
        <f>_xlfn.COMPOUNDVALUE(138)</f>
        <v>379</v>
      </c>
      <c r="E17" s="103">
        <v>269448</v>
      </c>
      <c r="F17" s="102">
        <f>_xlfn.COMPOUNDVALUE(139)</f>
        <v>1403</v>
      </c>
      <c r="G17" s="103">
        <v>6719501</v>
      </c>
      <c r="H17" s="102">
        <f>_xlfn.COMPOUNDVALUE(140)</f>
        <v>95</v>
      </c>
      <c r="I17" s="104">
        <v>291575</v>
      </c>
      <c r="J17" s="102">
        <v>82</v>
      </c>
      <c r="K17" s="104">
        <v>21896</v>
      </c>
      <c r="L17" s="102">
        <v>1507</v>
      </c>
      <c r="M17" s="104">
        <v>6449822</v>
      </c>
      <c r="N17" s="68" t="s">
        <v>56</v>
      </c>
    </row>
    <row r="18" spans="1:14" ht="15.75" customHeight="1">
      <c r="A18" s="67" t="s">
        <v>111</v>
      </c>
      <c r="B18" s="102">
        <f>_xlfn.COMPOUNDVALUE(141)</f>
        <v>1206</v>
      </c>
      <c r="C18" s="103">
        <v>9565378</v>
      </c>
      <c r="D18" s="102">
        <f>_xlfn.COMPOUNDVALUE(142)</f>
        <v>478</v>
      </c>
      <c r="E18" s="103">
        <v>314182</v>
      </c>
      <c r="F18" s="102">
        <f>_xlfn.COMPOUNDVALUE(143)</f>
        <v>1684</v>
      </c>
      <c r="G18" s="103">
        <v>9879560</v>
      </c>
      <c r="H18" s="102">
        <f>_xlfn.COMPOUNDVALUE(144)</f>
        <v>131</v>
      </c>
      <c r="I18" s="104">
        <v>451189</v>
      </c>
      <c r="J18" s="102">
        <v>42</v>
      </c>
      <c r="K18" s="104">
        <v>27243</v>
      </c>
      <c r="L18" s="102">
        <v>1821</v>
      </c>
      <c r="M18" s="104">
        <v>9455614</v>
      </c>
      <c r="N18" s="68" t="s">
        <v>58</v>
      </c>
    </row>
    <row r="19" spans="1:14" ht="15.75" customHeight="1">
      <c r="A19" s="67" t="s">
        <v>133</v>
      </c>
      <c r="B19" s="102">
        <f>_xlfn.COMPOUNDVALUE(145)</f>
        <v>674</v>
      </c>
      <c r="C19" s="103">
        <v>4136600</v>
      </c>
      <c r="D19" s="102">
        <f>_xlfn.COMPOUNDVALUE(146)</f>
        <v>278</v>
      </c>
      <c r="E19" s="103">
        <v>179447</v>
      </c>
      <c r="F19" s="102">
        <f>_xlfn.COMPOUNDVALUE(147)</f>
        <v>952</v>
      </c>
      <c r="G19" s="103">
        <v>4316048</v>
      </c>
      <c r="H19" s="102">
        <f>_xlfn.COMPOUNDVALUE(148)</f>
        <v>77</v>
      </c>
      <c r="I19" s="104">
        <v>213034</v>
      </c>
      <c r="J19" s="102">
        <v>24</v>
      </c>
      <c r="K19" s="104">
        <v>9506</v>
      </c>
      <c r="L19" s="102">
        <v>1035</v>
      </c>
      <c r="M19" s="104">
        <v>4112519</v>
      </c>
      <c r="N19" s="68" t="s">
        <v>60</v>
      </c>
    </row>
    <row r="20" spans="1:14" ht="15.75" customHeight="1">
      <c r="A20" s="67" t="s">
        <v>134</v>
      </c>
      <c r="B20" s="102">
        <f>_xlfn.COMPOUNDVALUE(149)</f>
        <v>386</v>
      </c>
      <c r="C20" s="103">
        <v>1697390</v>
      </c>
      <c r="D20" s="102">
        <f>_xlfn.COMPOUNDVALUE(150)</f>
        <v>163</v>
      </c>
      <c r="E20" s="103">
        <v>93405</v>
      </c>
      <c r="F20" s="102">
        <f>_xlfn.COMPOUNDVALUE(151)</f>
        <v>549</v>
      </c>
      <c r="G20" s="103">
        <v>1790795</v>
      </c>
      <c r="H20" s="102">
        <f>_xlfn.COMPOUNDVALUE(152)</f>
        <v>35</v>
      </c>
      <c r="I20" s="104">
        <v>192369</v>
      </c>
      <c r="J20" s="102">
        <v>13</v>
      </c>
      <c r="K20" s="104">
        <v>6203</v>
      </c>
      <c r="L20" s="102">
        <v>587</v>
      </c>
      <c r="M20" s="104">
        <v>1604628</v>
      </c>
      <c r="N20" s="68" t="s">
        <v>62</v>
      </c>
    </row>
    <row r="21" spans="1:14" ht="15.75" customHeight="1">
      <c r="A21" s="69" t="s">
        <v>135</v>
      </c>
      <c r="B21" s="105">
        <v>10295</v>
      </c>
      <c r="C21" s="106">
        <v>93716275</v>
      </c>
      <c r="D21" s="105">
        <v>4493</v>
      </c>
      <c r="E21" s="106">
        <v>3013826</v>
      </c>
      <c r="F21" s="105">
        <v>14788</v>
      </c>
      <c r="G21" s="106">
        <v>96730101</v>
      </c>
      <c r="H21" s="105">
        <v>1007</v>
      </c>
      <c r="I21" s="107">
        <v>7876643</v>
      </c>
      <c r="J21" s="105">
        <v>457</v>
      </c>
      <c r="K21" s="107">
        <v>71878</v>
      </c>
      <c r="L21" s="105">
        <v>15872</v>
      </c>
      <c r="M21" s="107">
        <v>88925335</v>
      </c>
      <c r="N21" s="70" t="s">
        <v>64</v>
      </c>
    </row>
    <row r="22" spans="1:14" ht="15.75" customHeight="1">
      <c r="A22" s="71"/>
      <c r="B22" s="108"/>
      <c r="C22" s="109"/>
      <c r="D22" s="108"/>
      <c r="E22" s="109"/>
      <c r="F22" s="110"/>
      <c r="G22" s="109"/>
      <c r="H22" s="110"/>
      <c r="I22" s="109"/>
      <c r="J22" s="110"/>
      <c r="K22" s="109"/>
      <c r="L22" s="110"/>
      <c r="M22" s="109"/>
      <c r="N22" s="72"/>
    </row>
    <row r="23" spans="1:14" ht="15.75" customHeight="1">
      <c r="A23" s="64" t="s">
        <v>136</v>
      </c>
      <c r="B23" s="99">
        <f>_xlfn.COMPOUNDVALUE(153)</f>
        <v>6158</v>
      </c>
      <c r="C23" s="100">
        <v>49956145</v>
      </c>
      <c r="D23" s="99">
        <f>_xlfn.COMPOUNDVALUE(154)</f>
        <v>2588</v>
      </c>
      <c r="E23" s="100">
        <v>1849276</v>
      </c>
      <c r="F23" s="99">
        <f>_xlfn.COMPOUNDVALUE(155)</f>
        <v>8746</v>
      </c>
      <c r="G23" s="100">
        <v>51805421</v>
      </c>
      <c r="H23" s="99">
        <f>_xlfn.COMPOUNDVALUE(156)</f>
        <v>597</v>
      </c>
      <c r="I23" s="101">
        <v>2939041</v>
      </c>
      <c r="J23" s="99">
        <v>262</v>
      </c>
      <c r="K23" s="101">
        <v>47668</v>
      </c>
      <c r="L23" s="99">
        <v>9414</v>
      </c>
      <c r="M23" s="101">
        <v>48914047</v>
      </c>
      <c r="N23" s="65" t="s">
        <v>66</v>
      </c>
    </row>
    <row r="24" spans="1:14" ht="15.75" customHeight="1">
      <c r="A24" s="67" t="s">
        <v>137</v>
      </c>
      <c r="B24" s="102">
        <f>_xlfn.COMPOUNDVALUE(157)</f>
        <v>1973</v>
      </c>
      <c r="C24" s="103">
        <v>17025505</v>
      </c>
      <c r="D24" s="102">
        <f>_xlfn.COMPOUNDVALUE(158)</f>
        <v>846</v>
      </c>
      <c r="E24" s="103">
        <v>617540</v>
      </c>
      <c r="F24" s="102">
        <f>_xlfn.COMPOUNDVALUE(159)</f>
        <v>2819</v>
      </c>
      <c r="G24" s="103">
        <v>17643045</v>
      </c>
      <c r="H24" s="102">
        <f>_xlfn.COMPOUNDVALUE(160)</f>
        <v>282</v>
      </c>
      <c r="I24" s="104">
        <v>37351960</v>
      </c>
      <c r="J24" s="102">
        <v>90</v>
      </c>
      <c r="K24" s="104">
        <v>32451</v>
      </c>
      <c r="L24" s="102">
        <v>3125</v>
      </c>
      <c r="M24" s="104">
        <v>-19676465</v>
      </c>
      <c r="N24" s="68" t="s">
        <v>68</v>
      </c>
    </row>
    <row r="25" spans="1:14" ht="15.75" customHeight="1">
      <c r="A25" s="67" t="s">
        <v>138</v>
      </c>
      <c r="B25" s="102">
        <f>_xlfn.COMPOUNDVALUE(161)</f>
        <v>902</v>
      </c>
      <c r="C25" s="103">
        <v>4763826</v>
      </c>
      <c r="D25" s="102">
        <f>_xlfn.COMPOUNDVALUE(162)</f>
        <v>418</v>
      </c>
      <c r="E25" s="103">
        <v>279578</v>
      </c>
      <c r="F25" s="102">
        <f>_xlfn.COMPOUNDVALUE(163)</f>
        <v>1320</v>
      </c>
      <c r="G25" s="103">
        <v>5043404</v>
      </c>
      <c r="H25" s="102">
        <f>_xlfn.COMPOUNDVALUE(164)</f>
        <v>162</v>
      </c>
      <c r="I25" s="104">
        <v>1323761</v>
      </c>
      <c r="J25" s="102">
        <v>58</v>
      </c>
      <c r="K25" s="104">
        <v>4893</v>
      </c>
      <c r="L25" s="102">
        <v>1498</v>
      </c>
      <c r="M25" s="104">
        <v>3724535</v>
      </c>
      <c r="N25" s="68" t="s">
        <v>70</v>
      </c>
    </row>
    <row r="26" spans="1:14" ht="15.75" customHeight="1">
      <c r="A26" s="67" t="s">
        <v>139</v>
      </c>
      <c r="B26" s="102">
        <f>_xlfn.COMPOUNDVALUE(165)</f>
        <v>687</v>
      </c>
      <c r="C26" s="103">
        <v>3881412</v>
      </c>
      <c r="D26" s="102">
        <f>_xlfn.COMPOUNDVALUE(166)</f>
        <v>351</v>
      </c>
      <c r="E26" s="103">
        <v>209585</v>
      </c>
      <c r="F26" s="102">
        <f>_xlfn.COMPOUNDVALUE(167)</f>
        <v>1038</v>
      </c>
      <c r="G26" s="103">
        <v>4090997</v>
      </c>
      <c r="H26" s="102">
        <f>_xlfn.COMPOUNDVALUE(168)</f>
        <v>79</v>
      </c>
      <c r="I26" s="104">
        <v>315268</v>
      </c>
      <c r="J26" s="102">
        <v>28</v>
      </c>
      <c r="K26" s="104">
        <v>17037</v>
      </c>
      <c r="L26" s="102">
        <v>1124</v>
      </c>
      <c r="M26" s="104">
        <v>3792766</v>
      </c>
      <c r="N26" s="68" t="s">
        <v>72</v>
      </c>
    </row>
    <row r="27" spans="1:14" ht="15.75" customHeight="1">
      <c r="A27" s="67" t="s">
        <v>140</v>
      </c>
      <c r="B27" s="102">
        <f>_xlfn.COMPOUNDVALUE(169)</f>
        <v>1109</v>
      </c>
      <c r="C27" s="103">
        <v>10959414</v>
      </c>
      <c r="D27" s="102">
        <f>_xlfn.COMPOUNDVALUE(170)</f>
        <v>475</v>
      </c>
      <c r="E27" s="103">
        <v>384891</v>
      </c>
      <c r="F27" s="102">
        <f>_xlfn.COMPOUNDVALUE(171)</f>
        <v>1584</v>
      </c>
      <c r="G27" s="103">
        <v>11344305</v>
      </c>
      <c r="H27" s="102">
        <f>_xlfn.COMPOUNDVALUE(172)</f>
        <v>48</v>
      </c>
      <c r="I27" s="104">
        <v>224340</v>
      </c>
      <c r="J27" s="102">
        <v>34</v>
      </c>
      <c r="K27" s="104">
        <v>1742</v>
      </c>
      <c r="L27" s="102">
        <v>1638</v>
      </c>
      <c r="M27" s="104">
        <v>11121707</v>
      </c>
      <c r="N27" s="68" t="s">
        <v>74</v>
      </c>
    </row>
    <row r="28" spans="1:14" ht="15.75" customHeight="1">
      <c r="A28" s="67" t="s">
        <v>141</v>
      </c>
      <c r="B28" s="102">
        <f>_xlfn.COMPOUNDVALUE(173)</f>
        <v>950</v>
      </c>
      <c r="C28" s="103">
        <v>5974804</v>
      </c>
      <c r="D28" s="102">
        <f>_xlfn.COMPOUNDVALUE(174)</f>
        <v>502</v>
      </c>
      <c r="E28" s="103">
        <v>355197</v>
      </c>
      <c r="F28" s="102">
        <f>_xlfn.COMPOUNDVALUE(175)</f>
        <v>1452</v>
      </c>
      <c r="G28" s="103">
        <v>6330001</v>
      </c>
      <c r="H28" s="102">
        <f>_xlfn.COMPOUNDVALUE(176)</f>
        <v>77</v>
      </c>
      <c r="I28" s="104">
        <v>562320</v>
      </c>
      <c r="J28" s="102">
        <v>62</v>
      </c>
      <c r="K28" s="104">
        <v>15520</v>
      </c>
      <c r="L28" s="102">
        <v>1540</v>
      </c>
      <c r="M28" s="104">
        <v>5783201</v>
      </c>
      <c r="N28" s="68" t="s">
        <v>76</v>
      </c>
    </row>
    <row r="29" spans="1:14" ht="15.75" customHeight="1">
      <c r="A29" s="67" t="s">
        <v>142</v>
      </c>
      <c r="B29" s="102">
        <f>_xlfn.COMPOUNDVALUE(177)</f>
        <v>525</v>
      </c>
      <c r="C29" s="103">
        <v>3553144</v>
      </c>
      <c r="D29" s="102">
        <f>_xlfn.COMPOUNDVALUE(178)</f>
        <v>239</v>
      </c>
      <c r="E29" s="103">
        <v>160899</v>
      </c>
      <c r="F29" s="102">
        <f>_xlfn.COMPOUNDVALUE(179)</f>
        <v>764</v>
      </c>
      <c r="G29" s="103">
        <v>3714042</v>
      </c>
      <c r="H29" s="102">
        <f>_xlfn.COMPOUNDVALUE(180)</f>
        <v>45</v>
      </c>
      <c r="I29" s="104">
        <v>97948</v>
      </c>
      <c r="J29" s="102">
        <v>21</v>
      </c>
      <c r="K29" s="104">
        <v>-238</v>
      </c>
      <c r="L29" s="102">
        <v>815</v>
      </c>
      <c r="M29" s="104">
        <v>3615856</v>
      </c>
      <c r="N29" s="68" t="s">
        <v>78</v>
      </c>
    </row>
    <row r="30" spans="1:14" ht="15.75" customHeight="1">
      <c r="A30" s="67" t="s">
        <v>143</v>
      </c>
      <c r="B30" s="102">
        <f>_xlfn.COMPOUNDVALUE(181)</f>
        <v>1036</v>
      </c>
      <c r="C30" s="103">
        <v>21658681</v>
      </c>
      <c r="D30" s="102">
        <f>_xlfn.COMPOUNDVALUE(182)</f>
        <v>376</v>
      </c>
      <c r="E30" s="103">
        <v>244633</v>
      </c>
      <c r="F30" s="102">
        <f>_xlfn.COMPOUNDVALUE(183)</f>
        <v>1412</v>
      </c>
      <c r="G30" s="103">
        <v>21903314</v>
      </c>
      <c r="H30" s="102">
        <f>_xlfn.COMPOUNDVALUE(184)</f>
        <v>85</v>
      </c>
      <c r="I30" s="104">
        <v>562071</v>
      </c>
      <c r="J30" s="102">
        <v>28</v>
      </c>
      <c r="K30" s="104">
        <v>1645</v>
      </c>
      <c r="L30" s="102">
        <v>1499</v>
      </c>
      <c r="M30" s="104">
        <v>21342888</v>
      </c>
      <c r="N30" s="68" t="s">
        <v>80</v>
      </c>
    </row>
    <row r="31" spans="1:14" ht="15.75" customHeight="1">
      <c r="A31" s="69" t="s">
        <v>144</v>
      </c>
      <c r="B31" s="105">
        <v>13340</v>
      </c>
      <c r="C31" s="106">
        <v>117772930</v>
      </c>
      <c r="D31" s="105">
        <v>5795</v>
      </c>
      <c r="E31" s="106">
        <v>4101598</v>
      </c>
      <c r="F31" s="105">
        <v>19135</v>
      </c>
      <c r="G31" s="106">
        <v>121874528</v>
      </c>
      <c r="H31" s="105">
        <v>1375</v>
      </c>
      <c r="I31" s="107">
        <v>43376709</v>
      </c>
      <c r="J31" s="105">
        <v>583</v>
      </c>
      <c r="K31" s="107">
        <v>120717</v>
      </c>
      <c r="L31" s="105">
        <v>20653</v>
      </c>
      <c r="M31" s="107">
        <v>78618536</v>
      </c>
      <c r="N31" s="70" t="s">
        <v>82</v>
      </c>
    </row>
    <row r="32" spans="1:14" ht="15.75" customHeight="1">
      <c r="A32" s="71"/>
      <c r="B32" s="108"/>
      <c r="C32" s="109"/>
      <c r="D32" s="108"/>
      <c r="E32" s="109"/>
      <c r="F32" s="110"/>
      <c r="G32" s="109"/>
      <c r="H32" s="110"/>
      <c r="I32" s="109"/>
      <c r="J32" s="110"/>
      <c r="K32" s="109"/>
      <c r="L32" s="110"/>
      <c r="M32" s="109"/>
      <c r="N32" s="72"/>
    </row>
    <row r="33" spans="1:14" ht="15.75" customHeight="1">
      <c r="A33" s="64" t="s">
        <v>145</v>
      </c>
      <c r="B33" s="99">
        <f>_xlfn.COMPOUNDVALUE(185)</f>
        <v>3529</v>
      </c>
      <c r="C33" s="100">
        <v>29538314</v>
      </c>
      <c r="D33" s="99">
        <f>_xlfn.COMPOUNDVALUE(186)</f>
        <v>1351</v>
      </c>
      <c r="E33" s="100">
        <v>961345</v>
      </c>
      <c r="F33" s="99">
        <f>_xlfn.COMPOUNDVALUE(187)</f>
        <v>4880</v>
      </c>
      <c r="G33" s="100">
        <v>30499659</v>
      </c>
      <c r="H33" s="99">
        <f>_xlfn.COMPOUNDVALUE(188)</f>
        <v>248</v>
      </c>
      <c r="I33" s="101">
        <v>1009950</v>
      </c>
      <c r="J33" s="99">
        <v>191</v>
      </c>
      <c r="K33" s="101">
        <v>-8676</v>
      </c>
      <c r="L33" s="99">
        <v>5152</v>
      </c>
      <c r="M33" s="101">
        <v>29481033</v>
      </c>
      <c r="N33" s="65" t="s">
        <v>84</v>
      </c>
    </row>
    <row r="34" spans="1:14" ht="15.75" customHeight="1">
      <c r="A34" s="67" t="s">
        <v>146</v>
      </c>
      <c r="B34" s="102">
        <f>_xlfn.COMPOUNDVALUE(189)</f>
        <v>351</v>
      </c>
      <c r="C34" s="103">
        <v>1441478</v>
      </c>
      <c r="D34" s="102">
        <f>_xlfn.COMPOUNDVALUE(190)</f>
        <v>145</v>
      </c>
      <c r="E34" s="103">
        <v>92736</v>
      </c>
      <c r="F34" s="102">
        <f>_xlfn.COMPOUNDVALUE(191)</f>
        <v>496</v>
      </c>
      <c r="G34" s="103">
        <v>1534214</v>
      </c>
      <c r="H34" s="102">
        <f>_xlfn.COMPOUNDVALUE(192)</f>
        <v>32</v>
      </c>
      <c r="I34" s="104">
        <v>55637</v>
      </c>
      <c r="J34" s="102">
        <v>9</v>
      </c>
      <c r="K34" s="104">
        <v>4521</v>
      </c>
      <c r="L34" s="102">
        <v>532</v>
      </c>
      <c r="M34" s="104">
        <v>1483098</v>
      </c>
      <c r="N34" s="68" t="s">
        <v>86</v>
      </c>
    </row>
    <row r="35" spans="1:14" ht="15.75" customHeight="1">
      <c r="A35" s="67" t="s">
        <v>147</v>
      </c>
      <c r="B35" s="102">
        <f>_xlfn.COMPOUNDVALUE(193)</f>
        <v>834</v>
      </c>
      <c r="C35" s="103">
        <v>5562585</v>
      </c>
      <c r="D35" s="102">
        <f>_xlfn.COMPOUNDVALUE(194)</f>
        <v>285</v>
      </c>
      <c r="E35" s="103">
        <v>194726</v>
      </c>
      <c r="F35" s="102">
        <f>_xlfn.COMPOUNDVALUE(195)</f>
        <v>1119</v>
      </c>
      <c r="G35" s="103">
        <v>5757310</v>
      </c>
      <c r="H35" s="102">
        <f>_xlfn.COMPOUNDVALUE(196)</f>
        <v>62</v>
      </c>
      <c r="I35" s="104">
        <v>801724</v>
      </c>
      <c r="J35" s="102">
        <v>49</v>
      </c>
      <c r="K35" s="104">
        <v>9435</v>
      </c>
      <c r="L35" s="102">
        <v>1189</v>
      </c>
      <c r="M35" s="104">
        <v>4965022</v>
      </c>
      <c r="N35" s="68" t="s">
        <v>88</v>
      </c>
    </row>
    <row r="36" spans="1:14" ht="15.75" customHeight="1">
      <c r="A36" s="67" t="s">
        <v>148</v>
      </c>
      <c r="B36" s="102">
        <f>_xlfn.COMPOUNDVALUE(197)</f>
        <v>587</v>
      </c>
      <c r="C36" s="103">
        <v>2471900</v>
      </c>
      <c r="D36" s="102">
        <f>_xlfn.COMPOUNDVALUE(198)</f>
        <v>243</v>
      </c>
      <c r="E36" s="103">
        <v>185422</v>
      </c>
      <c r="F36" s="102">
        <f>_xlfn.COMPOUNDVALUE(199)</f>
        <v>830</v>
      </c>
      <c r="G36" s="103">
        <v>2657321</v>
      </c>
      <c r="H36" s="102">
        <f>_xlfn.COMPOUNDVALUE(200)</f>
        <v>40</v>
      </c>
      <c r="I36" s="104">
        <v>63400</v>
      </c>
      <c r="J36" s="102">
        <v>35</v>
      </c>
      <c r="K36" s="104">
        <v>10096</v>
      </c>
      <c r="L36" s="102">
        <v>872</v>
      </c>
      <c r="M36" s="104">
        <v>2604016</v>
      </c>
      <c r="N36" s="68" t="s">
        <v>90</v>
      </c>
    </row>
    <row r="37" spans="1:14" ht="15.75" customHeight="1">
      <c r="A37" s="67" t="s">
        <v>149</v>
      </c>
      <c r="B37" s="102">
        <f>_xlfn.COMPOUNDVALUE(201)</f>
        <v>679</v>
      </c>
      <c r="C37" s="103">
        <v>3008563</v>
      </c>
      <c r="D37" s="102">
        <f>_xlfn.COMPOUNDVALUE(202)</f>
        <v>265</v>
      </c>
      <c r="E37" s="103">
        <v>201681</v>
      </c>
      <c r="F37" s="102">
        <f>_xlfn.COMPOUNDVALUE(203)</f>
        <v>944</v>
      </c>
      <c r="G37" s="103">
        <v>3210245</v>
      </c>
      <c r="H37" s="102">
        <f>_xlfn.COMPOUNDVALUE(204)</f>
        <v>52</v>
      </c>
      <c r="I37" s="104">
        <v>161643</v>
      </c>
      <c r="J37" s="102">
        <v>33</v>
      </c>
      <c r="K37" s="104">
        <v>17396</v>
      </c>
      <c r="L37" s="102">
        <v>1002</v>
      </c>
      <c r="M37" s="104">
        <v>3065998</v>
      </c>
      <c r="N37" s="68" t="s">
        <v>92</v>
      </c>
    </row>
    <row r="38" spans="1:14" ht="15.75" customHeight="1">
      <c r="A38" s="67" t="s">
        <v>150</v>
      </c>
      <c r="B38" s="102">
        <f>_xlfn.COMPOUNDVALUE(205)</f>
        <v>453</v>
      </c>
      <c r="C38" s="103">
        <v>2718666</v>
      </c>
      <c r="D38" s="102">
        <f>_xlfn.COMPOUNDVALUE(206)</f>
        <v>202</v>
      </c>
      <c r="E38" s="103">
        <v>136492</v>
      </c>
      <c r="F38" s="102">
        <f>_xlfn.COMPOUNDVALUE(207)</f>
        <v>655</v>
      </c>
      <c r="G38" s="103">
        <v>2855158</v>
      </c>
      <c r="H38" s="102">
        <f>_xlfn.COMPOUNDVALUE(208)</f>
        <v>39</v>
      </c>
      <c r="I38" s="104">
        <v>204940</v>
      </c>
      <c r="J38" s="102">
        <v>22</v>
      </c>
      <c r="K38" s="104">
        <v>1307</v>
      </c>
      <c r="L38" s="102">
        <v>695</v>
      </c>
      <c r="M38" s="104">
        <v>2651525</v>
      </c>
      <c r="N38" s="68" t="s">
        <v>94</v>
      </c>
    </row>
    <row r="39" spans="1:14" ht="15.75" customHeight="1">
      <c r="A39" s="69" t="s">
        <v>151</v>
      </c>
      <c r="B39" s="105">
        <v>6433</v>
      </c>
      <c r="C39" s="106">
        <v>44741506</v>
      </c>
      <c r="D39" s="105">
        <v>2491</v>
      </c>
      <c r="E39" s="106">
        <v>1772401</v>
      </c>
      <c r="F39" s="105">
        <v>8924</v>
      </c>
      <c r="G39" s="106">
        <v>46513907</v>
      </c>
      <c r="H39" s="105">
        <v>473</v>
      </c>
      <c r="I39" s="107">
        <v>2297294</v>
      </c>
      <c r="J39" s="105">
        <v>339</v>
      </c>
      <c r="K39" s="107">
        <v>34079</v>
      </c>
      <c r="L39" s="105">
        <v>9442</v>
      </c>
      <c r="M39" s="107">
        <v>44250692</v>
      </c>
      <c r="N39" s="70" t="s">
        <v>96</v>
      </c>
    </row>
    <row r="40" spans="1:14" ht="15.75" customHeight="1" thickBot="1">
      <c r="A40" s="73"/>
      <c r="B40" s="111"/>
      <c r="C40" s="112"/>
      <c r="D40" s="111"/>
      <c r="E40" s="112"/>
      <c r="F40" s="113"/>
      <c r="G40" s="112"/>
      <c r="H40" s="113"/>
      <c r="I40" s="112"/>
      <c r="J40" s="113"/>
      <c r="K40" s="112"/>
      <c r="L40" s="113"/>
      <c r="M40" s="112"/>
      <c r="N40" s="74"/>
    </row>
    <row r="41" spans="1:14" ht="15.75" customHeight="1" thickBot="1" thickTop="1">
      <c r="A41" s="76" t="s">
        <v>152</v>
      </c>
      <c r="B41" s="114">
        <v>37512</v>
      </c>
      <c r="C41" s="115">
        <v>306732118</v>
      </c>
      <c r="D41" s="114">
        <v>15876</v>
      </c>
      <c r="E41" s="115">
        <v>11011883</v>
      </c>
      <c r="F41" s="114">
        <v>53388</v>
      </c>
      <c r="G41" s="115">
        <v>317744001</v>
      </c>
      <c r="H41" s="114">
        <v>3533</v>
      </c>
      <c r="I41" s="116">
        <v>69089296</v>
      </c>
      <c r="J41" s="114">
        <v>1847</v>
      </c>
      <c r="K41" s="116">
        <v>321853</v>
      </c>
      <c r="L41" s="114">
        <v>57271</v>
      </c>
      <c r="M41" s="116">
        <v>248976558</v>
      </c>
      <c r="N41" s="77" t="s">
        <v>98</v>
      </c>
    </row>
    <row r="42" spans="1:14" ht="13.5">
      <c r="A42" s="209" t="s">
        <v>154</v>
      </c>
      <c r="B42" s="209"/>
      <c r="C42" s="209"/>
      <c r="D42" s="209"/>
      <c r="E42" s="209"/>
      <c r="F42" s="209"/>
      <c r="G42" s="209"/>
      <c r="H42" s="209"/>
      <c r="I42" s="209"/>
      <c r="J42" s="78"/>
      <c r="K42" s="78"/>
      <c r="L42" s="52"/>
      <c r="M42" s="52"/>
      <c r="N42" s="52"/>
    </row>
  </sheetData>
  <sheetProtection/>
  <mergeCells count="11">
    <mergeCell ref="L3:M4"/>
    <mergeCell ref="N3:N5"/>
    <mergeCell ref="B4:C4"/>
    <mergeCell ref="D4:E4"/>
    <mergeCell ref="F4:G4"/>
    <mergeCell ref="A42:I42"/>
    <mergeCell ref="A2:I2"/>
    <mergeCell ref="A3:A5"/>
    <mergeCell ref="B3:G3"/>
    <mergeCell ref="H3:I4"/>
    <mergeCell ref="J3:K4"/>
  </mergeCells>
  <printOptions horizontalCentered="1"/>
  <pageMargins left="0.7086614173228347" right="0.7086614173228347" top="0.7480314960629921" bottom="0.7480314960629921" header="0.31496062992125984" footer="0.31496062992125984"/>
  <pageSetup fitToHeight="0" horizontalDpi="600" verticalDpi="600" orientation="landscape" paperSize="9" scale="77" r:id="rId1"/>
  <headerFooter>
    <oddFooter>&amp;R&amp;K01+000高松国税局
消費税
(R02)</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42"/>
  <sheetViews>
    <sheetView tabSelected="1" zoomScaleSheetLayoutView="86" workbookViewId="0" topLeftCell="A1">
      <selection activeCell="O45" sqref="O45"/>
    </sheetView>
  </sheetViews>
  <sheetFormatPr defaultColWidth="9.00390625" defaultRowHeight="13.5"/>
  <cols>
    <col min="1" max="1" width="10.375" style="98" customWidth="1"/>
    <col min="2" max="2" width="10.625" style="98" customWidth="1"/>
    <col min="3" max="3" width="12.625" style="98" customWidth="1"/>
    <col min="4" max="4" width="10.625" style="98" customWidth="1"/>
    <col min="5" max="5" width="12.625" style="98" customWidth="1"/>
    <col min="6" max="6" width="10.625" style="98" customWidth="1"/>
    <col min="7" max="7" width="12.625" style="98" customWidth="1"/>
    <col min="8" max="8" width="10.625" style="98" customWidth="1"/>
    <col min="9" max="9" width="12.625" style="98" customWidth="1"/>
    <col min="10" max="10" width="10.625" style="98" customWidth="1"/>
    <col min="11" max="11" width="12.625" style="98" customWidth="1"/>
    <col min="12" max="12" width="10.625" style="98" customWidth="1"/>
    <col min="13" max="13" width="12.625" style="98" customWidth="1"/>
    <col min="14" max="17" width="10.625" style="98" customWidth="1"/>
    <col min="18" max="18" width="10.375" style="98" customWidth="1"/>
    <col min="19" max="16384" width="9.00390625" style="98" customWidth="1"/>
  </cols>
  <sheetData>
    <row r="1" spans="1:16" ht="13.5">
      <c r="A1" s="51" t="s">
        <v>158</v>
      </c>
      <c r="B1" s="51"/>
      <c r="C1" s="51"/>
      <c r="D1" s="51"/>
      <c r="E1" s="51"/>
      <c r="F1" s="51"/>
      <c r="G1" s="51"/>
      <c r="H1" s="51"/>
      <c r="I1" s="51"/>
      <c r="J1" s="51"/>
      <c r="K1" s="51"/>
      <c r="L1" s="52"/>
      <c r="M1" s="52"/>
      <c r="N1" s="52"/>
      <c r="O1" s="52"/>
      <c r="P1" s="52"/>
    </row>
    <row r="2" spans="1:16" ht="14.25" thickBot="1">
      <c r="A2" s="219" t="s">
        <v>112</v>
      </c>
      <c r="B2" s="219"/>
      <c r="C2" s="219"/>
      <c r="D2" s="219"/>
      <c r="E2" s="219"/>
      <c r="F2" s="219"/>
      <c r="G2" s="219"/>
      <c r="H2" s="219"/>
      <c r="I2" s="219"/>
      <c r="J2" s="78"/>
      <c r="K2" s="78"/>
      <c r="L2" s="52"/>
      <c r="M2" s="52"/>
      <c r="N2" s="52"/>
      <c r="O2" s="52"/>
      <c r="P2" s="52"/>
    </row>
    <row r="3" spans="1:19" ht="19.5" customHeight="1">
      <c r="A3" s="211" t="s">
        <v>24</v>
      </c>
      <c r="B3" s="214" t="s">
        <v>25</v>
      </c>
      <c r="C3" s="214"/>
      <c r="D3" s="214"/>
      <c r="E3" s="214"/>
      <c r="F3" s="214"/>
      <c r="G3" s="214"/>
      <c r="H3" s="214" t="s">
        <v>11</v>
      </c>
      <c r="I3" s="214"/>
      <c r="J3" s="232" t="s">
        <v>26</v>
      </c>
      <c r="K3" s="214"/>
      <c r="L3" s="214" t="s">
        <v>27</v>
      </c>
      <c r="M3" s="214"/>
      <c r="N3" s="220" t="s">
        <v>113</v>
      </c>
      <c r="O3" s="221"/>
      <c r="P3" s="221"/>
      <c r="Q3" s="221"/>
      <c r="R3" s="203" t="s">
        <v>100</v>
      </c>
      <c r="S3" s="127"/>
    </row>
    <row r="4" spans="1:19" ht="17.25" customHeight="1">
      <c r="A4" s="212"/>
      <c r="B4" s="206" t="s">
        <v>13</v>
      </c>
      <c r="C4" s="206"/>
      <c r="D4" s="206" t="s">
        <v>29</v>
      </c>
      <c r="E4" s="206"/>
      <c r="F4" s="206" t="s">
        <v>30</v>
      </c>
      <c r="G4" s="206"/>
      <c r="H4" s="206"/>
      <c r="I4" s="206"/>
      <c r="J4" s="206"/>
      <c r="K4" s="206"/>
      <c r="L4" s="206"/>
      <c r="M4" s="206"/>
      <c r="N4" s="224" t="s">
        <v>114</v>
      </c>
      <c r="O4" s="226" t="s">
        <v>115</v>
      </c>
      <c r="P4" s="228" t="s">
        <v>116</v>
      </c>
      <c r="Q4" s="230" t="s">
        <v>117</v>
      </c>
      <c r="R4" s="222"/>
      <c r="S4" s="127"/>
    </row>
    <row r="5" spans="1:19" ht="28.5" customHeight="1">
      <c r="A5" s="213"/>
      <c r="B5" s="53" t="s">
        <v>31</v>
      </c>
      <c r="C5" s="54" t="s">
        <v>32</v>
      </c>
      <c r="D5" s="53" t="s">
        <v>31</v>
      </c>
      <c r="E5" s="54" t="s">
        <v>32</v>
      </c>
      <c r="F5" s="53" t="s">
        <v>31</v>
      </c>
      <c r="G5" s="54" t="s">
        <v>33</v>
      </c>
      <c r="H5" s="53" t="s">
        <v>31</v>
      </c>
      <c r="I5" s="54" t="s">
        <v>34</v>
      </c>
      <c r="J5" s="53" t="s">
        <v>31</v>
      </c>
      <c r="K5" s="54" t="s">
        <v>35</v>
      </c>
      <c r="L5" s="53" t="s">
        <v>31</v>
      </c>
      <c r="M5" s="80" t="s">
        <v>118</v>
      </c>
      <c r="N5" s="225"/>
      <c r="O5" s="227"/>
      <c r="P5" s="229"/>
      <c r="Q5" s="231"/>
      <c r="R5" s="223"/>
      <c r="S5" s="128"/>
    </row>
    <row r="6" spans="1:19" s="79" customFormat="1" ht="10.5">
      <c r="A6" s="58"/>
      <c r="B6" s="59" t="s">
        <v>3</v>
      </c>
      <c r="C6" s="60" t="s">
        <v>4</v>
      </c>
      <c r="D6" s="59" t="s">
        <v>3</v>
      </c>
      <c r="E6" s="60" t="s">
        <v>4</v>
      </c>
      <c r="F6" s="59" t="s">
        <v>3</v>
      </c>
      <c r="G6" s="60" t="s">
        <v>4</v>
      </c>
      <c r="H6" s="59" t="s">
        <v>3</v>
      </c>
      <c r="I6" s="61" t="s">
        <v>4</v>
      </c>
      <c r="J6" s="59" t="s">
        <v>3</v>
      </c>
      <c r="K6" s="61" t="s">
        <v>4</v>
      </c>
      <c r="L6" s="59" t="s">
        <v>156</v>
      </c>
      <c r="M6" s="122" t="s">
        <v>4</v>
      </c>
      <c r="N6" s="125" t="s">
        <v>3</v>
      </c>
      <c r="O6" s="126" t="s">
        <v>3</v>
      </c>
      <c r="P6" s="121" t="s">
        <v>3</v>
      </c>
      <c r="Q6" s="124" t="s">
        <v>3</v>
      </c>
      <c r="R6" s="130"/>
      <c r="S6" s="129"/>
    </row>
    <row r="7" spans="1:19" ht="15.75" customHeight="1">
      <c r="A7" s="64" t="s">
        <v>37</v>
      </c>
      <c r="B7" s="99">
        <f>_xlfn.COMPOUNDVALUE(209)</f>
        <v>5161</v>
      </c>
      <c r="C7" s="100">
        <v>30554236</v>
      </c>
      <c r="D7" s="99">
        <f>_xlfn.COMPOUNDVALUE(210)</f>
        <v>3226</v>
      </c>
      <c r="E7" s="100">
        <v>1788531</v>
      </c>
      <c r="F7" s="99">
        <f>_xlfn.COMPOUNDVALUE(211)</f>
        <v>8387</v>
      </c>
      <c r="G7" s="100">
        <v>32342766</v>
      </c>
      <c r="H7" s="99">
        <f>_xlfn.COMPOUNDVALUE(212)</f>
        <v>508</v>
      </c>
      <c r="I7" s="101">
        <v>1360398</v>
      </c>
      <c r="J7" s="99">
        <v>468</v>
      </c>
      <c r="K7" s="101">
        <v>78081</v>
      </c>
      <c r="L7" s="99">
        <v>9059</v>
      </c>
      <c r="M7" s="123">
        <v>31060450</v>
      </c>
      <c r="N7" s="150">
        <v>8593</v>
      </c>
      <c r="O7" s="151">
        <v>410</v>
      </c>
      <c r="P7" s="152">
        <v>9</v>
      </c>
      <c r="Q7" s="150">
        <v>9012</v>
      </c>
      <c r="R7" s="81" t="s">
        <v>38</v>
      </c>
      <c r="S7" s="128"/>
    </row>
    <row r="8" spans="1:19" ht="15.75" customHeight="1">
      <c r="A8" s="67" t="s">
        <v>39</v>
      </c>
      <c r="B8" s="102">
        <f>_xlfn.COMPOUNDVALUE(213)</f>
        <v>1779</v>
      </c>
      <c r="C8" s="103">
        <v>9749254</v>
      </c>
      <c r="D8" s="102">
        <f>_xlfn.COMPOUNDVALUE(214)</f>
        <v>1601</v>
      </c>
      <c r="E8" s="103">
        <v>749097</v>
      </c>
      <c r="F8" s="102">
        <f>_xlfn.COMPOUNDVALUE(215)</f>
        <v>3380</v>
      </c>
      <c r="G8" s="103">
        <v>10498351</v>
      </c>
      <c r="H8" s="102">
        <f>_xlfn.COMPOUNDVALUE(216)</f>
        <v>196</v>
      </c>
      <c r="I8" s="104">
        <v>1012275</v>
      </c>
      <c r="J8" s="102">
        <v>152</v>
      </c>
      <c r="K8" s="104">
        <v>66527</v>
      </c>
      <c r="L8" s="102">
        <v>3631</v>
      </c>
      <c r="M8" s="104">
        <v>9552603</v>
      </c>
      <c r="N8" s="153">
        <v>3711</v>
      </c>
      <c r="O8" s="151">
        <v>120</v>
      </c>
      <c r="P8" s="154">
        <v>7</v>
      </c>
      <c r="Q8" s="155">
        <v>3838</v>
      </c>
      <c r="R8" s="81" t="s">
        <v>40</v>
      </c>
      <c r="S8" s="127"/>
    </row>
    <row r="9" spans="1:19" ht="15.75" customHeight="1">
      <c r="A9" s="67" t="s">
        <v>41</v>
      </c>
      <c r="B9" s="102">
        <f>_xlfn.COMPOUNDVALUE(217)</f>
        <v>1267</v>
      </c>
      <c r="C9" s="103">
        <v>5461998</v>
      </c>
      <c r="D9" s="102">
        <f>_xlfn.COMPOUNDVALUE(218)</f>
        <v>754</v>
      </c>
      <c r="E9" s="103">
        <v>392177</v>
      </c>
      <c r="F9" s="102">
        <f>_xlfn.COMPOUNDVALUE(219)</f>
        <v>2021</v>
      </c>
      <c r="G9" s="103">
        <v>5854175</v>
      </c>
      <c r="H9" s="102">
        <f>_xlfn.COMPOUNDVALUE(220)</f>
        <v>176</v>
      </c>
      <c r="I9" s="104">
        <v>12755205</v>
      </c>
      <c r="J9" s="102">
        <v>81</v>
      </c>
      <c r="K9" s="104">
        <v>19954</v>
      </c>
      <c r="L9" s="102">
        <v>2222</v>
      </c>
      <c r="M9" s="104">
        <v>-6881076</v>
      </c>
      <c r="N9" s="153">
        <v>2053</v>
      </c>
      <c r="O9" s="156">
        <v>135</v>
      </c>
      <c r="P9" s="156">
        <v>5</v>
      </c>
      <c r="Q9" s="155">
        <v>2193</v>
      </c>
      <c r="R9" s="81" t="s">
        <v>42</v>
      </c>
      <c r="S9" s="127"/>
    </row>
    <row r="10" spans="1:19" ht="15.75" customHeight="1">
      <c r="A10" s="67" t="s">
        <v>43</v>
      </c>
      <c r="B10" s="102">
        <f>_xlfn.COMPOUNDVALUE(221)</f>
        <v>915</v>
      </c>
      <c r="C10" s="103">
        <v>2777644</v>
      </c>
      <c r="D10" s="102">
        <f>_xlfn.COMPOUNDVALUE(222)</f>
        <v>695</v>
      </c>
      <c r="E10" s="103">
        <v>350267</v>
      </c>
      <c r="F10" s="102">
        <f>_xlfn.COMPOUNDVALUE(223)</f>
        <v>1610</v>
      </c>
      <c r="G10" s="103">
        <v>3127911</v>
      </c>
      <c r="H10" s="102">
        <f>_xlfn.COMPOUNDVALUE(224)</f>
        <v>124</v>
      </c>
      <c r="I10" s="104">
        <v>620652</v>
      </c>
      <c r="J10" s="102">
        <v>43</v>
      </c>
      <c r="K10" s="104">
        <v>17914</v>
      </c>
      <c r="L10" s="102">
        <v>1755</v>
      </c>
      <c r="M10" s="104">
        <v>2525174</v>
      </c>
      <c r="N10" s="153">
        <v>1665</v>
      </c>
      <c r="O10" s="156">
        <v>93</v>
      </c>
      <c r="P10" s="156">
        <v>2</v>
      </c>
      <c r="Q10" s="155">
        <v>1760</v>
      </c>
      <c r="R10" s="81" t="s">
        <v>44</v>
      </c>
      <c r="S10" s="127"/>
    </row>
    <row r="11" spans="1:19" ht="15.75" customHeight="1">
      <c r="A11" s="67" t="s">
        <v>45</v>
      </c>
      <c r="B11" s="102">
        <f>_xlfn.COMPOUNDVALUE(225)</f>
        <v>474</v>
      </c>
      <c r="C11" s="103">
        <v>1802865</v>
      </c>
      <c r="D11" s="102">
        <f>_xlfn.COMPOUNDVALUE(226)</f>
        <v>348</v>
      </c>
      <c r="E11" s="103">
        <v>179920</v>
      </c>
      <c r="F11" s="102">
        <f>_xlfn.COMPOUNDVALUE(227)</f>
        <v>822</v>
      </c>
      <c r="G11" s="103">
        <v>1982785</v>
      </c>
      <c r="H11" s="102">
        <f>_xlfn.COMPOUNDVALUE(228)</f>
        <v>43</v>
      </c>
      <c r="I11" s="104">
        <v>43515</v>
      </c>
      <c r="J11" s="102">
        <v>28</v>
      </c>
      <c r="K11" s="104">
        <v>7659</v>
      </c>
      <c r="L11" s="102">
        <v>874</v>
      </c>
      <c r="M11" s="104">
        <v>1946929</v>
      </c>
      <c r="N11" s="157">
        <v>803</v>
      </c>
      <c r="O11" s="156">
        <v>42</v>
      </c>
      <c r="P11" s="156">
        <v>3</v>
      </c>
      <c r="Q11" s="155">
        <v>848</v>
      </c>
      <c r="R11" s="81" t="s">
        <v>46</v>
      </c>
      <c r="S11" s="127"/>
    </row>
    <row r="12" spans="1:18" ht="15.75" customHeight="1">
      <c r="A12" s="67" t="s">
        <v>47</v>
      </c>
      <c r="B12" s="102">
        <f>_xlfn.COMPOUNDVALUE(229)</f>
        <v>497</v>
      </c>
      <c r="C12" s="103">
        <v>1620184</v>
      </c>
      <c r="D12" s="102">
        <f>_xlfn.COMPOUNDVALUE(230)</f>
        <v>316</v>
      </c>
      <c r="E12" s="103">
        <v>168377</v>
      </c>
      <c r="F12" s="102">
        <f>_xlfn.COMPOUNDVALUE(231)</f>
        <v>813</v>
      </c>
      <c r="G12" s="103">
        <v>1788561</v>
      </c>
      <c r="H12" s="102">
        <f>_xlfn.COMPOUNDVALUE(232)</f>
        <v>48</v>
      </c>
      <c r="I12" s="104">
        <v>47689</v>
      </c>
      <c r="J12" s="102">
        <v>40</v>
      </c>
      <c r="K12" s="104">
        <v>6322</v>
      </c>
      <c r="L12" s="102">
        <v>864</v>
      </c>
      <c r="M12" s="104">
        <v>1747193</v>
      </c>
      <c r="N12" s="157">
        <v>814</v>
      </c>
      <c r="O12" s="156">
        <v>34</v>
      </c>
      <c r="P12" s="156">
        <v>0</v>
      </c>
      <c r="Q12" s="155">
        <v>848</v>
      </c>
      <c r="R12" s="81" t="s">
        <v>48</v>
      </c>
    </row>
    <row r="13" spans="1:18" ht="15.75" customHeight="1">
      <c r="A13" s="69" t="s">
        <v>49</v>
      </c>
      <c r="B13" s="105">
        <v>10093</v>
      </c>
      <c r="C13" s="106">
        <v>51966181</v>
      </c>
      <c r="D13" s="105">
        <v>6940</v>
      </c>
      <c r="E13" s="106">
        <v>3628369</v>
      </c>
      <c r="F13" s="105">
        <v>17033</v>
      </c>
      <c r="G13" s="106">
        <v>55594550</v>
      </c>
      <c r="H13" s="105">
        <v>1095</v>
      </c>
      <c r="I13" s="107">
        <v>15839734</v>
      </c>
      <c r="J13" s="105">
        <v>812</v>
      </c>
      <c r="K13" s="107">
        <v>196457</v>
      </c>
      <c r="L13" s="105">
        <v>18405</v>
      </c>
      <c r="M13" s="107">
        <v>39951273</v>
      </c>
      <c r="N13" s="158">
        <v>17639</v>
      </c>
      <c r="O13" s="159">
        <v>834</v>
      </c>
      <c r="P13" s="159">
        <v>26</v>
      </c>
      <c r="Q13" s="160">
        <v>18499</v>
      </c>
      <c r="R13" s="70" t="s">
        <v>50</v>
      </c>
    </row>
    <row r="14" spans="1:18" ht="15.75" customHeight="1">
      <c r="A14" s="71"/>
      <c r="B14" s="108"/>
      <c r="C14" s="109"/>
      <c r="D14" s="108"/>
      <c r="E14" s="109"/>
      <c r="F14" s="110"/>
      <c r="G14" s="109"/>
      <c r="H14" s="110"/>
      <c r="I14" s="109"/>
      <c r="J14" s="110"/>
      <c r="K14" s="109"/>
      <c r="L14" s="110"/>
      <c r="M14" s="109"/>
      <c r="N14" s="161"/>
      <c r="O14" s="162"/>
      <c r="P14" s="162"/>
      <c r="Q14" s="163"/>
      <c r="R14" s="82" t="s">
        <v>119</v>
      </c>
    </row>
    <row r="15" spans="1:18" ht="15.75" customHeight="1">
      <c r="A15" s="64" t="s">
        <v>51</v>
      </c>
      <c r="B15" s="99">
        <f>_xlfn.COMPOUNDVALUE(233)</f>
        <v>6614</v>
      </c>
      <c r="C15" s="100">
        <v>60078403</v>
      </c>
      <c r="D15" s="99">
        <f>_xlfn.COMPOUNDVALUE(234)</f>
        <v>4152</v>
      </c>
      <c r="E15" s="100">
        <v>2484285</v>
      </c>
      <c r="F15" s="99">
        <f>_xlfn.COMPOUNDVALUE(235)</f>
        <v>10766</v>
      </c>
      <c r="G15" s="100">
        <v>62562687</v>
      </c>
      <c r="H15" s="99">
        <f>_xlfn.COMPOUNDVALUE(236)</f>
        <v>717</v>
      </c>
      <c r="I15" s="101">
        <v>5568060</v>
      </c>
      <c r="J15" s="99">
        <v>401</v>
      </c>
      <c r="K15" s="101">
        <v>56210</v>
      </c>
      <c r="L15" s="99">
        <v>11594</v>
      </c>
      <c r="M15" s="101">
        <v>57050837</v>
      </c>
      <c r="N15" s="164">
        <v>11492</v>
      </c>
      <c r="O15" s="165">
        <v>417</v>
      </c>
      <c r="P15" s="165">
        <v>31</v>
      </c>
      <c r="Q15" s="166">
        <v>11940</v>
      </c>
      <c r="R15" s="65" t="s">
        <v>52</v>
      </c>
    </row>
    <row r="16" spans="1:18" ht="15.75" customHeight="1">
      <c r="A16" s="67" t="s">
        <v>53</v>
      </c>
      <c r="B16" s="102">
        <f>_xlfn.COMPOUNDVALUE(237)</f>
        <v>2245</v>
      </c>
      <c r="C16" s="103">
        <v>12905239</v>
      </c>
      <c r="D16" s="102">
        <f>_xlfn.COMPOUNDVALUE(238)</f>
        <v>1571</v>
      </c>
      <c r="E16" s="103">
        <v>882553</v>
      </c>
      <c r="F16" s="102">
        <f>_xlfn.COMPOUNDVALUE(239)</f>
        <v>3816</v>
      </c>
      <c r="G16" s="103">
        <v>13787792</v>
      </c>
      <c r="H16" s="102">
        <f>_xlfn.COMPOUNDVALUE(240)</f>
        <v>241</v>
      </c>
      <c r="I16" s="104">
        <v>1340666</v>
      </c>
      <c r="J16" s="102">
        <v>116</v>
      </c>
      <c r="K16" s="104">
        <v>11488</v>
      </c>
      <c r="L16" s="102">
        <v>4095</v>
      </c>
      <c r="M16" s="104">
        <v>12458615</v>
      </c>
      <c r="N16" s="157">
        <v>4048</v>
      </c>
      <c r="O16" s="156">
        <v>168</v>
      </c>
      <c r="P16" s="156">
        <v>8</v>
      </c>
      <c r="Q16" s="155">
        <v>4224</v>
      </c>
      <c r="R16" s="81" t="s">
        <v>54</v>
      </c>
    </row>
    <row r="17" spans="1:18" ht="15.75" customHeight="1">
      <c r="A17" s="67" t="s">
        <v>55</v>
      </c>
      <c r="B17" s="102">
        <f>_xlfn.COMPOUNDVALUE(241)</f>
        <v>1273</v>
      </c>
      <c r="C17" s="103">
        <v>6607236</v>
      </c>
      <c r="D17" s="102">
        <f>_xlfn.COMPOUNDVALUE(242)</f>
        <v>732</v>
      </c>
      <c r="E17" s="103">
        <v>432695</v>
      </c>
      <c r="F17" s="102">
        <f>_xlfn.COMPOUNDVALUE(243)</f>
        <v>2005</v>
      </c>
      <c r="G17" s="103">
        <v>7039931</v>
      </c>
      <c r="H17" s="102">
        <f>_xlfn.COMPOUNDVALUE(244)</f>
        <v>124</v>
      </c>
      <c r="I17" s="104">
        <v>307023</v>
      </c>
      <c r="J17" s="102">
        <v>114</v>
      </c>
      <c r="K17" s="104">
        <v>30065</v>
      </c>
      <c r="L17" s="102">
        <v>2146</v>
      </c>
      <c r="M17" s="104">
        <v>6762973</v>
      </c>
      <c r="N17" s="157">
        <v>2535</v>
      </c>
      <c r="O17" s="156">
        <v>75</v>
      </c>
      <c r="P17" s="156">
        <v>8</v>
      </c>
      <c r="Q17" s="155">
        <v>2618</v>
      </c>
      <c r="R17" s="81" t="s">
        <v>56</v>
      </c>
    </row>
    <row r="18" spans="1:18" ht="15.75" customHeight="1">
      <c r="A18" s="67" t="s">
        <v>57</v>
      </c>
      <c r="B18" s="102">
        <f>_xlfn.COMPOUNDVALUE(245)</f>
        <v>1606</v>
      </c>
      <c r="C18" s="103">
        <v>9762994</v>
      </c>
      <c r="D18" s="102">
        <f>_xlfn.COMPOUNDVALUE(246)</f>
        <v>1258</v>
      </c>
      <c r="E18" s="103">
        <v>609041</v>
      </c>
      <c r="F18" s="102">
        <f>_xlfn.COMPOUNDVALUE(247)</f>
        <v>2864</v>
      </c>
      <c r="G18" s="103">
        <v>10372035</v>
      </c>
      <c r="H18" s="102">
        <f>_xlfn.COMPOUNDVALUE(248)</f>
        <v>190</v>
      </c>
      <c r="I18" s="104">
        <v>495978</v>
      </c>
      <c r="J18" s="102">
        <v>76</v>
      </c>
      <c r="K18" s="104">
        <v>43730</v>
      </c>
      <c r="L18" s="102">
        <v>3075</v>
      </c>
      <c r="M18" s="104">
        <v>9919787</v>
      </c>
      <c r="N18" s="157">
        <v>3027</v>
      </c>
      <c r="O18" s="156">
        <v>120</v>
      </c>
      <c r="P18" s="156">
        <v>6</v>
      </c>
      <c r="Q18" s="155">
        <v>3153</v>
      </c>
      <c r="R18" s="81" t="s">
        <v>58</v>
      </c>
    </row>
    <row r="19" spans="1:18" ht="15.75" customHeight="1">
      <c r="A19" s="67" t="s">
        <v>59</v>
      </c>
      <c r="B19" s="102">
        <f>_xlfn.COMPOUNDVALUE(249)</f>
        <v>956</v>
      </c>
      <c r="C19" s="103">
        <v>4278120</v>
      </c>
      <c r="D19" s="102">
        <f>_xlfn.COMPOUNDVALUE(250)</f>
        <v>631</v>
      </c>
      <c r="E19" s="103">
        <v>320252</v>
      </c>
      <c r="F19" s="102">
        <f>_xlfn.COMPOUNDVALUE(251)</f>
        <v>1587</v>
      </c>
      <c r="G19" s="103">
        <v>4598372</v>
      </c>
      <c r="H19" s="102">
        <f>_xlfn.COMPOUNDVALUE(252)</f>
        <v>127</v>
      </c>
      <c r="I19" s="104">
        <v>250730</v>
      </c>
      <c r="J19" s="102">
        <v>37</v>
      </c>
      <c r="K19" s="104">
        <v>10411</v>
      </c>
      <c r="L19" s="102">
        <v>1722</v>
      </c>
      <c r="M19" s="104">
        <v>4358053</v>
      </c>
      <c r="N19" s="157">
        <v>1649</v>
      </c>
      <c r="O19" s="156">
        <v>79</v>
      </c>
      <c r="P19" s="156">
        <v>2</v>
      </c>
      <c r="Q19" s="155">
        <v>1730</v>
      </c>
      <c r="R19" s="81" t="s">
        <v>60</v>
      </c>
    </row>
    <row r="20" spans="1:18" ht="15.75" customHeight="1">
      <c r="A20" s="67" t="s">
        <v>61</v>
      </c>
      <c r="B20" s="102">
        <f>_xlfn.COMPOUNDVALUE(253)</f>
        <v>474</v>
      </c>
      <c r="C20" s="103">
        <v>1732106</v>
      </c>
      <c r="D20" s="102">
        <f>_xlfn.COMPOUNDVALUE(254)</f>
        <v>356</v>
      </c>
      <c r="E20" s="103">
        <v>158286</v>
      </c>
      <c r="F20" s="102">
        <f>_xlfn.COMPOUNDVALUE(255)</f>
        <v>830</v>
      </c>
      <c r="G20" s="103">
        <v>1890392</v>
      </c>
      <c r="H20" s="102">
        <f>_xlfn.COMPOUNDVALUE(256)</f>
        <v>43</v>
      </c>
      <c r="I20" s="104">
        <v>195539</v>
      </c>
      <c r="J20" s="102">
        <v>32</v>
      </c>
      <c r="K20" s="104">
        <v>7623</v>
      </c>
      <c r="L20" s="102">
        <v>880</v>
      </c>
      <c r="M20" s="104">
        <v>1702476</v>
      </c>
      <c r="N20" s="157">
        <v>853</v>
      </c>
      <c r="O20" s="156">
        <v>27</v>
      </c>
      <c r="P20" s="156">
        <v>2</v>
      </c>
      <c r="Q20" s="155">
        <v>882</v>
      </c>
      <c r="R20" s="81" t="s">
        <v>62</v>
      </c>
    </row>
    <row r="21" spans="1:18" ht="15.75" customHeight="1">
      <c r="A21" s="69" t="s">
        <v>120</v>
      </c>
      <c r="B21" s="105">
        <v>13168</v>
      </c>
      <c r="C21" s="106">
        <v>95364098</v>
      </c>
      <c r="D21" s="105">
        <v>8700</v>
      </c>
      <c r="E21" s="106">
        <v>4887111</v>
      </c>
      <c r="F21" s="105">
        <v>21868</v>
      </c>
      <c r="G21" s="106">
        <v>100251209</v>
      </c>
      <c r="H21" s="105">
        <v>1442</v>
      </c>
      <c r="I21" s="107">
        <v>8157996</v>
      </c>
      <c r="J21" s="105">
        <v>776</v>
      </c>
      <c r="K21" s="107">
        <v>159528</v>
      </c>
      <c r="L21" s="105">
        <v>23512</v>
      </c>
      <c r="M21" s="107">
        <v>92252741</v>
      </c>
      <c r="N21" s="158">
        <v>23604</v>
      </c>
      <c r="O21" s="159">
        <v>886</v>
      </c>
      <c r="P21" s="159">
        <v>57</v>
      </c>
      <c r="Q21" s="160">
        <v>24547</v>
      </c>
      <c r="R21" s="70" t="s">
        <v>64</v>
      </c>
    </row>
    <row r="22" spans="1:18" ht="15.75" customHeight="1">
      <c r="A22" s="71"/>
      <c r="B22" s="108"/>
      <c r="C22" s="109"/>
      <c r="D22" s="108"/>
      <c r="E22" s="109"/>
      <c r="F22" s="110"/>
      <c r="G22" s="109"/>
      <c r="H22" s="110"/>
      <c r="I22" s="109"/>
      <c r="J22" s="110"/>
      <c r="K22" s="109"/>
      <c r="L22" s="110"/>
      <c r="M22" s="109"/>
      <c r="N22" s="161"/>
      <c r="O22" s="162"/>
      <c r="P22" s="162"/>
      <c r="Q22" s="163"/>
      <c r="R22" s="82" t="s">
        <v>119</v>
      </c>
    </row>
    <row r="23" spans="1:18" ht="15.75" customHeight="1">
      <c r="A23" s="64" t="s">
        <v>65</v>
      </c>
      <c r="B23" s="99">
        <f>_xlfn.COMPOUNDVALUE(257)</f>
        <v>8243</v>
      </c>
      <c r="C23" s="100">
        <v>51101051</v>
      </c>
      <c r="D23" s="99">
        <f>_xlfn.COMPOUNDVALUE(258)</f>
        <v>5082</v>
      </c>
      <c r="E23" s="100">
        <v>2984745</v>
      </c>
      <c r="F23" s="99">
        <f>_xlfn.COMPOUNDVALUE(259)</f>
        <v>13325</v>
      </c>
      <c r="G23" s="100">
        <v>54085796</v>
      </c>
      <c r="H23" s="99">
        <f>_xlfn.COMPOUNDVALUE(260)</f>
        <v>831</v>
      </c>
      <c r="I23" s="101">
        <v>3067245</v>
      </c>
      <c r="J23" s="99">
        <v>470</v>
      </c>
      <c r="K23" s="101">
        <v>108018</v>
      </c>
      <c r="L23" s="99">
        <v>14330</v>
      </c>
      <c r="M23" s="101">
        <v>51126570</v>
      </c>
      <c r="N23" s="164">
        <v>14431</v>
      </c>
      <c r="O23" s="165">
        <v>415</v>
      </c>
      <c r="P23" s="165">
        <v>35</v>
      </c>
      <c r="Q23" s="166">
        <v>14881</v>
      </c>
      <c r="R23" s="65" t="s">
        <v>66</v>
      </c>
    </row>
    <row r="24" spans="1:18" ht="15.75" customHeight="1">
      <c r="A24" s="67" t="s">
        <v>67</v>
      </c>
      <c r="B24" s="102">
        <f>_xlfn.COMPOUNDVALUE(261)</f>
        <v>2553</v>
      </c>
      <c r="C24" s="103">
        <v>17435270</v>
      </c>
      <c r="D24" s="102">
        <f>_xlfn.COMPOUNDVALUE(262)</f>
        <v>1715</v>
      </c>
      <c r="E24" s="103">
        <v>1063036</v>
      </c>
      <c r="F24" s="102">
        <f>_xlfn.COMPOUNDVALUE(263)</f>
        <v>4268</v>
      </c>
      <c r="G24" s="103">
        <v>18498306</v>
      </c>
      <c r="H24" s="102">
        <f>_xlfn.COMPOUNDVALUE(264)</f>
        <v>341</v>
      </c>
      <c r="I24" s="104">
        <v>37385058</v>
      </c>
      <c r="J24" s="102">
        <v>146</v>
      </c>
      <c r="K24" s="104">
        <v>47320</v>
      </c>
      <c r="L24" s="102">
        <v>4665</v>
      </c>
      <c r="M24" s="104">
        <v>-18839431</v>
      </c>
      <c r="N24" s="157">
        <v>4468</v>
      </c>
      <c r="O24" s="156">
        <v>155</v>
      </c>
      <c r="P24" s="156">
        <v>6</v>
      </c>
      <c r="Q24" s="155">
        <v>4629</v>
      </c>
      <c r="R24" s="81" t="s">
        <v>68</v>
      </c>
    </row>
    <row r="25" spans="1:18" ht="15.75" customHeight="1">
      <c r="A25" s="67" t="s">
        <v>69</v>
      </c>
      <c r="B25" s="102">
        <f>_xlfn.COMPOUNDVALUE(265)</f>
        <v>1367</v>
      </c>
      <c r="C25" s="103">
        <v>5211070</v>
      </c>
      <c r="D25" s="102">
        <f>_xlfn.COMPOUNDVALUE(266)</f>
        <v>1305</v>
      </c>
      <c r="E25" s="103">
        <v>627173</v>
      </c>
      <c r="F25" s="102">
        <f>_xlfn.COMPOUNDVALUE(267)</f>
        <v>2672</v>
      </c>
      <c r="G25" s="103">
        <v>5838244</v>
      </c>
      <c r="H25" s="102">
        <f>_xlfn.COMPOUNDVALUE(268)</f>
        <v>345</v>
      </c>
      <c r="I25" s="104">
        <v>1646207</v>
      </c>
      <c r="J25" s="102">
        <v>119</v>
      </c>
      <c r="K25" s="104">
        <v>8877</v>
      </c>
      <c r="L25" s="102">
        <v>3048</v>
      </c>
      <c r="M25" s="104">
        <v>4200914</v>
      </c>
      <c r="N25" s="157">
        <v>2974</v>
      </c>
      <c r="O25" s="156">
        <v>84</v>
      </c>
      <c r="P25" s="156">
        <v>5</v>
      </c>
      <c r="Q25" s="155">
        <v>3063</v>
      </c>
      <c r="R25" s="81" t="s">
        <v>70</v>
      </c>
    </row>
    <row r="26" spans="1:18" ht="15.75" customHeight="1">
      <c r="A26" s="67" t="s">
        <v>71</v>
      </c>
      <c r="B26" s="102">
        <f>_xlfn.COMPOUNDVALUE(269)</f>
        <v>930</v>
      </c>
      <c r="C26" s="103">
        <v>4023690</v>
      </c>
      <c r="D26" s="102">
        <f>_xlfn.COMPOUNDVALUE(270)</f>
        <v>1095</v>
      </c>
      <c r="E26" s="103">
        <v>458815</v>
      </c>
      <c r="F26" s="102">
        <f>_xlfn.COMPOUNDVALUE(271)</f>
        <v>2025</v>
      </c>
      <c r="G26" s="103">
        <v>4482505</v>
      </c>
      <c r="H26" s="102">
        <f>_xlfn.COMPOUNDVALUE(272)</f>
        <v>127</v>
      </c>
      <c r="I26" s="104">
        <v>353807</v>
      </c>
      <c r="J26" s="102">
        <v>58</v>
      </c>
      <c r="K26" s="104">
        <v>18648</v>
      </c>
      <c r="L26" s="102">
        <v>2171</v>
      </c>
      <c r="M26" s="104">
        <v>4147346</v>
      </c>
      <c r="N26" s="157">
        <v>2176</v>
      </c>
      <c r="O26" s="156">
        <v>51</v>
      </c>
      <c r="P26" s="156">
        <v>3</v>
      </c>
      <c r="Q26" s="155">
        <v>2230</v>
      </c>
      <c r="R26" s="81" t="s">
        <v>72</v>
      </c>
    </row>
    <row r="27" spans="1:18" ht="15.75" customHeight="1">
      <c r="A27" s="67" t="s">
        <v>73</v>
      </c>
      <c r="B27" s="102">
        <f>_xlfn.COMPOUNDVALUE(273)</f>
        <v>1422</v>
      </c>
      <c r="C27" s="103">
        <v>11126681</v>
      </c>
      <c r="D27" s="102">
        <f>_xlfn.COMPOUNDVALUE(274)</f>
        <v>912</v>
      </c>
      <c r="E27" s="103">
        <v>596902</v>
      </c>
      <c r="F27" s="102">
        <f>_xlfn.COMPOUNDVALUE(275)</f>
        <v>2334</v>
      </c>
      <c r="G27" s="103">
        <v>11723583</v>
      </c>
      <c r="H27" s="102">
        <f>_xlfn.COMPOUNDVALUE(276)</f>
        <v>73</v>
      </c>
      <c r="I27" s="104">
        <v>231623</v>
      </c>
      <c r="J27" s="102">
        <v>66</v>
      </c>
      <c r="K27" s="104">
        <v>11440</v>
      </c>
      <c r="L27" s="102">
        <v>2431</v>
      </c>
      <c r="M27" s="104">
        <v>11503400</v>
      </c>
      <c r="N27" s="157">
        <v>2492</v>
      </c>
      <c r="O27" s="156">
        <v>46</v>
      </c>
      <c r="P27" s="156">
        <v>5</v>
      </c>
      <c r="Q27" s="155">
        <v>2543</v>
      </c>
      <c r="R27" s="81" t="s">
        <v>74</v>
      </c>
    </row>
    <row r="28" spans="1:18" ht="15.75" customHeight="1">
      <c r="A28" s="67" t="s">
        <v>75</v>
      </c>
      <c r="B28" s="102">
        <f>_xlfn.COMPOUNDVALUE(277)</f>
        <v>1281</v>
      </c>
      <c r="C28" s="103">
        <v>6170876</v>
      </c>
      <c r="D28" s="102">
        <f>_xlfn.COMPOUNDVALUE(278)</f>
        <v>952</v>
      </c>
      <c r="E28" s="103">
        <v>544338</v>
      </c>
      <c r="F28" s="102">
        <f>_xlfn.COMPOUNDVALUE(279)</f>
        <v>2233</v>
      </c>
      <c r="G28" s="103">
        <v>6715213</v>
      </c>
      <c r="H28" s="102">
        <f>_xlfn.COMPOUNDVALUE(280)</f>
        <v>116</v>
      </c>
      <c r="I28" s="104">
        <v>579992</v>
      </c>
      <c r="J28" s="102">
        <v>78</v>
      </c>
      <c r="K28" s="104">
        <v>19875</v>
      </c>
      <c r="L28" s="102">
        <v>2366</v>
      </c>
      <c r="M28" s="104">
        <v>6155097</v>
      </c>
      <c r="N28" s="157">
        <v>2404</v>
      </c>
      <c r="O28" s="156">
        <v>91</v>
      </c>
      <c r="P28" s="156">
        <v>2</v>
      </c>
      <c r="Q28" s="155">
        <v>2497</v>
      </c>
      <c r="R28" s="81" t="s">
        <v>76</v>
      </c>
    </row>
    <row r="29" spans="1:18" ht="15.75" customHeight="1">
      <c r="A29" s="67" t="s">
        <v>77</v>
      </c>
      <c r="B29" s="102">
        <f>_xlfn.COMPOUNDVALUE(281)</f>
        <v>733</v>
      </c>
      <c r="C29" s="103">
        <v>3656135</v>
      </c>
      <c r="D29" s="102">
        <f>_xlfn.COMPOUNDVALUE(282)</f>
        <v>562</v>
      </c>
      <c r="E29" s="103">
        <v>277185</v>
      </c>
      <c r="F29" s="102">
        <f>_xlfn.COMPOUNDVALUE(283)</f>
        <v>1295</v>
      </c>
      <c r="G29" s="103">
        <v>3933320</v>
      </c>
      <c r="H29" s="102">
        <f>_xlfn.COMPOUNDVALUE(284)</f>
        <v>70</v>
      </c>
      <c r="I29" s="104">
        <v>104961</v>
      </c>
      <c r="J29" s="102">
        <v>47</v>
      </c>
      <c r="K29" s="104">
        <v>2692</v>
      </c>
      <c r="L29" s="102">
        <v>1379</v>
      </c>
      <c r="M29" s="104">
        <v>3831051</v>
      </c>
      <c r="N29" s="157">
        <v>1338</v>
      </c>
      <c r="O29" s="156">
        <v>37</v>
      </c>
      <c r="P29" s="156">
        <v>0</v>
      </c>
      <c r="Q29" s="155">
        <v>1375</v>
      </c>
      <c r="R29" s="81" t="s">
        <v>78</v>
      </c>
    </row>
    <row r="30" spans="1:18" ht="15.75" customHeight="1">
      <c r="A30" s="67" t="s">
        <v>79</v>
      </c>
      <c r="B30" s="102">
        <f>_xlfn.COMPOUNDVALUE(285)</f>
        <v>1260</v>
      </c>
      <c r="C30" s="103">
        <v>21772156</v>
      </c>
      <c r="D30" s="102">
        <f>_xlfn.COMPOUNDVALUE(286)</f>
        <v>663</v>
      </c>
      <c r="E30" s="103">
        <v>382644</v>
      </c>
      <c r="F30" s="102">
        <f>_xlfn.COMPOUNDVALUE(287)</f>
        <v>1923</v>
      </c>
      <c r="G30" s="103">
        <v>22154800</v>
      </c>
      <c r="H30" s="102">
        <f>_xlfn.COMPOUNDVALUE(288)</f>
        <v>109</v>
      </c>
      <c r="I30" s="104">
        <v>571255</v>
      </c>
      <c r="J30" s="102">
        <v>43</v>
      </c>
      <c r="K30" s="104">
        <v>2375</v>
      </c>
      <c r="L30" s="102">
        <v>2042</v>
      </c>
      <c r="M30" s="104">
        <v>21585919</v>
      </c>
      <c r="N30" s="157">
        <v>1980</v>
      </c>
      <c r="O30" s="156">
        <v>74</v>
      </c>
      <c r="P30" s="156">
        <v>3</v>
      </c>
      <c r="Q30" s="155">
        <v>2057</v>
      </c>
      <c r="R30" s="81" t="s">
        <v>80</v>
      </c>
    </row>
    <row r="31" spans="1:18" ht="15.75" customHeight="1">
      <c r="A31" s="69" t="s">
        <v>121</v>
      </c>
      <c r="B31" s="105">
        <v>17789</v>
      </c>
      <c r="C31" s="106">
        <v>120496929</v>
      </c>
      <c r="D31" s="105">
        <v>12286</v>
      </c>
      <c r="E31" s="106">
        <v>6934837</v>
      </c>
      <c r="F31" s="105">
        <v>30075</v>
      </c>
      <c r="G31" s="106">
        <v>127431766</v>
      </c>
      <c r="H31" s="105">
        <v>2012</v>
      </c>
      <c r="I31" s="107">
        <v>43940146</v>
      </c>
      <c r="J31" s="105">
        <v>1027</v>
      </c>
      <c r="K31" s="107">
        <v>219245</v>
      </c>
      <c r="L31" s="105">
        <v>32432</v>
      </c>
      <c r="M31" s="107">
        <v>83710865</v>
      </c>
      <c r="N31" s="158">
        <v>32263</v>
      </c>
      <c r="O31" s="159">
        <v>953</v>
      </c>
      <c r="P31" s="159">
        <v>59</v>
      </c>
      <c r="Q31" s="160">
        <v>33275</v>
      </c>
      <c r="R31" s="70" t="s">
        <v>82</v>
      </c>
    </row>
    <row r="32" spans="1:18" ht="15.75" customHeight="1">
      <c r="A32" s="71"/>
      <c r="B32" s="108"/>
      <c r="C32" s="109"/>
      <c r="D32" s="108"/>
      <c r="E32" s="109"/>
      <c r="F32" s="110"/>
      <c r="G32" s="109"/>
      <c r="H32" s="110"/>
      <c r="I32" s="109"/>
      <c r="J32" s="110"/>
      <c r="K32" s="109"/>
      <c r="L32" s="110"/>
      <c r="M32" s="109"/>
      <c r="N32" s="161"/>
      <c r="O32" s="162"/>
      <c r="P32" s="162"/>
      <c r="Q32" s="163"/>
      <c r="R32" s="82" t="s">
        <v>119</v>
      </c>
    </row>
    <row r="33" spans="1:18" ht="15.75" customHeight="1">
      <c r="A33" s="64" t="s">
        <v>83</v>
      </c>
      <c r="B33" s="99">
        <f>_xlfn.COMPOUNDVALUE(289)</f>
        <v>4792</v>
      </c>
      <c r="C33" s="100">
        <v>30378075</v>
      </c>
      <c r="D33" s="99">
        <f>_xlfn.COMPOUNDVALUE(290)</f>
        <v>3102</v>
      </c>
      <c r="E33" s="100">
        <v>1790765</v>
      </c>
      <c r="F33" s="99">
        <f>_xlfn.COMPOUNDVALUE(291)</f>
        <v>7894</v>
      </c>
      <c r="G33" s="100">
        <v>32168839</v>
      </c>
      <c r="H33" s="99">
        <f>_xlfn.COMPOUNDVALUE(292)</f>
        <v>395</v>
      </c>
      <c r="I33" s="101">
        <v>1071188</v>
      </c>
      <c r="J33" s="99">
        <v>414</v>
      </c>
      <c r="K33" s="101">
        <v>53159</v>
      </c>
      <c r="L33" s="99">
        <v>8426</v>
      </c>
      <c r="M33" s="101">
        <v>31150810</v>
      </c>
      <c r="N33" s="164">
        <v>8260</v>
      </c>
      <c r="O33" s="165">
        <v>195</v>
      </c>
      <c r="P33" s="165">
        <v>19</v>
      </c>
      <c r="Q33" s="166">
        <v>8474</v>
      </c>
      <c r="R33" s="65" t="s">
        <v>84</v>
      </c>
    </row>
    <row r="34" spans="1:18" ht="15.75" customHeight="1">
      <c r="A34" s="67" t="s">
        <v>85</v>
      </c>
      <c r="B34" s="102">
        <f>_xlfn.COMPOUNDVALUE(293)</f>
        <v>551</v>
      </c>
      <c r="C34" s="103">
        <v>1571886</v>
      </c>
      <c r="D34" s="102">
        <f>_xlfn.COMPOUNDVALUE(294)</f>
        <v>900</v>
      </c>
      <c r="E34" s="103">
        <v>317483</v>
      </c>
      <c r="F34" s="102">
        <f>_xlfn.COMPOUNDVALUE(295)</f>
        <v>1451</v>
      </c>
      <c r="G34" s="103">
        <v>1889369</v>
      </c>
      <c r="H34" s="102">
        <f>_xlfn.COMPOUNDVALUE(296)</f>
        <v>65</v>
      </c>
      <c r="I34" s="104">
        <v>80004</v>
      </c>
      <c r="J34" s="102">
        <v>96</v>
      </c>
      <c r="K34" s="104">
        <v>11062</v>
      </c>
      <c r="L34" s="102">
        <v>1563</v>
      </c>
      <c r="M34" s="104">
        <v>1820427</v>
      </c>
      <c r="N34" s="157">
        <v>1570</v>
      </c>
      <c r="O34" s="156">
        <v>37</v>
      </c>
      <c r="P34" s="156">
        <v>1</v>
      </c>
      <c r="Q34" s="155">
        <v>1608</v>
      </c>
      <c r="R34" s="81" t="s">
        <v>86</v>
      </c>
    </row>
    <row r="35" spans="1:18" ht="15.75" customHeight="1">
      <c r="A35" s="67" t="s">
        <v>87</v>
      </c>
      <c r="B35" s="102">
        <f>_xlfn.COMPOUNDVALUE(297)</f>
        <v>1192</v>
      </c>
      <c r="C35" s="103">
        <v>5755786</v>
      </c>
      <c r="D35" s="102">
        <f>_xlfn.COMPOUNDVALUE(298)</f>
        <v>1149</v>
      </c>
      <c r="E35" s="103">
        <v>496989</v>
      </c>
      <c r="F35" s="102">
        <f>_xlfn.COMPOUNDVALUE(299)</f>
        <v>2341</v>
      </c>
      <c r="G35" s="103">
        <v>6252775</v>
      </c>
      <c r="H35" s="102">
        <f>_xlfn.COMPOUNDVALUE(300)</f>
        <v>111</v>
      </c>
      <c r="I35" s="104">
        <v>818625</v>
      </c>
      <c r="J35" s="102">
        <v>107</v>
      </c>
      <c r="K35" s="104">
        <v>16898</v>
      </c>
      <c r="L35" s="102">
        <v>2485</v>
      </c>
      <c r="M35" s="104">
        <v>5451048</v>
      </c>
      <c r="N35" s="157">
        <v>2415</v>
      </c>
      <c r="O35" s="156">
        <v>58</v>
      </c>
      <c r="P35" s="156">
        <v>5</v>
      </c>
      <c r="Q35" s="155">
        <v>2478</v>
      </c>
      <c r="R35" s="81" t="s">
        <v>88</v>
      </c>
    </row>
    <row r="36" spans="1:18" ht="15.75" customHeight="1">
      <c r="A36" s="67" t="s">
        <v>89</v>
      </c>
      <c r="B36" s="102">
        <f>_xlfn.COMPOUNDVALUE(301)</f>
        <v>866</v>
      </c>
      <c r="C36" s="103">
        <v>2662017</v>
      </c>
      <c r="D36" s="102">
        <f>_xlfn.COMPOUNDVALUE(302)</f>
        <v>1100</v>
      </c>
      <c r="E36" s="103">
        <v>478734</v>
      </c>
      <c r="F36" s="102">
        <f>_xlfn.COMPOUNDVALUE(303)</f>
        <v>1966</v>
      </c>
      <c r="G36" s="103">
        <v>3140751</v>
      </c>
      <c r="H36" s="102">
        <f>_xlfn.COMPOUNDVALUE(304)</f>
        <v>90</v>
      </c>
      <c r="I36" s="104">
        <v>98438</v>
      </c>
      <c r="J36" s="102">
        <v>61</v>
      </c>
      <c r="K36" s="104">
        <v>20131</v>
      </c>
      <c r="L36" s="102">
        <v>2071</v>
      </c>
      <c r="M36" s="104">
        <v>3062444</v>
      </c>
      <c r="N36" s="157">
        <v>2055</v>
      </c>
      <c r="O36" s="156">
        <v>41</v>
      </c>
      <c r="P36" s="156">
        <v>2</v>
      </c>
      <c r="Q36" s="155">
        <v>2098</v>
      </c>
      <c r="R36" s="81" t="s">
        <v>90</v>
      </c>
    </row>
    <row r="37" spans="1:18" ht="15.75" customHeight="1">
      <c r="A37" s="67" t="s">
        <v>91</v>
      </c>
      <c r="B37" s="102">
        <f>_xlfn.COMPOUNDVALUE(305)</f>
        <v>1137</v>
      </c>
      <c r="C37" s="103">
        <v>3287752</v>
      </c>
      <c r="D37" s="102">
        <f>_xlfn.COMPOUNDVALUE(306)</f>
        <v>890</v>
      </c>
      <c r="E37" s="103">
        <v>432363</v>
      </c>
      <c r="F37" s="102">
        <f>_xlfn.COMPOUNDVALUE(307)</f>
        <v>2027</v>
      </c>
      <c r="G37" s="103">
        <v>3720114</v>
      </c>
      <c r="H37" s="102">
        <f>_xlfn.COMPOUNDVALUE(308)</f>
        <v>119</v>
      </c>
      <c r="I37" s="104">
        <v>189863</v>
      </c>
      <c r="J37" s="102">
        <v>54</v>
      </c>
      <c r="K37" s="104">
        <v>23983</v>
      </c>
      <c r="L37" s="102">
        <v>2165</v>
      </c>
      <c r="M37" s="104">
        <v>3554235</v>
      </c>
      <c r="N37" s="157">
        <v>2112</v>
      </c>
      <c r="O37" s="156">
        <v>54</v>
      </c>
      <c r="P37" s="156">
        <v>4</v>
      </c>
      <c r="Q37" s="155">
        <v>2170</v>
      </c>
      <c r="R37" s="81" t="s">
        <v>92</v>
      </c>
    </row>
    <row r="38" spans="1:18" ht="15.75" customHeight="1">
      <c r="A38" s="67" t="s">
        <v>93</v>
      </c>
      <c r="B38" s="102">
        <f>_xlfn.COMPOUNDVALUE(309)</f>
        <v>651</v>
      </c>
      <c r="C38" s="103">
        <v>2841632</v>
      </c>
      <c r="D38" s="102">
        <f>_xlfn.COMPOUNDVALUE(310)</f>
        <v>790</v>
      </c>
      <c r="E38" s="103">
        <v>356419</v>
      </c>
      <c r="F38" s="102">
        <f>_xlfn.COMPOUNDVALUE(311)</f>
        <v>1441</v>
      </c>
      <c r="G38" s="103">
        <v>3198052</v>
      </c>
      <c r="H38" s="102">
        <f>_xlfn.COMPOUNDVALUE(312)</f>
        <v>57</v>
      </c>
      <c r="I38" s="104">
        <v>217956</v>
      </c>
      <c r="J38" s="102">
        <v>66</v>
      </c>
      <c r="K38" s="104">
        <v>11172</v>
      </c>
      <c r="L38" s="102">
        <v>1517</v>
      </c>
      <c r="M38" s="104">
        <v>2991267</v>
      </c>
      <c r="N38" s="157">
        <v>1808</v>
      </c>
      <c r="O38" s="156">
        <v>52</v>
      </c>
      <c r="P38" s="156">
        <v>0</v>
      </c>
      <c r="Q38" s="155">
        <v>1860</v>
      </c>
      <c r="R38" s="81" t="s">
        <v>94</v>
      </c>
    </row>
    <row r="39" spans="1:18" ht="15.75" customHeight="1">
      <c r="A39" s="69" t="s">
        <v>122</v>
      </c>
      <c r="B39" s="105">
        <v>9189</v>
      </c>
      <c r="C39" s="106">
        <v>46497147</v>
      </c>
      <c r="D39" s="105">
        <v>7931</v>
      </c>
      <c r="E39" s="106">
        <v>3872753</v>
      </c>
      <c r="F39" s="105">
        <v>17120</v>
      </c>
      <c r="G39" s="106">
        <v>50369900</v>
      </c>
      <c r="H39" s="105">
        <v>837</v>
      </c>
      <c r="I39" s="107">
        <v>2476074</v>
      </c>
      <c r="J39" s="105">
        <v>798</v>
      </c>
      <c r="K39" s="107">
        <v>136405</v>
      </c>
      <c r="L39" s="105">
        <v>18227</v>
      </c>
      <c r="M39" s="107">
        <v>48030231</v>
      </c>
      <c r="N39" s="158">
        <v>18220</v>
      </c>
      <c r="O39" s="159">
        <v>437</v>
      </c>
      <c r="P39" s="159">
        <v>31</v>
      </c>
      <c r="Q39" s="160">
        <v>18688</v>
      </c>
      <c r="R39" s="70" t="s">
        <v>96</v>
      </c>
    </row>
    <row r="40" spans="1:18" ht="15.75" customHeight="1" thickBot="1">
      <c r="A40" s="73"/>
      <c r="B40" s="111"/>
      <c r="C40" s="112"/>
      <c r="D40" s="111"/>
      <c r="E40" s="112"/>
      <c r="F40" s="113"/>
      <c r="G40" s="112"/>
      <c r="H40" s="113"/>
      <c r="I40" s="112"/>
      <c r="J40" s="113"/>
      <c r="K40" s="112"/>
      <c r="L40" s="113"/>
      <c r="M40" s="112"/>
      <c r="N40" s="161"/>
      <c r="O40" s="162"/>
      <c r="P40" s="162"/>
      <c r="Q40" s="163"/>
      <c r="R40" s="131"/>
    </row>
    <row r="41" spans="1:18" ht="15.75" customHeight="1" thickBot="1" thickTop="1">
      <c r="A41" s="76" t="s">
        <v>98</v>
      </c>
      <c r="B41" s="114">
        <v>50239</v>
      </c>
      <c r="C41" s="115">
        <v>314324355</v>
      </c>
      <c r="D41" s="114">
        <v>35857</v>
      </c>
      <c r="E41" s="115">
        <v>19323069</v>
      </c>
      <c r="F41" s="114">
        <v>86096</v>
      </c>
      <c r="G41" s="115">
        <v>333647424</v>
      </c>
      <c r="H41" s="114">
        <v>5386</v>
      </c>
      <c r="I41" s="116">
        <v>70413950</v>
      </c>
      <c r="J41" s="114">
        <v>3413</v>
      </c>
      <c r="K41" s="116">
        <v>711635</v>
      </c>
      <c r="L41" s="114">
        <v>92576</v>
      </c>
      <c r="M41" s="116">
        <v>263945109</v>
      </c>
      <c r="N41" s="167">
        <v>91726</v>
      </c>
      <c r="O41" s="168">
        <v>3110</v>
      </c>
      <c r="P41" s="168">
        <v>173</v>
      </c>
      <c r="Q41" s="169">
        <v>95009</v>
      </c>
      <c r="R41" s="83" t="s">
        <v>98</v>
      </c>
    </row>
    <row r="42" spans="1:10" ht="13.5">
      <c r="A42" s="209" t="s">
        <v>155</v>
      </c>
      <c r="B42" s="209"/>
      <c r="C42" s="209"/>
      <c r="D42" s="209"/>
      <c r="E42" s="209"/>
      <c r="F42" s="209"/>
      <c r="G42" s="209"/>
      <c r="H42" s="209"/>
      <c r="I42" s="209"/>
      <c r="J42" s="209"/>
    </row>
  </sheetData>
  <sheetProtection/>
  <mergeCells count="16">
    <mergeCell ref="A2:I2"/>
    <mergeCell ref="A3:A5"/>
    <mergeCell ref="B3:G3"/>
    <mergeCell ref="H3:I4"/>
    <mergeCell ref="J3:K4"/>
    <mergeCell ref="L3:M4"/>
    <mergeCell ref="A42:J42"/>
    <mergeCell ref="N3:Q3"/>
    <mergeCell ref="R3:R5"/>
    <mergeCell ref="B4:C4"/>
    <mergeCell ref="D4:E4"/>
    <mergeCell ref="F4:G4"/>
    <mergeCell ref="N4:N5"/>
    <mergeCell ref="O4:O5"/>
    <mergeCell ref="P4:P5"/>
    <mergeCell ref="Q4:Q5"/>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paperSize="9" scale="65" r:id="rId1"/>
  <headerFooter>
    <oddFooter>&amp;R&amp;K01+000高松国税局
消費税
(R02)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国税庁</dc:creator>
  <cp:keywords/>
  <dc:description/>
  <cp:lastModifiedBy>国税庁</cp:lastModifiedBy>
  <cp:lastPrinted>2022-05-11T08:45:44Z</cp:lastPrinted>
  <dcterms:created xsi:type="dcterms:W3CDTF">2003-07-09T01:05:10Z</dcterms:created>
  <dcterms:modified xsi:type="dcterms:W3CDTF">2022-05-11T08:45:58Z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