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25"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<sst xmlns="http://schemas.openxmlformats.org/spreadsheetml/2006/main" count="388" uniqueCount="176">
  <si>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</si>
  <si>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</si>
  <si>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</si>
  <si>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</si>
  <si>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</si>
  <si>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</si>
  <si>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</si>
  <si>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</si>
  <si>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</si>
  <si>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</si>
  <si>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</si>
  <si>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</si>
  <si>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</si>
  <si>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</si>
  <si>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</si>
  <si>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</si>
  <si>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</si>
  <si>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法　　　　　　　人</t>
  </si>
  <si>
    <t>合　　　　　　　計</t>
  </si>
  <si>
    <t>件　　数</t>
  </si>
  <si>
    <t>税　　額</t>
  </si>
  <si>
    <t>(3)　課税事業者等届出件数</t>
  </si>
  <si>
    <t>千円</t>
  </si>
  <si>
    <t>件</t>
  </si>
  <si>
    <t>(2)　課税状況の累年比較</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</si>
  <si>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</si>
  <si>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</si>
  <si>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</si>
  <si>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</si>
  <si>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</si>
  <si>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</si>
  <si>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</si>
  <si>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</si>
  <si>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</si>
  <si>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</si>
  <si>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</si>
  <si>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</si>
  <si>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</si>
  <si>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</si>
  <si>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</si>
  <si>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</si>
  <si>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徳島</t>
  </si>
  <si>
    <t>徳島</t>
  </si>
  <si>
    <t>鳴門</t>
  </si>
  <si>
    <t>鳴門</t>
  </si>
  <si>
    <t>阿南</t>
  </si>
  <si>
    <t>阿南</t>
  </si>
  <si>
    <t>川島</t>
  </si>
  <si>
    <t>川島</t>
  </si>
  <si>
    <t>脇町</t>
  </si>
  <si>
    <t>脇町</t>
  </si>
  <si>
    <t>池田</t>
  </si>
  <si>
    <t>池田</t>
  </si>
  <si>
    <t>徳島県計</t>
  </si>
  <si>
    <t>徳島県計</t>
  </si>
  <si>
    <t>高松</t>
  </si>
  <si>
    <t>高松</t>
  </si>
  <si>
    <t>丸亀</t>
  </si>
  <si>
    <t>丸亀</t>
  </si>
  <si>
    <t>坂出</t>
  </si>
  <si>
    <t>坂出</t>
  </si>
  <si>
    <t>観音寺</t>
  </si>
  <si>
    <t>観音寺</t>
  </si>
  <si>
    <t>長尾</t>
  </si>
  <si>
    <t>長尾</t>
  </si>
  <si>
    <t>土庄</t>
  </si>
  <si>
    <t>土庄</t>
  </si>
  <si>
    <t>香川県計</t>
  </si>
  <si>
    <t>香川県計</t>
  </si>
  <si>
    <t>松山</t>
  </si>
  <si>
    <t>松山</t>
  </si>
  <si>
    <t>今治</t>
  </si>
  <si>
    <t>今治</t>
  </si>
  <si>
    <t>宇和島</t>
  </si>
  <si>
    <t>宇和島</t>
  </si>
  <si>
    <t>八幡浜</t>
  </si>
  <si>
    <t>八幡浜</t>
  </si>
  <si>
    <t>新居浜</t>
  </si>
  <si>
    <t>新居浜</t>
  </si>
  <si>
    <t>伊予西条</t>
  </si>
  <si>
    <t>伊予西条</t>
  </si>
  <si>
    <t>大洲</t>
  </si>
  <si>
    <t>大洲</t>
  </si>
  <si>
    <t>伊予三島</t>
  </si>
  <si>
    <t>伊予三島</t>
  </si>
  <si>
    <t>愛媛県計</t>
  </si>
  <si>
    <t>愛媛県計</t>
  </si>
  <si>
    <t>高知</t>
  </si>
  <si>
    <t>高知</t>
  </si>
  <si>
    <t>安芸</t>
  </si>
  <si>
    <t>安芸</t>
  </si>
  <si>
    <t>南国</t>
  </si>
  <si>
    <t>南国</t>
  </si>
  <si>
    <t>須崎</t>
  </si>
  <si>
    <t>須崎</t>
  </si>
  <si>
    <t>中村</t>
  </si>
  <si>
    <t>中村</t>
  </si>
  <si>
    <t>伊野</t>
  </si>
  <si>
    <t>伊野</t>
  </si>
  <si>
    <t>高知県計</t>
  </si>
  <si>
    <t>高知県計</t>
  </si>
  <si>
    <t>総　計</t>
  </si>
  <si>
    <t>総　計</t>
  </si>
  <si>
    <t>（注）この表は「(1)　課税状況」の現年分を税務署別に示したものである（加算税を除く。）。</t>
  </si>
  <si>
    <t>(4)　税務署別課税状況（続）</t>
  </si>
  <si>
    <t>　ロ　法　　　人</t>
  </si>
  <si>
    <t>税務署名</t>
  </si>
  <si>
    <t>徳島</t>
  </si>
  <si>
    <t>鳴門</t>
  </si>
  <si>
    <t>阿南</t>
  </si>
  <si>
    <t>川島</t>
  </si>
  <si>
    <t>脇町</t>
  </si>
  <si>
    <t>池田</t>
  </si>
  <si>
    <t>徳島県計</t>
  </si>
  <si>
    <t>高松</t>
  </si>
  <si>
    <t>丸亀</t>
  </si>
  <si>
    <t>坂出</t>
  </si>
  <si>
    <t>観音寺</t>
  </si>
  <si>
    <t>　ハ　個人事業者と法人の合計</t>
  </si>
  <si>
    <t>課　税　事　業　者　等　届　出　件　数</t>
  </si>
  <si>
    <t>課税事業者
届出</t>
  </si>
  <si>
    <t>課税事業者
選択届出</t>
  </si>
  <si>
    <t>新設法人に
該当する旨
の届出</t>
  </si>
  <si>
    <t>合　　　計</t>
  </si>
  <si>
    <t>税　　額
(①－②＋③)</t>
  </si>
  <si>
    <t/>
  </si>
  <si>
    <t>香川県計</t>
  </si>
  <si>
    <t>愛媛県計</t>
  </si>
  <si>
    <t>高知県計</t>
  </si>
  <si>
    <t>（注）この表は「(1)　課税状況」の現年分及び「(3)　課税事業者等届出件数」を税務署別に示したものである（加算税を除く。）。</t>
  </si>
  <si>
    <t>平成22年度</t>
  </si>
  <si>
    <t>平成23年度</t>
  </si>
  <si>
    <t>平成24年度</t>
  </si>
  <si>
    <t>平成25年度</t>
  </si>
  <si>
    <t>調査対象等：</t>
  </si>
  <si>
    <t>（注）１</t>
  </si>
  <si>
    <t>　　　２</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</si>
  <si>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</si>
  <si>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</si>
  <si>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</si>
  <si>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</si>
  <si>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</si>
  <si>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</si>
  <si>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</si>
  <si>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</si>
  <si>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</si>
  <si>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</si>
  <si>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</si>
  <si>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</si>
  <si>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</si>
  <si>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</si>
  <si>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</si>
  <si>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</si>
  <si>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</si>
  <si>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</si>
  <si>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</si>
  <si>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</si>
  <si>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</si>
  <si>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</si>
  <si>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</si>
  <si>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</si>
  <si>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</si>
  <si>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</si>
  <si>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</si>
  <si>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</si>
  <si>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</si>
  <si>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</si>
  <si>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</si>
  <si>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総　計</t>
  </si>
  <si>
    <t>　税関分は含まない。</t>
  </si>
  <si>
    <t>　「件数欄」の「実」は、実件数を示す。</t>
  </si>
  <si>
    <t>　「現年分」は、平成26年４月１日から平成27年３月31日までに終了した課税期間について、平成27年６月30日現在の申告（国・地方公共団体等については平成27年９月30日までの申告を含む。）及び処理（更正、決定等）による課税事績を「申告書及び決議書」に基づいて作成した。</t>
  </si>
  <si>
    <t>　「既往年分」は、平成26年３月31日以前に終了した課税期間について、平成26年７月１日から平成27年６月30日までの間の申告（平成26年７月１日から同年９月30日までの間の国・地方公共団体等に係る申告を除く。）及び処理（更正、決定等）による課税事績を「申告書及び決議書」に基づいて作成した。</t>
  </si>
  <si>
    <t>平成26年度</t>
  </si>
  <si>
    <t>調査対象等：　平成26年度末（平成27年３月31日現在）の届出件数を示している。</t>
  </si>
  <si>
    <t xml:space="preserve"> -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</si>
</sst>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8">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bottom style="hair">
        <color indexed="55"/>
      </bottom>
    </border>
    <border>
      <left style="thin"/>
      <right style="medium"/>
      <top style="thin">
        <color indexed="23"/>
      </top>
      <bottom/>
    </border>
    <border>
      <left style="thin"/>
      <right style="medium"/>
      <top style="double"/>
      <bottom style="mediu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hair"/>
      <top>
        <color indexed="63"/>
      </top>
      <bottom style="hair">
        <color indexed="55"/>
      </bottom>
    </border>
    <border>
      <left>
        <color indexed="63"/>
      </left>
      <right style="hair">
        <color theme="1"/>
      </right>
      <top style="thin"/>
      <bottom>
        <color indexed="63"/>
      </bottom>
    </border>
    <border>
      <left>
        <color indexed="63"/>
      </left>
      <right style="hair">
        <color theme="1"/>
      </right>
      <top>
        <color indexed="63"/>
      </top>
      <bottom style="hair">
        <color indexed="55"/>
      </bottom>
    </border>
    <border>
      <left style="hair"/>
      <right style="hair">
        <color theme="1"/>
      </right>
      <top>
        <color indexed="63"/>
      </top>
      <bottom style="hair">
        <color indexed="55"/>
      </bottom>
    </border>
    <border>
      <left>
        <color indexed="63"/>
      </left>
      <right/>
      <top/>
      <bottom style="hair">
        <color indexed="55"/>
      </bottom>
    </border>
    <border>
      <left style="hair">
        <color theme="1"/>
      </left>
      <right style="hair">
        <color theme="1"/>
      </right>
      <top style="thin"/>
      <bottom>
        <color indexed="63"/>
      </bottom>
    </border>
    <border>
      <left style="hair">
        <color theme="1"/>
      </left>
      <right style="hair">
        <color theme="1"/>
      </right>
      <top>
        <color indexed="63"/>
      </top>
      <bottom style="hair">
        <color indexed="55"/>
      </bottom>
    </border>
    <border>
      <left style="hair"/>
      <right style="thin">
        <color theme="1"/>
      </right>
      <top style="thin"/>
      <bottom/>
    </border>
    <border>
      <left style="hair"/>
      <right style="thin">
        <color theme="1"/>
      </right>
      <top/>
      <bottom style="hair">
        <color indexed="55"/>
      </bottom>
    </border>
    <border>
      <left>
        <color indexed="63"/>
      </left>
      <right>
        <color indexed="63"/>
      </right>
      <top style="thin"/>
      <bottom>
        <color indexed="63"/>
      </bottom>
    </border>
    <border>
      <left style="hair">
        <color theme="1"/>
      </left>
      <right style="thin">
        <color theme="1"/>
      </right>
      <top style="thin"/>
      <bottom>
        <color indexed="63"/>
      </bottom>
    </border>
    <border>
      <left style="thin"/>
      <right>
        <color indexed="63"/>
      </right>
      <top/>
      <bottom style="hair">
        <color indexed="55"/>
      </bottom>
    </border>
    <border>
      <left style="medium">
        <color theme="1"/>
      </left>
      <right>
        <color indexed="63"/>
      </right>
      <top>
        <color indexed="63"/>
      </top>
      <bottom>
        <color indexed="63"/>
      </botto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color indexed="63"/>
      </left>
      <right style="medium"/>
      <top/>
      <bottom/>
    </border>
    <border>
      <left>
        <color indexed="63"/>
      </left>
      <right>
        <color indexed="63"/>
      </right>
      <top/>
      <bottom style="thin"/>
    </border>
    <border>
      <left style="thin"/>
      <right style="hair">
        <color theme="1"/>
      </right>
      <top style="hair"/>
      <bottom>
        <color indexed="63"/>
      </bottom>
    </border>
    <border>
      <left style="thin"/>
      <right style="hair">
        <color theme="1"/>
      </right>
      <top>
        <color indexed="63"/>
      </top>
      <bottom style="thin"/>
    </border>
    <border>
      <left>
        <color indexed="63"/>
      </left>
      <right style="hair">
        <color theme="1"/>
      </right>
      <top style="hair"/>
      <bottom/>
    </border>
    <border>
      <left>
        <color indexed="63"/>
      </left>
      <right style="hair">
        <color theme="1"/>
      </right>
      <top/>
      <bottom style="thin"/>
    </border>
    <border>
      <left style="hair">
        <color theme="1"/>
      </left>
      <right style="hair">
        <color theme="1"/>
      </right>
      <top style="hair"/>
      <bottom style="hair"/>
    </border>
    <border>
      <left style="hair">
        <color theme="1"/>
      </left>
      <right style="hair">
        <color theme="1"/>
      </right>
      <top style="hair"/>
      <bottom style="thin"/>
    </border>
    <border>
      <left style="hair">
        <color theme="1"/>
      </left>
      <right style="thin">
        <color theme="1"/>
      </right>
      <top style="hair"/>
      <bottom style="hair"/>
    </border>
    <border>
      <left style="hair">
        <color theme="1"/>
      </left>
      <right style="thin">
        <color theme="1"/>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3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3" fontId="2" fillId="34" borderId="29"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1"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2" xfId="0" applyFont="1" applyBorder="1" applyAlignment="1">
      <alignment horizontal="distributed"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7" fillId="0" borderId="34"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5" xfId="0" applyNumberFormat="1" applyFont="1" applyFill="1" applyBorder="1" applyAlignment="1">
      <alignment horizontal="right" vertical="center"/>
    </xf>
    <xf numFmtId="0" fontId="2" fillId="0" borderId="34"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40"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1" xfId="61" applyFont="1" applyBorder="1" applyAlignment="1">
      <alignment horizontal="distributed" vertical="center" indent="1"/>
      <protection/>
    </xf>
    <xf numFmtId="0" fontId="2" fillId="0" borderId="42" xfId="61" applyFont="1" applyBorder="1" applyAlignment="1">
      <alignment horizontal="distributed" vertical="center" indent="1"/>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3" xfId="61" applyFont="1" applyBorder="1" applyAlignment="1">
      <alignment horizontal="centerContinuous" vertical="center" wrapText="1"/>
      <protection/>
    </xf>
    <xf numFmtId="0" fontId="7" fillId="35" borderId="34"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4" xfId="61" applyFont="1" applyFill="1" applyBorder="1" applyAlignment="1">
      <alignment horizontal="right" vertical="top"/>
      <protection/>
    </xf>
    <xf numFmtId="0" fontId="7" fillId="35" borderId="39"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9" fillId="0" borderId="0" xfId="61" applyFont="1">
      <alignment/>
      <protection/>
    </xf>
    <xf numFmtId="0" fontId="2" fillId="36" borderId="47" xfId="61" applyFont="1" applyFill="1" applyBorder="1" applyAlignment="1">
      <alignment horizontal="distributed" vertical="center"/>
      <protection/>
    </xf>
    <xf numFmtId="0" fontId="2" fillId="36" borderId="48" xfId="61" applyFont="1" applyFill="1" applyBorder="1" applyAlignment="1">
      <alignment horizontal="distributed" vertical="center"/>
      <protection/>
    </xf>
    <xf numFmtId="0" fontId="6" fillId="36" borderId="49" xfId="61" applyFont="1" applyFill="1" applyBorder="1" applyAlignment="1">
      <alignment horizontal="distributed" vertical="center"/>
      <protection/>
    </xf>
    <xf numFmtId="0" fontId="6" fillId="36" borderId="50" xfId="61" applyFont="1" applyFill="1" applyBorder="1" applyAlignment="1">
      <alignment horizontal="distributed" vertical="center"/>
      <protection/>
    </xf>
    <xf numFmtId="0" fontId="10" fillId="0" borderId="51" xfId="61" applyFont="1" applyFill="1" applyBorder="1" applyAlignment="1">
      <alignment horizontal="distributed" vertical="center"/>
      <protection/>
    </xf>
    <xf numFmtId="0" fontId="10" fillId="0" borderId="52" xfId="61" applyFont="1" applyFill="1" applyBorder="1" applyAlignment="1">
      <alignment horizontal="center" vertical="center"/>
      <protection/>
    </xf>
    <xf numFmtId="0" fontId="10" fillId="0" borderId="53" xfId="61" applyFont="1" applyFill="1" applyBorder="1" applyAlignment="1">
      <alignment horizontal="distributed" vertical="center"/>
      <protection/>
    </xf>
    <xf numFmtId="0" fontId="10" fillId="0" borderId="54" xfId="61" applyFont="1" applyFill="1" applyBorder="1" applyAlignment="1">
      <alignment horizontal="center" vertical="center"/>
      <protection/>
    </xf>
    <xf numFmtId="0" fontId="11" fillId="0" borderId="0" xfId="61" applyFont="1">
      <alignment/>
      <protection/>
    </xf>
    <xf numFmtId="0" fontId="6" fillId="0" borderId="55" xfId="61" applyFont="1" applyBorder="1" applyAlignment="1">
      <alignment horizontal="center" vertical="center"/>
      <protection/>
    </xf>
    <xf numFmtId="0" fontId="6" fillId="0" borderId="56" xfId="61" applyFont="1" applyBorder="1" applyAlignment="1">
      <alignment horizontal="center" vertical="center"/>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2" fillId="0" borderId="42" xfId="61" applyFont="1" applyBorder="1" applyAlignment="1">
      <alignment horizontal="center" vertical="center" wrapText="1"/>
      <protection/>
    </xf>
    <xf numFmtId="0" fontId="2" fillId="36" borderId="57" xfId="61" applyFont="1" applyFill="1" applyBorder="1" applyAlignment="1">
      <alignment horizontal="distributed" vertical="center"/>
      <protection/>
    </xf>
    <xf numFmtId="0" fontId="10" fillId="0" borderId="58" xfId="61" applyFont="1" applyFill="1" applyBorder="1" applyAlignment="1">
      <alignment horizontal="center" vertical="center"/>
      <protection/>
    </xf>
    <xf numFmtId="0" fontId="6" fillId="0" borderId="59" xfId="61" applyFont="1" applyBorder="1" applyAlignment="1">
      <alignment horizontal="center" vertical="center"/>
      <protection/>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6" xfId="0" applyNumberFormat="1" applyFont="1" applyFill="1" applyBorder="1" applyAlignment="1">
      <alignment vertical="center"/>
    </xf>
    <xf numFmtId="3" fontId="2" fillId="34" borderId="61"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0" fillId="0" borderId="0" xfId="61" applyFont="1">
      <alignment/>
      <protection/>
    </xf>
    <xf numFmtId="177" fontId="2" fillId="34" borderId="35" xfId="61" applyNumberFormat="1" applyFont="1" applyFill="1" applyBorder="1" applyAlignment="1">
      <alignment horizontal="right" vertical="center"/>
      <protection/>
    </xf>
    <xf numFmtId="177" fontId="2" fillId="33" borderId="32" xfId="61" applyNumberFormat="1" applyFont="1" applyFill="1" applyBorder="1" applyAlignment="1">
      <alignment horizontal="right" vertical="center"/>
      <protection/>
    </xf>
    <xf numFmtId="177" fontId="2" fillId="33" borderId="73"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5"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10" fillId="0" borderId="80" xfId="61" applyNumberFormat="1" applyFont="1" applyFill="1" applyBorder="1" applyAlignment="1">
      <alignment horizontal="right" vertical="center"/>
      <protection/>
    </xf>
    <xf numFmtId="177" fontId="10" fillId="0" borderId="81" xfId="61" applyNumberFormat="1" applyFont="1" applyFill="1" applyBorder="1" applyAlignment="1">
      <alignment horizontal="right" vertical="center"/>
      <protection/>
    </xf>
    <xf numFmtId="177" fontId="10"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34" borderId="86" xfId="61" applyNumberFormat="1" applyFont="1" applyFill="1" applyBorder="1" applyAlignment="1">
      <alignment horizontal="right" vertical="center"/>
      <protection/>
    </xf>
    <xf numFmtId="177" fontId="2" fillId="34" borderId="87" xfId="61" applyNumberFormat="1" applyFont="1" applyFill="1" applyBorder="1" applyAlignment="1">
      <alignment horizontal="right" vertical="center"/>
      <protection/>
    </xf>
    <xf numFmtId="177" fontId="2" fillId="34"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6" fillId="34" borderId="1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92" xfId="61" applyNumberFormat="1" applyFont="1" applyFill="1" applyBorder="1" applyAlignment="1">
      <alignment horizontal="right" vertical="center"/>
      <protection/>
    </xf>
    <xf numFmtId="177" fontId="6" fillId="34" borderId="93" xfId="61" applyNumberFormat="1" applyFont="1" applyFill="1" applyBorder="1" applyAlignment="1">
      <alignment horizontal="right" vertical="center"/>
      <protection/>
    </xf>
    <xf numFmtId="177" fontId="6" fillId="34" borderId="94" xfId="61" applyNumberFormat="1" applyFont="1" applyFill="1" applyBorder="1" applyAlignment="1">
      <alignment horizontal="right" vertical="center"/>
      <protection/>
    </xf>
    <xf numFmtId="177" fontId="6" fillId="34" borderId="95"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3" fontId="2" fillId="34" borderId="96" xfId="0" applyNumberFormat="1" applyFont="1" applyFill="1" applyBorder="1" applyAlignment="1">
      <alignment horizontal="right" vertical="center" indent="1"/>
    </xf>
    <xf numFmtId="3" fontId="2" fillId="34" borderId="97" xfId="0" applyNumberFormat="1" applyFont="1" applyFill="1" applyBorder="1" applyAlignment="1">
      <alignment horizontal="right" vertical="center" indent="1"/>
    </xf>
    <xf numFmtId="3" fontId="2" fillId="34" borderId="98" xfId="0" applyNumberFormat="1" applyFont="1" applyFill="1" applyBorder="1" applyAlignment="1">
      <alignment horizontal="right" vertical="center" indent="1"/>
    </xf>
    <xf numFmtId="3" fontId="2" fillId="34" borderId="56" xfId="0" applyNumberFormat="1" applyFont="1" applyFill="1" applyBorder="1" applyAlignment="1">
      <alignment horizontal="right" vertical="center" indent="1"/>
    </xf>
    <xf numFmtId="0" fontId="2" fillId="0" borderId="99" xfId="0" applyFont="1" applyBorder="1" applyAlignment="1">
      <alignment horizontal="right" vertical="top" wrapText="1"/>
    </xf>
    <xf numFmtId="0" fontId="2" fillId="0" borderId="0" xfId="0" applyFont="1" applyAlignment="1">
      <alignment horizontal="right" vertical="top"/>
    </xf>
    <xf numFmtId="0" fontId="2" fillId="0" borderId="0" xfId="0" applyFont="1" applyAlignment="1" quotePrefix="1">
      <alignment horizontal="right" vertical="top"/>
    </xf>
    <xf numFmtId="177" fontId="47" fillId="34" borderId="60" xfId="61" applyNumberFormat="1" applyFont="1" applyFill="1" applyBorder="1" applyAlignment="1">
      <alignment horizontal="right" vertical="center"/>
      <protection/>
    </xf>
    <xf numFmtId="177" fontId="2" fillId="34" borderId="100" xfId="61" applyNumberFormat="1" applyFont="1" applyFill="1" applyBorder="1" applyAlignment="1">
      <alignment horizontal="right" vertical="center"/>
      <protection/>
    </xf>
    <xf numFmtId="0" fontId="7" fillId="34" borderId="101" xfId="0" applyFont="1" applyFill="1" applyBorder="1" applyAlignment="1">
      <alignment horizontal="right"/>
    </xf>
    <xf numFmtId="177" fontId="2" fillId="34" borderId="102" xfId="61" applyNumberFormat="1" applyFont="1" applyFill="1" applyBorder="1" applyAlignment="1">
      <alignment horizontal="right" vertical="center"/>
      <protection/>
    </xf>
    <xf numFmtId="177" fontId="2" fillId="34" borderId="103" xfId="61" applyNumberFormat="1" applyFont="1" applyFill="1" applyBorder="1" applyAlignment="1">
      <alignment horizontal="right" vertical="center"/>
      <protection/>
    </xf>
    <xf numFmtId="177" fontId="2" fillId="34" borderId="104" xfId="61" applyNumberFormat="1" applyFont="1" applyFill="1" applyBorder="1" applyAlignment="1">
      <alignment horizontal="right" vertical="center"/>
      <protection/>
    </xf>
    <xf numFmtId="0" fontId="7" fillId="34" borderId="105" xfId="0" applyFont="1" applyFill="1" applyBorder="1" applyAlignment="1">
      <alignment horizontal="right"/>
    </xf>
    <xf numFmtId="177" fontId="2" fillId="34" borderId="106" xfId="61" applyNumberFormat="1" applyFont="1" applyFill="1" applyBorder="1" applyAlignment="1">
      <alignment horizontal="right" vertical="center"/>
      <protection/>
    </xf>
    <xf numFmtId="0" fontId="7" fillId="33" borderId="107" xfId="61" applyFont="1" applyFill="1" applyBorder="1" applyAlignment="1">
      <alignment horizontal="right" vertical="top"/>
      <protection/>
    </xf>
    <xf numFmtId="177" fontId="2" fillId="33" borderId="108" xfId="61" applyNumberFormat="1" applyFont="1" applyFill="1" applyBorder="1" applyAlignment="1">
      <alignment horizontal="right" vertical="center"/>
      <protection/>
    </xf>
    <xf numFmtId="0" fontId="7" fillId="35" borderId="109" xfId="61" applyFont="1" applyFill="1" applyBorder="1" applyAlignment="1">
      <alignment horizontal="distributed" vertical="top"/>
      <protection/>
    </xf>
    <xf numFmtId="0" fontId="7" fillId="34" borderId="110" xfId="0" applyFont="1" applyFill="1" applyBorder="1" applyAlignment="1">
      <alignment horizontal="right"/>
    </xf>
    <xf numFmtId="0" fontId="2" fillId="36" borderId="111" xfId="61" applyFont="1" applyFill="1" applyBorder="1" applyAlignment="1">
      <alignment horizontal="distributed" vertical="center"/>
      <protection/>
    </xf>
    <xf numFmtId="0" fontId="0" fillId="0" borderId="112" xfId="61" applyFont="1" applyBorder="1">
      <alignment/>
      <protection/>
    </xf>
    <xf numFmtId="0" fontId="8" fillId="0" borderId="112" xfId="61" applyFont="1" applyBorder="1" applyAlignment="1">
      <alignment vertical="top"/>
      <protection/>
    </xf>
    <xf numFmtId="0" fontId="2" fillId="0" borderId="113" xfId="0" applyFont="1" applyBorder="1" applyAlignment="1">
      <alignment horizontal="distributed" vertical="center" wrapText="1"/>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wrapText="1"/>
    </xf>
    <xf numFmtId="0" fontId="2" fillId="0" borderId="116" xfId="0" applyFont="1" applyBorder="1" applyAlignment="1">
      <alignment horizontal="distributed" vertical="center"/>
    </xf>
    <xf numFmtId="0" fontId="6" fillId="0" borderId="117" xfId="0" applyFont="1" applyBorder="1" applyAlignment="1">
      <alignment horizontal="distributed" vertical="center"/>
    </xf>
    <xf numFmtId="0" fontId="6" fillId="0" borderId="118" xfId="0" applyFont="1" applyBorder="1" applyAlignment="1">
      <alignment horizontal="distributed" vertical="center"/>
    </xf>
    <xf numFmtId="0" fontId="2" fillId="0" borderId="55" xfId="0" applyFont="1" applyBorder="1" applyAlignment="1">
      <alignment horizontal="distributed" vertical="center"/>
    </xf>
    <xf numFmtId="0" fontId="2" fillId="0" borderId="119" xfId="0" applyFont="1" applyBorder="1" applyAlignment="1">
      <alignment horizontal="distributed" vertical="center"/>
    </xf>
    <xf numFmtId="0" fontId="2" fillId="0" borderId="99"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128" xfId="0" applyFont="1" applyBorder="1" applyAlignment="1">
      <alignment horizontal="center" vertical="center"/>
    </xf>
    <xf numFmtId="0" fontId="2" fillId="0" borderId="99" xfId="0" applyFont="1" applyBorder="1" applyAlignment="1">
      <alignment horizontal="center" vertical="center"/>
    </xf>
    <xf numFmtId="0" fontId="2" fillId="0" borderId="129" xfId="0" applyFont="1" applyBorder="1" applyAlignment="1">
      <alignment horizontal="center" vertical="center"/>
    </xf>
    <xf numFmtId="0" fontId="2" fillId="0" borderId="115"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99"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120" xfId="61" applyFont="1" applyBorder="1" applyAlignment="1">
      <alignment horizontal="distributed" vertical="center"/>
      <protection/>
    </xf>
    <xf numFmtId="0" fontId="2" fillId="0" borderId="122" xfId="61" applyFont="1" applyBorder="1" applyAlignment="1">
      <alignment horizontal="distributed" vertical="center"/>
      <protection/>
    </xf>
    <xf numFmtId="0" fontId="2" fillId="0" borderId="133" xfId="61" applyFont="1" applyBorder="1" applyAlignment="1">
      <alignment horizontal="distributed"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center" vertical="center"/>
      <protection/>
    </xf>
    <xf numFmtId="0" fontId="2" fillId="0" borderId="136" xfId="61" applyFont="1" applyBorder="1" applyAlignment="1">
      <alignment horizontal="center" vertical="center"/>
      <protection/>
    </xf>
    <xf numFmtId="0" fontId="2" fillId="0" borderId="137" xfId="61" applyFont="1" applyBorder="1" applyAlignment="1">
      <alignment horizontal="center" vertical="center"/>
      <protection/>
    </xf>
    <xf numFmtId="0" fontId="2" fillId="0" borderId="138" xfId="61" applyFont="1" applyBorder="1" applyAlignment="1">
      <alignment horizontal="center" vertical="center"/>
      <protection/>
    </xf>
    <xf numFmtId="0" fontId="2" fillId="0" borderId="135" xfId="61" applyFont="1" applyBorder="1" applyAlignment="1">
      <alignment horizontal="center" vertical="center" wrapText="1"/>
      <protection/>
    </xf>
    <xf numFmtId="0" fontId="2" fillId="0" borderId="40" xfId="61" applyFont="1" applyBorder="1" applyAlignment="1">
      <alignment horizontal="distributed" vertical="center" wrapText="1"/>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141" xfId="61" applyFont="1" applyBorder="1" applyAlignment="1">
      <alignment horizontal="center" vertical="center"/>
      <protection/>
    </xf>
    <xf numFmtId="0" fontId="2" fillId="0" borderId="142" xfId="61" applyFont="1" applyBorder="1" applyAlignment="1">
      <alignment horizontal="center" vertical="center"/>
      <protection/>
    </xf>
    <xf numFmtId="0" fontId="2" fillId="0" borderId="99" xfId="61" applyFont="1" applyBorder="1" applyAlignment="1">
      <alignment horizontal="left" vertical="center"/>
      <protection/>
    </xf>
    <xf numFmtId="0" fontId="2" fillId="0" borderId="143" xfId="61" applyFont="1" applyBorder="1" applyAlignment="1">
      <alignment horizontal="left" vertical="center"/>
      <protection/>
    </xf>
    <xf numFmtId="0" fontId="2" fillId="0" borderId="134" xfId="61" applyFont="1" applyBorder="1" applyAlignment="1">
      <alignment horizontal="center" vertical="center" wrapText="1"/>
      <protection/>
    </xf>
    <xf numFmtId="0" fontId="2" fillId="0" borderId="144" xfId="61" applyFont="1" applyBorder="1" applyAlignment="1">
      <alignment horizontal="center" vertical="center"/>
      <protection/>
    </xf>
    <xf numFmtId="0" fontId="2" fillId="0" borderId="145" xfId="61" applyFont="1" applyBorder="1" applyAlignment="1">
      <alignment horizontal="center" vertical="center"/>
      <protection/>
    </xf>
    <xf numFmtId="0" fontId="2" fillId="0" borderId="146" xfId="61" applyFont="1" applyBorder="1" applyAlignment="1">
      <alignment horizontal="distributed" vertical="center" wrapText="1"/>
      <protection/>
    </xf>
    <xf numFmtId="0" fontId="2" fillId="0" borderId="147" xfId="61" applyFont="1" applyBorder="1" applyAlignment="1">
      <alignment horizontal="distributed" vertical="center" wrapText="1"/>
      <protection/>
    </xf>
    <xf numFmtId="0" fontId="2" fillId="0" borderId="148" xfId="61" applyFont="1" applyBorder="1" applyAlignment="1">
      <alignment horizontal="distributed" vertical="center" wrapText="1"/>
      <protection/>
    </xf>
    <xf numFmtId="0" fontId="2" fillId="0" borderId="149" xfId="61" applyFont="1" applyBorder="1" applyAlignment="1">
      <alignment horizontal="distributed" vertical="center"/>
      <protection/>
    </xf>
    <xf numFmtId="0" fontId="2" fillId="0" borderId="150" xfId="61" applyFont="1" applyBorder="1" applyAlignment="1">
      <alignment horizontal="distributed" vertical="center" wrapText="1"/>
      <protection/>
    </xf>
    <xf numFmtId="0" fontId="2" fillId="0" borderId="151" xfId="61" applyFont="1" applyBorder="1" applyAlignment="1">
      <alignment horizontal="distributed" vertical="center"/>
      <protection/>
    </xf>
    <xf numFmtId="0" fontId="2" fillId="0" borderId="152" xfId="61" applyFont="1" applyBorder="1" applyAlignment="1">
      <alignment horizontal="distributed" vertical="center" wrapText="1"/>
      <protection/>
    </xf>
    <xf numFmtId="0" fontId="2" fillId="0" borderId="153" xfId="61" applyFont="1" applyBorder="1" applyAlignment="1">
      <alignment horizontal="distributed" vertical="center" wrapText="1"/>
      <protection/>
    </xf>
    <xf numFmtId="0" fontId="2" fillId="0" borderId="154" xfId="61" applyFont="1" applyBorder="1" applyAlignment="1">
      <alignment horizontal="center" vertical="center"/>
      <protection/>
    </xf>
    <xf numFmtId="0" fontId="2" fillId="0" borderId="155"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81" t="s">
        <v>0</v>
      </c>
      <c r="B1" s="181"/>
      <c r="C1" s="181"/>
      <c r="D1" s="181"/>
      <c r="E1" s="181"/>
      <c r="F1" s="181"/>
      <c r="G1" s="181"/>
      <c r="H1" s="181"/>
      <c r="I1" s="181"/>
      <c r="J1" s="181"/>
      <c r="K1" s="181"/>
    </row>
    <row r="2" spans="1:11" ht="15">
      <c r="A2" s="56"/>
      <c r="B2" s="56"/>
      <c r="C2" s="56"/>
      <c r="D2" s="56"/>
      <c r="E2" s="56"/>
      <c r="F2" s="56"/>
      <c r="G2" s="56"/>
      <c r="H2" s="56"/>
      <c r="I2" s="56"/>
      <c r="J2" s="56"/>
      <c r="K2" s="56"/>
    </row>
    <row r="3" spans="1:11" ht="12" thickBot="1">
      <c r="A3" s="182" t="s">
        <v>137</v>
      </c>
      <c r="B3" s="182"/>
      <c r="C3" s="182"/>
      <c r="D3" s="182"/>
      <c r="E3" s="182"/>
      <c r="F3" s="182"/>
      <c r="G3" s="182"/>
      <c r="H3" s="182"/>
      <c r="I3" s="182"/>
      <c r="J3" s="182"/>
      <c r="K3" s="182"/>
    </row>
    <row r="4" spans="1:11" ht="24" customHeight="1">
      <c r="A4" s="183" t="s">
        <v>1</v>
      </c>
      <c r="B4" s="184"/>
      <c r="C4" s="187" t="s">
        <v>138</v>
      </c>
      <c r="D4" s="188"/>
      <c r="E4" s="189"/>
      <c r="F4" s="187" t="s">
        <v>139</v>
      </c>
      <c r="G4" s="188"/>
      <c r="H4" s="189"/>
      <c r="I4" s="187" t="s">
        <v>140</v>
      </c>
      <c r="J4" s="188"/>
      <c r="K4" s="190"/>
    </row>
    <row r="5" spans="1:11" ht="24" customHeight="1">
      <c r="A5" s="185"/>
      <c r="B5" s="186"/>
      <c r="C5" s="191" t="s">
        <v>2</v>
      </c>
      <c r="D5" s="192"/>
      <c r="E5" s="6" t="s">
        <v>3</v>
      </c>
      <c r="F5" s="191" t="s">
        <v>2</v>
      </c>
      <c r="G5" s="192"/>
      <c r="H5" s="6" t="s">
        <v>3</v>
      </c>
      <c r="I5" s="191" t="s">
        <v>2</v>
      </c>
      <c r="J5" s="192"/>
      <c r="K5" s="14" t="s">
        <v>3</v>
      </c>
    </row>
    <row r="6" spans="1:11" ht="12" customHeight="1">
      <c r="A6" s="43"/>
      <c r="B6" s="46"/>
      <c r="C6" s="44"/>
      <c r="D6" s="36" t="s">
        <v>23</v>
      </c>
      <c r="E6" s="35" t="s">
        <v>22</v>
      </c>
      <c r="F6" s="44"/>
      <c r="G6" s="36" t="s">
        <v>23</v>
      </c>
      <c r="H6" s="35" t="s">
        <v>22</v>
      </c>
      <c r="I6" s="44"/>
      <c r="J6" s="36" t="s">
        <v>23</v>
      </c>
      <c r="K6" s="45" t="s">
        <v>22</v>
      </c>
    </row>
    <row r="7" spans="1:11" ht="30" customHeight="1">
      <c r="A7" s="170" t="s">
        <v>141</v>
      </c>
      <c r="B7" s="40" t="s">
        <v>142</v>
      </c>
      <c r="C7" s="15"/>
      <c r="D7" s="95">
        <v>13275</v>
      </c>
      <c r="E7" s="41">
        <v>6369189</v>
      </c>
      <c r="F7" s="18"/>
      <c r="G7" s="95">
        <v>36776</v>
      </c>
      <c r="H7" s="41">
        <v>217028792</v>
      </c>
      <c r="I7" s="18"/>
      <c r="J7" s="95">
        <v>50051</v>
      </c>
      <c r="K7" s="42">
        <v>223397980</v>
      </c>
    </row>
    <row r="8" spans="1:11" ht="30" customHeight="1">
      <c r="A8" s="171"/>
      <c r="B8" s="23" t="s">
        <v>143</v>
      </c>
      <c r="C8" s="15"/>
      <c r="D8" s="96">
        <v>21804</v>
      </c>
      <c r="E8" s="97">
        <v>7350059</v>
      </c>
      <c r="F8" s="18"/>
      <c r="G8" s="96">
        <v>16980</v>
      </c>
      <c r="H8" s="97">
        <v>8411690</v>
      </c>
      <c r="I8" s="18"/>
      <c r="J8" s="96">
        <v>38784</v>
      </c>
      <c r="K8" s="98">
        <v>15761749</v>
      </c>
    </row>
    <row r="9" spans="1:11" s="3" customFormat="1" ht="30" customHeight="1">
      <c r="A9" s="171"/>
      <c r="B9" s="24" t="s">
        <v>144</v>
      </c>
      <c r="C9" s="16"/>
      <c r="D9" s="99">
        <v>35079</v>
      </c>
      <c r="E9" s="100">
        <v>13719248</v>
      </c>
      <c r="F9" s="16"/>
      <c r="G9" s="99">
        <v>53756</v>
      </c>
      <c r="H9" s="100">
        <v>225440481</v>
      </c>
      <c r="I9" s="16"/>
      <c r="J9" s="99">
        <v>88835</v>
      </c>
      <c r="K9" s="101">
        <v>239159729</v>
      </c>
    </row>
    <row r="10" spans="1:11" ht="30" customHeight="1">
      <c r="A10" s="172"/>
      <c r="B10" s="25" t="s">
        <v>145</v>
      </c>
      <c r="C10" s="15"/>
      <c r="D10" s="102">
        <v>1100</v>
      </c>
      <c r="E10" s="103">
        <v>806791</v>
      </c>
      <c r="F10" s="15"/>
      <c r="G10" s="102">
        <v>2459</v>
      </c>
      <c r="H10" s="103">
        <v>46126557</v>
      </c>
      <c r="I10" s="15"/>
      <c r="J10" s="102">
        <v>3559</v>
      </c>
      <c r="K10" s="104">
        <v>46933348</v>
      </c>
    </row>
    <row r="11" spans="1:11" ht="30" customHeight="1">
      <c r="A11" s="173" t="s">
        <v>146</v>
      </c>
      <c r="B11" s="57" t="s">
        <v>147</v>
      </c>
      <c r="C11" s="9"/>
      <c r="D11" s="105">
        <v>2840</v>
      </c>
      <c r="E11" s="20">
        <v>518347</v>
      </c>
      <c r="F11" s="37"/>
      <c r="G11" s="106">
        <v>3462</v>
      </c>
      <c r="H11" s="20">
        <v>2465184</v>
      </c>
      <c r="I11" s="37"/>
      <c r="J11" s="106">
        <v>6302</v>
      </c>
      <c r="K11" s="21">
        <v>2983530</v>
      </c>
    </row>
    <row r="12" spans="1:11" ht="30" customHeight="1">
      <c r="A12" s="174"/>
      <c r="B12" s="58" t="s">
        <v>148</v>
      </c>
      <c r="C12" s="38"/>
      <c r="D12" s="96">
        <v>179</v>
      </c>
      <c r="E12" s="97">
        <v>27363</v>
      </c>
      <c r="F12" s="39"/>
      <c r="G12" s="107">
        <v>320</v>
      </c>
      <c r="H12" s="97">
        <v>287281</v>
      </c>
      <c r="I12" s="39"/>
      <c r="J12" s="107">
        <v>499</v>
      </c>
      <c r="K12" s="98">
        <v>314645</v>
      </c>
    </row>
    <row r="13" spans="1:11" s="3" customFormat="1" ht="30" customHeight="1">
      <c r="A13" s="175" t="s">
        <v>6</v>
      </c>
      <c r="B13" s="176"/>
      <c r="C13" s="26" t="s">
        <v>14</v>
      </c>
      <c r="D13" s="108">
        <v>37225</v>
      </c>
      <c r="E13" s="109">
        <v>13403440</v>
      </c>
      <c r="F13" s="26" t="s">
        <v>14</v>
      </c>
      <c r="G13" s="108">
        <v>56486</v>
      </c>
      <c r="H13" s="109">
        <v>181491826</v>
      </c>
      <c r="I13" s="26" t="s">
        <v>14</v>
      </c>
      <c r="J13" s="108">
        <v>93711</v>
      </c>
      <c r="K13" s="110">
        <v>194895266</v>
      </c>
    </row>
    <row r="14" spans="1:11" ht="30" customHeight="1" thickBot="1">
      <c r="A14" s="177" t="s">
        <v>7</v>
      </c>
      <c r="B14" s="178"/>
      <c r="C14" s="17"/>
      <c r="D14" s="111">
        <v>2572</v>
      </c>
      <c r="E14" s="112">
        <v>98780</v>
      </c>
      <c r="F14" s="19"/>
      <c r="G14" s="111">
        <v>2559</v>
      </c>
      <c r="H14" s="112">
        <v>672947</v>
      </c>
      <c r="I14" s="19"/>
      <c r="J14" s="111">
        <v>5131</v>
      </c>
      <c r="K14" s="113">
        <v>771726</v>
      </c>
    </row>
    <row r="15" spans="1:11" s="4" customFormat="1" ht="37.5" customHeight="1">
      <c r="A15" s="152" t="s">
        <v>134</v>
      </c>
      <c r="B15" s="179" t="s">
        <v>171</v>
      </c>
      <c r="C15" s="179"/>
      <c r="D15" s="179"/>
      <c r="E15" s="179"/>
      <c r="F15" s="179"/>
      <c r="G15" s="179"/>
      <c r="H15" s="179"/>
      <c r="I15" s="179"/>
      <c r="J15" s="179"/>
      <c r="K15" s="179"/>
    </row>
    <row r="16" spans="2:11" ht="45" customHeight="1">
      <c r="B16" s="180" t="s">
        <v>172</v>
      </c>
      <c r="C16" s="180"/>
      <c r="D16" s="180"/>
      <c r="E16" s="180"/>
      <c r="F16" s="180"/>
      <c r="G16" s="180"/>
      <c r="H16" s="180"/>
      <c r="I16" s="180"/>
      <c r="J16" s="180"/>
      <c r="K16" s="180"/>
    </row>
    <row r="17" spans="1:2" ht="14.25" customHeight="1">
      <c r="A17" s="153" t="s">
        <v>135</v>
      </c>
      <c r="B17" s="1" t="s">
        <v>169</v>
      </c>
    </row>
    <row r="18" spans="1:2" ht="11.25">
      <c r="A18" s="154" t="s">
        <v>136</v>
      </c>
      <c r="B18" s="1" t="s">
        <v>170</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消費税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60" customWidth="1"/>
    <col min="2" max="2" width="15.625" style="60" customWidth="1"/>
    <col min="3" max="3" width="8.625" style="60" customWidth="1"/>
    <col min="4" max="4" width="10.625" style="60" customWidth="1"/>
    <col min="5" max="5" width="8.625" style="60" customWidth="1"/>
    <col min="6" max="6" width="12.875" style="60" bestFit="1" customWidth="1"/>
    <col min="7" max="7" width="8.625" style="60" customWidth="1"/>
    <col min="8" max="8" width="12.875" style="60" bestFit="1" customWidth="1"/>
    <col min="9" max="16384" width="9.00390625" style="60" customWidth="1"/>
  </cols>
  <sheetData>
    <row r="1" s="1" customFormat="1" ht="12" thickBot="1">
      <c r="A1" s="1" t="s">
        <v>24</v>
      </c>
    </row>
    <row r="2" spans="1:8" s="1" customFormat="1" ht="15" customHeight="1">
      <c r="A2" s="183" t="s">
        <v>1</v>
      </c>
      <c r="B2" s="184"/>
      <c r="C2" s="193" t="s">
        <v>15</v>
      </c>
      <c r="D2" s="193"/>
      <c r="E2" s="193" t="s">
        <v>17</v>
      </c>
      <c r="F2" s="193"/>
      <c r="G2" s="194" t="s">
        <v>18</v>
      </c>
      <c r="H2" s="195"/>
    </row>
    <row r="3" spans="1:8" s="1" customFormat="1" ht="15" customHeight="1">
      <c r="A3" s="185"/>
      <c r="B3" s="186"/>
      <c r="C3" s="9" t="s">
        <v>19</v>
      </c>
      <c r="D3" s="6" t="s">
        <v>20</v>
      </c>
      <c r="E3" s="9" t="s">
        <v>19</v>
      </c>
      <c r="F3" s="7" t="s">
        <v>20</v>
      </c>
      <c r="G3" s="9" t="s">
        <v>19</v>
      </c>
      <c r="H3" s="8" t="s">
        <v>20</v>
      </c>
    </row>
    <row r="4" spans="1:8" s="10" customFormat="1" ht="15" customHeight="1">
      <c r="A4" s="48"/>
      <c r="B4" s="6"/>
      <c r="C4" s="49" t="s">
        <v>4</v>
      </c>
      <c r="D4" s="50" t="s">
        <v>5</v>
      </c>
      <c r="E4" s="49" t="s">
        <v>4</v>
      </c>
      <c r="F4" s="50" t="s">
        <v>5</v>
      </c>
      <c r="G4" s="49" t="s">
        <v>4</v>
      </c>
      <c r="H4" s="51" t="s">
        <v>5</v>
      </c>
    </row>
    <row r="5" spans="1:8" s="59" customFormat="1" ht="30" customHeight="1">
      <c r="A5" s="198" t="s">
        <v>130</v>
      </c>
      <c r="B5" s="40" t="s">
        <v>12</v>
      </c>
      <c r="C5" s="47">
        <v>41578</v>
      </c>
      <c r="D5" s="41">
        <v>10545672</v>
      </c>
      <c r="E5" s="47">
        <v>56888</v>
      </c>
      <c r="F5" s="41">
        <v>174923152</v>
      </c>
      <c r="G5" s="47">
        <v>98466</v>
      </c>
      <c r="H5" s="42">
        <v>185468824</v>
      </c>
    </row>
    <row r="6" spans="1:8" s="59" customFormat="1" ht="30" customHeight="1">
      <c r="A6" s="199"/>
      <c r="B6" s="25" t="s">
        <v>13</v>
      </c>
      <c r="C6" s="28">
        <v>992</v>
      </c>
      <c r="D6" s="29">
        <v>507923</v>
      </c>
      <c r="E6" s="28">
        <v>1880</v>
      </c>
      <c r="F6" s="29">
        <v>29661294</v>
      </c>
      <c r="G6" s="28">
        <v>2872</v>
      </c>
      <c r="H6" s="30">
        <v>30169217</v>
      </c>
    </row>
    <row r="7" spans="1:8" s="59" customFormat="1" ht="30" customHeight="1">
      <c r="A7" s="198" t="s">
        <v>131</v>
      </c>
      <c r="B7" s="22" t="s">
        <v>12</v>
      </c>
      <c r="C7" s="27">
        <v>37389</v>
      </c>
      <c r="D7" s="20">
        <v>9999137</v>
      </c>
      <c r="E7" s="27">
        <v>55673</v>
      </c>
      <c r="F7" s="20">
        <v>167564658</v>
      </c>
      <c r="G7" s="27">
        <v>93062</v>
      </c>
      <c r="H7" s="21">
        <v>177563795</v>
      </c>
    </row>
    <row r="8" spans="1:8" s="59" customFormat="1" ht="30" customHeight="1">
      <c r="A8" s="199"/>
      <c r="B8" s="25" t="s">
        <v>13</v>
      </c>
      <c r="C8" s="28">
        <v>877</v>
      </c>
      <c r="D8" s="29">
        <v>269197</v>
      </c>
      <c r="E8" s="28">
        <v>1856</v>
      </c>
      <c r="F8" s="29">
        <v>30915576</v>
      </c>
      <c r="G8" s="28">
        <v>2733</v>
      </c>
      <c r="H8" s="30">
        <v>31184773</v>
      </c>
    </row>
    <row r="9" spans="1:8" s="59" customFormat="1" ht="30" customHeight="1">
      <c r="A9" s="198" t="s">
        <v>132</v>
      </c>
      <c r="B9" s="22" t="s">
        <v>12</v>
      </c>
      <c r="C9" s="27">
        <v>35865</v>
      </c>
      <c r="D9" s="20">
        <v>9906981</v>
      </c>
      <c r="E9" s="27">
        <v>55031</v>
      </c>
      <c r="F9" s="20">
        <v>163832556</v>
      </c>
      <c r="G9" s="27">
        <v>90896</v>
      </c>
      <c r="H9" s="21">
        <v>173739538</v>
      </c>
    </row>
    <row r="10" spans="1:8" s="59" customFormat="1" ht="30" customHeight="1">
      <c r="A10" s="199"/>
      <c r="B10" s="25" t="s">
        <v>13</v>
      </c>
      <c r="C10" s="28">
        <v>861</v>
      </c>
      <c r="D10" s="29">
        <v>269172</v>
      </c>
      <c r="E10" s="28">
        <v>1835</v>
      </c>
      <c r="F10" s="29">
        <v>25144368</v>
      </c>
      <c r="G10" s="28">
        <v>2696</v>
      </c>
      <c r="H10" s="30">
        <v>25413540</v>
      </c>
    </row>
    <row r="11" spans="1:8" s="59" customFormat="1" ht="30" customHeight="1">
      <c r="A11" s="198" t="s">
        <v>133</v>
      </c>
      <c r="B11" s="22" t="s">
        <v>12</v>
      </c>
      <c r="C11" s="27">
        <v>35298</v>
      </c>
      <c r="D11" s="20">
        <v>9774732</v>
      </c>
      <c r="E11" s="27">
        <v>54454</v>
      </c>
      <c r="F11" s="20">
        <v>164208656</v>
      </c>
      <c r="G11" s="27">
        <v>89752</v>
      </c>
      <c r="H11" s="21">
        <v>173983388</v>
      </c>
    </row>
    <row r="12" spans="1:8" s="59" customFormat="1" ht="30" customHeight="1">
      <c r="A12" s="199"/>
      <c r="B12" s="25" t="s">
        <v>13</v>
      </c>
      <c r="C12" s="28">
        <v>846</v>
      </c>
      <c r="D12" s="29">
        <v>312814</v>
      </c>
      <c r="E12" s="28">
        <v>2052</v>
      </c>
      <c r="F12" s="29">
        <v>24044907</v>
      </c>
      <c r="G12" s="28">
        <v>2898</v>
      </c>
      <c r="H12" s="30">
        <v>24357721</v>
      </c>
    </row>
    <row r="13" spans="1:8" s="1" customFormat="1" ht="30" customHeight="1">
      <c r="A13" s="196" t="s">
        <v>173</v>
      </c>
      <c r="B13" s="22" t="s">
        <v>12</v>
      </c>
      <c r="C13" s="27">
        <v>35079</v>
      </c>
      <c r="D13" s="20">
        <v>13719248</v>
      </c>
      <c r="E13" s="27">
        <v>53756</v>
      </c>
      <c r="F13" s="20">
        <v>225440481</v>
      </c>
      <c r="G13" s="27">
        <v>88835</v>
      </c>
      <c r="H13" s="21">
        <v>239159729</v>
      </c>
    </row>
    <row r="14" spans="1:8" s="1" customFormat="1" ht="30" customHeight="1" thickBot="1">
      <c r="A14" s="197"/>
      <c r="B14" s="31" t="s">
        <v>13</v>
      </c>
      <c r="C14" s="32">
        <v>1100</v>
      </c>
      <c r="D14" s="33">
        <v>806791</v>
      </c>
      <c r="E14" s="32">
        <v>2459</v>
      </c>
      <c r="F14" s="33">
        <v>46126557</v>
      </c>
      <c r="G14" s="32">
        <v>3559</v>
      </c>
      <c r="H14" s="34">
        <v>46933348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消費税
(H26)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3" sqref="A3:D3"/>
    </sheetView>
  </sheetViews>
  <sheetFormatPr defaultColWidth="9.00390625" defaultRowHeight="13.5"/>
  <cols>
    <col min="1" max="2" width="18.625" style="60" customWidth="1"/>
    <col min="3" max="3" width="23.625" style="60" customWidth="1"/>
    <col min="4" max="4" width="18.625" style="60" customWidth="1"/>
    <col min="5" max="16384" width="9.00390625" style="60" customWidth="1"/>
  </cols>
  <sheetData>
    <row r="1" s="1" customFormat="1" ht="20.25" customHeight="1" thickBot="1">
      <c r="A1" s="1" t="s">
        <v>21</v>
      </c>
    </row>
    <row r="2" spans="1:4" s="4" customFormat="1" ht="19.5" customHeight="1">
      <c r="A2" s="11" t="s">
        <v>8</v>
      </c>
      <c r="B2" s="12" t="s">
        <v>9</v>
      </c>
      <c r="C2" s="13" t="s">
        <v>10</v>
      </c>
      <c r="D2" s="61" t="s">
        <v>25</v>
      </c>
    </row>
    <row r="3" spans="1:4" s="10" customFormat="1" ht="15" customHeight="1">
      <c r="A3" s="52" t="s">
        <v>4</v>
      </c>
      <c r="B3" s="53" t="s">
        <v>4</v>
      </c>
      <c r="C3" s="54" t="s">
        <v>4</v>
      </c>
      <c r="D3" s="55" t="s">
        <v>4</v>
      </c>
    </row>
    <row r="4" spans="1:9" s="4" customFormat="1" ht="30" customHeight="1" thickBot="1">
      <c r="A4" s="148">
        <v>92363</v>
      </c>
      <c r="B4" s="149">
        <v>2271</v>
      </c>
      <c r="C4" s="150">
        <v>206</v>
      </c>
      <c r="D4" s="151">
        <v>94840</v>
      </c>
      <c r="E4" s="5"/>
      <c r="G4" s="5"/>
      <c r="I4" s="5"/>
    </row>
    <row r="5" spans="1:4" s="4" customFormat="1" ht="15" customHeight="1">
      <c r="A5" s="200" t="s">
        <v>174</v>
      </c>
      <c r="B5" s="200"/>
      <c r="C5" s="200"/>
      <c r="D5" s="200"/>
    </row>
    <row r="6" spans="1:4" s="4" customFormat="1" ht="15" customHeight="1">
      <c r="A6" s="201" t="s">
        <v>11</v>
      </c>
      <c r="B6" s="201"/>
      <c r="C6" s="201"/>
      <c r="D6" s="201"/>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消費税
(H26)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zoomScalePageLayoutView="0" workbookViewId="0" topLeftCell="A1">
      <selection activeCell="A1" sqref="A1"/>
    </sheetView>
  </sheetViews>
  <sheetFormatPr defaultColWidth="9.00390625" defaultRowHeight="13.5"/>
  <cols>
    <col min="1" max="1" width="11.375" style="114" customWidth="1"/>
    <col min="2" max="2" width="10.625" style="114" customWidth="1"/>
    <col min="3" max="3" width="12.625" style="114" customWidth="1"/>
    <col min="4" max="4" width="10.625" style="114" customWidth="1"/>
    <col min="5" max="5" width="12.625" style="114" customWidth="1"/>
    <col min="6" max="6" width="10.625" style="114" customWidth="1"/>
    <col min="7" max="7" width="12.625" style="114" customWidth="1"/>
    <col min="8" max="8" width="10.625" style="114" customWidth="1"/>
    <col min="9" max="9" width="12.625" style="114" customWidth="1"/>
    <col min="10" max="10" width="10.625" style="114" customWidth="1"/>
    <col min="11" max="11" width="12.625" style="114" customWidth="1"/>
    <col min="12" max="12" width="10.625" style="114" customWidth="1"/>
    <col min="13" max="13" width="12.625" style="114" customWidth="1"/>
    <col min="14" max="14" width="11.375" style="114" customWidth="1"/>
    <col min="15" max="16384" width="9.00390625" style="114" customWidth="1"/>
  </cols>
  <sheetData>
    <row r="1" spans="1:14" ht="13.5">
      <c r="A1" s="62" t="s">
        <v>26</v>
      </c>
      <c r="B1" s="62"/>
      <c r="C1" s="62"/>
      <c r="D1" s="62"/>
      <c r="E1" s="62"/>
      <c r="F1" s="62"/>
      <c r="G1" s="62"/>
      <c r="H1" s="63"/>
      <c r="I1" s="63"/>
      <c r="J1" s="63"/>
      <c r="K1" s="63"/>
      <c r="L1" s="63"/>
      <c r="M1" s="63"/>
      <c r="N1" s="63"/>
    </row>
    <row r="2" spans="1:14" ht="14.25" thickBot="1">
      <c r="A2" s="202" t="s">
        <v>27</v>
      </c>
      <c r="B2" s="202"/>
      <c r="C2" s="202"/>
      <c r="D2" s="202"/>
      <c r="E2" s="202"/>
      <c r="F2" s="202"/>
      <c r="G2" s="202"/>
      <c r="H2" s="63"/>
      <c r="I2" s="63"/>
      <c r="J2" s="63"/>
      <c r="K2" s="63"/>
      <c r="L2" s="63"/>
      <c r="M2" s="63"/>
      <c r="N2" s="63"/>
    </row>
    <row r="3" spans="1:14" ht="19.5" customHeight="1">
      <c r="A3" s="203" t="s">
        <v>28</v>
      </c>
      <c r="B3" s="206" t="s">
        <v>29</v>
      </c>
      <c r="C3" s="206"/>
      <c r="D3" s="206"/>
      <c r="E3" s="206"/>
      <c r="F3" s="206"/>
      <c r="G3" s="206"/>
      <c r="H3" s="207" t="s">
        <v>13</v>
      </c>
      <c r="I3" s="208"/>
      <c r="J3" s="211" t="s">
        <v>30</v>
      </c>
      <c r="K3" s="208"/>
      <c r="L3" s="207" t="s">
        <v>31</v>
      </c>
      <c r="M3" s="208"/>
      <c r="N3" s="212" t="s">
        <v>32</v>
      </c>
    </row>
    <row r="4" spans="1:14" ht="17.25" customHeight="1">
      <c r="A4" s="204"/>
      <c r="B4" s="215" t="s">
        <v>16</v>
      </c>
      <c r="C4" s="215"/>
      <c r="D4" s="209" t="s">
        <v>33</v>
      </c>
      <c r="E4" s="216"/>
      <c r="F4" s="209" t="s">
        <v>34</v>
      </c>
      <c r="G4" s="216"/>
      <c r="H4" s="209"/>
      <c r="I4" s="210"/>
      <c r="J4" s="209"/>
      <c r="K4" s="210"/>
      <c r="L4" s="209"/>
      <c r="M4" s="210"/>
      <c r="N4" s="213"/>
    </row>
    <row r="5" spans="1:14" s="146" customFormat="1" ht="28.5" customHeight="1">
      <c r="A5" s="205"/>
      <c r="B5" s="64" t="s">
        <v>35</v>
      </c>
      <c r="C5" s="65" t="s">
        <v>36</v>
      </c>
      <c r="D5" s="64" t="s">
        <v>35</v>
      </c>
      <c r="E5" s="65" t="s">
        <v>36</v>
      </c>
      <c r="F5" s="64" t="s">
        <v>35</v>
      </c>
      <c r="G5" s="66" t="s">
        <v>37</v>
      </c>
      <c r="H5" s="64" t="s">
        <v>35</v>
      </c>
      <c r="I5" s="67" t="s">
        <v>38</v>
      </c>
      <c r="J5" s="64" t="s">
        <v>35</v>
      </c>
      <c r="K5" s="67" t="s">
        <v>39</v>
      </c>
      <c r="L5" s="64" t="s">
        <v>35</v>
      </c>
      <c r="M5" s="68" t="s">
        <v>40</v>
      </c>
      <c r="N5" s="214"/>
    </row>
    <row r="6" spans="1:14" s="74" customFormat="1" ht="10.5">
      <c r="A6" s="69"/>
      <c r="B6" s="70" t="s">
        <v>4</v>
      </c>
      <c r="C6" s="71" t="s">
        <v>5</v>
      </c>
      <c r="D6" s="70" t="s">
        <v>4</v>
      </c>
      <c r="E6" s="71" t="s">
        <v>5</v>
      </c>
      <c r="F6" s="70" t="s">
        <v>4</v>
      </c>
      <c r="G6" s="71" t="s">
        <v>5</v>
      </c>
      <c r="H6" s="70" t="s">
        <v>4</v>
      </c>
      <c r="I6" s="72" t="s">
        <v>5</v>
      </c>
      <c r="J6" s="70" t="s">
        <v>4</v>
      </c>
      <c r="K6" s="72" t="s">
        <v>5</v>
      </c>
      <c r="L6" s="70" t="s">
        <v>4</v>
      </c>
      <c r="M6" s="72" t="s">
        <v>5</v>
      </c>
      <c r="N6" s="73"/>
    </row>
    <row r="7" spans="1:14" s="77" customFormat="1" ht="15.75" customHeight="1">
      <c r="A7" s="75" t="s">
        <v>41</v>
      </c>
      <c r="B7" s="115">
        <f>_xlfn.COMPOUNDVALUE(1)</f>
        <v>1179</v>
      </c>
      <c r="C7" s="116">
        <v>550599</v>
      </c>
      <c r="D7" s="115">
        <f>_xlfn.COMPOUNDVALUE(2)</f>
        <v>1874</v>
      </c>
      <c r="E7" s="116">
        <v>646190</v>
      </c>
      <c r="F7" s="115">
        <f>_xlfn.COMPOUNDVALUE(3)</f>
        <v>3053</v>
      </c>
      <c r="G7" s="116">
        <v>1196789</v>
      </c>
      <c r="H7" s="115">
        <f>_xlfn.COMPOUNDVALUE(4)</f>
        <v>103</v>
      </c>
      <c r="I7" s="117">
        <v>82439</v>
      </c>
      <c r="J7" s="115">
        <v>344</v>
      </c>
      <c r="K7" s="117">
        <v>47104</v>
      </c>
      <c r="L7" s="115">
        <f>_xlfn.COMPOUNDVALUE(4)</f>
        <v>3235</v>
      </c>
      <c r="M7" s="117">
        <v>1161454</v>
      </c>
      <c r="N7" s="92" t="s">
        <v>42</v>
      </c>
    </row>
    <row r="8" spans="1:14" s="77" customFormat="1" ht="15.75" customHeight="1">
      <c r="A8" s="78" t="s">
        <v>43</v>
      </c>
      <c r="B8" s="120">
        <f>_xlfn.COMPOUNDVALUE(5)</f>
        <v>466</v>
      </c>
      <c r="C8" s="121">
        <v>219896</v>
      </c>
      <c r="D8" s="120">
        <f>_xlfn.COMPOUNDVALUE(6)</f>
        <v>1237</v>
      </c>
      <c r="E8" s="121">
        <v>397675</v>
      </c>
      <c r="F8" s="120">
        <f>_xlfn.COMPOUNDVALUE(7)</f>
        <v>1703</v>
      </c>
      <c r="G8" s="121">
        <v>617571</v>
      </c>
      <c r="H8" s="120">
        <f>_xlfn.COMPOUNDVALUE(8)</f>
        <v>39</v>
      </c>
      <c r="I8" s="122">
        <v>16232</v>
      </c>
      <c r="J8" s="120">
        <v>78</v>
      </c>
      <c r="K8" s="122">
        <v>20904</v>
      </c>
      <c r="L8" s="120">
        <f>_xlfn.COMPOUNDVALUE(8)</f>
        <v>1765</v>
      </c>
      <c r="M8" s="122">
        <v>622243</v>
      </c>
      <c r="N8" s="79" t="s">
        <v>44</v>
      </c>
    </row>
    <row r="9" spans="1:14" s="77" customFormat="1" ht="15.75" customHeight="1">
      <c r="A9" s="78" t="s">
        <v>45</v>
      </c>
      <c r="B9" s="120">
        <f>_xlfn.COMPOUNDVALUE(9)</f>
        <v>440</v>
      </c>
      <c r="C9" s="121">
        <v>178830</v>
      </c>
      <c r="D9" s="120">
        <f>_xlfn.COMPOUNDVALUE(10)</f>
        <v>524</v>
      </c>
      <c r="E9" s="121">
        <v>150844</v>
      </c>
      <c r="F9" s="120">
        <f>_xlfn.COMPOUNDVALUE(11)</f>
        <v>964</v>
      </c>
      <c r="G9" s="121">
        <v>329674</v>
      </c>
      <c r="H9" s="120">
        <f>_xlfn.COMPOUNDVALUE(12)</f>
        <v>39</v>
      </c>
      <c r="I9" s="122">
        <v>23134</v>
      </c>
      <c r="J9" s="120">
        <v>45</v>
      </c>
      <c r="K9" s="122">
        <v>12301</v>
      </c>
      <c r="L9" s="120">
        <f>_xlfn.COMPOUNDVALUE(12)</f>
        <v>1012</v>
      </c>
      <c r="M9" s="122">
        <v>318842</v>
      </c>
      <c r="N9" s="79" t="s">
        <v>46</v>
      </c>
    </row>
    <row r="10" spans="1:14" s="77" customFormat="1" ht="15.75" customHeight="1">
      <c r="A10" s="78" t="s">
        <v>47</v>
      </c>
      <c r="B10" s="120">
        <f>_xlfn.COMPOUNDVALUE(13)</f>
        <v>280</v>
      </c>
      <c r="C10" s="121">
        <v>160713</v>
      </c>
      <c r="D10" s="120">
        <f>_xlfn.COMPOUNDVALUE(14)</f>
        <v>457</v>
      </c>
      <c r="E10" s="121">
        <v>137773</v>
      </c>
      <c r="F10" s="120">
        <f>_xlfn.COMPOUNDVALUE(15)</f>
        <v>737</v>
      </c>
      <c r="G10" s="121">
        <v>298486</v>
      </c>
      <c r="H10" s="120">
        <f>_xlfn.COMPOUNDVALUE(16)</f>
        <v>42</v>
      </c>
      <c r="I10" s="122">
        <v>14928</v>
      </c>
      <c r="J10" s="120">
        <v>41</v>
      </c>
      <c r="K10" s="122">
        <v>6799</v>
      </c>
      <c r="L10" s="120">
        <f>_xlfn.COMPOUNDVALUE(16)</f>
        <v>796</v>
      </c>
      <c r="M10" s="122">
        <v>290357</v>
      </c>
      <c r="N10" s="79" t="s">
        <v>48</v>
      </c>
    </row>
    <row r="11" spans="1:14" s="77" customFormat="1" ht="15.75" customHeight="1">
      <c r="A11" s="78" t="s">
        <v>49</v>
      </c>
      <c r="B11" s="120">
        <f>_xlfn.COMPOUNDVALUE(17)</f>
        <v>133</v>
      </c>
      <c r="C11" s="121">
        <v>52670</v>
      </c>
      <c r="D11" s="120">
        <f>_xlfn.COMPOUNDVALUE(18)</f>
        <v>170</v>
      </c>
      <c r="E11" s="121">
        <v>59384</v>
      </c>
      <c r="F11" s="120">
        <f>_xlfn.COMPOUNDVALUE(19)</f>
        <v>303</v>
      </c>
      <c r="G11" s="121">
        <v>112054</v>
      </c>
      <c r="H11" s="120">
        <f>_xlfn.COMPOUNDVALUE(20)</f>
        <v>5</v>
      </c>
      <c r="I11" s="122">
        <v>1111</v>
      </c>
      <c r="J11" s="120">
        <v>24</v>
      </c>
      <c r="K11" s="122">
        <v>3457</v>
      </c>
      <c r="L11" s="120">
        <f>_xlfn.COMPOUNDVALUE(20)</f>
        <v>317</v>
      </c>
      <c r="M11" s="122">
        <v>114400</v>
      </c>
      <c r="N11" s="79" t="s">
        <v>50</v>
      </c>
    </row>
    <row r="12" spans="1:14" s="77" customFormat="1" ht="15.75" customHeight="1">
      <c r="A12" s="78" t="s">
        <v>51</v>
      </c>
      <c r="B12" s="120">
        <f>_xlfn.COMPOUNDVALUE(21)</f>
        <v>154</v>
      </c>
      <c r="C12" s="121">
        <v>65141</v>
      </c>
      <c r="D12" s="120">
        <f>_xlfn.COMPOUNDVALUE(22)</f>
        <v>181</v>
      </c>
      <c r="E12" s="121">
        <v>57582</v>
      </c>
      <c r="F12" s="120">
        <f>_xlfn.COMPOUNDVALUE(23)</f>
        <v>335</v>
      </c>
      <c r="G12" s="121">
        <v>122723</v>
      </c>
      <c r="H12" s="120">
        <f>_xlfn.COMPOUNDVALUE(24)</f>
        <v>11</v>
      </c>
      <c r="I12" s="122">
        <v>11780</v>
      </c>
      <c r="J12" s="120">
        <v>21</v>
      </c>
      <c r="K12" s="122">
        <v>2642</v>
      </c>
      <c r="L12" s="120">
        <f>_xlfn.COMPOUNDVALUE(24)</f>
        <v>355</v>
      </c>
      <c r="M12" s="122">
        <v>113585</v>
      </c>
      <c r="N12" s="79" t="s">
        <v>52</v>
      </c>
    </row>
    <row r="13" spans="1:14" s="77" customFormat="1" ht="15.75" customHeight="1">
      <c r="A13" s="80" t="s">
        <v>53</v>
      </c>
      <c r="B13" s="123">
        <v>2652</v>
      </c>
      <c r="C13" s="124">
        <v>1227848</v>
      </c>
      <c r="D13" s="123">
        <v>4443</v>
      </c>
      <c r="E13" s="124">
        <v>1449448</v>
      </c>
      <c r="F13" s="123">
        <v>7095</v>
      </c>
      <c r="G13" s="124">
        <v>2677296</v>
      </c>
      <c r="H13" s="123">
        <v>239</v>
      </c>
      <c r="I13" s="125">
        <v>149624</v>
      </c>
      <c r="J13" s="123">
        <v>553</v>
      </c>
      <c r="K13" s="125">
        <v>93208</v>
      </c>
      <c r="L13" s="123">
        <v>7480</v>
      </c>
      <c r="M13" s="125">
        <v>2620879</v>
      </c>
      <c r="N13" s="81" t="s">
        <v>54</v>
      </c>
    </row>
    <row r="14" spans="1:14" s="77" customFormat="1" ht="15.75" customHeight="1">
      <c r="A14" s="82"/>
      <c r="B14" s="128"/>
      <c r="C14" s="129"/>
      <c r="D14" s="128"/>
      <c r="E14" s="129"/>
      <c r="F14" s="130"/>
      <c r="G14" s="129"/>
      <c r="H14" s="130"/>
      <c r="I14" s="129"/>
      <c r="J14" s="130"/>
      <c r="K14" s="129"/>
      <c r="L14" s="130"/>
      <c r="M14" s="129"/>
      <c r="N14" s="83"/>
    </row>
    <row r="15" spans="1:14" s="77" customFormat="1" ht="15.75" customHeight="1">
      <c r="A15" s="75" t="s">
        <v>55</v>
      </c>
      <c r="B15" s="115">
        <f>_xlfn.COMPOUNDVALUE(25)</f>
        <v>1250</v>
      </c>
      <c r="C15" s="116">
        <v>583115</v>
      </c>
      <c r="D15" s="115">
        <f>_xlfn.COMPOUNDVALUE(26)</f>
        <v>1780</v>
      </c>
      <c r="E15" s="116">
        <v>662427</v>
      </c>
      <c r="F15" s="115">
        <f>_xlfn.COMPOUNDVALUE(27)</f>
        <v>3030</v>
      </c>
      <c r="G15" s="116">
        <v>1245542</v>
      </c>
      <c r="H15" s="115">
        <f>_xlfn.COMPOUNDVALUE(28)</f>
        <v>112</v>
      </c>
      <c r="I15" s="117">
        <v>91076</v>
      </c>
      <c r="J15" s="115">
        <v>499</v>
      </c>
      <c r="K15" s="117">
        <v>62640</v>
      </c>
      <c r="L15" s="115">
        <f>_xlfn.COMPOUNDVALUE(28)</f>
        <v>3310</v>
      </c>
      <c r="M15" s="117">
        <v>1217106</v>
      </c>
      <c r="N15" s="76" t="s">
        <v>56</v>
      </c>
    </row>
    <row r="16" spans="1:14" s="77" customFormat="1" ht="15.75" customHeight="1">
      <c r="A16" s="78" t="s">
        <v>57</v>
      </c>
      <c r="B16" s="120">
        <f>_xlfn.COMPOUNDVALUE(29)</f>
        <v>507</v>
      </c>
      <c r="C16" s="121">
        <v>268725</v>
      </c>
      <c r="D16" s="120">
        <f>_xlfn.COMPOUNDVALUE(30)</f>
        <v>867</v>
      </c>
      <c r="E16" s="121">
        <v>317820</v>
      </c>
      <c r="F16" s="120">
        <f>_xlfn.COMPOUNDVALUE(31)</f>
        <v>1374</v>
      </c>
      <c r="G16" s="121">
        <v>586545</v>
      </c>
      <c r="H16" s="120">
        <f>_xlfn.COMPOUNDVALUE(32)</f>
        <v>45</v>
      </c>
      <c r="I16" s="122">
        <v>31402</v>
      </c>
      <c r="J16" s="120">
        <v>130</v>
      </c>
      <c r="K16" s="122">
        <v>26018</v>
      </c>
      <c r="L16" s="120">
        <f>_xlfn.COMPOUNDVALUE(32)</f>
        <v>1456</v>
      </c>
      <c r="M16" s="122">
        <v>581161</v>
      </c>
      <c r="N16" s="79" t="s">
        <v>58</v>
      </c>
    </row>
    <row r="17" spans="1:14" s="77" customFormat="1" ht="15.75" customHeight="1">
      <c r="A17" s="78" t="s">
        <v>59</v>
      </c>
      <c r="B17" s="120">
        <f>_xlfn.COMPOUNDVALUE(33)</f>
        <v>261</v>
      </c>
      <c r="C17" s="121">
        <v>121970</v>
      </c>
      <c r="D17" s="120">
        <f>_xlfn.COMPOUNDVALUE(34)</f>
        <v>380</v>
      </c>
      <c r="E17" s="121">
        <v>128549</v>
      </c>
      <c r="F17" s="120">
        <f>_xlfn.COMPOUNDVALUE(35)</f>
        <v>641</v>
      </c>
      <c r="G17" s="121">
        <v>250519</v>
      </c>
      <c r="H17" s="120">
        <f>_xlfn.COMPOUNDVALUE(36)</f>
        <v>22</v>
      </c>
      <c r="I17" s="122">
        <v>15351</v>
      </c>
      <c r="J17" s="120">
        <v>113</v>
      </c>
      <c r="K17" s="122">
        <v>17083</v>
      </c>
      <c r="L17" s="120">
        <f>_xlfn.COMPOUNDVALUE(36)</f>
        <v>693</v>
      </c>
      <c r="M17" s="122">
        <v>252251</v>
      </c>
      <c r="N17" s="79" t="s">
        <v>60</v>
      </c>
    </row>
    <row r="18" spans="1:14" s="77" customFormat="1" ht="15.75" customHeight="1">
      <c r="A18" s="78" t="s">
        <v>61</v>
      </c>
      <c r="B18" s="120">
        <f>_xlfn.COMPOUNDVALUE(37)</f>
        <v>493</v>
      </c>
      <c r="C18" s="121">
        <v>220320</v>
      </c>
      <c r="D18" s="120">
        <f>_xlfn.COMPOUNDVALUE(38)</f>
        <v>828</v>
      </c>
      <c r="E18" s="121">
        <v>259899</v>
      </c>
      <c r="F18" s="120">
        <f>_xlfn.COMPOUNDVALUE(39)</f>
        <v>1321</v>
      </c>
      <c r="G18" s="121">
        <v>480219</v>
      </c>
      <c r="H18" s="120">
        <f>_xlfn.COMPOUNDVALUE(40)</f>
        <v>54</v>
      </c>
      <c r="I18" s="122">
        <v>24520</v>
      </c>
      <c r="J18" s="120">
        <v>87</v>
      </c>
      <c r="K18" s="122">
        <v>9661</v>
      </c>
      <c r="L18" s="120">
        <f>_xlfn.COMPOUNDVALUE(40)</f>
        <v>1406</v>
      </c>
      <c r="M18" s="122">
        <v>465361</v>
      </c>
      <c r="N18" s="79" t="s">
        <v>62</v>
      </c>
    </row>
    <row r="19" spans="1:14" s="77" customFormat="1" ht="15.75" customHeight="1">
      <c r="A19" s="78" t="s">
        <v>63</v>
      </c>
      <c r="B19" s="120">
        <f>_xlfn.COMPOUNDVALUE(41)</f>
        <v>321</v>
      </c>
      <c r="C19" s="121">
        <v>137462</v>
      </c>
      <c r="D19" s="120">
        <f>_xlfn.COMPOUNDVALUE(42)</f>
        <v>427</v>
      </c>
      <c r="E19" s="121">
        <v>134842</v>
      </c>
      <c r="F19" s="120">
        <f>_xlfn.COMPOUNDVALUE(43)</f>
        <v>748</v>
      </c>
      <c r="G19" s="121">
        <v>272304</v>
      </c>
      <c r="H19" s="120">
        <f>_xlfn.COMPOUNDVALUE(44)</f>
        <v>30</v>
      </c>
      <c r="I19" s="122">
        <v>20857</v>
      </c>
      <c r="J19" s="120">
        <v>66</v>
      </c>
      <c r="K19" s="122">
        <v>8389</v>
      </c>
      <c r="L19" s="120">
        <f>_xlfn.COMPOUNDVALUE(44)</f>
        <v>787</v>
      </c>
      <c r="M19" s="122">
        <v>259836</v>
      </c>
      <c r="N19" s="79" t="s">
        <v>64</v>
      </c>
    </row>
    <row r="20" spans="1:14" s="77" customFormat="1" ht="15.75" customHeight="1">
      <c r="A20" s="78" t="s">
        <v>65</v>
      </c>
      <c r="B20" s="120">
        <f>_xlfn.COMPOUNDVALUE(45)</f>
        <v>92</v>
      </c>
      <c r="C20" s="121">
        <v>36471</v>
      </c>
      <c r="D20" s="120">
        <f>_xlfn.COMPOUNDVALUE(46)</f>
        <v>249</v>
      </c>
      <c r="E20" s="121">
        <v>66062</v>
      </c>
      <c r="F20" s="120">
        <f>_xlfn.COMPOUNDVALUE(47)</f>
        <v>341</v>
      </c>
      <c r="G20" s="121">
        <v>102532</v>
      </c>
      <c r="H20" s="120">
        <f>_xlfn.COMPOUNDVALUE(48)</f>
        <v>3</v>
      </c>
      <c r="I20" s="122">
        <v>211</v>
      </c>
      <c r="J20" s="120">
        <v>25</v>
      </c>
      <c r="K20" s="122">
        <v>2803</v>
      </c>
      <c r="L20" s="120">
        <f>_xlfn.COMPOUNDVALUE(48)</f>
        <v>349</v>
      </c>
      <c r="M20" s="122">
        <v>105124</v>
      </c>
      <c r="N20" s="79" t="s">
        <v>66</v>
      </c>
    </row>
    <row r="21" spans="1:14" s="77" customFormat="1" ht="15.75" customHeight="1">
      <c r="A21" s="80" t="s">
        <v>67</v>
      </c>
      <c r="B21" s="123">
        <v>2924</v>
      </c>
      <c r="C21" s="124">
        <v>1368063</v>
      </c>
      <c r="D21" s="123">
        <v>4531</v>
      </c>
      <c r="E21" s="124">
        <v>1569599</v>
      </c>
      <c r="F21" s="123">
        <v>7455</v>
      </c>
      <c r="G21" s="124">
        <v>2937661</v>
      </c>
      <c r="H21" s="123">
        <v>266</v>
      </c>
      <c r="I21" s="125">
        <v>183417</v>
      </c>
      <c r="J21" s="123">
        <v>920</v>
      </c>
      <c r="K21" s="125">
        <v>126594</v>
      </c>
      <c r="L21" s="123">
        <v>8001</v>
      </c>
      <c r="M21" s="125">
        <v>2880838</v>
      </c>
      <c r="N21" s="81" t="s">
        <v>68</v>
      </c>
    </row>
    <row r="22" spans="1:14" s="77" customFormat="1" ht="15.75" customHeight="1">
      <c r="A22" s="82"/>
      <c r="B22" s="128"/>
      <c r="C22" s="129"/>
      <c r="D22" s="128"/>
      <c r="E22" s="129"/>
      <c r="F22" s="130"/>
      <c r="G22" s="129"/>
      <c r="H22" s="130"/>
      <c r="I22" s="129"/>
      <c r="J22" s="130"/>
      <c r="K22" s="129"/>
      <c r="L22" s="130"/>
      <c r="M22" s="129"/>
      <c r="N22" s="83"/>
    </row>
    <row r="23" spans="1:14" s="77" customFormat="1" ht="15.75" customHeight="1">
      <c r="A23" s="75" t="s">
        <v>69</v>
      </c>
      <c r="B23" s="115">
        <f>_xlfn.COMPOUNDVALUE(49)</f>
        <v>1982</v>
      </c>
      <c r="C23" s="116">
        <v>814885</v>
      </c>
      <c r="D23" s="115">
        <f>_xlfn.COMPOUNDVALUE(50)</f>
        <v>2497</v>
      </c>
      <c r="E23" s="116">
        <v>918748</v>
      </c>
      <c r="F23" s="115">
        <f>_xlfn.COMPOUNDVALUE(51)</f>
        <v>4479</v>
      </c>
      <c r="G23" s="116">
        <v>1733633</v>
      </c>
      <c r="H23" s="115">
        <f>_xlfn.COMPOUNDVALUE(52)</f>
        <v>102</v>
      </c>
      <c r="I23" s="117">
        <v>98144</v>
      </c>
      <c r="J23" s="115">
        <v>416</v>
      </c>
      <c r="K23" s="117">
        <v>72710</v>
      </c>
      <c r="L23" s="115">
        <f>_xlfn.COMPOUNDVALUE(52)</f>
        <v>4749</v>
      </c>
      <c r="M23" s="117">
        <v>1708200</v>
      </c>
      <c r="N23" s="76" t="s">
        <v>70</v>
      </c>
    </row>
    <row r="24" spans="1:14" s="77" customFormat="1" ht="15.75" customHeight="1">
      <c r="A24" s="78" t="s">
        <v>71</v>
      </c>
      <c r="B24" s="120">
        <f>_xlfn.COMPOUNDVALUE(53)</f>
        <v>660</v>
      </c>
      <c r="C24" s="121">
        <v>365659</v>
      </c>
      <c r="D24" s="120">
        <f>_xlfn.COMPOUNDVALUE(54)</f>
        <v>970</v>
      </c>
      <c r="E24" s="121">
        <v>369074</v>
      </c>
      <c r="F24" s="120">
        <f>_xlfn.COMPOUNDVALUE(55)</f>
        <v>1630</v>
      </c>
      <c r="G24" s="121">
        <v>734733</v>
      </c>
      <c r="H24" s="120">
        <f>_xlfn.COMPOUNDVALUE(56)</f>
        <v>48</v>
      </c>
      <c r="I24" s="122">
        <v>68878</v>
      </c>
      <c r="J24" s="120">
        <v>220</v>
      </c>
      <c r="K24" s="122">
        <v>45156</v>
      </c>
      <c r="L24" s="120">
        <f>_xlfn.COMPOUNDVALUE(56)</f>
        <v>1756</v>
      </c>
      <c r="M24" s="122">
        <v>711011</v>
      </c>
      <c r="N24" s="79" t="s">
        <v>72</v>
      </c>
    </row>
    <row r="25" spans="1:14" s="77" customFormat="1" ht="15.75" customHeight="1">
      <c r="A25" s="78" t="s">
        <v>73</v>
      </c>
      <c r="B25" s="120">
        <f>_xlfn.COMPOUNDVALUE(57)</f>
        <v>546</v>
      </c>
      <c r="C25" s="121">
        <v>269210</v>
      </c>
      <c r="D25" s="120">
        <f>_xlfn.COMPOUNDVALUE(58)</f>
        <v>880</v>
      </c>
      <c r="E25" s="121">
        <v>280766</v>
      </c>
      <c r="F25" s="120">
        <f>_xlfn.COMPOUNDVALUE(59)</f>
        <v>1426</v>
      </c>
      <c r="G25" s="121">
        <v>549976</v>
      </c>
      <c r="H25" s="120">
        <f>_xlfn.COMPOUNDVALUE(60)</f>
        <v>145</v>
      </c>
      <c r="I25" s="122">
        <v>145021</v>
      </c>
      <c r="J25" s="120">
        <v>92</v>
      </c>
      <c r="K25" s="122">
        <v>21605</v>
      </c>
      <c r="L25" s="120">
        <f>_xlfn.COMPOUNDVALUE(60)</f>
        <v>1621</v>
      </c>
      <c r="M25" s="122">
        <v>426560</v>
      </c>
      <c r="N25" s="79" t="s">
        <v>74</v>
      </c>
    </row>
    <row r="26" spans="1:14" s="77" customFormat="1" ht="15.75" customHeight="1">
      <c r="A26" s="78" t="s">
        <v>75</v>
      </c>
      <c r="B26" s="120">
        <f>_xlfn.COMPOUNDVALUE(61)</f>
        <v>311</v>
      </c>
      <c r="C26" s="121">
        <v>158998</v>
      </c>
      <c r="D26" s="120">
        <f>_xlfn.COMPOUNDVALUE(62)</f>
        <v>813</v>
      </c>
      <c r="E26" s="121">
        <v>224385</v>
      </c>
      <c r="F26" s="120">
        <f>_xlfn.COMPOUNDVALUE(63)</f>
        <v>1124</v>
      </c>
      <c r="G26" s="121">
        <v>383383</v>
      </c>
      <c r="H26" s="120">
        <f>_xlfn.COMPOUNDVALUE(64)</f>
        <v>26</v>
      </c>
      <c r="I26" s="122">
        <v>16684</v>
      </c>
      <c r="J26" s="120">
        <v>68</v>
      </c>
      <c r="K26" s="122">
        <v>7506</v>
      </c>
      <c r="L26" s="120">
        <f>_xlfn.COMPOUNDVALUE(64)</f>
        <v>1176</v>
      </c>
      <c r="M26" s="122">
        <v>374205</v>
      </c>
      <c r="N26" s="79" t="s">
        <v>76</v>
      </c>
    </row>
    <row r="27" spans="1:14" s="77" customFormat="1" ht="15.75" customHeight="1">
      <c r="A27" s="78" t="s">
        <v>77</v>
      </c>
      <c r="B27" s="120">
        <f>_xlfn.COMPOUNDVALUE(65)</f>
        <v>355</v>
      </c>
      <c r="C27" s="121">
        <v>165834</v>
      </c>
      <c r="D27" s="120">
        <f>_xlfn.COMPOUNDVALUE(66)</f>
        <v>481</v>
      </c>
      <c r="E27" s="121">
        <v>173144</v>
      </c>
      <c r="F27" s="120">
        <f>_xlfn.COMPOUNDVALUE(67)</f>
        <v>836</v>
      </c>
      <c r="G27" s="121">
        <v>338978</v>
      </c>
      <c r="H27" s="120">
        <f>_xlfn.COMPOUNDVALUE(68)</f>
        <v>12</v>
      </c>
      <c r="I27" s="122">
        <v>4911</v>
      </c>
      <c r="J27" s="120">
        <v>84</v>
      </c>
      <c r="K27" s="122">
        <v>14127</v>
      </c>
      <c r="L27" s="120">
        <f>_xlfn.COMPOUNDVALUE(68)</f>
        <v>888</v>
      </c>
      <c r="M27" s="122">
        <v>348194</v>
      </c>
      <c r="N27" s="79" t="s">
        <v>78</v>
      </c>
    </row>
    <row r="28" spans="1:14" s="77" customFormat="1" ht="15.75" customHeight="1">
      <c r="A28" s="78" t="s">
        <v>79</v>
      </c>
      <c r="B28" s="120">
        <f>_xlfn.COMPOUNDVALUE(69)</f>
        <v>361</v>
      </c>
      <c r="C28" s="121">
        <v>147060</v>
      </c>
      <c r="D28" s="120">
        <f>_xlfn.COMPOUNDVALUE(70)</f>
        <v>511</v>
      </c>
      <c r="E28" s="121">
        <v>168174</v>
      </c>
      <c r="F28" s="120">
        <f>_xlfn.COMPOUNDVALUE(71)</f>
        <v>872</v>
      </c>
      <c r="G28" s="121">
        <v>315235</v>
      </c>
      <c r="H28" s="120">
        <f>_xlfn.COMPOUNDVALUE(72)</f>
        <v>25</v>
      </c>
      <c r="I28" s="122">
        <v>9712</v>
      </c>
      <c r="J28" s="120">
        <v>37</v>
      </c>
      <c r="K28" s="122">
        <v>6950</v>
      </c>
      <c r="L28" s="120">
        <f>_xlfn.COMPOUNDVALUE(72)</f>
        <v>910</v>
      </c>
      <c r="M28" s="122">
        <v>312473</v>
      </c>
      <c r="N28" s="79" t="s">
        <v>80</v>
      </c>
    </row>
    <row r="29" spans="1:14" s="77" customFormat="1" ht="15.75" customHeight="1">
      <c r="A29" s="78" t="s">
        <v>81</v>
      </c>
      <c r="B29" s="120">
        <f>_xlfn.COMPOUNDVALUE(73)</f>
        <v>219</v>
      </c>
      <c r="C29" s="121">
        <v>87366</v>
      </c>
      <c r="D29" s="120">
        <f>_xlfn.COMPOUNDVALUE(74)</f>
        <v>364</v>
      </c>
      <c r="E29" s="121">
        <v>108839</v>
      </c>
      <c r="F29" s="120">
        <f>_xlfn.COMPOUNDVALUE(75)</f>
        <v>583</v>
      </c>
      <c r="G29" s="121">
        <v>196205</v>
      </c>
      <c r="H29" s="120">
        <f>_xlfn.COMPOUNDVALUE(76)</f>
        <v>11</v>
      </c>
      <c r="I29" s="122">
        <v>6325</v>
      </c>
      <c r="J29" s="120">
        <v>33</v>
      </c>
      <c r="K29" s="122">
        <v>13227</v>
      </c>
      <c r="L29" s="120">
        <f>_xlfn.COMPOUNDVALUE(76)</f>
        <v>604</v>
      </c>
      <c r="M29" s="122">
        <v>203107</v>
      </c>
      <c r="N29" s="79" t="s">
        <v>82</v>
      </c>
    </row>
    <row r="30" spans="1:14" s="77" customFormat="1" ht="15.75" customHeight="1">
      <c r="A30" s="78" t="s">
        <v>83</v>
      </c>
      <c r="B30" s="120">
        <f>_xlfn.COMPOUNDVALUE(77)</f>
        <v>261</v>
      </c>
      <c r="C30" s="121">
        <v>109492</v>
      </c>
      <c r="D30" s="120">
        <f>_xlfn.COMPOUNDVALUE(78)</f>
        <v>374</v>
      </c>
      <c r="E30" s="121">
        <v>131348</v>
      </c>
      <c r="F30" s="120">
        <f>_xlfn.COMPOUNDVALUE(79)</f>
        <v>635</v>
      </c>
      <c r="G30" s="121">
        <v>240840</v>
      </c>
      <c r="H30" s="120">
        <f>_xlfn.COMPOUNDVALUE(80)</f>
        <v>14</v>
      </c>
      <c r="I30" s="122">
        <v>3324</v>
      </c>
      <c r="J30" s="120">
        <v>25</v>
      </c>
      <c r="K30" s="122">
        <v>2187</v>
      </c>
      <c r="L30" s="120">
        <f>_xlfn.COMPOUNDVALUE(80)</f>
        <v>655</v>
      </c>
      <c r="M30" s="122">
        <v>239704</v>
      </c>
      <c r="N30" s="79" t="s">
        <v>84</v>
      </c>
    </row>
    <row r="31" spans="1:14" s="77" customFormat="1" ht="15.75" customHeight="1">
      <c r="A31" s="80" t="s">
        <v>85</v>
      </c>
      <c r="B31" s="123">
        <v>4695</v>
      </c>
      <c r="C31" s="124">
        <v>2118503</v>
      </c>
      <c r="D31" s="123">
        <v>6890</v>
      </c>
      <c r="E31" s="124">
        <v>2374479</v>
      </c>
      <c r="F31" s="123">
        <v>11585</v>
      </c>
      <c r="G31" s="124">
        <v>4492982</v>
      </c>
      <c r="H31" s="123">
        <v>383</v>
      </c>
      <c r="I31" s="125">
        <v>352998</v>
      </c>
      <c r="J31" s="123">
        <v>975</v>
      </c>
      <c r="K31" s="125">
        <v>183467</v>
      </c>
      <c r="L31" s="123">
        <v>12359</v>
      </c>
      <c r="M31" s="125">
        <v>4323451</v>
      </c>
      <c r="N31" s="81" t="s">
        <v>86</v>
      </c>
    </row>
    <row r="32" spans="1:14" s="77" customFormat="1" ht="15.75" customHeight="1">
      <c r="A32" s="82"/>
      <c r="B32" s="128"/>
      <c r="C32" s="129"/>
      <c r="D32" s="128"/>
      <c r="E32" s="129"/>
      <c r="F32" s="130"/>
      <c r="G32" s="129"/>
      <c r="H32" s="130"/>
      <c r="I32" s="129"/>
      <c r="J32" s="130"/>
      <c r="K32" s="129"/>
      <c r="L32" s="130"/>
      <c r="M32" s="129"/>
      <c r="N32" s="83"/>
    </row>
    <row r="33" spans="1:14" s="77" customFormat="1" ht="15.75" customHeight="1">
      <c r="A33" s="75" t="s">
        <v>87</v>
      </c>
      <c r="B33" s="115">
        <f>_xlfn.COMPOUNDVALUE(81)</f>
        <v>1286</v>
      </c>
      <c r="C33" s="116">
        <v>709351</v>
      </c>
      <c r="D33" s="115">
        <f>_xlfn.COMPOUNDVALUE(82)</f>
        <v>1908</v>
      </c>
      <c r="E33" s="116">
        <v>699862</v>
      </c>
      <c r="F33" s="115">
        <f>_xlfn.COMPOUNDVALUE(83)</f>
        <v>3194</v>
      </c>
      <c r="G33" s="116">
        <v>1409212</v>
      </c>
      <c r="H33" s="115">
        <f>_xlfn.COMPOUNDVALUE(84)</f>
        <v>74</v>
      </c>
      <c r="I33" s="117">
        <v>37367</v>
      </c>
      <c r="J33" s="115">
        <v>283</v>
      </c>
      <c r="K33" s="117">
        <v>42687</v>
      </c>
      <c r="L33" s="115">
        <f>_xlfn.COMPOUNDVALUE(84)</f>
        <v>3395</v>
      </c>
      <c r="M33" s="117">
        <v>1414533</v>
      </c>
      <c r="N33" s="76" t="s">
        <v>88</v>
      </c>
    </row>
    <row r="34" spans="1:14" s="77" customFormat="1" ht="15.75" customHeight="1">
      <c r="A34" s="78" t="s">
        <v>89</v>
      </c>
      <c r="B34" s="120">
        <f>_xlfn.COMPOUNDVALUE(85)</f>
        <v>251</v>
      </c>
      <c r="C34" s="121">
        <v>144083</v>
      </c>
      <c r="D34" s="120">
        <f>_xlfn.COMPOUNDVALUE(86)</f>
        <v>804</v>
      </c>
      <c r="E34" s="121">
        <v>221034</v>
      </c>
      <c r="F34" s="120">
        <f>_xlfn.COMPOUNDVALUE(87)</f>
        <v>1055</v>
      </c>
      <c r="G34" s="121">
        <v>365117</v>
      </c>
      <c r="H34" s="120">
        <f>_xlfn.COMPOUNDVALUE(88)</f>
        <v>17</v>
      </c>
      <c r="I34" s="122">
        <v>7839</v>
      </c>
      <c r="J34" s="120">
        <v>28</v>
      </c>
      <c r="K34" s="122">
        <v>4318</v>
      </c>
      <c r="L34" s="120">
        <f>_xlfn.COMPOUNDVALUE(88)</f>
        <v>1079</v>
      </c>
      <c r="M34" s="122">
        <v>361597</v>
      </c>
      <c r="N34" s="79" t="s">
        <v>90</v>
      </c>
    </row>
    <row r="35" spans="1:14" s="77" customFormat="1" ht="15.75" customHeight="1">
      <c r="A35" s="78" t="s">
        <v>91</v>
      </c>
      <c r="B35" s="120">
        <f>_xlfn.COMPOUNDVALUE(89)</f>
        <v>363</v>
      </c>
      <c r="C35" s="121">
        <v>163824</v>
      </c>
      <c r="D35" s="120">
        <f>_xlfn.COMPOUNDVALUE(90)</f>
        <v>955</v>
      </c>
      <c r="E35" s="121">
        <v>283383</v>
      </c>
      <c r="F35" s="120">
        <f>_xlfn.COMPOUNDVALUE(91)</f>
        <v>1318</v>
      </c>
      <c r="G35" s="121">
        <v>447207</v>
      </c>
      <c r="H35" s="120">
        <f>_xlfn.COMPOUNDVALUE(92)</f>
        <v>31</v>
      </c>
      <c r="I35" s="122">
        <v>25720</v>
      </c>
      <c r="J35" s="120">
        <v>80</v>
      </c>
      <c r="K35" s="122">
        <v>7248</v>
      </c>
      <c r="L35" s="120">
        <f>_xlfn.COMPOUNDVALUE(92)</f>
        <v>1371</v>
      </c>
      <c r="M35" s="122">
        <v>428734</v>
      </c>
      <c r="N35" s="79" t="s">
        <v>92</v>
      </c>
    </row>
    <row r="36" spans="1:14" s="77" customFormat="1" ht="15.75" customHeight="1">
      <c r="A36" s="78" t="s">
        <v>93</v>
      </c>
      <c r="B36" s="120">
        <f>_xlfn.COMPOUNDVALUE(93)</f>
        <v>345</v>
      </c>
      <c r="C36" s="121">
        <v>206636</v>
      </c>
      <c r="D36" s="120">
        <f>_xlfn.COMPOUNDVALUE(94)</f>
        <v>927</v>
      </c>
      <c r="E36" s="121">
        <v>310065</v>
      </c>
      <c r="F36" s="120">
        <f>_xlfn.COMPOUNDVALUE(95)</f>
        <v>1272</v>
      </c>
      <c r="G36" s="121">
        <v>516700</v>
      </c>
      <c r="H36" s="120">
        <f>_xlfn.COMPOUNDVALUE(96)</f>
        <v>34</v>
      </c>
      <c r="I36" s="122">
        <v>15744</v>
      </c>
      <c r="J36" s="120">
        <v>59</v>
      </c>
      <c r="K36" s="122">
        <v>11955</v>
      </c>
      <c r="L36" s="120">
        <f>_xlfn.COMPOUNDVALUE(96)</f>
        <v>1321</v>
      </c>
      <c r="M36" s="122">
        <v>512912</v>
      </c>
      <c r="N36" s="79" t="s">
        <v>94</v>
      </c>
    </row>
    <row r="37" spans="1:14" s="77" customFormat="1" ht="15.75" customHeight="1">
      <c r="A37" s="78" t="s">
        <v>95</v>
      </c>
      <c r="B37" s="120">
        <f>_xlfn.COMPOUNDVALUE(97)</f>
        <v>548</v>
      </c>
      <c r="C37" s="121">
        <v>315187</v>
      </c>
      <c r="D37" s="120">
        <f>_xlfn.COMPOUNDVALUE(98)</f>
        <v>672</v>
      </c>
      <c r="E37" s="121">
        <v>233235</v>
      </c>
      <c r="F37" s="120">
        <f>_xlfn.COMPOUNDVALUE(99)</f>
        <v>1220</v>
      </c>
      <c r="G37" s="121">
        <v>548422</v>
      </c>
      <c r="H37" s="120">
        <f>_xlfn.COMPOUNDVALUE(100)</f>
        <v>42</v>
      </c>
      <c r="I37" s="122">
        <v>8897</v>
      </c>
      <c r="J37" s="120">
        <v>74</v>
      </c>
      <c r="K37" s="122">
        <v>13147</v>
      </c>
      <c r="L37" s="120">
        <f>_xlfn.COMPOUNDVALUE(100)</f>
        <v>1298</v>
      </c>
      <c r="M37" s="122">
        <v>552672</v>
      </c>
      <c r="N37" s="79" t="s">
        <v>96</v>
      </c>
    </row>
    <row r="38" spans="1:14" s="77" customFormat="1" ht="15.75" customHeight="1">
      <c r="A38" s="78" t="s">
        <v>97</v>
      </c>
      <c r="B38" s="120">
        <f>_xlfn.COMPOUNDVALUE(101)</f>
        <v>211</v>
      </c>
      <c r="C38" s="121">
        <v>115694</v>
      </c>
      <c r="D38" s="120">
        <f>_xlfn.COMPOUNDVALUE(102)</f>
        <v>674</v>
      </c>
      <c r="E38" s="121">
        <v>208956</v>
      </c>
      <c r="F38" s="120">
        <f>_xlfn.COMPOUNDVALUE(103)</f>
        <v>885</v>
      </c>
      <c r="G38" s="121">
        <v>324650</v>
      </c>
      <c r="H38" s="120">
        <f>_xlfn.COMPOUNDVALUE(104)</f>
        <v>14</v>
      </c>
      <c r="I38" s="122">
        <v>25184</v>
      </c>
      <c r="J38" s="120">
        <v>47</v>
      </c>
      <c r="K38" s="122">
        <v>8358</v>
      </c>
      <c r="L38" s="120">
        <f>_xlfn.COMPOUNDVALUE(104)</f>
        <v>921</v>
      </c>
      <c r="M38" s="122">
        <v>307824</v>
      </c>
      <c r="N38" s="79" t="s">
        <v>98</v>
      </c>
    </row>
    <row r="39" spans="1:14" s="77" customFormat="1" ht="15.75" customHeight="1">
      <c r="A39" s="80" t="s">
        <v>99</v>
      </c>
      <c r="B39" s="123">
        <v>3004</v>
      </c>
      <c r="C39" s="124">
        <v>1654775</v>
      </c>
      <c r="D39" s="123">
        <v>5940</v>
      </c>
      <c r="E39" s="124">
        <v>1956534</v>
      </c>
      <c r="F39" s="123">
        <v>8944</v>
      </c>
      <c r="G39" s="124">
        <v>3611309</v>
      </c>
      <c r="H39" s="123">
        <v>212</v>
      </c>
      <c r="I39" s="125">
        <v>120751</v>
      </c>
      <c r="J39" s="123">
        <v>571</v>
      </c>
      <c r="K39" s="125">
        <v>87714</v>
      </c>
      <c r="L39" s="123">
        <v>9385</v>
      </c>
      <c r="M39" s="125">
        <v>3578272</v>
      </c>
      <c r="N39" s="81" t="s">
        <v>100</v>
      </c>
    </row>
    <row r="40" spans="1:15" s="77" customFormat="1" ht="15.75" customHeight="1" thickBot="1">
      <c r="A40" s="84"/>
      <c r="B40" s="137"/>
      <c r="C40" s="138"/>
      <c r="D40" s="137"/>
      <c r="E40" s="138"/>
      <c r="F40" s="139"/>
      <c r="G40" s="138"/>
      <c r="H40" s="139"/>
      <c r="I40" s="138"/>
      <c r="J40" s="139"/>
      <c r="K40" s="138"/>
      <c r="L40" s="139"/>
      <c r="M40" s="138"/>
      <c r="N40" s="85"/>
      <c r="O40" s="86"/>
    </row>
    <row r="41" spans="1:14" s="77" customFormat="1" ht="15.75" customHeight="1" thickBot="1" thickTop="1">
      <c r="A41" s="87" t="s">
        <v>101</v>
      </c>
      <c r="B41" s="140">
        <v>13275</v>
      </c>
      <c r="C41" s="141">
        <v>6369189</v>
      </c>
      <c r="D41" s="140">
        <v>21804</v>
      </c>
      <c r="E41" s="141">
        <v>7350059</v>
      </c>
      <c r="F41" s="140">
        <v>35079</v>
      </c>
      <c r="G41" s="141">
        <v>13719248</v>
      </c>
      <c r="H41" s="140">
        <v>1100</v>
      </c>
      <c r="I41" s="142">
        <v>806791</v>
      </c>
      <c r="J41" s="140">
        <v>3019</v>
      </c>
      <c r="K41" s="142">
        <v>490983</v>
      </c>
      <c r="L41" s="140">
        <v>37225</v>
      </c>
      <c r="M41" s="142">
        <v>13403440</v>
      </c>
      <c r="N41" s="88" t="s">
        <v>102</v>
      </c>
    </row>
    <row r="42" spans="1:14" ht="13.5">
      <c r="A42" s="217" t="s">
        <v>103</v>
      </c>
      <c r="B42" s="217"/>
      <c r="C42" s="217"/>
      <c r="D42" s="217"/>
      <c r="E42" s="217"/>
      <c r="F42" s="217"/>
      <c r="G42" s="217"/>
      <c r="H42" s="217"/>
      <c r="I42" s="217"/>
      <c r="J42" s="89"/>
      <c r="K42" s="89"/>
      <c r="L42" s="63"/>
      <c r="M42" s="63"/>
      <c r="N42" s="63"/>
    </row>
    <row r="44" spans="2:10" ht="13.5">
      <c r="B44" s="147"/>
      <c r="C44" s="147"/>
      <c r="D44" s="147"/>
      <c r="E44" s="147"/>
      <c r="F44" s="147"/>
      <c r="G44" s="147"/>
      <c r="H44" s="147"/>
      <c r="J44" s="147"/>
    </row>
    <row r="45" spans="2:10" ht="13.5">
      <c r="B45" s="147"/>
      <c r="C45" s="147"/>
      <c r="D45" s="147"/>
      <c r="E45" s="147"/>
      <c r="F45" s="147"/>
      <c r="G45" s="147"/>
      <c r="H45" s="147"/>
      <c r="J45" s="147"/>
    </row>
    <row r="46" spans="2:10" ht="13.5">
      <c r="B46" s="147"/>
      <c r="C46" s="147"/>
      <c r="D46" s="147"/>
      <c r="E46" s="147"/>
      <c r="F46" s="147"/>
      <c r="G46" s="147"/>
      <c r="H46" s="147"/>
      <c r="J46" s="147"/>
    </row>
    <row r="47" spans="2:10" ht="13.5">
      <c r="B47" s="147"/>
      <c r="C47" s="147"/>
      <c r="D47" s="147"/>
      <c r="E47" s="147"/>
      <c r="F47" s="147"/>
      <c r="G47" s="147"/>
      <c r="H47" s="147"/>
      <c r="J47" s="147"/>
    </row>
    <row r="48" spans="2:10" ht="13.5">
      <c r="B48" s="147"/>
      <c r="C48" s="147"/>
      <c r="D48" s="147"/>
      <c r="E48" s="147"/>
      <c r="F48" s="147"/>
      <c r="G48" s="147"/>
      <c r="H48" s="147"/>
      <c r="J48" s="147"/>
    </row>
    <row r="49" spans="2:10" ht="13.5">
      <c r="B49" s="147"/>
      <c r="C49" s="147"/>
      <c r="D49" s="147"/>
      <c r="E49" s="147"/>
      <c r="F49" s="147"/>
      <c r="G49" s="147"/>
      <c r="H49" s="147"/>
      <c r="J49" s="147"/>
    </row>
    <row r="50" spans="2:10" ht="13.5">
      <c r="B50" s="147"/>
      <c r="C50" s="147"/>
      <c r="D50" s="147"/>
      <c r="E50" s="147"/>
      <c r="F50" s="147"/>
      <c r="G50" s="147"/>
      <c r="H50" s="147"/>
      <c r="J50" s="147"/>
    </row>
    <row r="51" spans="2:10" ht="13.5">
      <c r="B51" s="147"/>
      <c r="C51" s="147"/>
      <c r="D51" s="147"/>
      <c r="E51" s="147"/>
      <c r="F51" s="147"/>
      <c r="G51" s="147"/>
      <c r="H51" s="147"/>
      <c r="J51" s="147"/>
    </row>
    <row r="52" spans="2:10" ht="13.5">
      <c r="B52" s="147"/>
      <c r="C52" s="147"/>
      <c r="D52" s="147"/>
      <c r="E52" s="147"/>
      <c r="F52" s="147"/>
      <c r="G52" s="147"/>
      <c r="H52" s="147"/>
      <c r="J52" s="147"/>
    </row>
    <row r="53" spans="2:10" ht="13.5">
      <c r="B53" s="147"/>
      <c r="C53" s="147"/>
      <c r="D53" s="147"/>
      <c r="E53" s="147"/>
      <c r="F53" s="147"/>
      <c r="G53" s="147"/>
      <c r="H53" s="147"/>
      <c r="J53" s="147"/>
    </row>
    <row r="54" spans="2:10" ht="13.5">
      <c r="B54" s="147"/>
      <c r="C54" s="147"/>
      <c r="D54" s="147"/>
      <c r="E54" s="147"/>
      <c r="F54" s="147"/>
      <c r="G54" s="147"/>
      <c r="H54" s="147"/>
      <c r="J54" s="147"/>
    </row>
    <row r="55" spans="2:10" ht="13.5">
      <c r="B55" s="147"/>
      <c r="C55" s="147"/>
      <c r="D55" s="147"/>
      <c r="E55" s="147"/>
      <c r="F55" s="147"/>
      <c r="G55" s="147"/>
      <c r="H55" s="147"/>
      <c r="J55" s="147"/>
    </row>
    <row r="56" spans="2:10" ht="13.5">
      <c r="B56" s="147"/>
      <c r="C56" s="147"/>
      <c r="D56" s="147"/>
      <c r="E56" s="147"/>
      <c r="F56" s="147"/>
      <c r="G56" s="147"/>
      <c r="H56" s="147"/>
      <c r="J56" s="147"/>
    </row>
  </sheetData>
  <sheetProtection/>
  <mergeCells count="11">
    <mergeCell ref="N3:N5"/>
    <mergeCell ref="B4:C4"/>
    <mergeCell ref="D4:E4"/>
    <mergeCell ref="F4:G4"/>
    <mergeCell ref="A42:I42"/>
    <mergeCell ref="A2:G2"/>
    <mergeCell ref="A3:A5"/>
    <mergeCell ref="B3:G3"/>
    <mergeCell ref="H3:I4"/>
    <mergeCell ref="J3:K4"/>
    <mergeCell ref="L3:M4"/>
  </mergeCells>
  <printOptions/>
  <pageMargins left="0.7086614173228347" right="0.7086614173228347" top="0.7480314960629921" bottom="0.7480314960629921" header="0.31496062992125984" footer="0.31496062992125984"/>
  <pageSetup fitToHeight="0" fitToWidth="1" horizontalDpi="300" verticalDpi="300" orientation="portrait" paperSize="8" scale="82" r:id="rId1"/>
  <headerFooter>
    <oddFooter>&amp;R高松国税局
消費税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6" sqref="A6:IV6"/>
    </sheetView>
  </sheetViews>
  <sheetFormatPr defaultColWidth="9.00390625" defaultRowHeight="13.5"/>
  <cols>
    <col min="1" max="1" width="11.125" style="114" customWidth="1"/>
    <col min="2" max="2" width="10.625" style="114" customWidth="1"/>
    <col min="3" max="3" width="12.625" style="114" customWidth="1"/>
    <col min="4" max="4" width="10.625" style="114" customWidth="1"/>
    <col min="5" max="5" width="12.625" style="114" customWidth="1"/>
    <col min="6" max="6" width="10.625" style="114" customWidth="1"/>
    <col min="7" max="7" width="12.625" style="114" customWidth="1"/>
    <col min="8" max="8" width="10.625" style="114" customWidth="1"/>
    <col min="9" max="9" width="12.625" style="114" customWidth="1"/>
    <col min="10" max="10" width="10.625" style="114" customWidth="1"/>
    <col min="11" max="11" width="12.625" style="114" customWidth="1"/>
    <col min="12" max="12" width="10.625" style="114" customWidth="1"/>
    <col min="13" max="13" width="12.625" style="114" customWidth="1"/>
    <col min="14" max="14" width="11.375" style="114" customWidth="1"/>
    <col min="15" max="16384" width="9.00390625" style="114" customWidth="1"/>
  </cols>
  <sheetData>
    <row r="1" spans="1:13" ht="13.5">
      <c r="A1" s="62" t="s">
        <v>104</v>
      </c>
      <c r="B1" s="62"/>
      <c r="C1" s="62"/>
      <c r="D1" s="62"/>
      <c r="E1" s="62"/>
      <c r="F1" s="62"/>
      <c r="G1" s="62"/>
      <c r="H1" s="62"/>
      <c r="I1" s="62"/>
      <c r="J1" s="62"/>
      <c r="K1" s="62"/>
      <c r="L1" s="63"/>
      <c r="M1" s="63"/>
    </row>
    <row r="2" spans="1:13" ht="14.25" thickBot="1">
      <c r="A2" s="218" t="s">
        <v>105</v>
      </c>
      <c r="B2" s="218"/>
      <c r="C2" s="218"/>
      <c r="D2" s="218"/>
      <c r="E2" s="218"/>
      <c r="F2" s="218"/>
      <c r="G2" s="218"/>
      <c r="H2" s="218"/>
      <c r="I2" s="218"/>
      <c r="J2" s="89"/>
      <c r="K2" s="89"/>
      <c r="L2" s="63"/>
      <c r="M2" s="63"/>
    </row>
    <row r="3" spans="1:14" ht="19.5" customHeight="1">
      <c r="A3" s="203" t="s">
        <v>28</v>
      </c>
      <c r="B3" s="206" t="s">
        <v>29</v>
      </c>
      <c r="C3" s="206"/>
      <c r="D3" s="206"/>
      <c r="E3" s="206"/>
      <c r="F3" s="206"/>
      <c r="G3" s="206"/>
      <c r="H3" s="207" t="s">
        <v>13</v>
      </c>
      <c r="I3" s="208"/>
      <c r="J3" s="211" t="s">
        <v>30</v>
      </c>
      <c r="K3" s="208"/>
      <c r="L3" s="207" t="s">
        <v>31</v>
      </c>
      <c r="M3" s="208"/>
      <c r="N3" s="212" t="s">
        <v>106</v>
      </c>
    </row>
    <row r="4" spans="1:14" ht="17.25" customHeight="1">
      <c r="A4" s="204"/>
      <c r="B4" s="209" t="s">
        <v>16</v>
      </c>
      <c r="C4" s="216"/>
      <c r="D4" s="209" t="s">
        <v>33</v>
      </c>
      <c r="E4" s="216"/>
      <c r="F4" s="209" t="s">
        <v>34</v>
      </c>
      <c r="G4" s="216"/>
      <c r="H4" s="209"/>
      <c r="I4" s="210"/>
      <c r="J4" s="209"/>
      <c r="K4" s="210"/>
      <c r="L4" s="209"/>
      <c r="M4" s="210"/>
      <c r="N4" s="213"/>
    </row>
    <row r="5" spans="1:14" ht="28.5" customHeight="1">
      <c r="A5" s="205"/>
      <c r="B5" s="64" t="s">
        <v>35</v>
      </c>
      <c r="C5" s="65" t="s">
        <v>36</v>
      </c>
      <c r="D5" s="64" t="s">
        <v>35</v>
      </c>
      <c r="E5" s="65" t="s">
        <v>36</v>
      </c>
      <c r="F5" s="64" t="s">
        <v>35</v>
      </c>
      <c r="G5" s="66" t="s">
        <v>37</v>
      </c>
      <c r="H5" s="64" t="s">
        <v>35</v>
      </c>
      <c r="I5" s="67" t="s">
        <v>38</v>
      </c>
      <c r="J5" s="64" t="s">
        <v>35</v>
      </c>
      <c r="K5" s="67" t="s">
        <v>39</v>
      </c>
      <c r="L5" s="64" t="s">
        <v>35</v>
      </c>
      <c r="M5" s="68" t="s">
        <v>40</v>
      </c>
      <c r="N5" s="214"/>
    </row>
    <row r="6" spans="1:14" s="90" customFormat="1" ht="10.5">
      <c r="A6" s="69"/>
      <c r="B6" s="70" t="s">
        <v>4</v>
      </c>
      <c r="C6" s="71" t="s">
        <v>5</v>
      </c>
      <c r="D6" s="70" t="s">
        <v>4</v>
      </c>
      <c r="E6" s="71" t="s">
        <v>5</v>
      </c>
      <c r="F6" s="70" t="s">
        <v>4</v>
      </c>
      <c r="G6" s="71" t="s">
        <v>5</v>
      </c>
      <c r="H6" s="70" t="s">
        <v>4</v>
      </c>
      <c r="I6" s="72" t="s">
        <v>5</v>
      </c>
      <c r="J6" s="70" t="s">
        <v>4</v>
      </c>
      <c r="K6" s="72" t="s">
        <v>5</v>
      </c>
      <c r="L6" s="70" t="s">
        <v>4</v>
      </c>
      <c r="M6" s="72" t="s">
        <v>5</v>
      </c>
      <c r="N6" s="73"/>
    </row>
    <row r="7" spans="1:14" ht="15.75" customHeight="1">
      <c r="A7" s="75" t="s">
        <v>107</v>
      </c>
      <c r="B7" s="115">
        <f>_xlfn.COMPOUNDVALUE(105)</f>
        <v>3847</v>
      </c>
      <c r="C7" s="116">
        <v>19140362</v>
      </c>
      <c r="D7" s="115">
        <f>_xlfn.COMPOUNDVALUE(106)</f>
        <v>1723</v>
      </c>
      <c r="E7" s="116">
        <v>841134</v>
      </c>
      <c r="F7" s="115">
        <f>_xlfn.COMPOUNDVALUE(107)</f>
        <v>5570</v>
      </c>
      <c r="G7" s="116">
        <v>19981496</v>
      </c>
      <c r="H7" s="115">
        <f>_xlfn.COMPOUNDVALUE(108)</f>
        <v>247</v>
      </c>
      <c r="I7" s="117">
        <v>1348292</v>
      </c>
      <c r="J7" s="115">
        <v>395</v>
      </c>
      <c r="K7" s="117">
        <v>76499</v>
      </c>
      <c r="L7" s="115">
        <f>_xlfn.COMPOUNDVALUE(108)</f>
        <v>5852</v>
      </c>
      <c r="M7" s="117">
        <v>18709702</v>
      </c>
      <c r="N7" s="92" t="s">
        <v>42</v>
      </c>
    </row>
    <row r="8" spans="1:14" ht="15.75" customHeight="1">
      <c r="A8" s="78" t="s">
        <v>108</v>
      </c>
      <c r="B8" s="120">
        <f>_xlfn.COMPOUNDVALUE(109)</f>
        <v>1215</v>
      </c>
      <c r="C8" s="121">
        <v>6916823</v>
      </c>
      <c r="D8" s="120">
        <f>_xlfn.COMPOUNDVALUE(110)</f>
        <v>558</v>
      </c>
      <c r="E8" s="121">
        <v>269018</v>
      </c>
      <c r="F8" s="120">
        <f>_xlfn.COMPOUNDVALUE(111)</f>
        <v>1773</v>
      </c>
      <c r="G8" s="121">
        <v>7185841</v>
      </c>
      <c r="H8" s="120">
        <f>_xlfn.COMPOUNDVALUE(112)</f>
        <v>79</v>
      </c>
      <c r="I8" s="122">
        <v>735965</v>
      </c>
      <c r="J8" s="120">
        <v>128</v>
      </c>
      <c r="K8" s="122">
        <v>9384</v>
      </c>
      <c r="L8" s="120">
        <f>_xlfn.COMPOUNDVALUE(112)</f>
        <v>1858</v>
      </c>
      <c r="M8" s="122">
        <v>6459260</v>
      </c>
      <c r="N8" s="79" t="s">
        <v>44</v>
      </c>
    </row>
    <row r="9" spans="1:14" ht="15.75" customHeight="1">
      <c r="A9" s="78" t="s">
        <v>109</v>
      </c>
      <c r="B9" s="120">
        <f>_xlfn.COMPOUNDVALUE(113)</f>
        <v>853</v>
      </c>
      <c r="C9" s="121">
        <v>2888002</v>
      </c>
      <c r="D9" s="120">
        <f>_xlfn.COMPOUNDVALUE(114)</f>
        <v>407</v>
      </c>
      <c r="E9" s="121">
        <v>198026</v>
      </c>
      <c r="F9" s="120">
        <f>_xlfn.COMPOUNDVALUE(115)</f>
        <v>1260</v>
      </c>
      <c r="G9" s="121">
        <v>3086028</v>
      </c>
      <c r="H9" s="120">
        <f>_xlfn.COMPOUNDVALUE(116)</f>
        <v>80</v>
      </c>
      <c r="I9" s="122">
        <v>5121997</v>
      </c>
      <c r="J9" s="120">
        <v>105</v>
      </c>
      <c r="K9" s="122">
        <v>7880</v>
      </c>
      <c r="L9" s="120">
        <f>_xlfn.COMPOUNDVALUE(116)</f>
        <v>1349</v>
      </c>
      <c r="M9" s="122">
        <v>-2028089</v>
      </c>
      <c r="N9" s="79" t="s">
        <v>46</v>
      </c>
    </row>
    <row r="10" spans="1:14" ht="15.75" customHeight="1">
      <c r="A10" s="78" t="s">
        <v>110</v>
      </c>
      <c r="B10" s="120">
        <f>_xlfn.COMPOUNDVALUE(117)</f>
        <v>616</v>
      </c>
      <c r="C10" s="121">
        <v>1754488</v>
      </c>
      <c r="D10" s="120">
        <f>_xlfn.COMPOUNDVALUE(118)</f>
        <v>309</v>
      </c>
      <c r="E10" s="121">
        <v>152691</v>
      </c>
      <c r="F10" s="120">
        <f>_xlfn.COMPOUNDVALUE(119)</f>
        <v>925</v>
      </c>
      <c r="G10" s="121">
        <v>1907179</v>
      </c>
      <c r="H10" s="120">
        <f>_xlfn.COMPOUNDVALUE(120)</f>
        <v>58</v>
      </c>
      <c r="I10" s="122">
        <v>164695</v>
      </c>
      <c r="J10" s="120">
        <v>49</v>
      </c>
      <c r="K10" s="122">
        <v>4982</v>
      </c>
      <c r="L10" s="120">
        <f>_xlfn.COMPOUNDVALUE(120)</f>
        <v>983</v>
      </c>
      <c r="M10" s="122">
        <v>1747465</v>
      </c>
      <c r="N10" s="79" t="s">
        <v>48</v>
      </c>
    </row>
    <row r="11" spans="1:14" ht="15.75" customHeight="1">
      <c r="A11" s="78" t="s">
        <v>111</v>
      </c>
      <c r="B11" s="120">
        <f>_xlfn.COMPOUNDVALUE(121)</f>
        <v>347</v>
      </c>
      <c r="C11" s="121">
        <v>1294531</v>
      </c>
      <c r="D11" s="120">
        <f>_xlfn.COMPOUNDVALUE(122)</f>
        <v>177</v>
      </c>
      <c r="E11" s="121">
        <v>82759</v>
      </c>
      <c r="F11" s="120">
        <f>_xlfn.COMPOUNDVALUE(123)</f>
        <v>524</v>
      </c>
      <c r="G11" s="121">
        <v>1377289</v>
      </c>
      <c r="H11" s="120">
        <f>_xlfn.COMPOUNDVALUE(124)</f>
        <v>18</v>
      </c>
      <c r="I11" s="122">
        <v>18767</v>
      </c>
      <c r="J11" s="120">
        <v>64</v>
      </c>
      <c r="K11" s="122">
        <v>15523</v>
      </c>
      <c r="L11" s="120">
        <f>_xlfn.COMPOUNDVALUE(124)</f>
        <v>542</v>
      </c>
      <c r="M11" s="122">
        <v>1374045</v>
      </c>
      <c r="N11" s="79" t="s">
        <v>50</v>
      </c>
    </row>
    <row r="12" spans="1:14" ht="15.75" customHeight="1">
      <c r="A12" s="78" t="s">
        <v>112</v>
      </c>
      <c r="B12" s="120">
        <f>_xlfn.COMPOUNDVALUE(125)</f>
        <v>395</v>
      </c>
      <c r="C12" s="121">
        <v>1074973</v>
      </c>
      <c r="D12" s="120">
        <f>_xlfn.COMPOUNDVALUE(126)</f>
        <v>202</v>
      </c>
      <c r="E12" s="121">
        <v>98456</v>
      </c>
      <c r="F12" s="120">
        <f>_xlfn.COMPOUNDVALUE(127)</f>
        <v>597</v>
      </c>
      <c r="G12" s="121">
        <v>1173429</v>
      </c>
      <c r="H12" s="120">
        <f>_xlfn.COMPOUNDVALUE(128)</f>
        <v>28</v>
      </c>
      <c r="I12" s="122">
        <v>54697</v>
      </c>
      <c r="J12" s="120">
        <v>39</v>
      </c>
      <c r="K12" s="122">
        <v>6893</v>
      </c>
      <c r="L12" s="120">
        <f>_xlfn.COMPOUNDVALUE(128)</f>
        <v>627</v>
      </c>
      <c r="M12" s="122">
        <v>1125625</v>
      </c>
      <c r="N12" s="79" t="s">
        <v>52</v>
      </c>
    </row>
    <row r="13" spans="1:14" ht="15.75" customHeight="1">
      <c r="A13" s="80" t="s">
        <v>113</v>
      </c>
      <c r="B13" s="123">
        <v>7273</v>
      </c>
      <c r="C13" s="124">
        <v>33069179</v>
      </c>
      <c r="D13" s="123">
        <v>3376</v>
      </c>
      <c r="E13" s="124">
        <v>1642083</v>
      </c>
      <c r="F13" s="123">
        <v>10649</v>
      </c>
      <c r="G13" s="124">
        <v>34711262</v>
      </c>
      <c r="H13" s="123">
        <v>510</v>
      </c>
      <c r="I13" s="125">
        <v>7444413</v>
      </c>
      <c r="J13" s="123">
        <v>780</v>
      </c>
      <c r="K13" s="125">
        <v>121160</v>
      </c>
      <c r="L13" s="123">
        <v>11211</v>
      </c>
      <c r="M13" s="125">
        <v>27388009</v>
      </c>
      <c r="N13" s="81" t="s">
        <v>54</v>
      </c>
    </row>
    <row r="14" spans="1:14" ht="15.75" customHeight="1">
      <c r="A14" s="82"/>
      <c r="B14" s="128"/>
      <c r="C14" s="129"/>
      <c r="D14" s="128"/>
      <c r="E14" s="129"/>
      <c r="F14" s="130"/>
      <c r="G14" s="129"/>
      <c r="H14" s="130"/>
      <c r="I14" s="129"/>
      <c r="J14" s="130"/>
      <c r="K14" s="129"/>
      <c r="L14" s="130"/>
      <c r="M14" s="129"/>
      <c r="N14" s="83"/>
    </row>
    <row r="15" spans="1:14" ht="15.75" customHeight="1">
      <c r="A15" s="75" t="s">
        <v>114</v>
      </c>
      <c r="B15" s="115">
        <f>_xlfn.COMPOUNDVALUE(129)</f>
        <v>5182</v>
      </c>
      <c r="C15" s="116">
        <v>45520436</v>
      </c>
      <c r="D15" s="115">
        <f>_xlfn.COMPOUNDVALUE(130)</f>
        <v>2600</v>
      </c>
      <c r="E15" s="116">
        <v>1265440</v>
      </c>
      <c r="F15" s="115">
        <f>_xlfn.COMPOUNDVALUE(131)</f>
        <v>7782</v>
      </c>
      <c r="G15" s="116">
        <v>46785875</v>
      </c>
      <c r="H15" s="115">
        <f>_xlfn.COMPOUNDVALUE(132)</f>
        <v>312</v>
      </c>
      <c r="I15" s="117">
        <v>2884789</v>
      </c>
      <c r="J15" s="115">
        <v>477</v>
      </c>
      <c r="K15" s="117">
        <v>62111</v>
      </c>
      <c r="L15" s="115">
        <f>_xlfn.COMPOUNDVALUE(132)</f>
        <v>8133</v>
      </c>
      <c r="M15" s="117">
        <v>43963197</v>
      </c>
      <c r="N15" s="76" t="s">
        <v>56</v>
      </c>
    </row>
    <row r="16" spans="1:14" ht="15.75" customHeight="1">
      <c r="A16" s="78" t="s">
        <v>115</v>
      </c>
      <c r="B16" s="120">
        <f>_xlfn.COMPOUNDVALUE(133)</f>
        <v>1636</v>
      </c>
      <c r="C16" s="121">
        <v>8606685</v>
      </c>
      <c r="D16" s="120">
        <f>_xlfn.COMPOUNDVALUE(134)</f>
        <v>909</v>
      </c>
      <c r="E16" s="121">
        <v>447034</v>
      </c>
      <c r="F16" s="120">
        <f>_xlfn.COMPOUNDVALUE(135)</f>
        <v>2545</v>
      </c>
      <c r="G16" s="121">
        <v>9053719</v>
      </c>
      <c r="H16" s="120">
        <f>_xlfn.COMPOUNDVALUE(136)</f>
        <v>103</v>
      </c>
      <c r="I16" s="122">
        <v>176587</v>
      </c>
      <c r="J16" s="120">
        <v>161</v>
      </c>
      <c r="K16" s="122">
        <v>21560</v>
      </c>
      <c r="L16" s="120">
        <f>_xlfn.COMPOUNDVALUE(136)</f>
        <v>2655</v>
      </c>
      <c r="M16" s="122">
        <v>8898693</v>
      </c>
      <c r="N16" s="79" t="s">
        <v>58</v>
      </c>
    </row>
    <row r="17" spans="1:14" ht="15.75" customHeight="1">
      <c r="A17" s="78" t="s">
        <v>116</v>
      </c>
      <c r="B17" s="120">
        <f>_xlfn.COMPOUNDVALUE(137)</f>
        <v>1009</v>
      </c>
      <c r="C17" s="121">
        <v>4700682</v>
      </c>
      <c r="D17" s="120">
        <f>_xlfn.COMPOUNDVALUE(138)</f>
        <v>427</v>
      </c>
      <c r="E17" s="121">
        <v>208773</v>
      </c>
      <c r="F17" s="120">
        <f>_xlfn.COMPOUNDVALUE(139)</f>
        <v>1436</v>
      </c>
      <c r="G17" s="121">
        <v>4909455</v>
      </c>
      <c r="H17" s="120">
        <f>_xlfn.COMPOUNDVALUE(140)</f>
        <v>65</v>
      </c>
      <c r="I17" s="122">
        <v>173040</v>
      </c>
      <c r="J17" s="120">
        <v>71</v>
      </c>
      <c r="K17" s="122">
        <v>3737</v>
      </c>
      <c r="L17" s="120">
        <f>_xlfn.COMPOUNDVALUE(140)</f>
        <v>1503</v>
      </c>
      <c r="M17" s="122">
        <v>4740152</v>
      </c>
      <c r="N17" s="79" t="s">
        <v>60</v>
      </c>
    </row>
    <row r="18" spans="1:14" ht="15.75" customHeight="1">
      <c r="A18" s="78" t="s">
        <v>117</v>
      </c>
      <c r="B18" s="120">
        <f>_xlfn.COMPOUNDVALUE(141)</f>
        <v>1227</v>
      </c>
      <c r="C18" s="121">
        <v>5925241</v>
      </c>
      <c r="D18" s="120">
        <f>_xlfn.COMPOUNDVALUE(142)</f>
        <v>519</v>
      </c>
      <c r="E18" s="121">
        <v>244959</v>
      </c>
      <c r="F18" s="120">
        <f>_xlfn.COMPOUNDVALUE(143)</f>
        <v>1746</v>
      </c>
      <c r="G18" s="121">
        <v>6170200</v>
      </c>
      <c r="H18" s="120">
        <f>_xlfn.COMPOUNDVALUE(144)</f>
        <v>66</v>
      </c>
      <c r="I18" s="122">
        <v>175710</v>
      </c>
      <c r="J18" s="120">
        <v>87</v>
      </c>
      <c r="K18" s="122">
        <v>2665</v>
      </c>
      <c r="L18" s="120">
        <f>_xlfn.COMPOUNDVALUE(144)</f>
        <v>1816</v>
      </c>
      <c r="M18" s="122">
        <v>5997154</v>
      </c>
      <c r="N18" s="79" t="s">
        <v>62</v>
      </c>
    </row>
    <row r="19" spans="1:14" ht="15.75" customHeight="1">
      <c r="A19" s="78" t="s">
        <v>149</v>
      </c>
      <c r="B19" s="120">
        <f>_xlfn.COMPOUNDVALUE(145)</f>
        <v>681</v>
      </c>
      <c r="C19" s="121">
        <v>2941410</v>
      </c>
      <c r="D19" s="120">
        <f>_xlfn.COMPOUNDVALUE(146)</f>
        <v>306</v>
      </c>
      <c r="E19" s="121">
        <v>133397</v>
      </c>
      <c r="F19" s="120">
        <f>_xlfn.COMPOUNDVALUE(147)</f>
        <v>987</v>
      </c>
      <c r="G19" s="121">
        <v>3074807</v>
      </c>
      <c r="H19" s="120">
        <f>_xlfn.COMPOUNDVALUE(148)</f>
        <v>62</v>
      </c>
      <c r="I19" s="122">
        <v>322406</v>
      </c>
      <c r="J19" s="120">
        <v>43</v>
      </c>
      <c r="K19" s="122">
        <v>2622</v>
      </c>
      <c r="L19" s="120">
        <f>_xlfn.COMPOUNDVALUE(148)</f>
        <v>1054</v>
      </c>
      <c r="M19" s="122">
        <v>2755024</v>
      </c>
      <c r="N19" s="79" t="s">
        <v>64</v>
      </c>
    </row>
    <row r="20" spans="1:14" ht="15.75" customHeight="1">
      <c r="A20" s="78" t="s">
        <v>150</v>
      </c>
      <c r="B20" s="120">
        <f>_xlfn.COMPOUNDVALUE(149)</f>
        <v>400</v>
      </c>
      <c r="C20" s="121">
        <v>1409657</v>
      </c>
      <c r="D20" s="120">
        <f>_xlfn.COMPOUNDVALUE(150)</f>
        <v>193</v>
      </c>
      <c r="E20" s="121">
        <v>82021</v>
      </c>
      <c r="F20" s="120">
        <f>_xlfn.COMPOUNDVALUE(151)</f>
        <v>593</v>
      </c>
      <c r="G20" s="121">
        <v>1491677</v>
      </c>
      <c r="H20" s="120">
        <f>_xlfn.COMPOUNDVALUE(152)</f>
        <v>25</v>
      </c>
      <c r="I20" s="122">
        <v>64393</v>
      </c>
      <c r="J20" s="120">
        <v>32</v>
      </c>
      <c r="K20" s="122">
        <v>2889</v>
      </c>
      <c r="L20" s="120">
        <f>_xlfn.COMPOUNDVALUE(152)</f>
        <v>618</v>
      </c>
      <c r="M20" s="122">
        <v>1430172</v>
      </c>
      <c r="N20" s="79" t="s">
        <v>66</v>
      </c>
    </row>
    <row r="21" spans="1:14" ht="15.75" customHeight="1">
      <c r="A21" s="80" t="s">
        <v>151</v>
      </c>
      <c r="B21" s="123">
        <v>10135</v>
      </c>
      <c r="C21" s="124">
        <v>69104109</v>
      </c>
      <c r="D21" s="123">
        <v>4954</v>
      </c>
      <c r="E21" s="124">
        <v>2381624</v>
      </c>
      <c r="F21" s="123">
        <v>15089</v>
      </c>
      <c r="G21" s="124">
        <v>71485733</v>
      </c>
      <c r="H21" s="123">
        <v>633</v>
      </c>
      <c r="I21" s="125">
        <v>3796925</v>
      </c>
      <c r="J21" s="123">
        <v>871</v>
      </c>
      <c r="K21" s="125">
        <v>95584</v>
      </c>
      <c r="L21" s="123">
        <v>15779</v>
      </c>
      <c r="M21" s="125">
        <v>67784391</v>
      </c>
      <c r="N21" s="81" t="s">
        <v>68</v>
      </c>
    </row>
    <row r="22" spans="1:14" ht="15.75" customHeight="1">
      <c r="A22" s="82"/>
      <c r="B22" s="128"/>
      <c r="C22" s="129"/>
      <c r="D22" s="128"/>
      <c r="E22" s="129"/>
      <c r="F22" s="130"/>
      <c r="G22" s="129"/>
      <c r="H22" s="130"/>
      <c r="I22" s="129"/>
      <c r="J22" s="130"/>
      <c r="K22" s="129"/>
      <c r="L22" s="130"/>
      <c r="M22" s="129"/>
      <c r="N22" s="83"/>
    </row>
    <row r="23" spans="1:14" ht="15.75" customHeight="1">
      <c r="A23" s="75" t="s">
        <v>152</v>
      </c>
      <c r="B23" s="115">
        <f>_xlfn.COMPOUNDVALUE(153)</f>
        <v>5870</v>
      </c>
      <c r="C23" s="116">
        <v>35966248</v>
      </c>
      <c r="D23" s="115">
        <f>_xlfn.COMPOUNDVALUE(154)</f>
        <v>2643</v>
      </c>
      <c r="E23" s="116">
        <v>1356848</v>
      </c>
      <c r="F23" s="115">
        <f>_xlfn.COMPOUNDVALUE(155)</f>
        <v>8513</v>
      </c>
      <c r="G23" s="116">
        <v>37323096</v>
      </c>
      <c r="H23" s="115">
        <f>_xlfn.COMPOUNDVALUE(156)</f>
        <v>326</v>
      </c>
      <c r="I23" s="117">
        <v>3268261</v>
      </c>
      <c r="J23" s="115">
        <v>597</v>
      </c>
      <c r="K23" s="117">
        <v>102212</v>
      </c>
      <c r="L23" s="115">
        <f>_xlfn.COMPOUNDVALUE(156)</f>
        <v>8879</v>
      </c>
      <c r="M23" s="117">
        <v>34157047</v>
      </c>
      <c r="N23" s="76" t="s">
        <v>70</v>
      </c>
    </row>
    <row r="24" spans="1:14" ht="15.75" customHeight="1">
      <c r="A24" s="78" t="s">
        <v>153</v>
      </c>
      <c r="B24" s="120">
        <f>_xlfn.COMPOUNDVALUE(157)</f>
        <v>2026</v>
      </c>
      <c r="C24" s="121">
        <v>13180385</v>
      </c>
      <c r="D24" s="120">
        <f>_xlfn.COMPOUNDVALUE(158)</f>
        <v>876</v>
      </c>
      <c r="E24" s="121">
        <v>450827</v>
      </c>
      <c r="F24" s="120">
        <f>_xlfn.COMPOUNDVALUE(159)</f>
        <v>2902</v>
      </c>
      <c r="G24" s="121">
        <v>13631212</v>
      </c>
      <c r="H24" s="120">
        <f>_xlfn.COMPOUNDVALUE(160)</f>
        <v>279</v>
      </c>
      <c r="I24" s="122">
        <v>27953995</v>
      </c>
      <c r="J24" s="120">
        <v>243</v>
      </c>
      <c r="K24" s="122">
        <v>1738923</v>
      </c>
      <c r="L24" s="120">
        <f>_xlfn.COMPOUNDVALUE(160)</f>
        <v>3194</v>
      </c>
      <c r="M24" s="122">
        <v>-12583860</v>
      </c>
      <c r="N24" s="79" t="s">
        <v>72</v>
      </c>
    </row>
    <row r="25" spans="1:14" ht="15.75" customHeight="1">
      <c r="A25" s="78" t="s">
        <v>154</v>
      </c>
      <c r="B25" s="120">
        <f>_xlfn.COMPOUNDVALUE(161)</f>
        <v>919</v>
      </c>
      <c r="C25" s="121">
        <v>3554262</v>
      </c>
      <c r="D25" s="120">
        <f>_xlfn.COMPOUNDVALUE(162)</f>
        <v>467</v>
      </c>
      <c r="E25" s="121">
        <v>220457</v>
      </c>
      <c r="F25" s="120">
        <f>_xlfn.COMPOUNDVALUE(163)</f>
        <v>1386</v>
      </c>
      <c r="G25" s="121">
        <v>3774719</v>
      </c>
      <c r="H25" s="120">
        <f>_xlfn.COMPOUNDVALUE(164)</f>
        <v>97</v>
      </c>
      <c r="I25" s="122">
        <v>470248</v>
      </c>
      <c r="J25" s="120">
        <v>142</v>
      </c>
      <c r="K25" s="122">
        <v>15607</v>
      </c>
      <c r="L25" s="120">
        <f>_xlfn.COMPOUNDVALUE(164)</f>
        <v>1492</v>
      </c>
      <c r="M25" s="122">
        <v>3320078</v>
      </c>
      <c r="N25" s="79" t="s">
        <v>74</v>
      </c>
    </row>
    <row r="26" spans="1:14" ht="15.75" customHeight="1">
      <c r="A26" s="78" t="s">
        <v>155</v>
      </c>
      <c r="B26" s="120">
        <f>_xlfn.COMPOUNDVALUE(165)</f>
        <v>704</v>
      </c>
      <c r="C26" s="121">
        <v>2856353</v>
      </c>
      <c r="D26" s="120">
        <f>_xlfn.COMPOUNDVALUE(166)</f>
        <v>364</v>
      </c>
      <c r="E26" s="121">
        <v>157815</v>
      </c>
      <c r="F26" s="120">
        <f>_xlfn.COMPOUNDVALUE(167)</f>
        <v>1068</v>
      </c>
      <c r="G26" s="121">
        <v>3014168</v>
      </c>
      <c r="H26" s="120">
        <f>_xlfn.COMPOUNDVALUE(168)</f>
        <v>58</v>
      </c>
      <c r="I26" s="122">
        <v>170929</v>
      </c>
      <c r="J26" s="120">
        <v>81</v>
      </c>
      <c r="K26" s="122">
        <v>-25510</v>
      </c>
      <c r="L26" s="120">
        <f>_xlfn.COMPOUNDVALUE(168)</f>
        <v>1130</v>
      </c>
      <c r="M26" s="122">
        <v>2817729</v>
      </c>
      <c r="N26" s="79" t="s">
        <v>76</v>
      </c>
    </row>
    <row r="27" spans="1:14" ht="15.75" customHeight="1">
      <c r="A27" s="78" t="s">
        <v>156</v>
      </c>
      <c r="B27" s="120">
        <f>_xlfn.COMPOUNDVALUE(169)</f>
        <v>1079</v>
      </c>
      <c r="C27" s="121">
        <v>7447118</v>
      </c>
      <c r="D27" s="120">
        <f>_xlfn.COMPOUNDVALUE(170)</f>
        <v>474</v>
      </c>
      <c r="E27" s="121">
        <v>245589</v>
      </c>
      <c r="F27" s="120">
        <f>_xlfn.COMPOUNDVALUE(171)</f>
        <v>1553</v>
      </c>
      <c r="G27" s="121">
        <v>7692707</v>
      </c>
      <c r="H27" s="120">
        <f>_xlfn.COMPOUNDVALUE(172)</f>
        <v>56</v>
      </c>
      <c r="I27" s="122">
        <v>158175</v>
      </c>
      <c r="J27" s="120">
        <v>106</v>
      </c>
      <c r="K27" s="122">
        <v>6245</v>
      </c>
      <c r="L27" s="120">
        <f>_xlfn.COMPOUNDVALUE(172)</f>
        <v>1613</v>
      </c>
      <c r="M27" s="122">
        <v>7540778</v>
      </c>
      <c r="N27" s="79" t="s">
        <v>78</v>
      </c>
    </row>
    <row r="28" spans="1:14" ht="15.75" customHeight="1">
      <c r="A28" s="78" t="s">
        <v>157</v>
      </c>
      <c r="B28" s="120">
        <f>_xlfn.COMPOUNDVALUE(173)</f>
        <v>942</v>
      </c>
      <c r="C28" s="121">
        <v>3904555</v>
      </c>
      <c r="D28" s="120">
        <f>_xlfn.COMPOUNDVALUE(174)</f>
        <v>490</v>
      </c>
      <c r="E28" s="121">
        <v>245133</v>
      </c>
      <c r="F28" s="120">
        <f>_xlfn.COMPOUNDVALUE(175)</f>
        <v>1432</v>
      </c>
      <c r="G28" s="121">
        <v>4149688</v>
      </c>
      <c r="H28" s="120">
        <f>_xlfn.COMPOUNDVALUE(176)</f>
        <v>77</v>
      </c>
      <c r="I28" s="122">
        <v>422649</v>
      </c>
      <c r="J28" s="120">
        <v>91</v>
      </c>
      <c r="K28" s="122">
        <v>32022</v>
      </c>
      <c r="L28" s="120">
        <f>_xlfn.COMPOUNDVALUE(176)</f>
        <v>1519</v>
      </c>
      <c r="M28" s="122">
        <v>3759061</v>
      </c>
      <c r="N28" s="79" t="s">
        <v>80</v>
      </c>
    </row>
    <row r="29" spans="1:14" ht="15.75" customHeight="1">
      <c r="A29" s="78" t="s">
        <v>158</v>
      </c>
      <c r="B29" s="120">
        <f>_xlfn.COMPOUNDVALUE(177)</f>
        <v>519</v>
      </c>
      <c r="C29" s="121">
        <v>2120029</v>
      </c>
      <c r="D29" s="120">
        <f>_xlfn.COMPOUNDVALUE(178)</f>
        <v>258</v>
      </c>
      <c r="E29" s="121">
        <v>126909</v>
      </c>
      <c r="F29" s="120">
        <f>_xlfn.COMPOUNDVALUE(179)</f>
        <v>777</v>
      </c>
      <c r="G29" s="121">
        <v>2246938</v>
      </c>
      <c r="H29" s="120">
        <f>_xlfn.COMPOUNDVALUE(180)</f>
        <v>25</v>
      </c>
      <c r="I29" s="122">
        <v>21678</v>
      </c>
      <c r="J29" s="120">
        <v>63</v>
      </c>
      <c r="K29" s="122">
        <v>8653</v>
      </c>
      <c r="L29" s="120">
        <f>_xlfn.COMPOUNDVALUE(180)</f>
        <v>805</v>
      </c>
      <c r="M29" s="122">
        <v>2233913</v>
      </c>
      <c r="N29" s="79" t="s">
        <v>82</v>
      </c>
    </row>
    <row r="30" spans="1:14" ht="15.75" customHeight="1">
      <c r="A30" s="78" t="s">
        <v>159</v>
      </c>
      <c r="B30" s="120">
        <f>_xlfn.COMPOUNDVALUE(181)</f>
        <v>1040</v>
      </c>
      <c r="C30" s="121">
        <v>14212982</v>
      </c>
      <c r="D30" s="120">
        <f>_xlfn.COMPOUNDVALUE(182)</f>
        <v>404</v>
      </c>
      <c r="E30" s="121">
        <v>180282</v>
      </c>
      <c r="F30" s="120">
        <f>_xlfn.COMPOUNDVALUE(183)</f>
        <v>1444</v>
      </c>
      <c r="G30" s="121">
        <v>14393264</v>
      </c>
      <c r="H30" s="120">
        <f>_xlfn.COMPOUNDVALUE(184)</f>
        <v>58</v>
      </c>
      <c r="I30" s="122">
        <v>111039</v>
      </c>
      <c r="J30" s="120">
        <v>132</v>
      </c>
      <c r="K30" s="122">
        <v>-28774</v>
      </c>
      <c r="L30" s="120">
        <f>_xlfn.COMPOUNDVALUE(184)</f>
        <v>1503</v>
      </c>
      <c r="M30" s="122">
        <v>14253451</v>
      </c>
      <c r="N30" s="79" t="s">
        <v>84</v>
      </c>
    </row>
    <row r="31" spans="1:14" ht="15.75" customHeight="1">
      <c r="A31" s="80" t="s">
        <v>160</v>
      </c>
      <c r="B31" s="123">
        <v>13099</v>
      </c>
      <c r="C31" s="124">
        <v>83241931</v>
      </c>
      <c r="D31" s="123">
        <v>5976</v>
      </c>
      <c r="E31" s="124">
        <v>2983859</v>
      </c>
      <c r="F31" s="123">
        <v>19075</v>
      </c>
      <c r="G31" s="124">
        <v>86225791</v>
      </c>
      <c r="H31" s="123">
        <v>976</v>
      </c>
      <c r="I31" s="125">
        <v>32576973</v>
      </c>
      <c r="J31" s="123">
        <v>1455</v>
      </c>
      <c r="K31" s="125">
        <v>1849378</v>
      </c>
      <c r="L31" s="123">
        <v>20135</v>
      </c>
      <c r="M31" s="125">
        <v>55498195</v>
      </c>
      <c r="N31" s="81" t="s">
        <v>86</v>
      </c>
    </row>
    <row r="32" spans="1:14" ht="15.75" customHeight="1">
      <c r="A32" s="82"/>
      <c r="B32" s="128"/>
      <c r="C32" s="129"/>
      <c r="D32" s="128"/>
      <c r="E32" s="129"/>
      <c r="F32" s="130"/>
      <c r="G32" s="129"/>
      <c r="H32" s="130"/>
      <c r="I32" s="129"/>
      <c r="J32" s="130"/>
      <c r="K32" s="129"/>
      <c r="L32" s="130"/>
      <c r="M32" s="129"/>
      <c r="N32" s="83"/>
    </row>
    <row r="33" spans="1:14" ht="15.75" customHeight="1">
      <c r="A33" s="75" t="s">
        <v>161</v>
      </c>
      <c r="B33" s="115">
        <f>_xlfn.COMPOUNDVALUE(185)</f>
        <v>3463</v>
      </c>
      <c r="C33" s="116">
        <v>21428995</v>
      </c>
      <c r="D33" s="115">
        <f>_xlfn.COMPOUNDVALUE(186)</f>
        <v>1498</v>
      </c>
      <c r="E33" s="116">
        <v>769710</v>
      </c>
      <c r="F33" s="115">
        <f>_xlfn.COMPOUNDVALUE(187)</f>
        <v>4961</v>
      </c>
      <c r="G33" s="116">
        <v>22198706</v>
      </c>
      <c r="H33" s="115">
        <f>_xlfn.COMPOUNDVALUE(188)</f>
        <v>167</v>
      </c>
      <c r="I33" s="117">
        <v>1099750</v>
      </c>
      <c r="J33" s="115">
        <v>401</v>
      </c>
      <c r="K33" s="117">
        <v>69132</v>
      </c>
      <c r="L33" s="115">
        <f>_xlfn.COMPOUNDVALUE(188)</f>
        <v>5177</v>
      </c>
      <c r="M33" s="117">
        <v>21168088</v>
      </c>
      <c r="N33" s="76" t="s">
        <v>88</v>
      </c>
    </row>
    <row r="34" spans="1:14" ht="15.75" customHeight="1">
      <c r="A34" s="78" t="s">
        <v>162</v>
      </c>
      <c r="B34" s="120">
        <f>_xlfn.COMPOUNDVALUE(189)</f>
        <v>327</v>
      </c>
      <c r="C34" s="121">
        <v>1115886</v>
      </c>
      <c r="D34" s="120">
        <f>_xlfn.COMPOUNDVALUE(190)</f>
        <v>154</v>
      </c>
      <c r="E34" s="121">
        <v>85084</v>
      </c>
      <c r="F34" s="120">
        <f>_xlfn.COMPOUNDVALUE(191)</f>
        <v>481</v>
      </c>
      <c r="G34" s="121">
        <v>1200969</v>
      </c>
      <c r="H34" s="120">
        <f>_xlfn.COMPOUNDVALUE(192)</f>
        <v>21</v>
      </c>
      <c r="I34" s="122">
        <v>64741</v>
      </c>
      <c r="J34" s="120">
        <v>28</v>
      </c>
      <c r="K34" s="122">
        <v>4756</v>
      </c>
      <c r="L34" s="120">
        <f>_xlfn.COMPOUNDVALUE(192)</f>
        <v>509</v>
      </c>
      <c r="M34" s="122">
        <v>1140984</v>
      </c>
      <c r="N34" s="79" t="s">
        <v>90</v>
      </c>
    </row>
    <row r="35" spans="1:14" ht="15.75" customHeight="1">
      <c r="A35" s="78" t="s">
        <v>163</v>
      </c>
      <c r="B35" s="120">
        <f>_xlfn.COMPOUNDVALUE(193)</f>
        <v>776</v>
      </c>
      <c r="C35" s="121">
        <v>3473266</v>
      </c>
      <c r="D35" s="120">
        <f>_xlfn.COMPOUNDVALUE(194)</f>
        <v>306</v>
      </c>
      <c r="E35" s="121">
        <v>160512</v>
      </c>
      <c r="F35" s="120">
        <f>_xlfn.COMPOUNDVALUE(195)</f>
        <v>1082</v>
      </c>
      <c r="G35" s="121">
        <v>3633777</v>
      </c>
      <c r="H35" s="120">
        <f>_xlfn.COMPOUNDVALUE(196)</f>
        <v>47</v>
      </c>
      <c r="I35" s="122">
        <v>790056</v>
      </c>
      <c r="J35" s="120">
        <v>87</v>
      </c>
      <c r="K35" s="122">
        <v>13783</v>
      </c>
      <c r="L35" s="120">
        <f>_xlfn.COMPOUNDVALUE(196)</f>
        <v>1136</v>
      </c>
      <c r="M35" s="122">
        <v>2857504</v>
      </c>
      <c r="N35" s="79" t="s">
        <v>92</v>
      </c>
    </row>
    <row r="36" spans="1:14" ht="15.75" customHeight="1">
      <c r="A36" s="78" t="s">
        <v>164</v>
      </c>
      <c r="B36" s="120">
        <f>_xlfn.COMPOUNDVALUE(197)</f>
        <v>581</v>
      </c>
      <c r="C36" s="121">
        <v>1738556</v>
      </c>
      <c r="D36" s="120">
        <f>_xlfn.COMPOUNDVALUE(198)</f>
        <v>233</v>
      </c>
      <c r="E36" s="121">
        <v>130489</v>
      </c>
      <c r="F36" s="120">
        <f>_xlfn.COMPOUNDVALUE(199)</f>
        <v>814</v>
      </c>
      <c r="G36" s="121">
        <v>1869044</v>
      </c>
      <c r="H36" s="120">
        <f>_xlfn.COMPOUNDVALUE(200)</f>
        <v>39</v>
      </c>
      <c r="I36" s="122">
        <v>140007</v>
      </c>
      <c r="J36" s="120">
        <v>46</v>
      </c>
      <c r="K36" s="122">
        <v>10205</v>
      </c>
      <c r="L36" s="120">
        <f>_xlfn.COMPOUNDVALUE(200)</f>
        <v>856</v>
      </c>
      <c r="M36" s="122">
        <v>1739242</v>
      </c>
      <c r="N36" s="79" t="s">
        <v>94</v>
      </c>
    </row>
    <row r="37" spans="1:14" ht="15.75" customHeight="1">
      <c r="A37" s="78" t="s">
        <v>165</v>
      </c>
      <c r="B37" s="120">
        <f>_xlfn.COMPOUNDVALUE(201)</f>
        <v>667</v>
      </c>
      <c r="C37" s="121">
        <v>2103957</v>
      </c>
      <c r="D37" s="120">
        <f>_xlfn.COMPOUNDVALUE(202)</f>
        <v>287</v>
      </c>
      <c r="E37" s="121">
        <v>163792</v>
      </c>
      <c r="F37" s="120">
        <f>_xlfn.COMPOUNDVALUE(203)</f>
        <v>954</v>
      </c>
      <c r="G37" s="121">
        <v>2267748</v>
      </c>
      <c r="H37" s="120">
        <f>_xlfn.COMPOUNDVALUE(204)</f>
        <v>40</v>
      </c>
      <c r="I37" s="122">
        <v>168762</v>
      </c>
      <c r="J37" s="120">
        <v>57</v>
      </c>
      <c r="K37" s="122">
        <v>9479</v>
      </c>
      <c r="L37" s="120">
        <f>_xlfn.COMPOUNDVALUE(204)</f>
        <v>1003</v>
      </c>
      <c r="M37" s="122">
        <v>2108465</v>
      </c>
      <c r="N37" s="79" t="s">
        <v>96</v>
      </c>
    </row>
    <row r="38" spans="1:14" ht="15.75" customHeight="1">
      <c r="A38" s="78" t="s">
        <v>166</v>
      </c>
      <c r="B38" s="120">
        <f>_xlfn.COMPOUNDVALUE(205)</f>
        <v>455</v>
      </c>
      <c r="C38" s="121">
        <v>1752914</v>
      </c>
      <c r="D38" s="120">
        <f>_xlfn.COMPOUNDVALUE(206)</f>
        <v>196</v>
      </c>
      <c r="E38" s="121">
        <v>94538</v>
      </c>
      <c r="F38" s="120">
        <f>_xlfn.COMPOUNDVALUE(207)</f>
        <v>651</v>
      </c>
      <c r="G38" s="121">
        <v>1847451</v>
      </c>
      <c r="H38" s="120">
        <f>_xlfn.COMPOUNDVALUE(208)</f>
        <v>26</v>
      </c>
      <c r="I38" s="122">
        <v>44929</v>
      </c>
      <c r="J38" s="120">
        <v>57</v>
      </c>
      <c r="K38" s="122">
        <v>4426</v>
      </c>
      <c r="L38" s="120">
        <f>_xlfn.COMPOUNDVALUE(208)</f>
        <v>680</v>
      </c>
      <c r="M38" s="122">
        <v>1806948</v>
      </c>
      <c r="N38" s="79" t="s">
        <v>98</v>
      </c>
    </row>
    <row r="39" spans="1:14" ht="15.75" customHeight="1">
      <c r="A39" s="80" t="s">
        <v>167</v>
      </c>
      <c r="B39" s="123">
        <v>6269</v>
      </c>
      <c r="C39" s="124">
        <v>31613572</v>
      </c>
      <c r="D39" s="123">
        <v>2674</v>
      </c>
      <c r="E39" s="124">
        <v>1404124</v>
      </c>
      <c r="F39" s="123">
        <v>8943</v>
      </c>
      <c r="G39" s="124">
        <v>33017696</v>
      </c>
      <c r="H39" s="123">
        <v>340</v>
      </c>
      <c r="I39" s="125">
        <v>2308246</v>
      </c>
      <c r="J39" s="123">
        <v>676</v>
      </c>
      <c r="K39" s="125">
        <v>111780</v>
      </c>
      <c r="L39" s="123">
        <v>9361</v>
      </c>
      <c r="M39" s="125">
        <v>30821230</v>
      </c>
      <c r="N39" s="81" t="s">
        <v>100</v>
      </c>
    </row>
    <row r="40" spans="1:14" ht="15.75" customHeight="1" thickBot="1">
      <c r="A40" s="84"/>
      <c r="B40" s="137"/>
      <c r="C40" s="138"/>
      <c r="D40" s="137"/>
      <c r="E40" s="138"/>
      <c r="F40" s="139"/>
      <c r="G40" s="138"/>
      <c r="H40" s="139"/>
      <c r="I40" s="138"/>
      <c r="J40" s="139"/>
      <c r="K40" s="138"/>
      <c r="L40" s="139"/>
      <c r="M40" s="138"/>
      <c r="N40" s="85"/>
    </row>
    <row r="41" spans="1:14" ht="15.75" customHeight="1" thickBot="1" thickTop="1">
      <c r="A41" s="87" t="s">
        <v>168</v>
      </c>
      <c r="B41" s="140">
        <v>36776</v>
      </c>
      <c r="C41" s="141">
        <v>217028792</v>
      </c>
      <c r="D41" s="140">
        <v>16980</v>
      </c>
      <c r="E41" s="141">
        <v>8411690</v>
      </c>
      <c r="F41" s="140">
        <v>53756</v>
      </c>
      <c r="G41" s="141">
        <v>225440481</v>
      </c>
      <c r="H41" s="140">
        <v>2459</v>
      </c>
      <c r="I41" s="142">
        <v>46126557</v>
      </c>
      <c r="J41" s="140">
        <v>3782</v>
      </c>
      <c r="K41" s="142">
        <v>2177902</v>
      </c>
      <c r="L41" s="140">
        <v>56486</v>
      </c>
      <c r="M41" s="142">
        <v>181491826</v>
      </c>
      <c r="N41" s="88" t="s">
        <v>102</v>
      </c>
    </row>
    <row r="42" spans="1:14" ht="13.5">
      <c r="A42" s="217" t="s">
        <v>103</v>
      </c>
      <c r="B42" s="217"/>
      <c r="C42" s="217"/>
      <c r="D42" s="217"/>
      <c r="E42" s="217"/>
      <c r="F42" s="217"/>
      <c r="G42" s="217"/>
      <c r="H42" s="217"/>
      <c r="I42" s="217"/>
      <c r="J42" s="89"/>
      <c r="K42" s="89"/>
      <c r="L42" s="63"/>
      <c r="M42" s="63"/>
      <c r="N42" s="63"/>
    </row>
  </sheetData>
  <sheetProtection/>
  <mergeCells count="11">
    <mergeCell ref="N3:N5"/>
    <mergeCell ref="B4:C4"/>
    <mergeCell ref="D4:E4"/>
    <mergeCell ref="F4:G4"/>
    <mergeCell ref="A42:I42"/>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fitToHeight="0" fitToWidth="1" horizontalDpi="300" verticalDpi="300" orientation="portrait" paperSize="8" scale="82" r:id="rId1"/>
  <headerFooter>
    <oddFooter>&amp;R高松国税局
消費税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
      <selection activeCell="A1" sqref="A1"/>
    </sheetView>
  </sheetViews>
  <sheetFormatPr defaultColWidth="9.00390625" defaultRowHeight="13.5"/>
  <cols>
    <col min="1" max="1" width="10.375" style="114" customWidth="1"/>
    <col min="2" max="2" width="10.625" style="114" customWidth="1"/>
    <col min="3" max="3" width="12.625" style="114" customWidth="1"/>
    <col min="4" max="4" width="10.625" style="114" customWidth="1"/>
    <col min="5" max="5" width="12.625" style="114" customWidth="1"/>
    <col min="6" max="6" width="10.625" style="114" customWidth="1"/>
    <col min="7" max="7" width="12.625" style="114" customWidth="1"/>
    <col min="8" max="8" width="10.625" style="114" customWidth="1"/>
    <col min="9" max="9" width="12.625" style="114" customWidth="1"/>
    <col min="10" max="10" width="10.625" style="114" customWidth="1"/>
    <col min="11" max="11" width="12.625" style="114" customWidth="1"/>
    <col min="12" max="12" width="10.625" style="114" customWidth="1"/>
    <col min="13" max="13" width="12.625" style="114" customWidth="1"/>
    <col min="14" max="17" width="10.625" style="114" customWidth="1"/>
    <col min="18" max="18" width="10.375" style="114" customWidth="1"/>
    <col min="19" max="16384" width="9.00390625" style="114" customWidth="1"/>
  </cols>
  <sheetData>
    <row r="1" spans="1:16" ht="13.5">
      <c r="A1" s="62" t="s">
        <v>104</v>
      </c>
      <c r="B1" s="62"/>
      <c r="C1" s="62"/>
      <c r="D1" s="62"/>
      <c r="E1" s="62"/>
      <c r="F1" s="62"/>
      <c r="G1" s="62"/>
      <c r="H1" s="62"/>
      <c r="I1" s="62"/>
      <c r="J1" s="62"/>
      <c r="K1" s="62"/>
      <c r="L1" s="63"/>
      <c r="M1" s="63"/>
      <c r="N1" s="63"/>
      <c r="O1" s="63"/>
      <c r="P1" s="63"/>
    </row>
    <row r="2" spans="1:16" ht="14.25" thickBot="1">
      <c r="A2" s="218" t="s">
        <v>118</v>
      </c>
      <c r="B2" s="218"/>
      <c r="C2" s="218"/>
      <c r="D2" s="218"/>
      <c r="E2" s="218"/>
      <c r="F2" s="218"/>
      <c r="G2" s="218"/>
      <c r="H2" s="218"/>
      <c r="I2" s="218"/>
      <c r="J2" s="89"/>
      <c r="K2" s="89"/>
      <c r="L2" s="63"/>
      <c r="M2" s="63"/>
      <c r="N2" s="63"/>
      <c r="O2" s="63"/>
      <c r="P2" s="63"/>
    </row>
    <row r="3" spans="1:18" ht="19.5" customHeight="1">
      <c r="A3" s="203" t="s">
        <v>28</v>
      </c>
      <c r="B3" s="206" t="s">
        <v>29</v>
      </c>
      <c r="C3" s="206"/>
      <c r="D3" s="206"/>
      <c r="E3" s="206"/>
      <c r="F3" s="206"/>
      <c r="G3" s="206"/>
      <c r="H3" s="206" t="s">
        <v>13</v>
      </c>
      <c r="I3" s="206"/>
      <c r="J3" s="219" t="s">
        <v>30</v>
      </c>
      <c r="K3" s="206"/>
      <c r="L3" s="206" t="s">
        <v>31</v>
      </c>
      <c r="M3" s="206"/>
      <c r="N3" s="220" t="s">
        <v>119</v>
      </c>
      <c r="O3" s="221"/>
      <c r="P3" s="221"/>
      <c r="Q3" s="221"/>
      <c r="R3" s="212" t="s">
        <v>106</v>
      </c>
    </row>
    <row r="4" spans="1:18" ht="17.25" customHeight="1">
      <c r="A4" s="204"/>
      <c r="B4" s="215" t="s">
        <v>16</v>
      </c>
      <c r="C4" s="215"/>
      <c r="D4" s="215" t="s">
        <v>33</v>
      </c>
      <c r="E4" s="215"/>
      <c r="F4" s="215" t="s">
        <v>34</v>
      </c>
      <c r="G4" s="215"/>
      <c r="H4" s="215"/>
      <c r="I4" s="215"/>
      <c r="J4" s="215"/>
      <c r="K4" s="215"/>
      <c r="L4" s="215"/>
      <c r="M4" s="215"/>
      <c r="N4" s="224" t="s">
        <v>120</v>
      </c>
      <c r="O4" s="226" t="s">
        <v>121</v>
      </c>
      <c r="P4" s="228" t="s">
        <v>122</v>
      </c>
      <c r="Q4" s="230" t="s">
        <v>123</v>
      </c>
      <c r="R4" s="222"/>
    </row>
    <row r="5" spans="1:19" ht="28.5" customHeight="1">
      <c r="A5" s="205"/>
      <c r="B5" s="64" t="s">
        <v>35</v>
      </c>
      <c r="C5" s="65" t="s">
        <v>36</v>
      </c>
      <c r="D5" s="64" t="s">
        <v>35</v>
      </c>
      <c r="E5" s="65" t="s">
        <v>36</v>
      </c>
      <c r="F5" s="64" t="s">
        <v>35</v>
      </c>
      <c r="G5" s="65" t="s">
        <v>37</v>
      </c>
      <c r="H5" s="64" t="s">
        <v>35</v>
      </c>
      <c r="I5" s="65" t="s">
        <v>38</v>
      </c>
      <c r="J5" s="64" t="s">
        <v>35</v>
      </c>
      <c r="K5" s="65" t="s">
        <v>39</v>
      </c>
      <c r="L5" s="64" t="s">
        <v>35</v>
      </c>
      <c r="M5" s="91" t="s">
        <v>124</v>
      </c>
      <c r="N5" s="225"/>
      <c r="O5" s="227"/>
      <c r="P5" s="229"/>
      <c r="Q5" s="231"/>
      <c r="R5" s="223"/>
      <c r="S5" s="168"/>
    </row>
    <row r="6" spans="1:19" s="90" customFormat="1" ht="10.5">
      <c r="A6" s="69"/>
      <c r="B6" s="70" t="s">
        <v>4</v>
      </c>
      <c r="C6" s="71" t="s">
        <v>5</v>
      </c>
      <c r="D6" s="70" t="s">
        <v>4</v>
      </c>
      <c r="E6" s="71" t="s">
        <v>5</v>
      </c>
      <c r="F6" s="70" t="s">
        <v>4</v>
      </c>
      <c r="G6" s="71" t="s">
        <v>5</v>
      </c>
      <c r="H6" s="70" t="s">
        <v>4</v>
      </c>
      <c r="I6" s="72" t="s">
        <v>5</v>
      </c>
      <c r="J6" s="70" t="s">
        <v>4</v>
      </c>
      <c r="K6" s="72" t="s">
        <v>5</v>
      </c>
      <c r="L6" s="70" t="s">
        <v>4</v>
      </c>
      <c r="M6" s="163" t="s">
        <v>5</v>
      </c>
      <c r="N6" s="157" t="s">
        <v>4</v>
      </c>
      <c r="O6" s="157" t="s">
        <v>4</v>
      </c>
      <c r="P6" s="161" t="s">
        <v>4</v>
      </c>
      <c r="Q6" s="166" t="s">
        <v>4</v>
      </c>
      <c r="R6" s="165"/>
      <c r="S6" s="169"/>
    </row>
    <row r="7" spans="1:19" ht="15.75" customHeight="1">
      <c r="A7" s="75" t="s">
        <v>41</v>
      </c>
      <c r="B7" s="115">
        <f>_xlfn.COMPOUNDVALUE(209)</f>
        <v>5026</v>
      </c>
      <c r="C7" s="116">
        <v>19690960</v>
      </c>
      <c r="D7" s="115">
        <f>_xlfn.COMPOUNDVALUE(210)</f>
        <v>3597</v>
      </c>
      <c r="E7" s="116">
        <v>1487324</v>
      </c>
      <c r="F7" s="115">
        <f>_xlfn.COMPOUNDVALUE(211)</f>
        <v>8623</v>
      </c>
      <c r="G7" s="116">
        <v>21178285</v>
      </c>
      <c r="H7" s="115">
        <f>_xlfn.COMPOUNDVALUE(212)</f>
        <v>350</v>
      </c>
      <c r="I7" s="117">
        <v>1430731</v>
      </c>
      <c r="J7" s="115">
        <v>739</v>
      </c>
      <c r="K7" s="117">
        <v>123603</v>
      </c>
      <c r="L7" s="115">
        <f>_xlfn.COMPOUNDVALUE(212)</f>
        <v>9087</v>
      </c>
      <c r="M7" s="164">
        <v>19871158</v>
      </c>
      <c r="N7" s="158">
        <v>8962</v>
      </c>
      <c r="O7" s="158">
        <v>228</v>
      </c>
      <c r="P7" s="162">
        <v>23</v>
      </c>
      <c r="Q7" s="160">
        <v>9213</v>
      </c>
      <c r="R7" s="167" t="s">
        <v>42</v>
      </c>
      <c r="S7" s="168"/>
    </row>
    <row r="8" spans="1:18" ht="15.75" customHeight="1">
      <c r="A8" s="78" t="s">
        <v>43</v>
      </c>
      <c r="B8" s="120">
        <f>_xlfn.COMPOUNDVALUE(213)</f>
        <v>1681</v>
      </c>
      <c r="C8" s="121">
        <v>7136719</v>
      </c>
      <c r="D8" s="120">
        <f>_xlfn.COMPOUNDVALUE(214)</f>
        <v>1795</v>
      </c>
      <c r="E8" s="121">
        <v>666693</v>
      </c>
      <c r="F8" s="120">
        <f>_xlfn.COMPOUNDVALUE(215)</f>
        <v>3476</v>
      </c>
      <c r="G8" s="121">
        <v>7803412</v>
      </c>
      <c r="H8" s="120">
        <f>_xlfn.COMPOUNDVALUE(216)</f>
        <v>118</v>
      </c>
      <c r="I8" s="122">
        <v>752197</v>
      </c>
      <c r="J8" s="120">
        <v>206</v>
      </c>
      <c r="K8" s="122">
        <v>30288</v>
      </c>
      <c r="L8" s="120">
        <f>_xlfn.COMPOUNDVALUE(216)</f>
        <v>3623</v>
      </c>
      <c r="M8" s="122">
        <v>7081502</v>
      </c>
      <c r="N8" s="115">
        <v>3537</v>
      </c>
      <c r="O8" s="159">
        <v>81</v>
      </c>
      <c r="P8" s="156">
        <v>8</v>
      </c>
      <c r="Q8" s="119">
        <v>3626</v>
      </c>
      <c r="R8" s="92" t="s">
        <v>44</v>
      </c>
    </row>
    <row r="9" spans="1:18" ht="15.75" customHeight="1">
      <c r="A9" s="78" t="s">
        <v>45</v>
      </c>
      <c r="B9" s="120">
        <f>_xlfn.COMPOUNDVALUE(217)</f>
        <v>1293</v>
      </c>
      <c r="C9" s="121">
        <v>3066833</v>
      </c>
      <c r="D9" s="120">
        <f>_xlfn.COMPOUNDVALUE(218)</f>
        <v>931</v>
      </c>
      <c r="E9" s="121">
        <v>348870</v>
      </c>
      <c r="F9" s="120">
        <f>_xlfn.COMPOUNDVALUE(219)</f>
        <v>2224</v>
      </c>
      <c r="G9" s="121">
        <v>3415702</v>
      </c>
      <c r="H9" s="120">
        <f>_xlfn.COMPOUNDVALUE(220)</f>
        <v>119</v>
      </c>
      <c r="I9" s="122">
        <v>5145131</v>
      </c>
      <c r="J9" s="120">
        <v>150</v>
      </c>
      <c r="K9" s="122">
        <v>20182</v>
      </c>
      <c r="L9" s="120">
        <f>_xlfn.COMPOUNDVALUE(220)</f>
        <v>2361</v>
      </c>
      <c r="M9" s="122">
        <v>-1709247</v>
      </c>
      <c r="N9" s="115">
        <v>2379</v>
      </c>
      <c r="O9" s="118">
        <v>92</v>
      </c>
      <c r="P9" s="118">
        <v>2</v>
      </c>
      <c r="Q9" s="119">
        <v>2473</v>
      </c>
      <c r="R9" s="92" t="s">
        <v>46</v>
      </c>
    </row>
    <row r="10" spans="1:18" ht="15.75" customHeight="1">
      <c r="A10" s="78" t="s">
        <v>47</v>
      </c>
      <c r="B10" s="120">
        <f>_xlfn.COMPOUNDVALUE(221)</f>
        <v>896</v>
      </c>
      <c r="C10" s="121">
        <v>1915201</v>
      </c>
      <c r="D10" s="120">
        <f>_xlfn.COMPOUNDVALUE(222)</f>
        <v>766</v>
      </c>
      <c r="E10" s="121">
        <v>290464</v>
      </c>
      <c r="F10" s="120">
        <f>_xlfn.COMPOUNDVALUE(223)</f>
        <v>1662</v>
      </c>
      <c r="G10" s="121">
        <v>2205665</v>
      </c>
      <c r="H10" s="120">
        <f>_xlfn.COMPOUNDVALUE(224)</f>
        <v>100</v>
      </c>
      <c r="I10" s="122">
        <v>179623</v>
      </c>
      <c r="J10" s="120">
        <v>90</v>
      </c>
      <c r="K10" s="122">
        <v>11781</v>
      </c>
      <c r="L10" s="120">
        <f>_xlfn.COMPOUNDVALUE(224)</f>
        <v>1779</v>
      </c>
      <c r="M10" s="122">
        <v>2037823</v>
      </c>
      <c r="N10" s="115">
        <v>1756</v>
      </c>
      <c r="O10" s="118">
        <v>58</v>
      </c>
      <c r="P10" s="155">
        <v>1</v>
      </c>
      <c r="Q10" s="119">
        <v>1815</v>
      </c>
      <c r="R10" s="92" t="s">
        <v>48</v>
      </c>
    </row>
    <row r="11" spans="1:18" ht="15.75" customHeight="1">
      <c r="A11" s="78" t="s">
        <v>49</v>
      </c>
      <c r="B11" s="120">
        <f>_xlfn.COMPOUNDVALUE(225)</f>
        <v>480</v>
      </c>
      <c r="C11" s="121">
        <v>1347201</v>
      </c>
      <c r="D11" s="120">
        <f>_xlfn.COMPOUNDVALUE(226)</f>
        <v>347</v>
      </c>
      <c r="E11" s="121">
        <v>142143</v>
      </c>
      <c r="F11" s="120">
        <f>_xlfn.COMPOUNDVALUE(227)</f>
        <v>827</v>
      </c>
      <c r="G11" s="121">
        <v>1489343</v>
      </c>
      <c r="H11" s="120">
        <f>_xlfn.COMPOUNDVALUE(228)</f>
        <v>23</v>
      </c>
      <c r="I11" s="122">
        <v>19878</v>
      </c>
      <c r="J11" s="120">
        <v>88</v>
      </c>
      <c r="K11" s="122">
        <v>18980</v>
      </c>
      <c r="L11" s="120">
        <f>_xlfn.COMPOUNDVALUE(228)</f>
        <v>859</v>
      </c>
      <c r="M11" s="122">
        <v>1488445</v>
      </c>
      <c r="N11" s="115">
        <v>851</v>
      </c>
      <c r="O11" s="118">
        <v>22</v>
      </c>
      <c r="P11" s="118">
        <v>2</v>
      </c>
      <c r="Q11" s="119">
        <v>875</v>
      </c>
      <c r="R11" s="92" t="s">
        <v>50</v>
      </c>
    </row>
    <row r="12" spans="1:18" ht="15.75" customHeight="1">
      <c r="A12" s="78" t="s">
        <v>51</v>
      </c>
      <c r="B12" s="120">
        <f>_xlfn.COMPOUNDVALUE(229)</f>
        <v>549</v>
      </c>
      <c r="C12" s="121">
        <v>1140114</v>
      </c>
      <c r="D12" s="120">
        <f>_xlfn.COMPOUNDVALUE(230)</f>
        <v>383</v>
      </c>
      <c r="E12" s="121">
        <v>156037</v>
      </c>
      <c r="F12" s="120">
        <f>_xlfn.COMPOUNDVALUE(231)</f>
        <v>932</v>
      </c>
      <c r="G12" s="121">
        <v>1296151</v>
      </c>
      <c r="H12" s="120">
        <f>_xlfn.COMPOUNDVALUE(232)</f>
        <v>39</v>
      </c>
      <c r="I12" s="122">
        <v>66477</v>
      </c>
      <c r="J12" s="120">
        <v>60</v>
      </c>
      <c r="K12" s="122">
        <v>9535</v>
      </c>
      <c r="L12" s="120">
        <f>_xlfn.COMPOUNDVALUE(232)</f>
        <v>982</v>
      </c>
      <c r="M12" s="122">
        <v>1239209</v>
      </c>
      <c r="N12" s="115">
        <v>914</v>
      </c>
      <c r="O12" s="118">
        <v>30</v>
      </c>
      <c r="P12" s="118">
        <v>4</v>
      </c>
      <c r="Q12" s="119">
        <v>948</v>
      </c>
      <c r="R12" s="92" t="s">
        <v>52</v>
      </c>
    </row>
    <row r="13" spans="1:18" ht="15.75" customHeight="1">
      <c r="A13" s="80" t="s">
        <v>53</v>
      </c>
      <c r="B13" s="123">
        <v>9925</v>
      </c>
      <c r="C13" s="124">
        <v>34297027</v>
      </c>
      <c r="D13" s="123">
        <v>7819</v>
      </c>
      <c r="E13" s="124">
        <v>3091530</v>
      </c>
      <c r="F13" s="123">
        <v>17744</v>
      </c>
      <c r="G13" s="124">
        <v>37388558</v>
      </c>
      <c r="H13" s="123">
        <v>749</v>
      </c>
      <c r="I13" s="125">
        <v>7594037</v>
      </c>
      <c r="J13" s="123">
        <v>1333</v>
      </c>
      <c r="K13" s="125">
        <v>214368</v>
      </c>
      <c r="L13" s="123">
        <v>18691</v>
      </c>
      <c r="M13" s="125">
        <v>30008889</v>
      </c>
      <c r="N13" s="123">
        <v>18399</v>
      </c>
      <c r="O13" s="126">
        <v>511</v>
      </c>
      <c r="P13" s="126">
        <v>40</v>
      </c>
      <c r="Q13" s="127">
        <v>18950</v>
      </c>
      <c r="R13" s="81" t="s">
        <v>54</v>
      </c>
    </row>
    <row r="14" spans="1:18" ht="15.75" customHeight="1">
      <c r="A14" s="82"/>
      <c r="B14" s="128"/>
      <c r="C14" s="129"/>
      <c r="D14" s="128"/>
      <c r="E14" s="129"/>
      <c r="F14" s="130"/>
      <c r="G14" s="129"/>
      <c r="H14" s="130"/>
      <c r="I14" s="129"/>
      <c r="J14" s="130"/>
      <c r="K14" s="129"/>
      <c r="L14" s="130"/>
      <c r="M14" s="129"/>
      <c r="N14" s="131"/>
      <c r="O14" s="132"/>
      <c r="P14" s="132"/>
      <c r="Q14" s="133"/>
      <c r="R14" s="93" t="s">
        <v>125</v>
      </c>
    </row>
    <row r="15" spans="1:18" ht="15.75" customHeight="1">
      <c r="A15" s="75" t="s">
        <v>55</v>
      </c>
      <c r="B15" s="115">
        <f>_xlfn.COMPOUNDVALUE(233)</f>
        <v>6432</v>
      </c>
      <c r="C15" s="116">
        <v>46103551</v>
      </c>
      <c r="D15" s="115">
        <f>_xlfn.COMPOUNDVALUE(234)</f>
        <v>4380</v>
      </c>
      <c r="E15" s="116">
        <v>1927867</v>
      </c>
      <c r="F15" s="115">
        <f>_xlfn.COMPOUNDVALUE(235)</f>
        <v>10812</v>
      </c>
      <c r="G15" s="116">
        <v>48031418</v>
      </c>
      <c r="H15" s="115">
        <f>_xlfn.COMPOUNDVALUE(236)</f>
        <v>424</v>
      </c>
      <c r="I15" s="117">
        <v>2975865</v>
      </c>
      <c r="J15" s="115">
        <v>976</v>
      </c>
      <c r="K15" s="117">
        <v>124750</v>
      </c>
      <c r="L15" s="115">
        <f>_xlfn.COMPOUNDVALUE(236)</f>
        <v>11443</v>
      </c>
      <c r="M15" s="117">
        <v>45180304</v>
      </c>
      <c r="N15" s="134">
        <v>11128</v>
      </c>
      <c r="O15" s="135">
        <v>294</v>
      </c>
      <c r="P15" s="135">
        <v>42</v>
      </c>
      <c r="Q15" s="136">
        <v>11464</v>
      </c>
      <c r="R15" s="76" t="s">
        <v>56</v>
      </c>
    </row>
    <row r="16" spans="1:18" ht="15.75" customHeight="1">
      <c r="A16" s="78" t="s">
        <v>57</v>
      </c>
      <c r="B16" s="120">
        <f>_xlfn.COMPOUNDVALUE(237)</f>
        <v>2143</v>
      </c>
      <c r="C16" s="121">
        <v>8875410</v>
      </c>
      <c r="D16" s="120">
        <f>_xlfn.COMPOUNDVALUE(238)</f>
        <v>1776</v>
      </c>
      <c r="E16" s="121">
        <v>764854</v>
      </c>
      <c r="F16" s="120">
        <f>_xlfn.COMPOUNDVALUE(239)</f>
        <v>3919</v>
      </c>
      <c r="G16" s="121">
        <v>9640264</v>
      </c>
      <c r="H16" s="120">
        <f>_xlfn.COMPOUNDVALUE(240)</f>
        <v>148</v>
      </c>
      <c r="I16" s="122">
        <v>207989</v>
      </c>
      <c r="J16" s="120">
        <v>291</v>
      </c>
      <c r="K16" s="122">
        <v>47578</v>
      </c>
      <c r="L16" s="120">
        <f>_xlfn.COMPOUNDVALUE(240)</f>
        <v>4111</v>
      </c>
      <c r="M16" s="122">
        <v>9479853</v>
      </c>
      <c r="N16" s="115">
        <v>3991</v>
      </c>
      <c r="O16" s="118">
        <v>110</v>
      </c>
      <c r="P16" s="118">
        <v>4</v>
      </c>
      <c r="Q16" s="119">
        <v>4105</v>
      </c>
      <c r="R16" s="92" t="s">
        <v>58</v>
      </c>
    </row>
    <row r="17" spans="1:18" ht="15.75" customHeight="1">
      <c r="A17" s="78" t="s">
        <v>59</v>
      </c>
      <c r="B17" s="120">
        <f>_xlfn.COMPOUNDVALUE(241)</f>
        <v>1270</v>
      </c>
      <c r="C17" s="121">
        <v>4822652</v>
      </c>
      <c r="D17" s="120">
        <f>_xlfn.COMPOUNDVALUE(242)</f>
        <v>807</v>
      </c>
      <c r="E17" s="121">
        <v>337322</v>
      </c>
      <c r="F17" s="120">
        <f>_xlfn.COMPOUNDVALUE(243)</f>
        <v>2077</v>
      </c>
      <c r="G17" s="121">
        <v>5159974</v>
      </c>
      <c r="H17" s="120">
        <f>_xlfn.COMPOUNDVALUE(244)</f>
        <v>87</v>
      </c>
      <c r="I17" s="122">
        <v>188390</v>
      </c>
      <c r="J17" s="120">
        <v>184</v>
      </c>
      <c r="K17" s="122">
        <v>20820</v>
      </c>
      <c r="L17" s="120">
        <f>_xlfn.COMPOUNDVALUE(244)</f>
        <v>2196</v>
      </c>
      <c r="M17" s="122">
        <v>4992404</v>
      </c>
      <c r="N17" s="115">
        <v>2147</v>
      </c>
      <c r="O17" s="118">
        <v>62</v>
      </c>
      <c r="P17" s="118">
        <v>8</v>
      </c>
      <c r="Q17" s="119">
        <v>2217</v>
      </c>
      <c r="R17" s="92" t="s">
        <v>60</v>
      </c>
    </row>
    <row r="18" spans="1:18" ht="15.75" customHeight="1">
      <c r="A18" s="78" t="s">
        <v>61</v>
      </c>
      <c r="B18" s="120">
        <f>_xlfn.COMPOUNDVALUE(245)</f>
        <v>1720</v>
      </c>
      <c r="C18" s="121">
        <v>6145560</v>
      </c>
      <c r="D18" s="120">
        <f>_xlfn.COMPOUNDVALUE(246)</f>
        <v>1347</v>
      </c>
      <c r="E18" s="121">
        <v>504859</v>
      </c>
      <c r="F18" s="120">
        <f>_xlfn.COMPOUNDVALUE(247)</f>
        <v>3067</v>
      </c>
      <c r="G18" s="121">
        <v>6650419</v>
      </c>
      <c r="H18" s="120">
        <f>_xlfn.COMPOUNDVALUE(248)</f>
        <v>120</v>
      </c>
      <c r="I18" s="122">
        <v>200231</v>
      </c>
      <c r="J18" s="120">
        <v>174</v>
      </c>
      <c r="K18" s="122">
        <v>12326</v>
      </c>
      <c r="L18" s="120">
        <f>_xlfn.COMPOUNDVALUE(248)</f>
        <v>3222</v>
      </c>
      <c r="M18" s="122">
        <v>6462514</v>
      </c>
      <c r="N18" s="115">
        <v>3100</v>
      </c>
      <c r="O18" s="118">
        <v>95</v>
      </c>
      <c r="P18" s="118">
        <v>5</v>
      </c>
      <c r="Q18" s="119">
        <v>3200</v>
      </c>
      <c r="R18" s="92" t="s">
        <v>62</v>
      </c>
    </row>
    <row r="19" spans="1:18" ht="15.75" customHeight="1">
      <c r="A19" s="78" t="s">
        <v>63</v>
      </c>
      <c r="B19" s="120">
        <f>_xlfn.COMPOUNDVALUE(249)</f>
        <v>1002</v>
      </c>
      <c r="C19" s="121">
        <v>3078872</v>
      </c>
      <c r="D19" s="120">
        <f>_xlfn.COMPOUNDVALUE(250)</f>
        <v>733</v>
      </c>
      <c r="E19" s="121">
        <v>268239</v>
      </c>
      <c r="F19" s="120">
        <f>_xlfn.COMPOUNDVALUE(251)</f>
        <v>1735</v>
      </c>
      <c r="G19" s="121">
        <v>3347111</v>
      </c>
      <c r="H19" s="120">
        <f>_xlfn.COMPOUNDVALUE(252)</f>
        <v>92</v>
      </c>
      <c r="I19" s="122">
        <v>343263</v>
      </c>
      <c r="J19" s="120">
        <v>109</v>
      </c>
      <c r="K19" s="122">
        <v>11011</v>
      </c>
      <c r="L19" s="120">
        <f>_xlfn.COMPOUNDVALUE(252)</f>
        <v>1841</v>
      </c>
      <c r="M19" s="122">
        <v>3014860</v>
      </c>
      <c r="N19" s="115">
        <v>1783</v>
      </c>
      <c r="O19" s="118">
        <v>59</v>
      </c>
      <c r="P19" s="118">
        <v>3</v>
      </c>
      <c r="Q19" s="119">
        <v>1845</v>
      </c>
      <c r="R19" s="92" t="s">
        <v>64</v>
      </c>
    </row>
    <row r="20" spans="1:18" ht="15.75" customHeight="1">
      <c r="A20" s="78" t="s">
        <v>65</v>
      </c>
      <c r="B20" s="120">
        <f>_xlfn.COMPOUNDVALUE(253)</f>
        <v>492</v>
      </c>
      <c r="C20" s="121">
        <v>1446127</v>
      </c>
      <c r="D20" s="120">
        <f>_xlfn.COMPOUNDVALUE(254)</f>
        <v>442</v>
      </c>
      <c r="E20" s="121">
        <v>148082</v>
      </c>
      <c r="F20" s="120">
        <f>_xlfn.COMPOUNDVALUE(255)</f>
        <v>934</v>
      </c>
      <c r="G20" s="121">
        <v>1594209</v>
      </c>
      <c r="H20" s="120">
        <f>_xlfn.COMPOUNDVALUE(256)</f>
        <v>28</v>
      </c>
      <c r="I20" s="122">
        <v>64604</v>
      </c>
      <c r="J20" s="120">
        <v>57</v>
      </c>
      <c r="K20" s="122">
        <v>5692</v>
      </c>
      <c r="L20" s="120">
        <f>_xlfn.COMPOUNDVALUE(256)</f>
        <v>967</v>
      </c>
      <c r="M20" s="122">
        <v>1535296</v>
      </c>
      <c r="N20" s="115">
        <v>992</v>
      </c>
      <c r="O20" s="118">
        <v>24</v>
      </c>
      <c r="P20" s="118" t="s">
        <v>175</v>
      </c>
      <c r="Q20" s="119">
        <v>1016</v>
      </c>
      <c r="R20" s="92" t="s">
        <v>66</v>
      </c>
    </row>
    <row r="21" spans="1:18" ht="15.75" customHeight="1">
      <c r="A21" s="80" t="s">
        <v>126</v>
      </c>
      <c r="B21" s="123">
        <v>13059</v>
      </c>
      <c r="C21" s="124">
        <v>70472171</v>
      </c>
      <c r="D21" s="123">
        <v>9485</v>
      </c>
      <c r="E21" s="124">
        <v>3951223</v>
      </c>
      <c r="F21" s="123">
        <v>22544</v>
      </c>
      <c r="G21" s="124">
        <v>74423394</v>
      </c>
      <c r="H21" s="123">
        <v>899</v>
      </c>
      <c r="I21" s="125">
        <v>3980342</v>
      </c>
      <c r="J21" s="123">
        <v>1791</v>
      </c>
      <c r="K21" s="125">
        <v>222178</v>
      </c>
      <c r="L21" s="123">
        <v>23780</v>
      </c>
      <c r="M21" s="125">
        <v>70665230</v>
      </c>
      <c r="N21" s="123">
        <v>23141</v>
      </c>
      <c r="O21" s="126">
        <v>644</v>
      </c>
      <c r="P21" s="126">
        <v>62</v>
      </c>
      <c r="Q21" s="127">
        <v>23847</v>
      </c>
      <c r="R21" s="81" t="s">
        <v>68</v>
      </c>
    </row>
    <row r="22" spans="1:18" ht="15.75" customHeight="1">
      <c r="A22" s="82"/>
      <c r="B22" s="128"/>
      <c r="C22" s="129"/>
      <c r="D22" s="128"/>
      <c r="E22" s="129"/>
      <c r="F22" s="130"/>
      <c r="G22" s="129"/>
      <c r="H22" s="130"/>
      <c r="I22" s="129"/>
      <c r="J22" s="130"/>
      <c r="K22" s="129"/>
      <c r="L22" s="130"/>
      <c r="M22" s="129"/>
      <c r="N22" s="131"/>
      <c r="O22" s="132"/>
      <c r="P22" s="132"/>
      <c r="Q22" s="133"/>
      <c r="R22" s="93" t="s">
        <v>125</v>
      </c>
    </row>
    <row r="23" spans="1:18" ht="15.75" customHeight="1">
      <c r="A23" s="75" t="s">
        <v>69</v>
      </c>
      <c r="B23" s="115">
        <f>_xlfn.COMPOUNDVALUE(257)</f>
        <v>7852</v>
      </c>
      <c r="C23" s="116">
        <v>36781133</v>
      </c>
      <c r="D23" s="115">
        <f>_xlfn.COMPOUNDVALUE(258)</f>
        <v>5140</v>
      </c>
      <c r="E23" s="116">
        <v>2275596</v>
      </c>
      <c r="F23" s="115">
        <f>_xlfn.COMPOUNDVALUE(259)</f>
        <v>12992</v>
      </c>
      <c r="G23" s="116">
        <v>39056729</v>
      </c>
      <c r="H23" s="115">
        <f>_xlfn.COMPOUNDVALUE(260)</f>
        <v>428</v>
      </c>
      <c r="I23" s="117">
        <v>3366406</v>
      </c>
      <c r="J23" s="115">
        <v>1013</v>
      </c>
      <c r="K23" s="117">
        <v>174922</v>
      </c>
      <c r="L23" s="115">
        <f>_xlfn.COMPOUNDVALUE(260)</f>
        <v>13628</v>
      </c>
      <c r="M23" s="117">
        <v>35865245</v>
      </c>
      <c r="N23" s="134">
        <v>13893</v>
      </c>
      <c r="O23" s="135">
        <v>323</v>
      </c>
      <c r="P23" s="135">
        <v>34</v>
      </c>
      <c r="Q23" s="136">
        <v>14250</v>
      </c>
      <c r="R23" s="76" t="s">
        <v>70</v>
      </c>
    </row>
    <row r="24" spans="1:18" ht="15.75" customHeight="1">
      <c r="A24" s="78" t="s">
        <v>71</v>
      </c>
      <c r="B24" s="120">
        <f>_xlfn.COMPOUNDVALUE(261)</f>
        <v>2686</v>
      </c>
      <c r="C24" s="121">
        <v>13546043</v>
      </c>
      <c r="D24" s="120">
        <f>_xlfn.COMPOUNDVALUE(262)</f>
        <v>1846</v>
      </c>
      <c r="E24" s="121">
        <v>819901</v>
      </c>
      <c r="F24" s="120">
        <f>_xlfn.COMPOUNDVALUE(263)</f>
        <v>4532</v>
      </c>
      <c r="G24" s="121">
        <v>14365945</v>
      </c>
      <c r="H24" s="120">
        <f>_xlfn.COMPOUNDVALUE(264)</f>
        <v>327</v>
      </c>
      <c r="I24" s="122">
        <v>28022873</v>
      </c>
      <c r="J24" s="120">
        <v>463</v>
      </c>
      <c r="K24" s="122">
        <v>1784079</v>
      </c>
      <c r="L24" s="120">
        <f>_xlfn.COMPOUNDVALUE(264)</f>
        <v>4950</v>
      </c>
      <c r="M24" s="122">
        <v>-11872849</v>
      </c>
      <c r="N24" s="115">
        <v>4809</v>
      </c>
      <c r="O24" s="118">
        <v>118</v>
      </c>
      <c r="P24" s="118">
        <v>6</v>
      </c>
      <c r="Q24" s="119">
        <v>4933</v>
      </c>
      <c r="R24" s="92" t="s">
        <v>72</v>
      </c>
    </row>
    <row r="25" spans="1:18" ht="15.75" customHeight="1">
      <c r="A25" s="78" t="s">
        <v>73</v>
      </c>
      <c r="B25" s="120">
        <f>_xlfn.COMPOUNDVALUE(265)</f>
        <v>1465</v>
      </c>
      <c r="C25" s="121">
        <v>3823472</v>
      </c>
      <c r="D25" s="120">
        <f>_xlfn.COMPOUNDVALUE(266)</f>
        <v>1347</v>
      </c>
      <c r="E25" s="121">
        <v>501224</v>
      </c>
      <c r="F25" s="120">
        <f>_xlfn.COMPOUNDVALUE(267)</f>
        <v>2812</v>
      </c>
      <c r="G25" s="121">
        <v>4324696</v>
      </c>
      <c r="H25" s="120">
        <f>_xlfn.COMPOUNDVALUE(268)</f>
        <v>242</v>
      </c>
      <c r="I25" s="122">
        <v>615269</v>
      </c>
      <c r="J25" s="120">
        <v>234</v>
      </c>
      <c r="K25" s="122">
        <v>37212</v>
      </c>
      <c r="L25" s="120">
        <f>_xlfn.COMPOUNDVALUE(268)</f>
        <v>3113</v>
      </c>
      <c r="M25" s="122">
        <v>3746639</v>
      </c>
      <c r="N25" s="115">
        <v>3063</v>
      </c>
      <c r="O25" s="118">
        <v>61</v>
      </c>
      <c r="P25" s="118">
        <v>3</v>
      </c>
      <c r="Q25" s="119">
        <v>3127</v>
      </c>
      <c r="R25" s="92" t="s">
        <v>74</v>
      </c>
    </row>
    <row r="26" spans="1:18" ht="15.75" customHeight="1">
      <c r="A26" s="78" t="s">
        <v>75</v>
      </c>
      <c r="B26" s="120">
        <f>_xlfn.COMPOUNDVALUE(269)</f>
        <v>1015</v>
      </c>
      <c r="C26" s="121">
        <v>3015351</v>
      </c>
      <c r="D26" s="120">
        <f>_xlfn.COMPOUNDVALUE(270)</f>
        <v>1177</v>
      </c>
      <c r="E26" s="121">
        <v>382200</v>
      </c>
      <c r="F26" s="120">
        <f>_xlfn.COMPOUNDVALUE(271)</f>
        <v>2192</v>
      </c>
      <c r="G26" s="121">
        <v>3397550</v>
      </c>
      <c r="H26" s="120">
        <f>_xlfn.COMPOUNDVALUE(272)</f>
        <v>84</v>
      </c>
      <c r="I26" s="122">
        <v>187612</v>
      </c>
      <c r="J26" s="120">
        <v>149</v>
      </c>
      <c r="K26" s="122">
        <v>-18004</v>
      </c>
      <c r="L26" s="120">
        <f>_xlfn.COMPOUNDVALUE(272)</f>
        <v>2306</v>
      </c>
      <c r="M26" s="122">
        <v>3191934</v>
      </c>
      <c r="N26" s="115">
        <v>2134</v>
      </c>
      <c r="O26" s="118">
        <v>47</v>
      </c>
      <c r="P26" s="118">
        <v>3</v>
      </c>
      <c r="Q26" s="119">
        <v>2184</v>
      </c>
      <c r="R26" s="92" t="s">
        <v>76</v>
      </c>
    </row>
    <row r="27" spans="1:18" ht="15.75" customHeight="1">
      <c r="A27" s="78" t="s">
        <v>77</v>
      </c>
      <c r="B27" s="120">
        <f>_xlfn.COMPOUNDVALUE(273)</f>
        <v>1434</v>
      </c>
      <c r="C27" s="121">
        <v>7612952</v>
      </c>
      <c r="D27" s="120">
        <f>_xlfn.COMPOUNDVALUE(274)</f>
        <v>955</v>
      </c>
      <c r="E27" s="121">
        <v>418732</v>
      </c>
      <c r="F27" s="120">
        <f>_xlfn.COMPOUNDVALUE(275)</f>
        <v>2389</v>
      </c>
      <c r="G27" s="121">
        <v>8031684</v>
      </c>
      <c r="H27" s="120">
        <f>_xlfn.COMPOUNDVALUE(276)</f>
        <v>68</v>
      </c>
      <c r="I27" s="122">
        <v>163086</v>
      </c>
      <c r="J27" s="120">
        <v>190</v>
      </c>
      <c r="K27" s="122">
        <v>20372</v>
      </c>
      <c r="L27" s="120">
        <f>_xlfn.COMPOUNDVALUE(276)</f>
        <v>2501</v>
      </c>
      <c r="M27" s="122">
        <v>7888970</v>
      </c>
      <c r="N27" s="115">
        <v>2513</v>
      </c>
      <c r="O27" s="118">
        <v>46</v>
      </c>
      <c r="P27" s="118">
        <v>5</v>
      </c>
      <c r="Q27" s="119">
        <v>2564</v>
      </c>
      <c r="R27" s="92" t="s">
        <v>78</v>
      </c>
    </row>
    <row r="28" spans="1:18" ht="15.75" customHeight="1">
      <c r="A28" s="78" t="s">
        <v>79</v>
      </c>
      <c r="B28" s="120">
        <f>_xlfn.COMPOUNDVALUE(277)</f>
        <v>1303</v>
      </c>
      <c r="C28" s="121">
        <v>4051615</v>
      </c>
      <c r="D28" s="120">
        <f>_xlfn.COMPOUNDVALUE(278)</f>
        <v>1001</v>
      </c>
      <c r="E28" s="121">
        <v>413307</v>
      </c>
      <c r="F28" s="120">
        <f>_xlfn.COMPOUNDVALUE(279)</f>
        <v>2304</v>
      </c>
      <c r="G28" s="121">
        <v>4464922</v>
      </c>
      <c r="H28" s="120">
        <f>_xlfn.COMPOUNDVALUE(280)</f>
        <v>102</v>
      </c>
      <c r="I28" s="122">
        <v>432361</v>
      </c>
      <c r="J28" s="120">
        <v>128</v>
      </c>
      <c r="K28" s="122">
        <v>38972</v>
      </c>
      <c r="L28" s="120">
        <f>_xlfn.COMPOUNDVALUE(280)</f>
        <v>2429</v>
      </c>
      <c r="M28" s="122">
        <v>4071533</v>
      </c>
      <c r="N28" s="115">
        <v>2446</v>
      </c>
      <c r="O28" s="118">
        <v>82</v>
      </c>
      <c r="P28" s="118">
        <v>4</v>
      </c>
      <c r="Q28" s="119">
        <v>2532</v>
      </c>
      <c r="R28" s="92" t="s">
        <v>80</v>
      </c>
    </row>
    <row r="29" spans="1:18" ht="15.75" customHeight="1">
      <c r="A29" s="78" t="s">
        <v>81</v>
      </c>
      <c r="B29" s="120">
        <f>_xlfn.COMPOUNDVALUE(281)</f>
        <v>738</v>
      </c>
      <c r="C29" s="121">
        <v>2207395</v>
      </c>
      <c r="D29" s="120">
        <f>_xlfn.COMPOUNDVALUE(282)</f>
        <v>622</v>
      </c>
      <c r="E29" s="121">
        <v>235748</v>
      </c>
      <c r="F29" s="120">
        <f>_xlfn.COMPOUNDVALUE(283)</f>
        <v>1360</v>
      </c>
      <c r="G29" s="121">
        <v>2443143</v>
      </c>
      <c r="H29" s="120">
        <f>_xlfn.COMPOUNDVALUE(284)</f>
        <v>36</v>
      </c>
      <c r="I29" s="122">
        <v>28002</v>
      </c>
      <c r="J29" s="120">
        <v>96</v>
      </c>
      <c r="K29" s="122">
        <v>21880</v>
      </c>
      <c r="L29" s="120">
        <f>_xlfn.COMPOUNDVALUE(284)</f>
        <v>1409</v>
      </c>
      <c r="M29" s="122">
        <v>2437021</v>
      </c>
      <c r="N29" s="115">
        <v>1375</v>
      </c>
      <c r="O29" s="118">
        <v>33</v>
      </c>
      <c r="P29" s="118">
        <v>2</v>
      </c>
      <c r="Q29" s="119">
        <v>1410</v>
      </c>
      <c r="R29" s="92" t="s">
        <v>82</v>
      </c>
    </row>
    <row r="30" spans="1:18" ht="15.75" customHeight="1">
      <c r="A30" s="78" t="s">
        <v>83</v>
      </c>
      <c r="B30" s="120">
        <f>_xlfn.COMPOUNDVALUE(285)</f>
        <v>1301</v>
      </c>
      <c r="C30" s="121">
        <v>14322474</v>
      </c>
      <c r="D30" s="120">
        <f>_xlfn.COMPOUNDVALUE(286)</f>
        <v>778</v>
      </c>
      <c r="E30" s="121">
        <v>311630</v>
      </c>
      <c r="F30" s="120">
        <f>_xlfn.COMPOUNDVALUE(287)</f>
        <v>2079</v>
      </c>
      <c r="G30" s="121">
        <v>14634104</v>
      </c>
      <c r="H30" s="120">
        <f>_xlfn.COMPOUNDVALUE(288)</f>
        <v>72</v>
      </c>
      <c r="I30" s="122">
        <v>114363</v>
      </c>
      <c r="J30" s="120">
        <v>157</v>
      </c>
      <c r="K30" s="122">
        <v>-26587</v>
      </c>
      <c r="L30" s="120">
        <f>_xlfn.COMPOUNDVALUE(288)</f>
        <v>2158</v>
      </c>
      <c r="M30" s="122">
        <v>14493155</v>
      </c>
      <c r="N30" s="115">
        <v>2125</v>
      </c>
      <c r="O30" s="118">
        <v>60</v>
      </c>
      <c r="P30" s="118">
        <v>1</v>
      </c>
      <c r="Q30" s="119">
        <v>2186</v>
      </c>
      <c r="R30" s="92" t="s">
        <v>84</v>
      </c>
    </row>
    <row r="31" spans="1:18" ht="15.75" customHeight="1">
      <c r="A31" s="80" t="s">
        <v>127</v>
      </c>
      <c r="B31" s="123">
        <v>17794</v>
      </c>
      <c r="C31" s="124">
        <v>85360435</v>
      </c>
      <c r="D31" s="123">
        <v>12866</v>
      </c>
      <c r="E31" s="124">
        <v>5358338</v>
      </c>
      <c r="F31" s="123">
        <v>30660</v>
      </c>
      <c r="G31" s="124">
        <v>90718773</v>
      </c>
      <c r="H31" s="123">
        <v>1359</v>
      </c>
      <c r="I31" s="125">
        <v>32929972</v>
      </c>
      <c r="J31" s="123">
        <v>2430</v>
      </c>
      <c r="K31" s="125">
        <v>2032845</v>
      </c>
      <c r="L31" s="123">
        <v>32494</v>
      </c>
      <c r="M31" s="125">
        <v>59821646</v>
      </c>
      <c r="N31" s="123">
        <v>32358</v>
      </c>
      <c r="O31" s="126">
        <v>770</v>
      </c>
      <c r="P31" s="126">
        <v>58</v>
      </c>
      <c r="Q31" s="127">
        <v>33186</v>
      </c>
      <c r="R31" s="81" t="s">
        <v>86</v>
      </c>
    </row>
    <row r="32" spans="1:18" ht="15.75" customHeight="1">
      <c r="A32" s="82"/>
      <c r="B32" s="128"/>
      <c r="C32" s="129"/>
      <c r="D32" s="128"/>
      <c r="E32" s="129"/>
      <c r="F32" s="130"/>
      <c r="G32" s="129"/>
      <c r="H32" s="130"/>
      <c r="I32" s="129"/>
      <c r="J32" s="130"/>
      <c r="K32" s="129"/>
      <c r="L32" s="130"/>
      <c r="M32" s="129"/>
      <c r="N32" s="131"/>
      <c r="O32" s="132"/>
      <c r="P32" s="132"/>
      <c r="Q32" s="133"/>
      <c r="R32" s="93" t="s">
        <v>125</v>
      </c>
    </row>
    <row r="33" spans="1:18" ht="15.75" customHeight="1">
      <c r="A33" s="75" t="s">
        <v>87</v>
      </c>
      <c r="B33" s="115">
        <f>_xlfn.COMPOUNDVALUE(289)</f>
        <v>4749</v>
      </c>
      <c r="C33" s="116">
        <v>22138346</v>
      </c>
      <c r="D33" s="115">
        <f>_xlfn.COMPOUNDVALUE(290)</f>
        <v>3406</v>
      </c>
      <c r="E33" s="116">
        <v>1469572</v>
      </c>
      <c r="F33" s="115">
        <f>_xlfn.COMPOUNDVALUE(291)</f>
        <v>8155</v>
      </c>
      <c r="G33" s="116">
        <v>23607918</v>
      </c>
      <c r="H33" s="115">
        <f>_xlfn.COMPOUNDVALUE(292)</f>
        <v>241</v>
      </c>
      <c r="I33" s="117">
        <v>1137117</v>
      </c>
      <c r="J33" s="115">
        <v>684</v>
      </c>
      <c r="K33" s="117">
        <v>111819</v>
      </c>
      <c r="L33" s="115">
        <f>_xlfn.COMPOUNDVALUE(292)</f>
        <v>8572</v>
      </c>
      <c r="M33" s="117">
        <v>22582621</v>
      </c>
      <c r="N33" s="134">
        <v>8422</v>
      </c>
      <c r="O33" s="135">
        <v>150</v>
      </c>
      <c r="P33" s="135">
        <v>28</v>
      </c>
      <c r="Q33" s="136">
        <v>8600</v>
      </c>
      <c r="R33" s="76" t="s">
        <v>88</v>
      </c>
    </row>
    <row r="34" spans="1:18" ht="15.75" customHeight="1">
      <c r="A34" s="78" t="s">
        <v>89</v>
      </c>
      <c r="B34" s="120">
        <f>_xlfn.COMPOUNDVALUE(293)</f>
        <v>578</v>
      </c>
      <c r="C34" s="121">
        <v>1259969</v>
      </c>
      <c r="D34" s="120">
        <f>_xlfn.COMPOUNDVALUE(294)</f>
        <v>958</v>
      </c>
      <c r="E34" s="121">
        <v>306117</v>
      </c>
      <c r="F34" s="120">
        <f>_xlfn.COMPOUNDVALUE(295)</f>
        <v>1536</v>
      </c>
      <c r="G34" s="121">
        <v>1566086</v>
      </c>
      <c r="H34" s="120">
        <f>_xlfn.COMPOUNDVALUE(296)</f>
        <v>38</v>
      </c>
      <c r="I34" s="122">
        <v>72580</v>
      </c>
      <c r="J34" s="120">
        <v>56</v>
      </c>
      <c r="K34" s="122">
        <v>9074</v>
      </c>
      <c r="L34" s="120">
        <f>_xlfn.COMPOUNDVALUE(296)</f>
        <v>1588</v>
      </c>
      <c r="M34" s="122">
        <v>1502580</v>
      </c>
      <c r="N34" s="115">
        <v>1594</v>
      </c>
      <c r="O34" s="118">
        <v>23</v>
      </c>
      <c r="P34" s="118">
        <v>5</v>
      </c>
      <c r="Q34" s="119">
        <v>1622</v>
      </c>
      <c r="R34" s="92" t="s">
        <v>90</v>
      </c>
    </row>
    <row r="35" spans="1:18" ht="15.75" customHeight="1">
      <c r="A35" s="78" t="s">
        <v>91</v>
      </c>
      <c r="B35" s="120">
        <f>_xlfn.COMPOUNDVALUE(297)</f>
        <v>1139</v>
      </c>
      <c r="C35" s="121">
        <v>3637090</v>
      </c>
      <c r="D35" s="120">
        <f>_xlfn.COMPOUNDVALUE(298)</f>
        <v>1261</v>
      </c>
      <c r="E35" s="121">
        <v>443894</v>
      </c>
      <c r="F35" s="120">
        <f>_xlfn.COMPOUNDVALUE(299)</f>
        <v>2400</v>
      </c>
      <c r="G35" s="121">
        <v>4080984</v>
      </c>
      <c r="H35" s="120">
        <f>_xlfn.COMPOUNDVALUE(300)</f>
        <v>78</v>
      </c>
      <c r="I35" s="122">
        <v>815776</v>
      </c>
      <c r="J35" s="120">
        <v>167</v>
      </c>
      <c r="K35" s="122">
        <v>21030</v>
      </c>
      <c r="L35" s="120">
        <f>_xlfn.COMPOUNDVALUE(300)</f>
        <v>2507</v>
      </c>
      <c r="M35" s="122">
        <v>3286238</v>
      </c>
      <c r="N35" s="115">
        <v>2422</v>
      </c>
      <c r="O35" s="118">
        <v>61</v>
      </c>
      <c r="P35" s="118">
        <v>4</v>
      </c>
      <c r="Q35" s="119">
        <v>2487</v>
      </c>
      <c r="R35" s="92" t="s">
        <v>92</v>
      </c>
    </row>
    <row r="36" spans="1:18" ht="15.75" customHeight="1">
      <c r="A36" s="78" t="s">
        <v>93</v>
      </c>
      <c r="B36" s="120">
        <f>_xlfn.COMPOUNDVALUE(301)</f>
        <v>926</v>
      </c>
      <c r="C36" s="121">
        <v>1945191</v>
      </c>
      <c r="D36" s="120">
        <f>_xlfn.COMPOUNDVALUE(302)</f>
        <v>1160</v>
      </c>
      <c r="E36" s="121">
        <v>440554</v>
      </c>
      <c r="F36" s="120">
        <f>_xlfn.COMPOUNDVALUE(303)</f>
        <v>2086</v>
      </c>
      <c r="G36" s="121">
        <v>2385745</v>
      </c>
      <c r="H36" s="120">
        <f>_xlfn.COMPOUNDVALUE(304)</f>
        <v>73</v>
      </c>
      <c r="I36" s="122">
        <v>155752</v>
      </c>
      <c r="J36" s="120">
        <v>105</v>
      </c>
      <c r="K36" s="122">
        <v>22160</v>
      </c>
      <c r="L36" s="120">
        <f>_xlfn.COMPOUNDVALUE(304)</f>
        <v>2177</v>
      </c>
      <c r="M36" s="122">
        <v>2252154</v>
      </c>
      <c r="N36" s="115">
        <v>2158</v>
      </c>
      <c r="O36" s="118">
        <v>36</v>
      </c>
      <c r="P36" s="118">
        <v>2</v>
      </c>
      <c r="Q36" s="119">
        <v>2196</v>
      </c>
      <c r="R36" s="92" t="s">
        <v>94</v>
      </c>
    </row>
    <row r="37" spans="1:18" ht="15.75" customHeight="1">
      <c r="A37" s="78" t="s">
        <v>95</v>
      </c>
      <c r="B37" s="120">
        <f>_xlfn.COMPOUNDVALUE(305)</f>
        <v>1215</v>
      </c>
      <c r="C37" s="121">
        <v>2419144</v>
      </c>
      <c r="D37" s="120">
        <f>_xlfn.COMPOUNDVALUE(306)</f>
        <v>959</v>
      </c>
      <c r="E37" s="121">
        <v>397027</v>
      </c>
      <c r="F37" s="120">
        <f>_xlfn.COMPOUNDVALUE(307)</f>
        <v>2174</v>
      </c>
      <c r="G37" s="121">
        <v>2816171</v>
      </c>
      <c r="H37" s="120">
        <f>_xlfn.COMPOUNDVALUE(308)</f>
        <v>82</v>
      </c>
      <c r="I37" s="122">
        <v>177659</v>
      </c>
      <c r="J37" s="120">
        <v>131</v>
      </c>
      <c r="K37" s="122">
        <v>22626</v>
      </c>
      <c r="L37" s="120">
        <f>_xlfn.COMPOUNDVALUE(308)</f>
        <v>2301</v>
      </c>
      <c r="M37" s="122">
        <v>2661138</v>
      </c>
      <c r="N37" s="115">
        <v>2319</v>
      </c>
      <c r="O37" s="118">
        <v>47</v>
      </c>
      <c r="P37" s="118">
        <v>6</v>
      </c>
      <c r="Q37" s="119">
        <v>2372</v>
      </c>
      <c r="R37" s="92" t="s">
        <v>96</v>
      </c>
    </row>
    <row r="38" spans="1:18" ht="15.75" customHeight="1">
      <c r="A38" s="78" t="s">
        <v>97</v>
      </c>
      <c r="B38" s="120">
        <f>_xlfn.COMPOUNDVALUE(309)</f>
        <v>666</v>
      </c>
      <c r="C38" s="121">
        <v>1868608</v>
      </c>
      <c r="D38" s="120">
        <f>_xlfn.COMPOUNDVALUE(310)</f>
        <v>870</v>
      </c>
      <c r="E38" s="121">
        <v>303493</v>
      </c>
      <c r="F38" s="120">
        <f>_xlfn.COMPOUNDVALUE(311)</f>
        <v>1536</v>
      </c>
      <c r="G38" s="121">
        <v>2172101</v>
      </c>
      <c r="H38" s="120">
        <f>_xlfn.COMPOUNDVALUE(312)</f>
        <v>40</v>
      </c>
      <c r="I38" s="122">
        <v>70113</v>
      </c>
      <c r="J38" s="120">
        <v>104</v>
      </c>
      <c r="K38" s="122">
        <v>12784</v>
      </c>
      <c r="L38" s="120">
        <f>_xlfn.COMPOUNDVALUE(312)</f>
        <v>1601</v>
      </c>
      <c r="M38" s="122">
        <v>2114773</v>
      </c>
      <c r="N38" s="115">
        <v>1550</v>
      </c>
      <c r="O38" s="118">
        <v>29</v>
      </c>
      <c r="P38" s="118">
        <v>1</v>
      </c>
      <c r="Q38" s="119">
        <v>1580</v>
      </c>
      <c r="R38" s="92" t="s">
        <v>98</v>
      </c>
    </row>
    <row r="39" spans="1:18" ht="15.75" customHeight="1">
      <c r="A39" s="80" t="s">
        <v>128</v>
      </c>
      <c r="B39" s="123">
        <v>9273</v>
      </c>
      <c r="C39" s="124">
        <v>33268347</v>
      </c>
      <c r="D39" s="123">
        <v>8614</v>
      </c>
      <c r="E39" s="124">
        <v>3360658</v>
      </c>
      <c r="F39" s="123">
        <v>17887</v>
      </c>
      <c r="G39" s="124">
        <v>36629005</v>
      </c>
      <c r="H39" s="123">
        <v>552</v>
      </c>
      <c r="I39" s="125">
        <v>2428997</v>
      </c>
      <c r="J39" s="123">
        <v>1247</v>
      </c>
      <c r="K39" s="125">
        <v>199494</v>
      </c>
      <c r="L39" s="123">
        <v>18746</v>
      </c>
      <c r="M39" s="125">
        <v>34399502</v>
      </c>
      <c r="N39" s="123">
        <v>18465</v>
      </c>
      <c r="O39" s="126">
        <v>346</v>
      </c>
      <c r="P39" s="126">
        <v>46</v>
      </c>
      <c r="Q39" s="127">
        <v>18857</v>
      </c>
      <c r="R39" s="81" t="s">
        <v>100</v>
      </c>
    </row>
    <row r="40" spans="1:18" ht="15.75" customHeight="1" thickBot="1">
      <c r="A40" s="84"/>
      <c r="B40" s="137"/>
      <c r="C40" s="138"/>
      <c r="D40" s="137"/>
      <c r="E40" s="138"/>
      <c r="F40" s="139"/>
      <c r="G40" s="138"/>
      <c r="H40" s="139"/>
      <c r="I40" s="138"/>
      <c r="J40" s="139"/>
      <c r="K40" s="138"/>
      <c r="L40" s="139"/>
      <c r="M40" s="138"/>
      <c r="N40" s="131"/>
      <c r="O40" s="132"/>
      <c r="P40" s="132"/>
      <c r="Q40" s="133"/>
      <c r="R40" s="93"/>
    </row>
    <row r="41" spans="1:18" ht="15.75" customHeight="1" thickBot="1" thickTop="1">
      <c r="A41" s="87" t="s">
        <v>102</v>
      </c>
      <c r="B41" s="140">
        <v>50051</v>
      </c>
      <c r="C41" s="141">
        <v>223397980</v>
      </c>
      <c r="D41" s="140">
        <v>38784</v>
      </c>
      <c r="E41" s="141">
        <v>15761749</v>
      </c>
      <c r="F41" s="140">
        <v>88835</v>
      </c>
      <c r="G41" s="141">
        <v>239159729</v>
      </c>
      <c r="H41" s="140">
        <v>3559</v>
      </c>
      <c r="I41" s="142">
        <v>46933348</v>
      </c>
      <c r="J41" s="140">
        <v>6801</v>
      </c>
      <c r="K41" s="142">
        <v>2668885</v>
      </c>
      <c r="L41" s="140">
        <v>93711</v>
      </c>
      <c r="M41" s="142">
        <v>194895266</v>
      </c>
      <c r="N41" s="143">
        <v>92363</v>
      </c>
      <c r="O41" s="144">
        <v>2271</v>
      </c>
      <c r="P41" s="144">
        <v>206</v>
      </c>
      <c r="Q41" s="145">
        <v>94840</v>
      </c>
      <c r="R41" s="94" t="s">
        <v>102</v>
      </c>
    </row>
    <row r="42" spans="1:9" ht="13.5">
      <c r="A42" s="217" t="s">
        <v>129</v>
      </c>
      <c r="B42" s="217"/>
      <c r="C42" s="217"/>
      <c r="D42" s="217"/>
      <c r="E42" s="217"/>
      <c r="F42" s="217"/>
      <c r="G42" s="217"/>
      <c r="H42" s="217"/>
      <c r="I42" s="217"/>
    </row>
  </sheetData>
  <sheetProtection/>
  <mergeCells count="16">
    <mergeCell ref="A42:I42"/>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fitToHeight="0" fitToWidth="1" horizontalDpi="300" verticalDpi="300" orientation="portrait" paperSize="8" scale="65" r:id="rId1"/>
  <headerFooter>
    <oddFooter>&amp;R高松国税局
消費税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
  <cp:lastPrinted>2015-12-18T06:18:43Z</cp:lastPrinted>
  <dcterms:created xsi:type="dcterms:W3CDTF">2003-07-09T01:05:10Z</dcterms:created>
  <dcterms:modified xsi:type="dcterms:W3CDTF">2016-02-24T07:27:28Z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