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calcMode="manual" fullCalcOnLoad="1"/>
</workbook>
</file>

<file path=xl/sharedStrings.xml><?xml version="1.0" encoding="utf-8"?>
<sst xmlns="http://schemas.openxmlformats.org/spreadsheetml/2006/main" count="371" uniqueCount="173">
  <si>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</si>
  <si>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</si>
  <si>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</si>
  <si>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</si>
  <si>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</si>
  <si>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</si>
  <si>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</si>
  <si>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</si>
  <si>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</si>
  <si>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</si>
  <si>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</si>
  <si>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</si>
  <si>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</si>
  <si>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</si>
  <si>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</si>
  <si>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</si>
  <si>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</si>
  <si>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</si>
  <si>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</si>
  <si>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</si>
  <si>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</si>
  <si>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</si>
  <si>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</si>
  <si>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</si>
  <si>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</si>
  <si>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</si>
  <si>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</si>
  <si>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</si>
  <si>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</si>
  <si>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</si>
  <si>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</si>
  <si>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</si>
  <si>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</si>
  <si>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</si>
  <si>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</si>
  <si>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調査対象等：</t>
  </si>
  <si>
    <t>平成22年度</t>
  </si>
  <si>
    <t>（注）１</t>
  </si>
  <si>
    <t>税関分は含まない。</t>
  </si>
  <si>
    <t>　　　２</t>
  </si>
  <si>
    <t>「件数欄」の「実」は、実件数を示す。</t>
  </si>
  <si>
    <t>平成23年度</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</si>
  <si>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</si>
  <si>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</si>
  <si>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</si>
  <si>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</si>
  <si>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</si>
  <si>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</si>
  <si>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</si>
  <si>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</si>
  <si>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</si>
  <si>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</si>
  <si>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</si>
  <si>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</si>
  <si>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</si>
  <si>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</si>
  <si>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</si>
  <si>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</si>
  <si>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徳島</t>
  </si>
  <si>
    <t>徳島</t>
  </si>
  <si>
    <t>鳴門</t>
  </si>
  <si>
    <t>鳴門</t>
  </si>
  <si>
    <t>阿南</t>
  </si>
  <si>
    <t>阿南</t>
  </si>
  <si>
    <t>川島</t>
  </si>
  <si>
    <t>川島</t>
  </si>
  <si>
    <t>脇町</t>
  </si>
  <si>
    <t>脇町</t>
  </si>
  <si>
    <t>池田</t>
  </si>
  <si>
    <t>池田</t>
  </si>
  <si>
    <t>徳島県計</t>
  </si>
  <si>
    <t>徳島県計</t>
  </si>
  <si>
    <t>高松</t>
  </si>
  <si>
    <t>高松</t>
  </si>
  <si>
    <t>丸亀</t>
  </si>
  <si>
    <t>丸亀</t>
  </si>
  <si>
    <t>坂出</t>
  </si>
  <si>
    <t>坂出</t>
  </si>
  <si>
    <t>観音寺</t>
  </si>
  <si>
    <t>観音寺</t>
  </si>
  <si>
    <t>長尾</t>
  </si>
  <si>
    <t>長尾</t>
  </si>
  <si>
    <t>土庄</t>
  </si>
  <si>
    <t>土庄</t>
  </si>
  <si>
    <t>香川県計</t>
  </si>
  <si>
    <t>香川県計</t>
  </si>
  <si>
    <t>松山</t>
  </si>
  <si>
    <t>松山</t>
  </si>
  <si>
    <t>今治</t>
  </si>
  <si>
    <t>今治</t>
  </si>
  <si>
    <t>宇和島</t>
  </si>
  <si>
    <t>宇和島</t>
  </si>
  <si>
    <t>八幡浜</t>
  </si>
  <si>
    <t>八幡浜</t>
  </si>
  <si>
    <t>新居浜</t>
  </si>
  <si>
    <t>新居浜</t>
  </si>
  <si>
    <t>伊予西条</t>
  </si>
  <si>
    <t>伊予西条</t>
  </si>
  <si>
    <t>大洲</t>
  </si>
  <si>
    <t>大洲</t>
  </si>
  <si>
    <t>伊予三島</t>
  </si>
  <si>
    <t>伊予三島</t>
  </si>
  <si>
    <t>愛媛県計</t>
  </si>
  <si>
    <t>愛媛県計</t>
  </si>
  <si>
    <t>高知</t>
  </si>
  <si>
    <t>高知</t>
  </si>
  <si>
    <t>安芸</t>
  </si>
  <si>
    <t>安芸</t>
  </si>
  <si>
    <t>南国</t>
  </si>
  <si>
    <t>南国</t>
  </si>
  <si>
    <t>須崎</t>
  </si>
  <si>
    <t>須崎</t>
  </si>
  <si>
    <t>中村</t>
  </si>
  <si>
    <t>中村</t>
  </si>
  <si>
    <t>伊野</t>
  </si>
  <si>
    <t>伊野</t>
  </si>
  <si>
    <t>高知県計</t>
  </si>
  <si>
    <t>高知県計</t>
  </si>
  <si>
    <t>総　計</t>
  </si>
  <si>
    <t>総　計</t>
  </si>
  <si>
    <t>（注）この表は「(1)　課税状況」の現年分を税務署別に示したものである（加算税を除く。）。</t>
  </si>
  <si>
    <t>(4)　税務署別課税状況（続）</t>
  </si>
  <si>
    <t>　ロ　法　　　人</t>
  </si>
  <si>
    <t>税務署名</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</si>
  <si>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</si>
  <si>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</si>
  <si>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</si>
  <si>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</si>
  <si>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</si>
  <si>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</si>
  <si>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</si>
  <si>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</si>
  <si>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</si>
  <si>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</si>
  <si>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</si>
  <si>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</si>
  <si>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</si>
  <si>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</si>
  <si>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</si>
  <si>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</si>
  <si>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</si>
  <si>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</si>
  <si>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</si>
  <si>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</si>
  <si>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</si>
  <si>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</si>
  <si>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</si>
  <si>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</si>
  <si>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</si>
  <si>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</si>
  <si>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</si>
  <si>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</si>
  <si>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</si>
  <si>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</si>
  <si>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</si>
  <si>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</si>
  <si>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</si>
  <si>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</si>
  <si>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</si>
  <si>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</si>
  <si>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</si>
  <si>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</si>
  <si>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
  </si>
  <si>
    <t>香川県計</t>
  </si>
  <si>
    <t>愛媛県計</t>
  </si>
  <si>
    <t>高知県計</t>
  </si>
  <si>
    <t>（注）この表は「(1)　課税状況」の現年分及び「(3)　課税事業者等届出件数」を税務署別に示したものである（加算税を除く。）。</t>
  </si>
  <si>
    <t>「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</si>
  <si>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</si>
  <si>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平成20年度</t>
  </si>
  <si>
    <t>平成21年度</t>
  </si>
  <si>
    <t>平成24年度</t>
  </si>
  <si>
    <t>調査対象等：平成24年度末（平成25年３月31日現在）の届出件数を示している。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</si>
</sst>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hair"/>
      <top style="thin"/>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hair"/>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medium"/>
      <top style="thin">
        <color indexed="55"/>
      </top>
      <bottom style="thin">
        <color indexed="55"/>
      </bottom>
    </border>
    <border>
      <left style="medium"/>
      <right/>
      <top/>
      <bottom style="double"/>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medium"/>
      <top/>
      <bottom style="double"/>
    </border>
    <border>
      <left style="medium"/>
      <right>
        <color indexed="63"/>
      </right>
      <top>
        <color indexed="63"/>
      </top>
      <bottom style="medium"/>
    </border>
    <border>
      <left style="hair"/>
      <right/>
      <top/>
      <bottom style="medium"/>
    </border>
    <border>
      <left style="thin"/>
      <right style="medium"/>
      <top/>
      <bottom style="hair">
        <color indexed="55"/>
      </bottom>
    </border>
    <border>
      <left style="hair"/>
      <right style="hair"/>
      <top style="hair">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medium"/>
      <top style="thin">
        <color indexed="23"/>
      </top>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1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3" fontId="2" fillId="33" borderId="14" xfId="0" applyNumberFormat="1" applyFont="1" applyFill="1" applyBorder="1" applyAlignment="1">
      <alignment horizontal="right" vertical="center" indent="1"/>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3" fontId="2" fillId="33" borderId="20" xfId="0" applyNumberFormat="1" applyFont="1" applyFill="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right" vertical="center"/>
    </xf>
    <xf numFmtId="0" fontId="6" fillId="0" borderId="22" xfId="0" applyFont="1" applyBorder="1" applyAlignment="1">
      <alignment horizontal="right" vertical="center"/>
    </xf>
    <xf numFmtId="0" fontId="2" fillId="0" borderId="23" xfId="0"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34"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6" fillId="33" borderId="25" xfId="0" applyNumberFormat="1" applyFont="1" applyFill="1" applyBorder="1" applyAlignment="1">
      <alignment horizontal="right" vertical="center"/>
    </xf>
    <xf numFmtId="3" fontId="6"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6"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6" fillId="0" borderId="26"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6" fillId="33" borderId="36" xfId="0" applyNumberFormat="1" applyFont="1" applyFill="1" applyBorder="1" applyAlignment="1">
      <alignment horizontal="right" vertical="center"/>
    </xf>
    <xf numFmtId="3" fontId="6" fillId="34" borderId="37" xfId="0" applyNumberFormat="1" applyFont="1" applyFill="1" applyBorder="1" applyAlignment="1">
      <alignment horizontal="right" vertical="center"/>
    </xf>
    <xf numFmtId="3" fontId="6" fillId="34" borderId="38" xfId="0" applyNumberFormat="1" applyFont="1" applyFill="1" applyBorder="1" applyAlignment="1">
      <alignment horizontal="right" vertical="center"/>
    </xf>
    <xf numFmtId="0" fontId="6" fillId="0" borderId="39" xfId="0" applyFont="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2" fillId="0" borderId="43" xfId="0" applyFont="1" applyBorder="1" applyAlignment="1">
      <alignment horizontal="distributed" vertical="center"/>
    </xf>
    <xf numFmtId="3" fontId="2" fillId="33" borderId="44"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0" fontId="7" fillId="34" borderId="10" xfId="0" applyFont="1" applyFill="1" applyBorder="1" applyAlignment="1">
      <alignment horizontal="right" vertical="top"/>
    </xf>
    <xf numFmtId="0" fontId="7" fillId="33" borderId="46"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22" xfId="0" applyFont="1" applyBorder="1" applyAlignment="1">
      <alignment horizontal="center" vertical="center"/>
    </xf>
    <xf numFmtId="3" fontId="2" fillId="33" borderId="47" xfId="0" applyNumberFormat="1" applyFont="1" applyFill="1" applyBorder="1" applyAlignment="1">
      <alignment vertical="center"/>
    </xf>
    <xf numFmtId="3" fontId="2" fillId="33" borderId="25" xfId="0" applyNumberFormat="1" applyFont="1" applyFill="1" applyBorder="1" applyAlignment="1">
      <alignment vertical="center"/>
    </xf>
    <xf numFmtId="3" fontId="2" fillId="0" borderId="22" xfId="0" applyNumberFormat="1" applyFont="1" applyBorder="1" applyAlignment="1">
      <alignment horizontal="center" vertical="center"/>
    </xf>
    <xf numFmtId="0" fontId="2" fillId="0" borderId="48" xfId="0" applyFont="1" applyBorder="1" applyAlignment="1">
      <alignment horizontal="distributed" vertical="center"/>
    </xf>
    <xf numFmtId="3" fontId="2" fillId="33" borderId="49"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0" fontId="7" fillId="0" borderId="51" xfId="0" applyFont="1" applyFill="1" applyBorder="1" applyAlignment="1">
      <alignment horizontal="center" vertical="center"/>
    </xf>
    <xf numFmtId="0" fontId="7" fillId="0" borderId="13" xfId="0" applyFont="1" applyFill="1" applyBorder="1" applyAlignment="1">
      <alignment horizontal="right" vertical="top"/>
    </xf>
    <xf numFmtId="0" fontId="7" fillId="34" borderId="21" xfId="0" applyFont="1" applyFill="1" applyBorder="1" applyAlignment="1">
      <alignment horizontal="right" vertical="top"/>
    </xf>
    <xf numFmtId="0" fontId="7" fillId="0" borderId="10" xfId="0" applyFont="1" applyFill="1" applyBorder="1" applyAlignment="1">
      <alignment horizontal="center" vertical="center"/>
    </xf>
    <xf numFmtId="3" fontId="2" fillId="33" borderId="52" xfId="0" applyNumberFormat="1" applyFont="1" applyFill="1" applyBorder="1" applyAlignment="1">
      <alignment horizontal="right" vertical="center"/>
    </xf>
    <xf numFmtId="0" fontId="2" fillId="0" borderId="51" xfId="0" applyFont="1" applyBorder="1" applyAlignment="1">
      <alignment horizontal="center" vertical="center"/>
    </xf>
    <xf numFmtId="0" fontId="7" fillId="33" borderId="13" xfId="0" applyFont="1" applyFill="1" applyBorder="1" applyAlignment="1">
      <alignment horizontal="right"/>
    </xf>
    <xf numFmtId="0" fontId="7" fillId="34" borderId="10" xfId="0" applyFont="1" applyFill="1" applyBorder="1" applyAlignment="1">
      <alignment horizontal="right"/>
    </xf>
    <xf numFmtId="0" fontId="7" fillId="34" borderId="21"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0" fontId="7" fillId="33" borderId="56" xfId="0" applyFont="1" applyFill="1" applyBorder="1" applyAlignment="1">
      <alignment horizontal="right"/>
    </xf>
    <xf numFmtId="3" fontId="2" fillId="33" borderId="47" xfId="0" applyNumberFormat="1" applyFont="1" applyFill="1" applyBorder="1" applyAlignment="1">
      <alignment horizontal="right" vertical="center"/>
    </xf>
    <xf numFmtId="0" fontId="2" fillId="0" borderId="57" xfId="0" applyFont="1" applyBorder="1" applyAlignment="1">
      <alignment horizontal="left" vertical="top" wrapText="1"/>
    </xf>
    <xf numFmtId="0" fontId="5" fillId="0" borderId="0" xfId="0" applyFont="1" applyAlignment="1">
      <alignment horizontal="center" vertical="top"/>
    </xf>
    <xf numFmtId="0" fontId="2" fillId="0" borderId="2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58"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0" fillId="0" borderId="0" xfId="61" applyFont="1">
      <alignment/>
      <protection/>
    </xf>
    <xf numFmtId="0" fontId="2" fillId="0" borderId="59" xfId="61" applyFont="1" applyBorder="1" applyAlignment="1">
      <alignment horizontal="distributed" vertical="center" indent="1"/>
      <protection/>
    </xf>
    <xf numFmtId="0" fontId="2" fillId="0" borderId="60" xfId="61" applyFont="1" applyBorder="1" applyAlignment="1">
      <alignment horizontal="distributed" vertical="center" indent="1"/>
      <protection/>
    </xf>
    <xf numFmtId="0" fontId="2" fillId="0" borderId="60"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61" xfId="61" applyFont="1" applyBorder="1" applyAlignment="1">
      <alignment horizontal="centerContinuous" vertical="center" wrapText="1"/>
      <protection/>
    </xf>
    <xf numFmtId="0" fontId="0" fillId="0" borderId="0" xfId="61" applyFont="1" applyAlignment="1">
      <alignment horizontal="center"/>
      <protection/>
    </xf>
    <xf numFmtId="0" fontId="7" fillId="35" borderId="51" xfId="61" applyFont="1" applyFill="1" applyBorder="1" applyAlignment="1">
      <alignment horizontal="distributed" vertical="top"/>
      <protection/>
    </xf>
    <xf numFmtId="0" fontId="7" fillId="33" borderId="13" xfId="61" applyFont="1" applyFill="1" applyBorder="1" applyAlignment="1">
      <alignment horizontal="right" vertical="top"/>
      <protection/>
    </xf>
    <xf numFmtId="0" fontId="7" fillId="34" borderId="10" xfId="61" applyFont="1" applyFill="1" applyBorder="1" applyAlignment="1">
      <alignment horizontal="right" vertical="top"/>
      <protection/>
    </xf>
    <xf numFmtId="0" fontId="7" fillId="34" borderId="62" xfId="61" applyFont="1" applyFill="1" applyBorder="1" applyAlignment="1">
      <alignment horizontal="right" vertical="top"/>
      <protection/>
    </xf>
    <xf numFmtId="0" fontId="7" fillId="35" borderId="56"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63" xfId="61" applyFont="1" applyFill="1" applyBorder="1" applyAlignment="1">
      <alignment horizontal="distributed" vertical="center"/>
      <protection/>
    </xf>
    <xf numFmtId="177" fontId="2" fillId="33" borderId="52" xfId="61" applyNumberFormat="1" applyFont="1" applyFill="1" applyBorder="1" applyAlignment="1">
      <alignment horizontal="right" vertical="center"/>
      <protection/>
    </xf>
    <xf numFmtId="177" fontId="2" fillId="34" borderId="48" xfId="61" applyNumberFormat="1" applyFont="1" applyFill="1" applyBorder="1" applyAlignment="1">
      <alignment horizontal="right" vertical="center"/>
      <protection/>
    </xf>
    <xf numFmtId="177" fontId="2" fillId="34" borderId="64" xfId="61" applyNumberFormat="1" applyFont="1" applyFill="1" applyBorder="1" applyAlignment="1">
      <alignment horizontal="right" vertical="center"/>
      <protection/>
    </xf>
    <xf numFmtId="0" fontId="2" fillId="36" borderId="65" xfId="61" applyFont="1" applyFill="1" applyBorder="1" applyAlignment="1">
      <alignment horizontal="distributed" vertical="center"/>
      <protection/>
    </xf>
    <xf numFmtId="0" fontId="9" fillId="0" borderId="0" xfId="61" applyFont="1">
      <alignment/>
      <protection/>
    </xf>
    <xf numFmtId="0" fontId="2" fillId="36" borderId="66" xfId="61" applyFont="1" applyFill="1" applyBorder="1" applyAlignment="1">
      <alignment horizontal="distributed" vertical="center"/>
      <protection/>
    </xf>
    <xf numFmtId="177" fontId="2" fillId="33" borderId="67" xfId="61" applyNumberFormat="1" applyFont="1" applyFill="1" applyBorder="1" applyAlignment="1">
      <alignment horizontal="right" vertical="center"/>
      <protection/>
    </xf>
    <xf numFmtId="177" fontId="2" fillId="34" borderId="26" xfId="61" applyNumberFormat="1" applyFont="1" applyFill="1" applyBorder="1" applyAlignment="1">
      <alignment horizontal="right" vertical="center"/>
      <protection/>
    </xf>
    <xf numFmtId="177" fontId="2" fillId="34" borderId="68" xfId="61" applyNumberFormat="1" applyFont="1" applyFill="1" applyBorder="1" applyAlignment="1">
      <alignment horizontal="right" vertical="center"/>
      <protection/>
    </xf>
    <xf numFmtId="0" fontId="2" fillId="36" borderId="69" xfId="61" applyFont="1" applyFill="1" applyBorder="1" applyAlignment="1">
      <alignment horizontal="distributed" vertical="center"/>
      <protection/>
    </xf>
    <xf numFmtId="0" fontId="6" fillId="36" borderId="70" xfId="61" applyFont="1" applyFill="1" applyBorder="1" applyAlignment="1">
      <alignment horizontal="distributed" vertical="center"/>
      <protection/>
    </xf>
    <xf numFmtId="177" fontId="6" fillId="33" borderId="71" xfId="61" applyNumberFormat="1" applyFont="1" applyFill="1" applyBorder="1" applyAlignment="1">
      <alignment horizontal="right" vertical="center"/>
      <protection/>
    </xf>
    <xf numFmtId="177" fontId="6" fillId="34" borderId="72" xfId="61" applyNumberFormat="1" applyFont="1" applyFill="1" applyBorder="1" applyAlignment="1">
      <alignment horizontal="right" vertical="center"/>
      <protection/>
    </xf>
    <xf numFmtId="177" fontId="6" fillId="34" borderId="73" xfId="61" applyNumberFormat="1" applyFont="1" applyFill="1" applyBorder="1" applyAlignment="1">
      <alignment horizontal="right" vertical="center"/>
      <protection/>
    </xf>
    <xf numFmtId="0" fontId="6" fillId="36" borderId="74" xfId="61" applyFont="1" applyFill="1" applyBorder="1" applyAlignment="1">
      <alignment horizontal="distributed" vertical="center"/>
      <protection/>
    </xf>
    <xf numFmtId="0" fontId="10" fillId="0" borderId="75" xfId="61" applyFont="1" applyFill="1" applyBorder="1" applyAlignment="1">
      <alignment horizontal="distributed" vertical="center"/>
      <protection/>
    </xf>
    <xf numFmtId="177" fontId="10" fillId="0" borderId="76" xfId="61" applyNumberFormat="1" applyFont="1" applyFill="1" applyBorder="1" applyAlignment="1">
      <alignment horizontal="right" vertical="center"/>
      <protection/>
    </xf>
    <xf numFmtId="177" fontId="10" fillId="0" borderId="77" xfId="61" applyNumberFormat="1" applyFont="1" applyFill="1" applyBorder="1" applyAlignment="1">
      <alignment horizontal="right" vertical="center"/>
      <protection/>
    </xf>
    <xf numFmtId="177" fontId="10" fillId="0" borderId="78" xfId="61" applyNumberFormat="1" applyFont="1" applyFill="1" applyBorder="1" applyAlignment="1">
      <alignment horizontal="right" vertical="center"/>
      <protection/>
    </xf>
    <xf numFmtId="0" fontId="10" fillId="0" borderId="79" xfId="61" applyFont="1" applyFill="1" applyBorder="1" applyAlignment="1">
      <alignment horizontal="center" vertical="center"/>
      <protection/>
    </xf>
    <xf numFmtId="0" fontId="10" fillId="0" borderId="80" xfId="61" applyFont="1" applyFill="1" applyBorder="1" applyAlignment="1">
      <alignment horizontal="distributed" vertical="center"/>
      <protection/>
    </xf>
    <xf numFmtId="177" fontId="2" fillId="0" borderId="81" xfId="61" applyNumberFormat="1" applyFont="1" applyFill="1" applyBorder="1" applyAlignment="1">
      <alignment horizontal="right" vertical="center"/>
      <protection/>
    </xf>
    <xf numFmtId="177" fontId="2"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0" fontId="10" fillId="0" borderId="84" xfId="61" applyFont="1" applyFill="1" applyBorder="1" applyAlignment="1">
      <alignment horizontal="center" vertical="center"/>
      <protection/>
    </xf>
    <xf numFmtId="0" fontId="11" fillId="0" borderId="0" xfId="61" applyFont="1">
      <alignment/>
      <protection/>
    </xf>
    <xf numFmtId="0" fontId="6" fillId="0" borderId="85" xfId="61" applyFont="1" applyBorder="1" applyAlignment="1">
      <alignment horizontal="center" vertical="center"/>
      <protection/>
    </xf>
    <xf numFmtId="177" fontId="6" fillId="33" borderId="23" xfId="61" applyNumberFormat="1" applyFont="1" applyFill="1" applyBorder="1" applyAlignment="1">
      <alignment horizontal="right" vertical="center"/>
      <protection/>
    </xf>
    <xf numFmtId="177" fontId="6" fillId="34" borderId="34" xfId="61" applyNumberFormat="1" applyFont="1" applyFill="1" applyBorder="1" applyAlignment="1">
      <alignment horizontal="right" vertical="center"/>
      <protection/>
    </xf>
    <xf numFmtId="177" fontId="6" fillId="34" borderId="86" xfId="61" applyNumberFormat="1" applyFont="1" applyFill="1" applyBorder="1" applyAlignment="1">
      <alignment horizontal="right" vertical="center"/>
      <protection/>
    </xf>
    <xf numFmtId="0" fontId="6" fillId="0" borderId="16" xfId="61" applyFont="1" applyBorder="1" applyAlignment="1">
      <alignment horizontal="center" vertical="center"/>
      <protection/>
    </xf>
    <xf numFmtId="0" fontId="2" fillId="0" borderId="0" xfId="61" applyFont="1" applyBorder="1" applyAlignment="1">
      <alignment horizontal="left" vertical="center"/>
      <protection/>
    </xf>
    <xf numFmtId="0" fontId="0" fillId="0" borderId="0" xfId="61" applyFont="1" applyBorder="1">
      <alignment/>
      <protection/>
    </xf>
    <xf numFmtId="0" fontId="8" fillId="0" borderId="0" xfId="61" applyFont="1" applyAlignment="1">
      <alignment vertical="top"/>
      <protection/>
    </xf>
    <xf numFmtId="0" fontId="2" fillId="0" borderId="60" xfId="61" applyFont="1" applyBorder="1" applyAlignment="1">
      <alignment horizontal="center" vertical="center" wrapText="1"/>
      <protection/>
    </xf>
    <xf numFmtId="177" fontId="2" fillId="33" borderId="49" xfId="61" applyNumberFormat="1" applyFont="1" applyFill="1" applyBorder="1" applyAlignment="1">
      <alignment horizontal="right" vertical="center"/>
      <protection/>
    </xf>
    <xf numFmtId="177" fontId="2" fillId="33" borderId="64" xfId="61" applyNumberFormat="1" applyFont="1" applyFill="1" applyBorder="1" applyAlignment="1">
      <alignment horizontal="right" vertical="center"/>
      <protection/>
    </xf>
    <xf numFmtId="0" fontId="2" fillId="36" borderId="87" xfId="61" applyFont="1" applyFill="1" applyBorder="1" applyAlignment="1">
      <alignment horizontal="distributed" vertical="center"/>
      <protection/>
    </xf>
    <xf numFmtId="177" fontId="6" fillId="33" borderId="88" xfId="61" applyNumberFormat="1" applyFont="1" applyFill="1" applyBorder="1" applyAlignment="1">
      <alignment horizontal="right" vertical="center"/>
      <protection/>
    </xf>
    <xf numFmtId="177" fontId="6" fillId="33" borderId="73"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0" fontId="10" fillId="0" borderId="92" xfId="61" applyFont="1" applyFill="1" applyBorder="1" applyAlignment="1">
      <alignment horizontal="center" vertical="center"/>
      <protection/>
    </xf>
    <xf numFmtId="177" fontId="2" fillId="33" borderId="93" xfId="61" applyNumberFormat="1" applyFont="1" applyFill="1" applyBorder="1" applyAlignment="1">
      <alignment horizontal="right" vertical="center"/>
      <protection/>
    </xf>
    <xf numFmtId="177" fontId="2" fillId="33" borderId="94" xfId="61" applyNumberFormat="1" applyFont="1" applyFill="1" applyBorder="1" applyAlignment="1">
      <alignment horizontal="right" vertical="center"/>
      <protection/>
    </xf>
    <xf numFmtId="177" fontId="2" fillId="33" borderId="95" xfId="61" applyNumberFormat="1" applyFont="1" applyFill="1" applyBorder="1" applyAlignment="1">
      <alignment horizontal="right" vertical="center"/>
      <protection/>
    </xf>
    <xf numFmtId="177" fontId="6" fillId="33" borderId="96" xfId="61" applyNumberFormat="1" applyFont="1" applyFill="1" applyBorder="1" applyAlignment="1">
      <alignment horizontal="right" vertical="center"/>
      <protection/>
    </xf>
    <xf numFmtId="177" fontId="6" fillId="33" borderId="97" xfId="61" applyNumberFormat="1" applyFont="1" applyFill="1" applyBorder="1" applyAlignment="1">
      <alignment horizontal="right" vertical="center"/>
      <protection/>
    </xf>
    <xf numFmtId="177" fontId="6" fillId="33" borderId="98" xfId="61" applyNumberFormat="1" applyFont="1" applyFill="1" applyBorder="1" applyAlignment="1">
      <alignment horizontal="right" vertical="center"/>
      <protection/>
    </xf>
    <xf numFmtId="0" fontId="6" fillId="0" borderId="99" xfId="61" applyFont="1" applyBorder="1" applyAlignment="1">
      <alignment horizontal="center" vertical="center"/>
      <protection/>
    </xf>
    <xf numFmtId="0" fontId="5" fillId="0" borderId="0" xfId="0" applyFont="1" applyAlignment="1">
      <alignment horizontal="center" vertical="top"/>
    </xf>
    <xf numFmtId="0" fontId="2" fillId="0" borderId="0" xfId="0" applyFont="1" applyAlignment="1">
      <alignment horizontal="left" vertical="top"/>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108" xfId="0" applyFont="1" applyBorder="1" applyAlignment="1">
      <alignment horizontal="distributed" vertical="center" wrapText="1"/>
    </xf>
    <xf numFmtId="0" fontId="2" fillId="0" borderId="108"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wrapText="1"/>
    </xf>
    <xf numFmtId="0" fontId="2" fillId="0" borderId="111" xfId="0" applyFont="1" applyBorder="1" applyAlignment="1">
      <alignment horizontal="distributed" vertical="center"/>
    </xf>
    <xf numFmtId="0" fontId="6" fillId="0" borderId="112" xfId="0" applyFont="1" applyBorder="1" applyAlignment="1">
      <alignment horizontal="distributed" vertical="center"/>
    </xf>
    <xf numFmtId="0" fontId="6" fillId="0" borderId="113" xfId="0" applyFont="1" applyBorder="1" applyAlignment="1">
      <alignment horizontal="distributed" vertical="center"/>
    </xf>
    <xf numFmtId="0" fontId="2" fillId="0" borderId="85" xfId="0" applyFont="1" applyBorder="1" applyAlignment="1">
      <alignment horizontal="distributed" vertical="center"/>
    </xf>
    <xf numFmtId="0" fontId="2" fillId="0" borderId="114" xfId="0" applyFont="1" applyBorder="1" applyAlignment="1">
      <alignment horizontal="distributed" vertical="center"/>
    </xf>
    <xf numFmtId="0" fontId="2" fillId="0" borderId="57" xfId="0" applyFont="1" applyBorder="1" applyAlignment="1">
      <alignment horizontal="left" vertical="top" wrapText="1"/>
    </xf>
    <xf numFmtId="0" fontId="2" fillId="0" borderId="0" xfId="0" applyFont="1" applyAlignment="1">
      <alignment horizontal="left" vertical="top" wrapText="1"/>
    </xf>
    <xf numFmtId="0" fontId="2" fillId="0" borderId="115" xfId="0" applyFont="1" applyBorder="1" applyAlignment="1">
      <alignment horizontal="center" vertical="center"/>
    </xf>
    <xf numFmtId="0" fontId="2" fillId="0" borderId="57" xfId="0" applyFont="1" applyBorder="1" applyAlignment="1">
      <alignment horizontal="center" vertical="center"/>
    </xf>
    <xf numFmtId="0" fontId="2" fillId="0" borderId="116" xfId="0" applyFont="1" applyBorder="1" applyAlignment="1">
      <alignment horizontal="center" vertical="center"/>
    </xf>
    <xf numFmtId="0" fontId="2" fillId="0" borderId="110"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09" xfId="0" applyFont="1" applyBorder="1" applyAlignment="1">
      <alignment horizontal="center" vertical="center"/>
    </xf>
    <xf numFmtId="0" fontId="2" fillId="0" borderId="57" xfId="0" applyFont="1" applyBorder="1" applyAlignment="1">
      <alignment horizontal="left" vertical="center"/>
    </xf>
    <xf numFmtId="0" fontId="2" fillId="0" borderId="0" xfId="0" applyFont="1" applyAlignment="1">
      <alignment horizontal="left" vertical="center"/>
    </xf>
    <xf numFmtId="0" fontId="2" fillId="0" borderId="121"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58" xfId="61" applyFont="1" applyBorder="1" applyAlignment="1">
      <alignment horizontal="distributed" vertical="center" wrapText="1"/>
      <protection/>
    </xf>
    <xf numFmtId="0" fontId="2" fillId="0" borderId="125" xfId="61" applyFont="1" applyBorder="1" applyAlignment="1">
      <alignment horizontal="distributed" vertical="center" wrapText="1"/>
      <protection/>
    </xf>
    <xf numFmtId="0" fontId="2" fillId="0" borderId="126" xfId="61" applyFont="1" applyBorder="1" applyAlignment="1">
      <alignment horizontal="distributed" vertical="center" wrapText="1"/>
      <protection/>
    </xf>
    <xf numFmtId="0" fontId="2" fillId="0" borderId="127" xfId="61" applyFont="1" applyBorder="1" applyAlignment="1">
      <alignment horizontal="center" vertical="center"/>
      <protection/>
    </xf>
    <xf numFmtId="0" fontId="2" fillId="0" borderId="128" xfId="61" applyFont="1" applyBorder="1" applyAlignment="1">
      <alignment horizontal="center" vertical="center"/>
      <protection/>
    </xf>
    <xf numFmtId="0" fontId="2" fillId="0" borderId="57" xfId="61" applyFont="1" applyBorder="1" applyAlignment="1">
      <alignment horizontal="left" vertical="center"/>
      <protection/>
    </xf>
    <xf numFmtId="0" fontId="2" fillId="0" borderId="0" xfId="61" applyFont="1" applyAlignment="1">
      <alignment horizontal="left" vertical="center"/>
      <protection/>
    </xf>
    <xf numFmtId="0" fontId="2" fillId="0" borderId="100" xfId="61" applyFont="1" applyBorder="1" applyAlignment="1">
      <alignment horizontal="distributed" vertical="center"/>
      <protection/>
    </xf>
    <xf numFmtId="0" fontId="2" fillId="0" borderId="102" xfId="61" applyFont="1" applyBorder="1" applyAlignment="1">
      <alignment horizontal="distributed" vertical="center"/>
      <protection/>
    </xf>
    <xf numFmtId="0" fontId="2" fillId="0" borderId="129" xfId="61" applyFont="1" applyBorder="1" applyAlignment="1">
      <alignment horizontal="distributed" vertical="center"/>
      <protection/>
    </xf>
    <xf numFmtId="0" fontId="2" fillId="0" borderId="130" xfId="61" applyFont="1" applyBorder="1" applyAlignment="1">
      <alignment horizontal="center" vertical="center"/>
      <protection/>
    </xf>
    <xf numFmtId="0" fontId="2" fillId="0" borderId="121" xfId="61" applyFont="1" applyBorder="1" applyAlignment="1">
      <alignment horizontal="center" vertical="center" wrapText="1"/>
      <protection/>
    </xf>
    <xf numFmtId="0" fontId="2" fillId="0" borderId="131" xfId="61" applyFont="1" applyBorder="1" applyAlignment="1">
      <alignment horizontal="left" vertical="center"/>
      <protection/>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distributed" vertical="center" wrapText="1"/>
      <protection/>
    </xf>
    <xf numFmtId="0" fontId="2" fillId="0" borderId="135" xfId="61" applyFont="1" applyBorder="1" applyAlignment="1">
      <alignment horizontal="distributed" vertical="center"/>
      <protection/>
    </xf>
    <xf numFmtId="0" fontId="2" fillId="0" borderId="136" xfId="61" applyFont="1" applyBorder="1" applyAlignment="1">
      <alignment horizontal="distributed" vertical="center" wrapText="1"/>
      <protection/>
    </xf>
    <xf numFmtId="0" fontId="2" fillId="0" borderId="137" xfId="61" applyFont="1" applyBorder="1" applyAlignment="1">
      <alignment horizontal="distributed" vertical="center"/>
      <protection/>
    </xf>
    <xf numFmtId="0" fontId="2" fillId="0" borderId="138" xfId="61" applyFont="1" applyBorder="1" applyAlignment="1">
      <alignment horizontal="distributed" vertical="center" wrapText="1"/>
      <protection/>
    </xf>
    <xf numFmtId="0" fontId="2" fillId="0" borderId="139" xfId="61" applyFont="1" applyBorder="1" applyAlignment="1">
      <alignment horizontal="distributed" vertical="center" wrapText="1"/>
      <protection/>
    </xf>
    <xf numFmtId="0" fontId="2" fillId="0" borderId="61" xfId="61" applyFont="1" applyBorder="1" applyAlignment="1">
      <alignment horizontal="center" vertical="center"/>
      <protection/>
    </xf>
    <xf numFmtId="0" fontId="2" fillId="0" borderId="130"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54" t="s">
        <v>0</v>
      </c>
      <c r="B1" s="154"/>
      <c r="C1" s="154"/>
      <c r="D1" s="154"/>
      <c r="E1" s="154"/>
      <c r="F1" s="154"/>
      <c r="G1" s="154"/>
      <c r="H1" s="154"/>
      <c r="I1" s="154"/>
      <c r="J1" s="154"/>
      <c r="K1" s="154"/>
    </row>
    <row r="2" spans="1:11" ht="15">
      <c r="A2" s="80"/>
      <c r="B2" s="80"/>
      <c r="C2" s="80"/>
      <c r="D2" s="80"/>
      <c r="E2" s="80"/>
      <c r="F2" s="80"/>
      <c r="G2" s="80"/>
      <c r="H2" s="80"/>
      <c r="I2" s="80"/>
      <c r="J2" s="80"/>
      <c r="K2" s="80"/>
    </row>
    <row r="3" spans="1:11" ht="12" thickBot="1">
      <c r="A3" s="155" t="s">
        <v>29</v>
      </c>
      <c r="B3" s="155"/>
      <c r="C3" s="155"/>
      <c r="D3" s="155"/>
      <c r="E3" s="155"/>
      <c r="F3" s="155"/>
      <c r="G3" s="155"/>
      <c r="H3" s="155"/>
      <c r="I3" s="155"/>
      <c r="J3" s="155"/>
      <c r="K3" s="155"/>
    </row>
    <row r="4" spans="1:11" ht="24" customHeight="1">
      <c r="A4" s="156" t="s">
        <v>1</v>
      </c>
      <c r="B4" s="157"/>
      <c r="C4" s="160" t="s">
        <v>15</v>
      </c>
      <c r="D4" s="161"/>
      <c r="E4" s="162"/>
      <c r="F4" s="160" t="s">
        <v>16</v>
      </c>
      <c r="G4" s="161"/>
      <c r="H4" s="162"/>
      <c r="I4" s="160" t="s">
        <v>17</v>
      </c>
      <c r="J4" s="161"/>
      <c r="K4" s="163"/>
    </row>
    <row r="5" spans="1:11" ht="24" customHeight="1">
      <c r="A5" s="158"/>
      <c r="B5" s="159"/>
      <c r="C5" s="164" t="s">
        <v>2</v>
      </c>
      <c r="D5" s="165"/>
      <c r="E5" s="6" t="s">
        <v>3</v>
      </c>
      <c r="F5" s="164" t="s">
        <v>2</v>
      </c>
      <c r="G5" s="165"/>
      <c r="H5" s="6" t="s">
        <v>3</v>
      </c>
      <c r="I5" s="164" t="s">
        <v>2</v>
      </c>
      <c r="J5" s="165"/>
      <c r="K5" s="18" t="s">
        <v>3</v>
      </c>
    </row>
    <row r="6" spans="1:11" ht="12" customHeight="1">
      <c r="A6" s="65"/>
      <c r="B6" s="68"/>
      <c r="C6" s="66"/>
      <c r="D6" s="55" t="s">
        <v>31</v>
      </c>
      <c r="E6" s="54" t="s">
        <v>30</v>
      </c>
      <c r="F6" s="66"/>
      <c r="G6" s="55" t="s">
        <v>31</v>
      </c>
      <c r="H6" s="54" t="s">
        <v>30</v>
      </c>
      <c r="I6" s="66"/>
      <c r="J6" s="55" t="s">
        <v>31</v>
      </c>
      <c r="K6" s="67" t="s">
        <v>30</v>
      </c>
    </row>
    <row r="7" spans="1:11" ht="30" customHeight="1">
      <c r="A7" s="166" t="s">
        <v>32</v>
      </c>
      <c r="B7" s="61" t="s">
        <v>18</v>
      </c>
      <c r="C7" s="19"/>
      <c r="D7" s="62">
        <v>13212</v>
      </c>
      <c r="E7" s="63">
        <v>4570382</v>
      </c>
      <c r="F7" s="22"/>
      <c r="G7" s="62">
        <v>37434</v>
      </c>
      <c r="H7" s="63">
        <v>157481308</v>
      </c>
      <c r="I7" s="22"/>
      <c r="J7" s="62">
        <v>50646</v>
      </c>
      <c r="K7" s="64">
        <v>162051690</v>
      </c>
    </row>
    <row r="8" spans="1:11" ht="30" customHeight="1">
      <c r="A8" s="167"/>
      <c r="B8" s="36" t="s">
        <v>19</v>
      </c>
      <c r="C8" s="19"/>
      <c r="D8" s="25">
        <v>22653</v>
      </c>
      <c r="E8" s="26">
        <v>5336599</v>
      </c>
      <c r="F8" s="22"/>
      <c r="G8" s="25">
        <v>17597</v>
      </c>
      <c r="H8" s="26">
        <v>6351248</v>
      </c>
      <c r="I8" s="22"/>
      <c r="J8" s="25">
        <v>40250</v>
      </c>
      <c r="K8" s="32">
        <v>11687847</v>
      </c>
    </row>
    <row r="9" spans="1:11" s="3" customFormat="1" ht="30" customHeight="1">
      <c r="A9" s="167"/>
      <c r="B9" s="37" t="s">
        <v>20</v>
      </c>
      <c r="C9" s="20"/>
      <c r="D9" s="27">
        <v>35865</v>
      </c>
      <c r="E9" s="28">
        <v>9906981</v>
      </c>
      <c r="F9" s="20"/>
      <c r="G9" s="27">
        <v>55031</v>
      </c>
      <c r="H9" s="28">
        <v>163832556</v>
      </c>
      <c r="I9" s="20"/>
      <c r="J9" s="27">
        <v>90896</v>
      </c>
      <c r="K9" s="33">
        <v>173739538</v>
      </c>
    </row>
    <row r="10" spans="1:11" ht="30" customHeight="1">
      <c r="A10" s="168"/>
      <c r="B10" s="38" t="s">
        <v>21</v>
      </c>
      <c r="C10" s="19"/>
      <c r="D10" s="29">
        <v>861</v>
      </c>
      <c r="E10" s="30">
        <v>269172</v>
      </c>
      <c r="F10" s="19"/>
      <c r="G10" s="29">
        <v>1835</v>
      </c>
      <c r="H10" s="30">
        <v>25144368</v>
      </c>
      <c r="I10" s="19"/>
      <c r="J10" s="29">
        <v>2696</v>
      </c>
      <c r="K10" s="34">
        <v>25413540</v>
      </c>
    </row>
    <row r="11" spans="1:11" ht="30" customHeight="1">
      <c r="A11" s="169" t="s">
        <v>33</v>
      </c>
      <c r="B11" s="81" t="s">
        <v>22</v>
      </c>
      <c r="C11" s="9"/>
      <c r="D11" s="78">
        <v>2137</v>
      </c>
      <c r="E11" s="24">
        <v>444604</v>
      </c>
      <c r="F11" s="56"/>
      <c r="G11" s="58">
        <v>2923</v>
      </c>
      <c r="H11" s="24">
        <v>666565</v>
      </c>
      <c r="I11" s="56"/>
      <c r="J11" s="58">
        <v>5060</v>
      </c>
      <c r="K11" s="31">
        <v>1111169</v>
      </c>
    </row>
    <row r="12" spans="1:11" ht="30" customHeight="1">
      <c r="A12" s="170"/>
      <c r="B12" s="82" t="s">
        <v>23</v>
      </c>
      <c r="C12" s="57"/>
      <c r="D12" s="25">
        <v>109</v>
      </c>
      <c r="E12" s="26">
        <v>22891</v>
      </c>
      <c r="F12" s="60"/>
      <c r="G12" s="59">
        <v>390</v>
      </c>
      <c r="H12" s="26">
        <v>519884</v>
      </c>
      <c r="I12" s="60"/>
      <c r="J12" s="59">
        <v>499</v>
      </c>
      <c r="K12" s="32">
        <v>542775</v>
      </c>
    </row>
    <row r="13" spans="1:11" s="3" customFormat="1" ht="30" customHeight="1">
      <c r="A13" s="171" t="s">
        <v>6</v>
      </c>
      <c r="B13" s="172"/>
      <c r="C13" s="45" t="s">
        <v>14</v>
      </c>
      <c r="D13" s="42">
        <v>37599</v>
      </c>
      <c r="E13" s="43">
        <v>10059523</v>
      </c>
      <c r="F13" s="45" t="s">
        <v>14</v>
      </c>
      <c r="G13" s="42">
        <v>57358</v>
      </c>
      <c r="H13" s="43">
        <v>138834869</v>
      </c>
      <c r="I13" s="45" t="s">
        <v>14</v>
      </c>
      <c r="J13" s="42">
        <v>94957</v>
      </c>
      <c r="K13" s="44">
        <v>148894392</v>
      </c>
    </row>
    <row r="14" spans="1:11" ht="30" customHeight="1" thickBot="1">
      <c r="A14" s="173" t="s">
        <v>7</v>
      </c>
      <c r="B14" s="174"/>
      <c r="C14" s="21"/>
      <c r="D14" s="39">
        <v>1925</v>
      </c>
      <c r="E14" s="40">
        <v>83241</v>
      </c>
      <c r="F14" s="23"/>
      <c r="G14" s="39">
        <v>2636</v>
      </c>
      <c r="H14" s="40">
        <v>149084</v>
      </c>
      <c r="I14" s="23"/>
      <c r="J14" s="39">
        <v>4561</v>
      </c>
      <c r="K14" s="41">
        <v>232325</v>
      </c>
    </row>
    <row r="15" spans="1:11" s="4" customFormat="1" ht="37.5" customHeight="1">
      <c r="A15" s="79" t="s">
        <v>35</v>
      </c>
      <c r="B15" s="175" t="s">
        <v>167</v>
      </c>
      <c r="C15" s="175"/>
      <c r="D15" s="175"/>
      <c r="E15" s="175"/>
      <c r="F15" s="175"/>
      <c r="G15" s="175"/>
      <c r="H15" s="175"/>
      <c r="I15" s="175"/>
      <c r="J15" s="175"/>
      <c r="K15" s="175"/>
    </row>
    <row r="16" spans="2:11" ht="45" customHeight="1">
      <c r="B16" s="176" t="s">
        <v>168</v>
      </c>
      <c r="C16" s="176"/>
      <c r="D16" s="176"/>
      <c r="E16" s="176"/>
      <c r="F16" s="176"/>
      <c r="G16" s="176"/>
      <c r="H16" s="176"/>
      <c r="I16" s="176"/>
      <c r="J16" s="176"/>
      <c r="K16" s="176"/>
    </row>
    <row r="17" spans="1:2" ht="14.25" customHeight="1">
      <c r="A17" s="1" t="s">
        <v>37</v>
      </c>
      <c r="B17" s="1" t="s">
        <v>38</v>
      </c>
    </row>
    <row r="18" spans="1:2" ht="11.25">
      <c r="A18" s="85" t="s">
        <v>39</v>
      </c>
      <c r="B18" s="1" t="s">
        <v>40</v>
      </c>
    </row>
  </sheetData>
  <sheetProtection/>
  <mergeCells count="15">
    <mergeCell ref="A7:A10"/>
    <mergeCell ref="A11:A12"/>
    <mergeCell ref="A13:B13"/>
    <mergeCell ref="A14:B14"/>
    <mergeCell ref="B15:K15"/>
    <mergeCell ref="B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消費税
(H24)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tabSelected="1" zoomScalePageLayoutView="0" workbookViewId="0" topLeftCell="A1">
      <selection activeCell="A1" sqref="A1:K1"/>
    </sheetView>
  </sheetViews>
  <sheetFormatPr defaultColWidth="9.00390625" defaultRowHeight="13.5"/>
  <cols>
    <col min="1" max="1" width="10.625" style="84" customWidth="1"/>
    <col min="2" max="2" width="15.625" style="84" customWidth="1"/>
    <col min="3" max="3" width="8.625" style="84" customWidth="1"/>
    <col min="4" max="4" width="10.625" style="84" customWidth="1"/>
    <col min="5" max="5" width="8.625" style="84" customWidth="1"/>
    <col min="6" max="6" width="12.875" style="84" bestFit="1" customWidth="1"/>
    <col min="7" max="7" width="8.625" style="84" customWidth="1"/>
    <col min="8" max="8" width="12.875" style="84" bestFit="1" customWidth="1"/>
    <col min="9" max="16384" width="9.00390625" style="84" customWidth="1"/>
  </cols>
  <sheetData>
    <row r="1" s="1" customFormat="1" ht="12" thickBot="1">
      <c r="A1" s="1" t="s">
        <v>34</v>
      </c>
    </row>
    <row r="2" spans="1:8" s="1" customFormat="1" ht="15" customHeight="1">
      <c r="A2" s="156" t="s">
        <v>1</v>
      </c>
      <c r="B2" s="157"/>
      <c r="C2" s="177" t="s">
        <v>15</v>
      </c>
      <c r="D2" s="177"/>
      <c r="E2" s="177" t="s">
        <v>24</v>
      </c>
      <c r="F2" s="177"/>
      <c r="G2" s="178" t="s">
        <v>25</v>
      </c>
      <c r="H2" s="179"/>
    </row>
    <row r="3" spans="1:8" s="1" customFormat="1" ht="15" customHeight="1">
      <c r="A3" s="158"/>
      <c r="B3" s="159"/>
      <c r="C3" s="9" t="s">
        <v>26</v>
      </c>
      <c r="D3" s="6" t="s">
        <v>27</v>
      </c>
      <c r="E3" s="9" t="s">
        <v>26</v>
      </c>
      <c r="F3" s="7" t="s">
        <v>27</v>
      </c>
      <c r="G3" s="9" t="s">
        <v>26</v>
      </c>
      <c r="H3" s="8" t="s">
        <v>27</v>
      </c>
    </row>
    <row r="4" spans="1:8" s="10" customFormat="1" ht="15" customHeight="1">
      <c r="A4" s="70"/>
      <c r="B4" s="6"/>
      <c r="C4" s="71" t="s">
        <v>4</v>
      </c>
      <c r="D4" s="72" t="s">
        <v>5</v>
      </c>
      <c r="E4" s="71" t="s">
        <v>4</v>
      </c>
      <c r="F4" s="72" t="s">
        <v>5</v>
      </c>
      <c r="G4" s="71" t="s">
        <v>4</v>
      </c>
      <c r="H4" s="73" t="s">
        <v>5</v>
      </c>
    </row>
    <row r="5" spans="1:8" s="83" customFormat="1" ht="30" customHeight="1">
      <c r="A5" s="182" t="s">
        <v>169</v>
      </c>
      <c r="B5" s="61" t="s">
        <v>12</v>
      </c>
      <c r="C5" s="69">
        <v>44140</v>
      </c>
      <c r="D5" s="63">
        <v>11529341</v>
      </c>
      <c r="E5" s="69">
        <v>58849</v>
      </c>
      <c r="F5" s="63">
        <v>174046481</v>
      </c>
      <c r="G5" s="69">
        <v>102989</v>
      </c>
      <c r="H5" s="64">
        <v>185575822</v>
      </c>
    </row>
    <row r="6" spans="1:8" s="83" customFormat="1" ht="30" customHeight="1">
      <c r="A6" s="183"/>
      <c r="B6" s="38" t="s">
        <v>13</v>
      </c>
      <c r="C6" s="47">
        <v>1290</v>
      </c>
      <c r="D6" s="48">
        <v>967221</v>
      </c>
      <c r="E6" s="47">
        <v>2220</v>
      </c>
      <c r="F6" s="48">
        <v>37188036</v>
      </c>
      <c r="G6" s="47">
        <v>3510</v>
      </c>
      <c r="H6" s="49">
        <v>38155257</v>
      </c>
    </row>
    <row r="7" spans="1:8" s="83" customFormat="1" ht="30" customHeight="1">
      <c r="A7" s="184" t="s">
        <v>170</v>
      </c>
      <c r="B7" s="35" t="s">
        <v>12</v>
      </c>
      <c r="C7" s="46">
        <v>43371</v>
      </c>
      <c r="D7" s="24">
        <v>10811860</v>
      </c>
      <c r="E7" s="46">
        <v>58021</v>
      </c>
      <c r="F7" s="24">
        <v>173481124</v>
      </c>
      <c r="G7" s="46">
        <v>101392</v>
      </c>
      <c r="H7" s="31">
        <v>184292984</v>
      </c>
    </row>
    <row r="8" spans="1:8" s="83" customFormat="1" ht="30" customHeight="1">
      <c r="A8" s="185"/>
      <c r="B8" s="38" t="s">
        <v>13</v>
      </c>
      <c r="C8" s="47">
        <v>1242</v>
      </c>
      <c r="D8" s="48">
        <v>913026</v>
      </c>
      <c r="E8" s="47">
        <v>2068</v>
      </c>
      <c r="F8" s="48">
        <v>32564354</v>
      </c>
      <c r="G8" s="47">
        <v>3310</v>
      </c>
      <c r="H8" s="49">
        <v>33477380</v>
      </c>
    </row>
    <row r="9" spans="1:8" s="83" customFormat="1" ht="30" customHeight="1">
      <c r="A9" s="180" t="s">
        <v>36</v>
      </c>
      <c r="B9" s="35" t="s">
        <v>12</v>
      </c>
      <c r="C9" s="46">
        <v>41578</v>
      </c>
      <c r="D9" s="24">
        <v>10545672</v>
      </c>
      <c r="E9" s="46">
        <v>56888</v>
      </c>
      <c r="F9" s="24">
        <v>174923152</v>
      </c>
      <c r="G9" s="46">
        <v>98466</v>
      </c>
      <c r="H9" s="31">
        <v>185468824</v>
      </c>
    </row>
    <row r="10" spans="1:8" s="83" customFormat="1" ht="30" customHeight="1">
      <c r="A10" s="183"/>
      <c r="B10" s="38" t="s">
        <v>13</v>
      </c>
      <c r="C10" s="47">
        <v>992</v>
      </c>
      <c r="D10" s="48">
        <v>507923</v>
      </c>
      <c r="E10" s="47">
        <v>1880</v>
      </c>
      <c r="F10" s="48">
        <v>29661294</v>
      </c>
      <c r="G10" s="47">
        <v>2872</v>
      </c>
      <c r="H10" s="49">
        <v>30169217</v>
      </c>
    </row>
    <row r="11" spans="1:8" s="83" customFormat="1" ht="30" customHeight="1">
      <c r="A11" s="180" t="s">
        <v>41</v>
      </c>
      <c r="B11" s="35" t="s">
        <v>12</v>
      </c>
      <c r="C11" s="46">
        <v>37389</v>
      </c>
      <c r="D11" s="24">
        <v>9999137</v>
      </c>
      <c r="E11" s="46">
        <v>55673</v>
      </c>
      <c r="F11" s="24">
        <v>167564658</v>
      </c>
      <c r="G11" s="46">
        <v>93062</v>
      </c>
      <c r="H11" s="31">
        <v>177563795</v>
      </c>
    </row>
    <row r="12" spans="1:8" s="83" customFormat="1" ht="30" customHeight="1">
      <c r="A12" s="183"/>
      <c r="B12" s="38" t="s">
        <v>13</v>
      </c>
      <c r="C12" s="47">
        <v>877</v>
      </c>
      <c r="D12" s="48">
        <v>269197</v>
      </c>
      <c r="E12" s="47">
        <v>1856</v>
      </c>
      <c r="F12" s="48">
        <v>30915576</v>
      </c>
      <c r="G12" s="47">
        <v>2733</v>
      </c>
      <c r="H12" s="49">
        <v>31184773</v>
      </c>
    </row>
    <row r="13" spans="1:8" s="1" customFormat="1" ht="30" customHeight="1">
      <c r="A13" s="180" t="s">
        <v>171</v>
      </c>
      <c r="B13" s="35" t="s">
        <v>12</v>
      </c>
      <c r="C13" s="46">
        <v>35865</v>
      </c>
      <c r="D13" s="24">
        <v>9906981</v>
      </c>
      <c r="E13" s="46">
        <v>55031</v>
      </c>
      <c r="F13" s="24">
        <v>163832556</v>
      </c>
      <c r="G13" s="46">
        <v>90896</v>
      </c>
      <c r="H13" s="31">
        <v>173739538</v>
      </c>
    </row>
    <row r="14" spans="1:8" s="1" customFormat="1" ht="30" customHeight="1" thickBot="1">
      <c r="A14" s="181"/>
      <c r="B14" s="50" t="s">
        <v>13</v>
      </c>
      <c r="C14" s="51">
        <v>861</v>
      </c>
      <c r="D14" s="52">
        <v>269172</v>
      </c>
      <c r="E14" s="51">
        <v>1835</v>
      </c>
      <c r="F14" s="52">
        <v>25144368</v>
      </c>
      <c r="G14" s="51">
        <v>2696</v>
      </c>
      <c r="H14" s="53">
        <v>25413540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消費税
(H24)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tabSelected="1" zoomScalePageLayoutView="0" workbookViewId="0" topLeftCell="A1">
      <selection activeCell="A1" sqref="A1:K1"/>
    </sheetView>
  </sheetViews>
  <sheetFormatPr defaultColWidth="9.00390625" defaultRowHeight="13.5"/>
  <cols>
    <col min="1" max="2" width="18.625" style="84" customWidth="1"/>
    <col min="3" max="3" width="23.625" style="84" customWidth="1"/>
    <col min="4" max="4" width="18.625" style="84" customWidth="1"/>
    <col min="5" max="16384" width="9.00390625" style="84" customWidth="1"/>
  </cols>
  <sheetData>
    <row r="1" s="1" customFormat="1" ht="20.25" customHeight="1" thickBot="1">
      <c r="A1" s="1" t="s">
        <v>28</v>
      </c>
    </row>
    <row r="2" spans="1:4" s="4" customFormat="1" ht="19.5" customHeight="1">
      <c r="A2" s="14" t="s">
        <v>8</v>
      </c>
      <c r="B2" s="15" t="s">
        <v>9</v>
      </c>
      <c r="C2" s="16" t="s">
        <v>10</v>
      </c>
      <c r="D2" s="86" t="s">
        <v>42</v>
      </c>
    </row>
    <row r="3" spans="1:4" s="10" customFormat="1" ht="15" customHeight="1">
      <c r="A3" s="74" t="s">
        <v>4</v>
      </c>
      <c r="B3" s="75" t="s">
        <v>4</v>
      </c>
      <c r="C3" s="76" t="s">
        <v>4</v>
      </c>
      <c r="D3" s="77" t="s">
        <v>4</v>
      </c>
    </row>
    <row r="4" spans="1:9" s="4" customFormat="1" ht="30" customHeight="1" thickBot="1">
      <c r="A4" s="11">
        <v>94378</v>
      </c>
      <c r="B4" s="12">
        <v>1769</v>
      </c>
      <c r="C4" s="17">
        <v>171</v>
      </c>
      <c r="D4" s="13">
        <v>96318</v>
      </c>
      <c r="E4" s="5"/>
      <c r="G4" s="5"/>
      <c r="I4" s="5"/>
    </row>
    <row r="5" spans="1:4" s="4" customFormat="1" ht="15" customHeight="1">
      <c r="A5" s="186" t="s">
        <v>172</v>
      </c>
      <c r="B5" s="186"/>
      <c r="C5" s="186"/>
      <c r="D5" s="186"/>
    </row>
    <row r="6" spans="1:4" s="4" customFormat="1" ht="15" customHeight="1">
      <c r="A6" s="187" t="s">
        <v>11</v>
      </c>
      <c r="B6" s="187"/>
      <c r="C6" s="187"/>
      <c r="D6" s="18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消費税
(H24)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tabSelected="1" zoomScalePageLayoutView="0" workbookViewId="0" topLeftCell="A1">
      <selection activeCell="A1" sqref="A1:K1"/>
    </sheetView>
  </sheetViews>
  <sheetFormatPr defaultColWidth="9.00390625" defaultRowHeight="13.5"/>
  <cols>
    <col min="1" max="1" width="11.375" style="89" customWidth="1"/>
    <col min="2" max="2" width="10.625" style="89" customWidth="1"/>
    <col min="3" max="3" width="12.625" style="89" customWidth="1"/>
    <col min="4" max="4" width="10.625" style="89" customWidth="1"/>
    <col min="5" max="5" width="12.625" style="89" customWidth="1"/>
    <col min="6" max="6" width="10.625" style="89" customWidth="1"/>
    <col min="7" max="7" width="12.625" style="89" customWidth="1"/>
    <col min="8" max="8" width="10.625" style="89" customWidth="1"/>
    <col min="9" max="9" width="12.625" style="89" customWidth="1"/>
    <col min="10" max="10" width="10.625" style="89" customWidth="1"/>
    <col min="11" max="11" width="12.625" style="89" customWidth="1"/>
    <col min="12" max="12" width="10.625" style="89" customWidth="1"/>
    <col min="13" max="13" width="12.625" style="89" customWidth="1"/>
    <col min="14" max="14" width="11.375" style="89" customWidth="1"/>
    <col min="15" max="16384" width="9.00390625" style="89" customWidth="1"/>
  </cols>
  <sheetData>
    <row r="1" spans="1:14" ht="13.5">
      <c r="A1" s="87" t="s">
        <v>43</v>
      </c>
      <c r="B1" s="87"/>
      <c r="C1" s="87"/>
      <c r="D1" s="87"/>
      <c r="E1" s="87"/>
      <c r="F1" s="87"/>
      <c r="G1" s="87"/>
      <c r="H1" s="88"/>
      <c r="I1" s="88"/>
      <c r="J1" s="88"/>
      <c r="K1" s="88"/>
      <c r="L1" s="88"/>
      <c r="M1" s="88"/>
      <c r="N1" s="88"/>
    </row>
    <row r="2" spans="1:14" ht="14.25" thickBot="1">
      <c r="A2" s="198" t="s">
        <v>44</v>
      </c>
      <c r="B2" s="198"/>
      <c r="C2" s="198"/>
      <c r="D2" s="198"/>
      <c r="E2" s="198"/>
      <c r="F2" s="198"/>
      <c r="G2" s="198"/>
      <c r="H2" s="88"/>
      <c r="I2" s="88"/>
      <c r="J2" s="88"/>
      <c r="K2" s="88"/>
      <c r="L2" s="88"/>
      <c r="M2" s="88"/>
      <c r="N2" s="88"/>
    </row>
    <row r="3" spans="1:14" ht="19.5" customHeight="1">
      <c r="A3" s="199" t="s">
        <v>45</v>
      </c>
      <c r="B3" s="202" t="s">
        <v>46</v>
      </c>
      <c r="C3" s="202"/>
      <c r="D3" s="202"/>
      <c r="E3" s="202"/>
      <c r="F3" s="202"/>
      <c r="G3" s="202"/>
      <c r="H3" s="188" t="s">
        <v>13</v>
      </c>
      <c r="I3" s="189"/>
      <c r="J3" s="203" t="s">
        <v>47</v>
      </c>
      <c r="K3" s="189"/>
      <c r="L3" s="188" t="s">
        <v>48</v>
      </c>
      <c r="M3" s="189"/>
      <c r="N3" s="192" t="s">
        <v>49</v>
      </c>
    </row>
    <row r="4" spans="1:14" ht="17.25" customHeight="1">
      <c r="A4" s="200"/>
      <c r="B4" s="195" t="s">
        <v>18</v>
      </c>
      <c r="C4" s="195"/>
      <c r="D4" s="190" t="s">
        <v>50</v>
      </c>
      <c r="E4" s="196"/>
      <c r="F4" s="190" t="s">
        <v>51</v>
      </c>
      <c r="G4" s="196"/>
      <c r="H4" s="190"/>
      <c r="I4" s="191"/>
      <c r="J4" s="190"/>
      <c r="K4" s="191"/>
      <c r="L4" s="190"/>
      <c r="M4" s="191"/>
      <c r="N4" s="193"/>
    </row>
    <row r="5" spans="1:14" s="95" customFormat="1" ht="28.5" customHeight="1">
      <c r="A5" s="201"/>
      <c r="B5" s="90" t="s">
        <v>52</v>
      </c>
      <c r="C5" s="91" t="s">
        <v>53</v>
      </c>
      <c r="D5" s="90" t="s">
        <v>52</v>
      </c>
      <c r="E5" s="91" t="s">
        <v>53</v>
      </c>
      <c r="F5" s="90" t="s">
        <v>52</v>
      </c>
      <c r="G5" s="92" t="s">
        <v>54</v>
      </c>
      <c r="H5" s="90" t="s">
        <v>52</v>
      </c>
      <c r="I5" s="93" t="s">
        <v>55</v>
      </c>
      <c r="J5" s="90" t="s">
        <v>52</v>
      </c>
      <c r="K5" s="93" t="s">
        <v>56</v>
      </c>
      <c r="L5" s="90" t="s">
        <v>52</v>
      </c>
      <c r="M5" s="94" t="s">
        <v>57</v>
      </c>
      <c r="N5" s="194"/>
    </row>
    <row r="6" spans="1:14" s="101" customFormat="1" ht="10.5">
      <c r="A6" s="96"/>
      <c r="B6" s="97" t="s">
        <v>4</v>
      </c>
      <c r="C6" s="98" t="s">
        <v>5</v>
      </c>
      <c r="D6" s="97" t="s">
        <v>4</v>
      </c>
      <c r="E6" s="98" t="s">
        <v>5</v>
      </c>
      <c r="F6" s="97" t="s">
        <v>4</v>
      </c>
      <c r="G6" s="98" t="s">
        <v>5</v>
      </c>
      <c r="H6" s="97" t="s">
        <v>4</v>
      </c>
      <c r="I6" s="99" t="s">
        <v>5</v>
      </c>
      <c r="J6" s="97" t="s">
        <v>4</v>
      </c>
      <c r="K6" s="99" t="s">
        <v>5</v>
      </c>
      <c r="L6" s="97" t="s">
        <v>4</v>
      </c>
      <c r="M6" s="99" t="s">
        <v>5</v>
      </c>
      <c r="N6" s="100"/>
    </row>
    <row r="7" spans="1:14" s="107" customFormat="1" ht="15.75" customHeight="1">
      <c r="A7" s="102" t="s">
        <v>58</v>
      </c>
      <c r="B7" s="103">
        <f>_xlfn.COMPOUNDVALUE(1)</f>
        <v>1176</v>
      </c>
      <c r="C7" s="104">
        <v>413786</v>
      </c>
      <c r="D7" s="103">
        <f>_xlfn.COMPOUNDVALUE(2)</f>
        <v>1898</v>
      </c>
      <c r="E7" s="104">
        <v>463649</v>
      </c>
      <c r="F7" s="103">
        <f>_xlfn.COMPOUNDVALUE(3)</f>
        <v>3074</v>
      </c>
      <c r="G7" s="104">
        <v>877436</v>
      </c>
      <c r="H7" s="103">
        <f>_xlfn.COMPOUNDVALUE(4)</f>
        <v>80</v>
      </c>
      <c r="I7" s="105">
        <v>31015</v>
      </c>
      <c r="J7" s="103">
        <v>212</v>
      </c>
      <c r="K7" s="105">
        <v>68569</v>
      </c>
      <c r="L7" s="103">
        <v>3231</v>
      </c>
      <c r="M7" s="105">
        <v>914990</v>
      </c>
      <c r="N7" s="140" t="s">
        <v>59</v>
      </c>
    </row>
    <row r="8" spans="1:14" s="107" customFormat="1" ht="15.75" customHeight="1">
      <c r="A8" s="108" t="s">
        <v>60</v>
      </c>
      <c r="B8" s="109">
        <f>_xlfn.COMPOUNDVALUE(5)</f>
        <v>441</v>
      </c>
      <c r="C8" s="110">
        <v>138555</v>
      </c>
      <c r="D8" s="109">
        <f>_xlfn.COMPOUNDVALUE(6)</f>
        <v>1219</v>
      </c>
      <c r="E8" s="110">
        <v>298857</v>
      </c>
      <c r="F8" s="109">
        <f>_xlfn.COMPOUNDVALUE(7)</f>
        <v>1660</v>
      </c>
      <c r="G8" s="110">
        <v>437411</v>
      </c>
      <c r="H8" s="109">
        <f>_xlfn.COMPOUNDVALUE(8)</f>
        <v>33</v>
      </c>
      <c r="I8" s="111">
        <v>9991</v>
      </c>
      <c r="J8" s="109">
        <v>80</v>
      </c>
      <c r="K8" s="111">
        <v>12643</v>
      </c>
      <c r="L8" s="109">
        <v>1727</v>
      </c>
      <c r="M8" s="111">
        <v>440064</v>
      </c>
      <c r="N8" s="112" t="s">
        <v>61</v>
      </c>
    </row>
    <row r="9" spans="1:14" s="107" customFormat="1" ht="15.75" customHeight="1">
      <c r="A9" s="108" t="s">
        <v>62</v>
      </c>
      <c r="B9" s="109">
        <f>_xlfn.COMPOUNDVALUE(9)</f>
        <v>467</v>
      </c>
      <c r="C9" s="110">
        <v>137026</v>
      </c>
      <c r="D9" s="109">
        <f>_xlfn.COMPOUNDVALUE(10)</f>
        <v>571</v>
      </c>
      <c r="E9" s="110">
        <v>120130</v>
      </c>
      <c r="F9" s="109">
        <f>_xlfn.COMPOUNDVALUE(11)</f>
        <v>1038</v>
      </c>
      <c r="G9" s="110">
        <v>257156</v>
      </c>
      <c r="H9" s="109">
        <f>_xlfn.COMPOUNDVALUE(12)</f>
        <v>29</v>
      </c>
      <c r="I9" s="111">
        <v>5439</v>
      </c>
      <c r="J9" s="109">
        <v>75</v>
      </c>
      <c r="K9" s="111">
        <v>9720</v>
      </c>
      <c r="L9" s="109">
        <v>1083</v>
      </c>
      <c r="M9" s="111">
        <v>261437</v>
      </c>
      <c r="N9" s="112" t="s">
        <v>63</v>
      </c>
    </row>
    <row r="10" spans="1:14" s="107" customFormat="1" ht="15.75" customHeight="1">
      <c r="A10" s="108" t="s">
        <v>64</v>
      </c>
      <c r="B10" s="109">
        <f>_xlfn.COMPOUNDVALUE(13)</f>
        <v>284</v>
      </c>
      <c r="C10" s="110">
        <v>92026</v>
      </c>
      <c r="D10" s="109">
        <f>_xlfn.COMPOUNDVALUE(14)</f>
        <v>444</v>
      </c>
      <c r="E10" s="110">
        <v>96990</v>
      </c>
      <c r="F10" s="109">
        <f>_xlfn.COMPOUNDVALUE(15)</f>
        <v>728</v>
      </c>
      <c r="G10" s="110">
        <v>189016</v>
      </c>
      <c r="H10" s="109">
        <f>_xlfn.COMPOUNDVALUE(16)</f>
        <v>31</v>
      </c>
      <c r="I10" s="111">
        <v>12468</v>
      </c>
      <c r="J10" s="109">
        <v>47</v>
      </c>
      <c r="K10" s="111">
        <v>9242</v>
      </c>
      <c r="L10" s="109">
        <v>772</v>
      </c>
      <c r="M10" s="111">
        <v>185790</v>
      </c>
      <c r="N10" s="112" t="s">
        <v>65</v>
      </c>
    </row>
    <row r="11" spans="1:14" s="107" customFormat="1" ht="15.75" customHeight="1">
      <c r="A11" s="108" t="s">
        <v>66</v>
      </c>
      <c r="B11" s="109">
        <f>_xlfn.COMPOUNDVALUE(17)</f>
        <v>138</v>
      </c>
      <c r="C11" s="110">
        <v>34686</v>
      </c>
      <c r="D11" s="109">
        <f>_xlfn.COMPOUNDVALUE(18)</f>
        <v>194</v>
      </c>
      <c r="E11" s="110">
        <v>44114</v>
      </c>
      <c r="F11" s="109">
        <f>_xlfn.COMPOUNDVALUE(19)</f>
        <v>332</v>
      </c>
      <c r="G11" s="110">
        <v>78800</v>
      </c>
      <c r="H11" s="109">
        <f>_xlfn.COMPOUNDVALUE(20)</f>
        <v>8</v>
      </c>
      <c r="I11" s="111">
        <v>275</v>
      </c>
      <c r="J11" s="109">
        <v>37</v>
      </c>
      <c r="K11" s="111">
        <v>4144</v>
      </c>
      <c r="L11" s="109">
        <v>351</v>
      </c>
      <c r="M11" s="111">
        <v>82669</v>
      </c>
      <c r="N11" s="112" t="s">
        <v>67</v>
      </c>
    </row>
    <row r="12" spans="1:14" s="107" customFormat="1" ht="15.75" customHeight="1">
      <c r="A12" s="108" t="s">
        <v>68</v>
      </c>
      <c r="B12" s="109">
        <f>_xlfn.COMPOUNDVALUE(21)</f>
        <v>140</v>
      </c>
      <c r="C12" s="110">
        <v>41060</v>
      </c>
      <c r="D12" s="109">
        <f>_xlfn.COMPOUNDVALUE(22)</f>
        <v>204</v>
      </c>
      <c r="E12" s="110">
        <v>44903</v>
      </c>
      <c r="F12" s="109">
        <f>_xlfn.COMPOUNDVALUE(23)</f>
        <v>344</v>
      </c>
      <c r="G12" s="110">
        <v>85963</v>
      </c>
      <c r="H12" s="109">
        <f>_xlfn.COMPOUNDVALUE(24)</f>
        <v>8</v>
      </c>
      <c r="I12" s="111">
        <v>687</v>
      </c>
      <c r="J12" s="109">
        <v>27</v>
      </c>
      <c r="K12" s="111">
        <v>3677</v>
      </c>
      <c r="L12" s="109">
        <v>361</v>
      </c>
      <c r="M12" s="111">
        <v>88953</v>
      </c>
      <c r="N12" s="112" t="s">
        <v>69</v>
      </c>
    </row>
    <row r="13" spans="1:14" s="107" customFormat="1" ht="15.75" customHeight="1">
      <c r="A13" s="113" t="s">
        <v>70</v>
      </c>
      <c r="B13" s="114">
        <v>2646</v>
      </c>
      <c r="C13" s="115">
        <v>857139</v>
      </c>
      <c r="D13" s="114">
        <v>4530</v>
      </c>
      <c r="E13" s="115">
        <v>1068642</v>
      </c>
      <c r="F13" s="114">
        <v>7176</v>
      </c>
      <c r="G13" s="115">
        <v>1925781</v>
      </c>
      <c r="H13" s="114">
        <v>189</v>
      </c>
      <c r="I13" s="116">
        <v>59874</v>
      </c>
      <c r="J13" s="114">
        <v>478</v>
      </c>
      <c r="K13" s="116">
        <v>107996</v>
      </c>
      <c r="L13" s="114">
        <v>7525</v>
      </c>
      <c r="M13" s="116">
        <v>1973903</v>
      </c>
      <c r="N13" s="117" t="s">
        <v>71</v>
      </c>
    </row>
    <row r="14" spans="1:14" s="107" customFormat="1" ht="15.75" customHeight="1">
      <c r="A14" s="118"/>
      <c r="B14" s="119"/>
      <c r="C14" s="120"/>
      <c r="D14" s="119"/>
      <c r="E14" s="120"/>
      <c r="F14" s="121"/>
      <c r="G14" s="120"/>
      <c r="H14" s="121"/>
      <c r="I14" s="120"/>
      <c r="J14" s="121"/>
      <c r="K14" s="120"/>
      <c r="L14" s="121"/>
      <c r="M14" s="120"/>
      <c r="N14" s="122"/>
    </row>
    <row r="15" spans="1:14" s="107" customFormat="1" ht="15.75" customHeight="1">
      <c r="A15" s="102" t="s">
        <v>72</v>
      </c>
      <c r="B15" s="103">
        <f>_xlfn.COMPOUNDVALUE(25)</f>
        <v>1170</v>
      </c>
      <c r="C15" s="104">
        <v>391212</v>
      </c>
      <c r="D15" s="103">
        <f>_xlfn.COMPOUNDVALUE(26)</f>
        <v>1826</v>
      </c>
      <c r="E15" s="104">
        <v>468865</v>
      </c>
      <c r="F15" s="103">
        <f>_xlfn.COMPOUNDVALUE(27)</f>
        <v>2996</v>
      </c>
      <c r="G15" s="104">
        <v>860077</v>
      </c>
      <c r="H15" s="103">
        <f>_xlfn.COMPOUNDVALUE(28)</f>
        <v>70</v>
      </c>
      <c r="I15" s="105">
        <v>27821</v>
      </c>
      <c r="J15" s="103">
        <v>252</v>
      </c>
      <c r="K15" s="105">
        <v>53901</v>
      </c>
      <c r="L15" s="103">
        <v>3224</v>
      </c>
      <c r="M15" s="105">
        <v>886156</v>
      </c>
      <c r="N15" s="106" t="s">
        <v>73</v>
      </c>
    </row>
    <row r="16" spans="1:14" s="107" customFormat="1" ht="15.75" customHeight="1">
      <c r="A16" s="108" t="s">
        <v>74</v>
      </c>
      <c r="B16" s="109">
        <f>_xlfn.COMPOUNDVALUE(29)</f>
        <v>477</v>
      </c>
      <c r="C16" s="110">
        <v>182781</v>
      </c>
      <c r="D16" s="109">
        <f>_xlfn.COMPOUNDVALUE(30)</f>
        <v>925</v>
      </c>
      <c r="E16" s="110">
        <v>231395</v>
      </c>
      <c r="F16" s="109">
        <f>_xlfn.COMPOUNDVALUE(31)</f>
        <v>1402</v>
      </c>
      <c r="G16" s="110">
        <v>414176</v>
      </c>
      <c r="H16" s="109">
        <f>_xlfn.COMPOUNDVALUE(32)</f>
        <v>30</v>
      </c>
      <c r="I16" s="111">
        <v>6618</v>
      </c>
      <c r="J16" s="109">
        <v>89</v>
      </c>
      <c r="K16" s="111">
        <v>20999</v>
      </c>
      <c r="L16" s="109">
        <v>1475</v>
      </c>
      <c r="M16" s="111">
        <v>428558</v>
      </c>
      <c r="N16" s="112" t="s">
        <v>75</v>
      </c>
    </row>
    <row r="17" spans="1:14" s="107" customFormat="1" ht="15.75" customHeight="1">
      <c r="A17" s="108" t="s">
        <v>76</v>
      </c>
      <c r="B17" s="109">
        <f>_xlfn.COMPOUNDVALUE(33)</f>
        <v>247</v>
      </c>
      <c r="C17" s="110">
        <v>78388</v>
      </c>
      <c r="D17" s="109">
        <f>_xlfn.COMPOUNDVALUE(34)</f>
        <v>402</v>
      </c>
      <c r="E17" s="110">
        <v>95318</v>
      </c>
      <c r="F17" s="109">
        <f>_xlfn.COMPOUNDVALUE(35)</f>
        <v>649</v>
      </c>
      <c r="G17" s="110">
        <v>173706</v>
      </c>
      <c r="H17" s="109">
        <f>_xlfn.COMPOUNDVALUE(36)</f>
        <v>14</v>
      </c>
      <c r="I17" s="111">
        <v>3573</v>
      </c>
      <c r="J17" s="109">
        <v>39</v>
      </c>
      <c r="K17" s="111">
        <v>7342</v>
      </c>
      <c r="L17" s="109">
        <v>679</v>
      </c>
      <c r="M17" s="111">
        <v>177475</v>
      </c>
      <c r="N17" s="112" t="s">
        <v>77</v>
      </c>
    </row>
    <row r="18" spans="1:14" s="107" customFormat="1" ht="15.75" customHeight="1">
      <c r="A18" s="108" t="s">
        <v>78</v>
      </c>
      <c r="B18" s="109">
        <f>_xlfn.COMPOUNDVALUE(37)</f>
        <v>494</v>
      </c>
      <c r="C18" s="110">
        <v>152668</v>
      </c>
      <c r="D18" s="109">
        <f>_xlfn.COMPOUNDVALUE(38)</f>
        <v>853</v>
      </c>
      <c r="E18" s="110">
        <v>193625</v>
      </c>
      <c r="F18" s="109">
        <f>_xlfn.COMPOUNDVALUE(39)</f>
        <v>1347</v>
      </c>
      <c r="G18" s="110">
        <v>346293</v>
      </c>
      <c r="H18" s="109">
        <f>_xlfn.COMPOUNDVALUE(40)</f>
        <v>52</v>
      </c>
      <c r="I18" s="111">
        <v>7562</v>
      </c>
      <c r="J18" s="109">
        <v>91</v>
      </c>
      <c r="K18" s="111">
        <v>14109</v>
      </c>
      <c r="L18" s="109">
        <v>1426</v>
      </c>
      <c r="M18" s="111">
        <v>352839</v>
      </c>
      <c r="N18" s="112" t="s">
        <v>79</v>
      </c>
    </row>
    <row r="19" spans="1:14" s="107" customFormat="1" ht="15.75" customHeight="1">
      <c r="A19" s="108" t="s">
        <v>80</v>
      </c>
      <c r="B19" s="109">
        <f>_xlfn.COMPOUNDVALUE(41)</f>
        <v>310</v>
      </c>
      <c r="C19" s="110">
        <v>96026</v>
      </c>
      <c r="D19" s="109">
        <f>_xlfn.COMPOUNDVALUE(42)</f>
        <v>450</v>
      </c>
      <c r="E19" s="110">
        <v>109397</v>
      </c>
      <c r="F19" s="109">
        <f>_xlfn.COMPOUNDVALUE(43)</f>
        <v>760</v>
      </c>
      <c r="G19" s="110">
        <v>205423</v>
      </c>
      <c r="H19" s="109">
        <f>_xlfn.COMPOUNDVALUE(44)</f>
        <v>31</v>
      </c>
      <c r="I19" s="111">
        <v>16316</v>
      </c>
      <c r="J19" s="109">
        <v>33</v>
      </c>
      <c r="K19" s="111">
        <v>12287</v>
      </c>
      <c r="L19" s="109">
        <v>810</v>
      </c>
      <c r="M19" s="111">
        <v>201394</v>
      </c>
      <c r="N19" s="112" t="s">
        <v>81</v>
      </c>
    </row>
    <row r="20" spans="1:14" s="107" customFormat="1" ht="15.75" customHeight="1">
      <c r="A20" s="108" t="s">
        <v>82</v>
      </c>
      <c r="B20" s="109">
        <f>_xlfn.COMPOUNDVALUE(45)</f>
        <v>97</v>
      </c>
      <c r="C20" s="110">
        <v>26149</v>
      </c>
      <c r="D20" s="109">
        <f>_xlfn.COMPOUNDVALUE(46)</f>
        <v>268</v>
      </c>
      <c r="E20" s="110">
        <v>55176</v>
      </c>
      <c r="F20" s="109">
        <f>_xlfn.COMPOUNDVALUE(47)</f>
        <v>365</v>
      </c>
      <c r="G20" s="110">
        <v>81325</v>
      </c>
      <c r="H20" s="109">
        <f>_xlfn.COMPOUNDVALUE(48)</f>
        <v>2</v>
      </c>
      <c r="I20" s="111">
        <v>416</v>
      </c>
      <c r="J20" s="109">
        <v>26</v>
      </c>
      <c r="K20" s="111">
        <v>2588</v>
      </c>
      <c r="L20" s="109">
        <v>374</v>
      </c>
      <c r="M20" s="111">
        <v>83496</v>
      </c>
      <c r="N20" s="112" t="s">
        <v>83</v>
      </c>
    </row>
    <row r="21" spans="1:14" s="107" customFormat="1" ht="15.75" customHeight="1">
      <c r="A21" s="113" t="s">
        <v>84</v>
      </c>
      <c r="B21" s="114">
        <v>2795</v>
      </c>
      <c r="C21" s="115">
        <v>927224</v>
      </c>
      <c r="D21" s="114">
        <v>4724</v>
      </c>
      <c r="E21" s="115">
        <v>1153776</v>
      </c>
      <c r="F21" s="114">
        <v>7519</v>
      </c>
      <c r="G21" s="115">
        <v>2080999</v>
      </c>
      <c r="H21" s="114">
        <v>199</v>
      </c>
      <c r="I21" s="116">
        <v>62307</v>
      </c>
      <c r="J21" s="114">
        <v>530</v>
      </c>
      <c r="K21" s="116">
        <v>111225</v>
      </c>
      <c r="L21" s="114">
        <v>7988</v>
      </c>
      <c r="M21" s="116">
        <v>2129918</v>
      </c>
      <c r="N21" s="117" t="s">
        <v>85</v>
      </c>
    </row>
    <row r="22" spans="1:14" s="107" customFormat="1" ht="15.75" customHeight="1">
      <c r="A22" s="118"/>
      <c r="B22" s="119"/>
      <c r="C22" s="120"/>
      <c r="D22" s="119"/>
      <c r="E22" s="120"/>
      <c r="F22" s="121"/>
      <c r="G22" s="120"/>
      <c r="H22" s="121"/>
      <c r="I22" s="120"/>
      <c r="J22" s="121"/>
      <c r="K22" s="120"/>
      <c r="L22" s="121"/>
      <c r="M22" s="120"/>
      <c r="N22" s="122"/>
    </row>
    <row r="23" spans="1:14" s="107" customFormat="1" ht="15.75" customHeight="1">
      <c r="A23" s="102" t="s">
        <v>86</v>
      </c>
      <c r="B23" s="103">
        <f>_xlfn.COMPOUNDVALUE(49)</f>
        <v>1906</v>
      </c>
      <c r="C23" s="104">
        <v>555743</v>
      </c>
      <c r="D23" s="103">
        <f>_xlfn.COMPOUNDVALUE(50)</f>
        <v>2597</v>
      </c>
      <c r="E23" s="104">
        <v>652435</v>
      </c>
      <c r="F23" s="103">
        <f>_xlfn.COMPOUNDVALUE(51)</f>
        <v>4503</v>
      </c>
      <c r="G23" s="104">
        <v>1208178</v>
      </c>
      <c r="H23" s="103">
        <f>_xlfn.COMPOUNDVALUE(52)</f>
        <v>85</v>
      </c>
      <c r="I23" s="105">
        <v>42386</v>
      </c>
      <c r="J23" s="103">
        <v>266</v>
      </c>
      <c r="K23" s="105">
        <v>51909</v>
      </c>
      <c r="L23" s="103">
        <v>4708</v>
      </c>
      <c r="M23" s="105">
        <v>1217701</v>
      </c>
      <c r="N23" s="106" t="s">
        <v>87</v>
      </c>
    </row>
    <row r="24" spans="1:14" s="107" customFormat="1" ht="15.75" customHeight="1">
      <c r="A24" s="108" t="s">
        <v>88</v>
      </c>
      <c r="B24" s="109">
        <f>_xlfn.COMPOUNDVALUE(53)</f>
        <v>689</v>
      </c>
      <c r="C24" s="110">
        <v>277465</v>
      </c>
      <c r="D24" s="109">
        <f>_xlfn.COMPOUNDVALUE(54)</f>
        <v>1039</v>
      </c>
      <c r="E24" s="110">
        <v>265678</v>
      </c>
      <c r="F24" s="109">
        <f>_xlfn.COMPOUNDVALUE(55)</f>
        <v>1728</v>
      </c>
      <c r="G24" s="110">
        <v>543142</v>
      </c>
      <c r="H24" s="109">
        <f>_xlfn.COMPOUNDVALUE(56)</f>
        <v>25</v>
      </c>
      <c r="I24" s="111">
        <v>3793</v>
      </c>
      <c r="J24" s="109">
        <v>136</v>
      </c>
      <c r="K24" s="111">
        <v>21011</v>
      </c>
      <c r="L24" s="109">
        <v>1813</v>
      </c>
      <c r="M24" s="111">
        <v>560360</v>
      </c>
      <c r="N24" s="112" t="s">
        <v>89</v>
      </c>
    </row>
    <row r="25" spans="1:14" s="107" customFormat="1" ht="15.75" customHeight="1">
      <c r="A25" s="108" t="s">
        <v>90</v>
      </c>
      <c r="B25" s="109">
        <f>_xlfn.COMPOUNDVALUE(57)</f>
        <v>676</v>
      </c>
      <c r="C25" s="110">
        <v>305039</v>
      </c>
      <c r="D25" s="109">
        <f>_xlfn.COMPOUNDVALUE(58)</f>
        <v>916</v>
      </c>
      <c r="E25" s="110">
        <v>210316</v>
      </c>
      <c r="F25" s="109">
        <f>_xlfn.COMPOUNDVALUE(59)</f>
        <v>1592</v>
      </c>
      <c r="G25" s="110">
        <v>515355</v>
      </c>
      <c r="H25" s="109">
        <f>_xlfn.COMPOUNDVALUE(60)</f>
        <v>108</v>
      </c>
      <c r="I25" s="111">
        <v>30224</v>
      </c>
      <c r="J25" s="109">
        <v>87</v>
      </c>
      <c r="K25" s="111">
        <v>10503</v>
      </c>
      <c r="L25" s="109">
        <v>1721</v>
      </c>
      <c r="M25" s="111">
        <v>495633</v>
      </c>
      <c r="N25" s="112" t="s">
        <v>91</v>
      </c>
    </row>
    <row r="26" spans="1:14" s="107" customFormat="1" ht="15.75" customHeight="1">
      <c r="A26" s="108" t="s">
        <v>92</v>
      </c>
      <c r="B26" s="109">
        <f>_xlfn.COMPOUNDVALUE(61)</f>
        <v>308</v>
      </c>
      <c r="C26" s="110">
        <v>127167</v>
      </c>
      <c r="D26" s="109">
        <f>_xlfn.COMPOUNDVALUE(62)</f>
        <v>843</v>
      </c>
      <c r="E26" s="110">
        <v>166815</v>
      </c>
      <c r="F26" s="109">
        <f>_xlfn.COMPOUNDVALUE(63)</f>
        <v>1151</v>
      </c>
      <c r="G26" s="110">
        <v>293982</v>
      </c>
      <c r="H26" s="109">
        <f>_xlfn.COMPOUNDVALUE(64)</f>
        <v>22</v>
      </c>
      <c r="I26" s="111">
        <v>6201</v>
      </c>
      <c r="J26" s="109">
        <v>32</v>
      </c>
      <c r="K26" s="111">
        <v>2669</v>
      </c>
      <c r="L26" s="109">
        <v>1182</v>
      </c>
      <c r="M26" s="111">
        <v>290450</v>
      </c>
      <c r="N26" s="112" t="s">
        <v>93</v>
      </c>
    </row>
    <row r="27" spans="1:14" s="107" customFormat="1" ht="15.75" customHeight="1">
      <c r="A27" s="108" t="s">
        <v>94</v>
      </c>
      <c r="B27" s="109">
        <f>_xlfn.COMPOUNDVALUE(65)</f>
        <v>365</v>
      </c>
      <c r="C27" s="110">
        <v>117989</v>
      </c>
      <c r="D27" s="109">
        <f>_xlfn.COMPOUNDVALUE(66)</f>
        <v>499</v>
      </c>
      <c r="E27" s="110">
        <v>127930</v>
      </c>
      <c r="F27" s="109">
        <f>_xlfn.COMPOUNDVALUE(67)</f>
        <v>864</v>
      </c>
      <c r="G27" s="110">
        <v>245919</v>
      </c>
      <c r="H27" s="109">
        <f>_xlfn.COMPOUNDVALUE(68)</f>
        <v>15</v>
      </c>
      <c r="I27" s="111">
        <v>4519</v>
      </c>
      <c r="J27" s="109">
        <v>68</v>
      </c>
      <c r="K27" s="111">
        <v>5381</v>
      </c>
      <c r="L27" s="109">
        <v>885</v>
      </c>
      <c r="M27" s="111">
        <v>246781</v>
      </c>
      <c r="N27" s="112" t="s">
        <v>95</v>
      </c>
    </row>
    <row r="28" spans="1:14" s="107" customFormat="1" ht="15.75" customHeight="1">
      <c r="A28" s="108" t="s">
        <v>96</v>
      </c>
      <c r="B28" s="109">
        <f>_xlfn.COMPOUNDVALUE(69)</f>
        <v>375</v>
      </c>
      <c r="C28" s="110">
        <v>102503</v>
      </c>
      <c r="D28" s="109">
        <f>_xlfn.COMPOUNDVALUE(70)</f>
        <v>504</v>
      </c>
      <c r="E28" s="110">
        <v>127077</v>
      </c>
      <c r="F28" s="109">
        <f>_xlfn.COMPOUNDVALUE(71)</f>
        <v>879</v>
      </c>
      <c r="G28" s="110">
        <v>229580</v>
      </c>
      <c r="H28" s="109">
        <f>_xlfn.COMPOUNDVALUE(72)</f>
        <v>19</v>
      </c>
      <c r="I28" s="111">
        <v>6395</v>
      </c>
      <c r="J28" s="109">
        <v>36</v>
      </c>
      <c r="K28" s="111">
        <v>3088</v>
      </c>
      <c r="L28" s="109">
        <v>910</v>
      </c>
      <c r="M28" s="111">
        <v>226273</v>
      </c>
      <c r="N28" s="112" t="s">
        <v>97</v>
      </c>
    </row>
    <row r="29" spans="1:14" s="107" customFormat="1" ht="15.75" customHeight="1">
      <c r="A29" s="108" t="s">
        <v>98</v>
      </c>
      <c r="B29" s="109">
        <f>_xlfn.COMPOUNDVALUE(73)</f>
        <v>232</v>
      </c>
      <c r="C29" s="110">
        <v>65147</v>
      </c>
      <c r="D29" s="109">
        <f>_xlfn.COMPOUNDVALUE(74)</f>
        <v>379</v>
      </c>
      <c r="E29" s="110">
        <v>74507</v>
      </c>
      <c r="F29" s="109">
        <f>_xlfn.COMPOUNDVALUE(75)</f>
        <v>611</v>
      </c>
      <c r="G29" s="110">
        <v>139653</v>
      </c>
      <c r="H29" s="109">
        <f>_xlfn.COMPOUNDVALUE(76)</f>
        <v>11</v>
      </c>
      <c r="I29" s="111">
        <v>1538</v>
      </c>
      <c r="J29" s="109">
        <v>30</v>
      </c>
      <c r="K29" s="111">
        <v>4377</v>
      </c>
      <c r="L29" s="109">
        <v>634</v>
      </c>
      <c r="M29" s="111">
        <v>142492</v>
      </c>
      <c r="N29" s="112" t="s">
        <v>99</v>
      </c>
    </row>
    <row r="30" spans="1:14" s="107" customFormat="1" ht="15.75" customHeight="1">
      <c r="A30" s="108" t="s">
        <v>100</v>
      </c>
      <c r="B30" s="109">
        <f>_xlfn.COMPOUNDVALUE(77)</f>
        <v>254</v>
      </c>
      <c r="C30" s="110">
        <v>75180</v>
      </c>
      <c r="D30" s="109">
        <f>_xlfn.COMPOUNDVALUE(78)</f>
        <v>379</v>
      </c>
      <c r="E30" s="110">
        <v>96372</v>
      </c>
      <c r="F30" s="109">
        <f>_xlfn.COMPOUNDVALUE(79)</f>
        <v>633</v>
      </c>
      <c r="G30" s="110">
        <v>171551</v>
      </c>
      <c r="H30" s="109">
        <f>_xlfn.COMPOUNDVALUE(80)</f>
        <v>19</v>
      </c>
      <c r="I30" s="111">
        <v>3016</v>
      </c>
      <c r="J30" s="109">
        <v>39</v>
      </c>
      <c r="K30" s="111">
        <v>5791</v>
      </c>
      <c r="L30" s="109">
        <v>661</v>
      </c>
      <c r="M30" s="111">
        <v>174326</v>
      </c>
      <c r="N30" s="112" t="s">
        <v>101</v>
      </c>
    </row>
    <row r="31" spans="1:14" s="107" customFormat="1" ht="15.75" customHeight="1">
      <c r="A31" s="113" t="s">
        <v>102</v>
      </c>
      <c r="B31" s="114">
        <v>4805</v>
      </c>
      <c r="C31" s="115">
        <v>1626232</v>
      </c>
      <c r="D31" s="114">
        <v>7156</v>
      </c>
      <c r="E31" s="115">
        <v>1721128</v>
      </c>
      <c r="F31" s="114">
        <v>11961</v>
      </c>
      <c r="G31" s="115">
        <v>3347359</v>
      </c>
      <c r="H31" s="114">
        <v>304</v>
      </c>
      <c r="I31" s="116">
        <v>98072</v>
      </c>
      <c r="J31" s="114">
        <v>694</v>
      </c>
      <c r="K31" s="116">
        <v>104729</v>
      </c>
      <c r="L31" s="114">
        <v>12514</v>
      </c>
      <c r="M31" s="116">
        <v>3354016</v>
      </c>
      <c r="N31" s="117" t="s">
        <v>103</v>
      </c>
    </row>
    <row r="32" spans="1:14" s="107" customFormat="1" ht="15.75" customHeight="1">
      <c r="A32" s="118"/>
      <c r="B32" s="119"/>
      <c r="C32" s="120"/>
      <c r="D32" s="119"/>
      <c r="E32" s="120"/>
      <c r="F32" s="121"/>
      <c r="G32" s="120"/>
      <c r="H32" s="121"/>
      <c r="I32" s="120"/>
      <c r="J32" s="121"/>
      <c r="K32" s="120"/>
      <c r="L32" s="121"/>
      <c r="M32" s="120"/>
      <c r="N32" s="122"/>
    </row>
    <row r="33" spans="1:14" s="107" customFormat="1" ht="15.75" customHeight="1">
      <c r="A33" s="102" t="s">
        <v>104</v>
      </c>
      <c r="B33" s="103">
        <f>_xlfn.COMPOUNDVALUE(81)</f>
        <v>1206</v>
      </c>
      <c r="C33" s="104">
        <v>460014</v>
      </c>
      <c r="D33" s="103">
        <f>_xlfn.COMPOUNDVALUE(82)</f>
        <v>2027</v>
      </c>
      <c r="E33" s="104">
        <v>491104</v>
      </c>
      <c r="F33" s="103">
        <f>_xlfn.COMPOUNDVALUE(83)</f>
        <v>3233</v>
      </c>
      <c r="G33" s="104">
        <v>951118</v>
      </c>
      <c r="H33" s="103">
        <f>_xlfn.COMPOUNDVALUE(84)</f>
        <v>61</v>
      </c>
      <c r="I33" s="105">
        <v>16934</v>
      </c>
      <c r="J33" s="103">
        <v>296</v>
      </c>
      <c r="K33" s="105">
        <v>53053</v>
      </c>
      <c r="L33" s="103">
        <v>3414</v>
      </c>
      <c r="M33" s="105">
        <v>987236</v>
      </c>
      <c r="N33" s="106" t="s">
        <v>105</v>
      </c>
    </row>
    <row r="34" spans="1:14" s="107" customFormat="1" ht="15.75" customHeight="1">
      <c r="A34" s="108" t="s">
        <v>106</v>
      </c>
      <c r="B34" s="109">
        <f>_xlfn.COMPOUNDVALUE(85)</f>
        <v>250</v>
      </c>
      <c r="C34" s="110">
        <v>114318</v>
      </c>
      <c r="D34" s="109">
        <f>_xlfn.COMPOUNDVALUE(86)</f>
        <v>800</v>
      </c>
      <c r="E34" s="110">
        <v>156231</v>
      </c>
      <c r="F34" s="109">
        <f>_xlfn.COMPOUNDVALUE(87)</f>
        <v>1050</v>
      </c>
      <c r="G34" s="110">
        <v>270548</v>
      </c>
      <c r="H34" s="109">
        <f>_xlfn.COMPOUNDVALUE(88)</f>
        <v>7</v>
      </c>
      <c r="I34" s="111">
        <v>881</v>
      </c>
      <c r="J34" s="109">
        <v>37</v>
      </c>
      <c r="K34" s="111">
        <v>3502</v>
      </c>
      <c r="L34" s="109">
        <v>1061</v>
      </c>
      <c r="M34" s="111">
        <v>273170</v>
      </c>
      <c r="N34" s="112" t="s">
        <v>107</v>
      </c>
    </row>
    <row r="35" spans="1:14" s="107" customFormat="1" ht="15.75" customHeight="1">
      <c r="A35" s="108" t="s">
        <v>108</v>
      </c>
      <c r="B35" s="109">
        <f>_xlfn.COMPOUNDVALUE(89)</f>
        <v>367</v>
      </c>
      <c r="C35" s="110">
        <v>116587</v>
      </c>
      <c r="D35" s="109">
        <f>_xlfn.COMPOUNDVALUE(90)</f>
        <v>1000</v>
      </c>
      <c r="E35" s="110">
        <v>214456</v>
      </c>
      <c r="F35" s="109">
        <f>_xlfn.COMPOUNDVALUE(91)</f>
        <v>1367</v>
      </c>
      <c r="G35" s="110">
        <v>331043</v>
      </c>
      <c r="H35" s="109">
        <f>_xlfn.COMPOUNDVALUE(92)</f>
        <v>20</v>
      </c>
      <c r="I35" s="111">
        <v>2827</v>
      </c>
      <c r="J35" s="109">
        <v>90</v>
      </c>
      <c r="K35" s="111">
        <v>16430</v>
      </c>
      <c r="L35" s="109">
        <v>1411</v>
      </c>
      <c r="M35" s="111">
        <v>344646</v>
      </c>
      <c r="N35" s="112" t="s">
        <v>109</v>
      </c>
    </row>
    <row r="36" spans="1:14" s="107" customFormat="1" ht="15.75" customHeight="1">
      <c r="A36" s="108" t="s">
        <v>110</v>
      </c>
      <c r="B36" s="109">
        <f>_xlfn.COMPOUNDVALUE(93)</f>
        <v>341</v>
      </c>
      <c r="C36" s="110">
        <v>141838</v>
      </c>
      <c r="D36" s="109">
        <f>_xlfn.COMPOUNDVALUE(94)</f>
        <v>995</v>
      </c>
      <c r="E36" s="110">
        <v>219754</v>
      </c>
      <c r="F36" s="109">
        <f>_xlfn.COMPOUNDVALUE(95)</f>
        <v>1336</v>
      </c>
      <c r="G36" s="110">
        <v>361592</v>
      </c>
      <c r="H36" s="109">
        <f>_xlfn.COMPOUNDVALUE(96)</f>
        <v>35</v>
      </c>
      <c r="I36" s="111">
        <v>16015</v>
      </c>
      <c r="J36" s="109">
        <v>39</v>
      </c>
      <c r="K36" s="111">
        <v>12466</v>
      </c>
      <c r="L36" s="109">
        <v>1392</v>
      </c>
      <c r="M36" s="111">
        <v>358043</v>
      </c>
      <c r="N36" s="112" t="s">
        <v>111</v>
      </c>
    </row>
    <row r="37" spans="1:14" s="107" customFormat="1" ht="15.75" customHeight="1">
      <c r="A37" s="108" t="s">
        <v>112</v>
      </c>
      <c r="B37" s="109">
        <f>_xlfn.COMPOUNDVALUE(97)</f>
        <v>600</v>
      </c>
      <c r="C37" s="110">
        <v>241212</v>
      </c>
      <c r="D37" s="109">
        <f>_xlfn.COMPOUNDVALUE(98)</f>
        <v>712</v>
      </c>
      <c r="E37" s="110">
        <v>158483</v>
      </c>
      <c r="F37" s="109">
        <f>_xlfn.COMPOUNDVALUE(99)</f>
        <v>1312</v>
      </c>
      <c r="G37" s="110">
        <v>399695</v>
      </c>
      <c r="H37" s="109">
        <f>_xlfn.COMPOUNDVALUE(100)</f>
        <v>30</v>
      </c>
      <c r="I37" s="111">
        <v>4628</v>
      </c>
      <c r="J37" s="109">
        <v>61</v>
      </c>
      <c r="K37" s="111">
        <v>10378</v>
      </c>
      <c r="L37" s="109">
        <v>1360</v>
      </c>
      <c r="M37" s="111">
        <v>405445</v>
      </c>
      <c r="N37" s="112" t="s">
        <v>113</v>
      </c>
    </row>
    <row r="38" spans="1:14" s="107" customFormat="1" ht="15.75" customHeight="1">
      <c r="A38" s="108" t="s">
        <v>114</v>
      </c>
      <c r="B38" s="109">
        <f>_xlfn.COMPOUNDVALUE(101)</f>
        <v>202</v>
      </c>
      <c r="C38" s="110">
        <v>85820</v>
      </c>
      <c r="D38" s="109">
        <f>_xlfn.COMPOUNDVALUE(102)</f>
        <v>709</v>
      </c>
      <c r="E38" s="110">
        <v>153025</v>
      </c>
      <c r="F38" s="109">
        <f>_xlfn.COMPOUNDVALUE(103)</f>
        <v>911</v>
      </c>
      <c r="G38" s="110">
        <v>238845</v>
      </c>
      <c r="H38" s="109">
        <f>_xlfn.COMPOUNDVALUE(104)</f>
        <v>16</v>
      </c>
      <c r="I38" s="111">
        <v>7634</v>
      </c>
      <c r="J38" s="109">
        <v>21</v>
      </c>
      <c r="K38" s="111">
        <v>1935</v>
      </c>
      <c r="L38" s="109">
        <v>934</v>
      </c>
      <c r="M38" s="111">
        <v>233145</v>
      </c>
      <c r="N38" s="112" t="s">
        <v>115</v>
      </c>
    </row>
    <row r="39" spans="1:14" s="107" customFormat="1" ht="15.75" customHeight="1">
      <c r="A39" s="113" t="s">
        <v>116</v>
      </c>
      <c r="B39" s="114">
        <v>2966</v>
      </c>
      <c r="C39" s="115">
        <v>1159788</v>
      </c>
      <c r="D39" s="114">
        <v>6243</v>
      </c>
      <c r="E39" s="115">
        <v>1393053</v>
      </c>
      <c r="F39" s="114">
        <v>9209</v>
      </c>
      <c r="G39" s="115">
        <v>2552841</v>
      </c>
      <c r="H39" s="114">
        <v>169</v>
      </c>
      <c r="I39" s="116">
        <v>48919</v>
      </c>
      <c r="J39" s="114">
        <v>544</v>
      </c>
      <c r="K39" s="116">
        <v>97763</v>
      </c>
      <c r="L39" s="114">
        <v>9572</v>
      </c>
      <c r="M39" s="116">
        <v>2601686</v>
      </c>
      <c r="N39" s="117" t="s">
        <v>117</v>
      </c>
    </row>
    <row r="40" spans="1:15" s="107" customFormat="1" ht="15.75" customHeight="1" thickBot="1">
      <c r="A40" s="123"/>
      <c r="B40" s="124"/>
      <c r="C40" s="125"/>
      <c r="D40" s="124"/>
      <c r="E40" s="125"/>
      <c r="F40" s="126"/>
      <c r="G40" s="125"/>
      <c r="H40" s="126"/>
      <c r="I40" s="125"/>
      <c r="J40" s="126"/>
      <c r="K40" s="125"/>
      <c r="L40" s="126"/>
      <c r="M40" s="125"/>
      <c r="N40" s="127"/>
      <c r="O40" s="128"/>
    </row>
    <row r="41" spans="1:14" s="107" customFormat="1" ht="15.75" customHeight="1" thickBot="1" thickTop="1">
      <c r="A41" s="129" t="s">
        <v>118</v>
      </c>
      <c r="B41" s="130">
        <v>13212</v>
      </c>
      <c r="C41" s="131">
        <v>4570382</v>
      </c>
      <c r="D41" s="130">
        <v>22653</v>
      </c>
      <c r="E41" s="131">
        <v>5336599</v>
      </c>
      <c r="F41" s="130">
        <v>35865</v>
      </c>
      <c r="G41" s="131">
        <v>9906981</v>
      </c>
      <c r="H41" s="130">
        <v>861</v>
      </c>
      <c r="I41" s="132">
        <v>269172</v>
      </c>
      <c r="J41" s="130">
        <v>2246</v>
      </c>
      <c r="K41" s="132">
        <v>421714</v>
      </c>
      <c r="L41" s="130">
        <v>37599</v>
      </c>
      <c r="M41" s="132">
        <v>10059523</v>
      </c>
      <c r="N41" s="133" t="s">
        <v>119</v>
      </c>
    </row>
    <row r="42" spans="1:14" ht="13.5">
      <c r="A42" s="197" t="s">
        <v>120</v>
      </c>
      <c r="B42" s="197"/>
      <c r="C42" s="197"/>
      <c r="D42" s="197"/>
      <c r="E42" s="197"/>
      <c r="F42" s="197"/>
      <c r="G42" s="197"/>
      <c r="H42" s="197"/>
      <c r="I42" s="197"/>
      <c r="J42" s="134"/>
      <c r="K42" s="134"/>
      <c r="L42" s="88"/>
      <c r="M42" s="88"/>
      <c r="N42" s="88"/>
    </row>
    <row r="44" spans="2:10" ht="13.5">
      <c r="B44" s="135"/>
      <c r="C44" s="135"/>
      <c r="D44" s="135"/>
      <c r="E44" s="135"/>
      <c r="F44" s="135"/>
      <c r="G44" s="135"/>
      <c r="H44" s="135"/>
      <c r="J44" s="135"/>
    </row>
    <row r="45" spans="2:10" ht="13.5">
      <c r="B45" s="135"/>
      <c r="C45" s="135"/>
      <c r="D45" s="135"/>
      <c r="E45" s="135"/>
      <c r="F45" s="135"/>
      <c r="G45" s="135"/>
      <c r="H45" s="135"/>
      <c r="J45" s="135"/>
    </row>
    <row r="46" spans="2:10" ht="13.5">
      <c r="B46" s="135"/>
      <c r="C46" s="135"/>
      <c r="D46" s="135"/>
      <c r="E46" s="135"/>
      <c r="F46" s="135"/>
      <c r="G46" s="135"/>
      <c r="H46" s="135"/>
      <c r="J46" s="135"/>
    </row>
    <row r="47" spans="2:10" ht="13.5">
      <c r="B47" s="135"/>
      <c r="C47" s="135"/>
      <c r="D47" s="135"/>
      <c r="E47" s="135"/>
      <c r="F47" s="135"/>
      <c r="G47" s="135"/>
      <c r="H47" s="135"/>
      <c r="J47" s="135"/>
    </row>
    <row r="48" spans="2:10" ht="13.5">
      <c r="B48" s="135"/>
      <c r="C48" s="135"/>
      <c r="D48" s="135"/>
      <c r="E48" s="135"/>
      <c r="F48" s="135"/>
      <c r="G48" s="135"/>
      <c r="H48" s="135"/>
      <c r="J48" s="135"/>
    </row>
    <row r="49" spans="2:10" ht="13.5">
      <c r="B49" s="135"/>
      <c r="C49" s="135"/>
      <c r="D49" s="135"/>
      <c r="E49" s="135"/>
      <c r="F49" s="135"/>
      <c r="G49" s="135"/>
      <c r="H49" s="135"/>
      <c r="J49" s="135"/>
    </row>
    <row r="50" spans="2:10" ht="13.5">
      <c r="B50" s="135"/>
      <c r="C50" s="135"/>
      <c r="D50" s="135"/>
      <c r="E50" s="135"/>
      <c r="F50" s="135"/>
      <c r="G50" s="135"/>
      <c r="H50" s="135"/>
      <c r="J50" s="135"/>
    </row>
    <row r="51" spans="2:10" ht="13.5">
      <c r="B51" s="135"/>
      <c r="C51" s="135"/>
      <c r="D51" s="135"/>
      <c r="E51" s="135"/>
      <c r="F51" s="135"/>
      <c r="G51" s="135"/>
      <c r="H51" s="135"/>
      <c r="J51" s="135"/>
    </row>
    <row r="52" spans="2:10" ht="13.5">
      <c r="B52" s="135"/>
      <c r="C52" s="135"/>
      <c r="D52" s="135"/>
      <c r="E52" s="135"/>
      <c r="F52" s="135"/>
      <c r="G52" s="135"/>
      <c r="H52" s="135"/>
      <c r="J52" s="135"/>
    </row>
    <row r="53" spans="2:10" ht="13.5">
      <c r="B53" s="135"/>
      <c r="C53" s="135"/>
      <c r="D53" s="135"/>
      <c r="E53" s="135"/>
      <c r="F53" s="135"/>
      <c r="G53" s="135"/>
      <c r="H53" s="135"/>
      <c r="J53" s="135"/>
    </row>
    <row r="54" spans="2:10" ht="13.5">
      <c r="B54" s="135"/>
      <c r="C54" s="135"/>
      <c r="D54" s="135"/>
      <c r="E54" s="135"/>
      <c r="F54" s="135"/>
      <c r="G54" s="135"/>
      <c r="H54" s="135"/>
      <c r="J54" s="135"/>
    </row>
    <row r="55" spans="2:10" ht="13.5">
      <c r="B55" s="135"/>
      <c r="C55" s="135"/>
      <c r="D55" s="135"/>
      <c r="E55" s="135"/>
      <c r="F55" s="135"/>
      <c r="G55" s="135"/>
      <c r="H55" s="135"/>
      <c r="J55" s="135"/>
    </row>
    <row r="56" spans="2:10" ht="13.5">
      <c r="B56" s="135"/>
      <c r="C56" s="135"/>
      <c r="D56" s="135"/>
      <c r="E56" s="135"/>
      <c r="F56" s="135"/>
      <c r="G56" s="135"/>
      <c r="H56" s="135"/>
      <c r="J56" s="135"/>
    </row>
  </sheetData>
  <sheetProtection/>
  <mergeCells count="11">
    <mergeCell ref="A2:G2"/>
    <mergeCell ref="A3:A5"/>
    <mergeCell ref="B3:G3"/>
    <mergeCell ref="H3:I4"/>
    <mergeCell ref="J3:K4"/>
    <mergeCell ref="L3:M4"/>
    <mergeCell ref="N3:N5"/>
    <mergeCell ref="B4:C4"/>
    <mergeCell ref="D4:E4"/>
    <mergeCell ref="F4:G4"/>
    <mergeCell ref="A42:I42"/>
  </mergeCells>
  <printOptions/>
  <pageMargins left="0.7086614173228347" right="0.7086614173228347" top="0.7480314960629921" bottom="0.7480314960629921" header="0.31496062992125984" footer="0.31496062992125984"/>
  <pageSetup fitToHeight="0" fitToWidth="1" horizontalDpi="300" verticalDpi="300" orientation="portrait" paperSize="9" scale="54" r:id="rId1"/>
  <headerFooter>
    <oddFooter>&amp;R高松国税局
消費税
(H24)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2"/>
  <sheetViews>
    <sheetView tabSelected="1" zoomScalePageLayoutView="0" workbookViewId="0" topLeftCell="A1">
      <selection activeCell="A1" sqref="A1:K1"/>
    </sheetView>
  </sheetViews>
  <sheetFormatPr defaultColWidth="9.00390625" defaultRowHeight="13.5"/>
  <cols>
    <col min="1" max="1" width="11.125" style="89" customWidth="1"/>
    <col min="2" max="2" width="10.625" style="89" customWidth="1"/>
    <col min="3" max="3" width="12.625" style="89" customWidth="1"/>
    <col min="4" max="4" width="10.625" style="89" customWidth="1"/>
    <col min="5" max="5" width="12.625" style="89" customWidth="1"/>
    <col min="6" max="6" width="10.625" style="89" customWidth="1"/>
    <col min="7" max="7" width="12.625" style="89" customWidth="1"/>
    <col min="8" max="8" width="10.625" style="89" customWidth="1"/>
    <col min="9" max="9" width="12.625" style="89" customWidth="1"/>
    <col min="10" max="10" width="10.625" style="89" customWidth="1"/>
    <col min="11" max="11" width="12.625" style="89" customWidth="1"/>
    <col min="12" max="12" width="10.625" style="89" customWidth="1"/>
    <col min="13" max="13" width="12.625" style="89" customWidth="1"/>
    <col min="14" max="14" width="11.375" style="89" customWidth="1"/>
    <col min="15" max="16384" width="9.00390625" style="89" customWidth="1"/>
  </cols>
  <sheetData>
    <row r="1" spans="1:13" ht="13.5">
      <c r="A1" s="87" t="s">
        <v>121</v>
      </c>
      <c r="B1" s="87"/>
      <c r="C1" s="87"/>
      <c r="D1" s="87"/>
      <c r="E1" s="87"/>
      <c r="F1" s="87"/>
      <c r="G1" s="87"/>
      <c r="H1" s="87"/>
      <c r="I1" s="87"/>
      <c r="J1" s="87"/>
      <c r="K1" s="87"/>
      <c r="L1" s="88"/>
      <c r="M1" s="88"/>
    </row>
    <row r="2" spans="1:13" ht="14.25" thickBot="1">
      <c r="A2" s="204" t="s">
        <v>122</v>
      </c>
      <c r="B2" s="204"/>
      <c r="C2" s="204"/>
      <c r="D2" s="204"/>
      <c r="E2" s="204"/>
      <c r="F2" s="204"/>
      <c r="G2" s="204"/>
      <c r="H2" s="204"/>
      <c r="I2" s="204"/>
      <c r="J2" s="134"/>
      <c r="K2" s="134"/>
      <c r="L2" s="88"/>
      <c r="M2" s="88"/>
    </row>
    <row r="3" spans="1:14" ht="19.5" customHeight="1">
      <c r="A3" s="199" t="s">
        <v>45</v>
      </c>
      <c r="B3" s="202" t="s">
        <v>46</v>
      </c>
      <c r="C3" s="202"/>
      <c r="D3" s="202"/>
      <c r="E3" s="202"/>
      <c r="F3" s="202"/>
      <c r="G3" s="202"/>
      <c r="H3" s="188" t="s">
        <v>13</v>
      </c>
      <c r="I3" s="189"/>
      <c r="J3" s="203" t="s">
        <v>47</v>
      </c>
      <c r="K3" s="189"/>
      <c r="L3" s="188" t="s">
        <v>48</v>
      </c>
      <c r="M3" s="189"/>
      <c r="N3" s="192" t="s">
        <v>123</v>
      </c>
    </row>
    <row r="4" spans="1:14" ht="17.25" customHeight="1">
      <c r="A4" s="200"/>
      <c r="B4" s="190" t="s">
        <v>18</v>
      </c>
      <c r="C4" s="196"/>
      <c r="D4" s="190" t="s">
        <v>50</v>
      </c>
      <c r="E4" s="196"/>
      <c r="F4" s="190" t="s">
        <v>51</v>
      </c>
      <c r="G4" s="196"/>
      <c r="H4" s="190"/>
      <c r="I4" s="191"/>
      <c r="J4" s="190"/>
      <c r="K4" s="191"/>
      <c r="L4" s="190"/>
      <c r="M4" s="191"/>
      <c r="N4" s="193"/>
    </row>
    <row r="5" spans="1:14" ht="28.5" customHeight="1">
      <c r="A5" s="201"/>
      <c r="B5" s="90" t="s">
        <v>52</v>
      </c>
      <c r="C5" s="91" t="s">
        <v>53</v>
      </c>
      <c r="D5" s="90" t="s">
        <v>52</v>
      </c>
      <c r="E5" s="91" t="s">
        <v>53</v>
      </c>
      <c r="F5" s="90" t="s">
        <v>52</v>
      </c>
      <c r="G5" s="92" t="s">
        <v>54</v>
      </c>
      <c r="H5" s="90" t="s">
        <v>52</v>
      </c>
      <c r="I5" s="93" t="s">
        <v>55</v>
      </c>
      <c r="J5" s="90" t="s">
        <v>52</v>
      </c>
      <c r="K5" s="93" t="s">
        <v>56</v>
      </c>
      <c r="L5" s="90" t="s">
        <v>52</v>
      </c>
      <c r="M5" s="94" t="s">
        <v>57</v>
      </c>
      <c r="N5" s="194"/>
    </row>
    <row r="6" spans="1:14" s="136" customFormat="1" ht="10.5">
      <c r="A6" s="96"/>
      <c r="B6" s="97" t="s">
        <v>4</v>
      </c>
      <c r="C6" s="98" t="s">
        <v>5</v>
      </c>
      <c r="D6" s="97" t="s">
        <v>4</v>
      </c>
      <c r="E6" s="98" t="s">
        <v>5</v>
      </c>
      <c r="F6" s="97" t="s">
        <v>4</v>
      </c>
      <c r="G6" s="98" t="s">
        <v>5</v>
      </c>
      <c r="H6" s="97" t="s">
        <v>4</v>
      </c>
      <c r="I6" s="99" t="s">
        <v>5</v>
      </c>
      <c r="J6" s="97" t="s">
        <v>4</v>
      </c>
      <c r="K6" s="99" t="s">
        <v>5</v>
      </c>
      <c r="L6" s="97" t="s">
        <v>4</v>
      </c>
      <c r="M6" s="99" t="s">
        <v>5</v>
      </c>
      <c r="N6" s="100"/>
    </row>
    <row r="7" spans="1:14" ht="15.75" customHeight="1">
      <c r="A7" s="102" t="s">
        <v>124</v>
      </c>
      <c r="B7" s="103">
        <f>_xlfn.COMPOUNDVALUE(105)</f>
        <v>3930</v>
      </c>
      <c r="C7" s="104">
        <v>14066161</v>
      </c>
      <c r="D7" s="103">
        <f>_xlfn.COMPOUNDVALUE(106)</f>
        <v>1808</v>
      </c>
      <c r="E7" s="104">
        <v>668445</v>
      </c>
      <c r="F7" s="103">
        <f>_xlfn.COMPOUNDVALUE(107)</f>
        <v>5738</v>
      </c>
      <c r="G7" s="104">
        <v>14734606</v>
      </c>
      <c r="H7" s="103">
        <f>_xlfn.COMPOUNDVALUE(108)</f>
        <v>164</v>
      </c>
      <c r="I7" s="105">
        <v>426497</v>
      </c>
      <c r="J7" s="103">
        <v>286</v>
      </c>
      <c r="K7" s="105">
        <v>19971</v>
      </c>
      <c r="L7" s="103">
        <v>5937</v>
      </c>
      <c r="M7" s="105">
        <v>14328081</v>
      </c>
      <c r="N7" s="140" t="s">
        <v>59</v>
      </c>
    </row>
    <row r="8" spans="1:14" ht="15.75" customHeight="1">
      <c r="A8" s="108" t="s">
        <v>125</v>
      </c>
      <c r="B8" s="109">
        <f>_xlfn.COMPOUNDVALUE(109)</f>
        <v>1207</v>
      </c>
      <c r="C8" s="110">
        <v>5502386</v>
      </c>
      <c r="D8" s="109">
        <f>_xlfn.COMPOUNDVALUE(110)</f>
        <v>611</v>
      </c>
      <c r="E8" s="110">
        <v>225694</v>
      </c>
      <c r="F8" s="109">
        <f>_xlfn.COMPOUNDVALUE(111)</f>
        <v>1818</v>
      </c>
      <c r="G8" s="110">
        <v>5728080</v>
      </c>
      <c r="H8" s="109">
        <f>_xlfn.COMPOUNDVALUE(112)</f>
        <v>70</v>
      </c>
      <c r="I8" s="111">
        <v>295270</v>
      </c>
      <c r="J8" s="109">
        <v>73</v>
      </c>
      <c r="K8" s="111">
        <v>-4532</v>
      </c>
      <c r="L8" s="109">
        <v>1900</v>
      </c>
      <c r="M8" s="111">
        <v>5428278</v>
      </c>
      <c r="N8" s="112" t="s">
        <v>61</v>
      </c>
    </row>
    <row r="9" spans="1:14" ht="15.75" customHeight="1">
      <c r="A9" s="108" t="s">
        <v>126</v>
      </c>
      <c r="B9" s="109">
        <f>_xlfn.COMPOUNDVALUE(113)</f>
        <v>885</v>
      </c>
      <c r="C9" s="110">
        <v>2180468</v>
      </c>
      <c r="D9" s="109">
        <f>_xlfn.COMPOUNDVALUE(114)</f>
        <v>414</v>
      </c>
      <c r="E9" s="110">
        <v>152231</v>
      </c>
      <c r="F9" s="109">
        <f>_xlfn.COMPOUNDVALUE(115)</f>
        <v>1299</v>
      </c>
      <c r="G9" s="110">
        <v>2332699</v>
      </c>
      <c r="H9" s="109">
        <f>_xlfn.COMPOUNDVALUE(116)</f>
        <v>73</v>
      </c>
      <c r="I9" s="111">
        <v>1712515</v>
      </c>
      <c r="J9" s="109">
        <v>77</v>
      </c>
      <c r="K9" s="111">
        <v>-1964</v>
      </c>
      <c r="L9" s="109">
        <v>1377</v>
      </c>
      <c r="M9" s="111">
        <v>618220</v>
      </c>
      <c r="N9" s="112" t="s">
        <v>63</v>
      </c>
    </row>
    <row r="10" spans="1:14" ht="15.75" customHeight="1">
      <c r="A10" s="108" t="s">
        <v>127</v>
      </c>
      <c r="B10" s="109">
        <f>_xlfn.COMPOUNDVALUE(117)</f>
        <v>608</v>
      </c>
      <c r="C10" s="110">
        <v>1289674</v>
      </c>
      <c r="D10" s="109">
        <f>_xlfn.COMPOUNDVALUE(118)</f>
        <v>357</v>
      </c>
      <c r="E10" s="110">
        <v>120003</v>
      </c>
      <c r="F10" s="109">
        <f>_xlfn.COMPOUNDVALUE(119)</f>
        <v>965</v>
      </c>
      <c r="G10" s="110">
        <v>1409677</v>
      </c>
      <c r="H10" s="109">
        <f>_xlfn.COMPOUNDVALUE(120)</f>
        <v>38</v>
      </c>
      <c r="I10" s="111">
        <v>39671</v>
      </c>
      <c r="J10" s="109">
        <v>51</v>
      </c>
      <c r="K10" s="111">
        <v>5249</v>
      </c>
      <c r="L10" s="109">
        <v>1010</v>
      </c>
      <c r="M10" s="111">
        <v>1375255</v>
      </c>
      <c r="N10" s="112" t="s">
        <v>65</v>
      </c>
    </row>
    <row r="11" spans="1:14" ht="15.75" customHeight="1">
      <c r="A11" s="108" t="s">
        <v>128</v>
      </c>
      <c r="B11" s="109">
        <f>_xlfn.COMPOUNDVALUE(121)</f>
        <v>349</v>
      </c>
      <c r="C11" s="110">
        <v>814845</v>
      </c>
      <c r="D11" s="109">
        <f>_xlfn.COMPOUNDVALUE(122)</f>
        <v>204</v>
      </c>
      <c r="E11" s="110">
        <v>66878</v>
      </c>
      <c r="F11" s="109">
        <f>_xlfn.COMPOUNDVALUE(123)</f>
        <v>553</v>
      </c>
      <c r="G11" s="110">
        <v>881724</v>
      </c>
      <c r="H11" s="109">
        <f>_xlfn.COMPOUNDVALUE(124)</f>
        <v>14</v>
      </c>
      <c r="I11" s="111">
        <v>9415</v>
      </c>
      <c r="J11" s="109">
        <v>55</v>
      </c>
      <c r="K11" s="111">
        <v>6998</v>
      </c>
      <c r="L11" s="109">
        <v>579</v>
      </c>
      <c r="M11" s="111">
        <v>879306</v>
      </c>
      <c r="N11" s="112" t="s">
        <v>67</v>
      </c>
    </row>
    <row r="12" spans="1:14" ht="15.75" customHeight="1">
      <c r="A12" s="108" t="s">
        <v>129</v>
      </c>
      <c r="B12" s="109">
        <f>_xlfn.COMPOUNDVALUE(125)</f>
        <v>392</v>
      </c>
      <c r="C12" s="110">
        <v>862074</v>
      </c>
      <c r="D12" s="109">
        <f>_xlfn.COMPOUNDVALUE(126)</f>
        <v>216</v>
      </c>
      <c r="E12" s="110">
        <v>75029</v>
      </c>
      <c r="F12" s="109">
        <f>_xlfn.COMPOUNDVALUE(127)</f>
        <v>608</v>
      </c>
      <c r="G12" s="110">
        <v>937103</v>
      </c>
      <c r="H12" s="109">
        <f>_xlfn.COMPOUNDVALUE(128)</f>
        <v>24</v>
      </c>
      <c r="I12" s="111">
        <v>22841</v>
      </c>
      <c r="J12" s="109">
        <v>26</v>
      </c>
      <c r="K12" s="111">
        <v>2054</v>
      </c>
      <c r="L12" s="109">
        <v>639</v>
      </c>
      <c r="M12" s="111">
        <v>916316</v>
      </c>
      <c r="N12" s="112" t="s">
        <v>69</v>
      </c>
    </row>
    <row r="13" spans="1:14" ht="15.75" customHeight="1">
      <c r="A13" s="113" t="s">
        <v>130</v>
      </c>
      <c r="B13" s="114">
        <v>7371</v>
      </c>
      <c r="C13" s="115">
        <v>24715608</v>
      </c>
      <c r="D13" s="114">
        <v>3610</v>
      </c>
      <c r="E13" s="115">
        <v>1308280</v>
      </c>
      <c r="F13" s="114">
        <v>10981</v>
      </c>
      <c r="G13" s="115">
        <v>26023888</v>
      </c>
      <c r="H13" s="114">
        <v>383</v>
      </c>
      <c r="I13" s="116">
        <v>2506209</v>
      </c>
      <c r="J13" s="114">
        <v>568</v>
      </c>
      <c r="K13" s="116">
        <v>27775</v>
      </c>
      <c r="L13" s="114">
        <v>11442</v>
      </c>
      <c r="M13" s="116">
        <v>23545455</v>
      </c>
      <c r="N13" s="117" t="s">
        <v>71</v>
      </c>
    </row>
    <row r="14" spans="1:14" ht="15.75" customHeight="1">
      <c r="A14" s="118"/>
      <c r="B14" s="119"/>
      <c r="C14" s="120"/>
      <c r="D14" s="119"/>
      <c r="E14" s="120"/>
      <c r="F14" s="121"/>
      <c r="G14" s="120"/>
      <c r="H14" s="121"/>
      <c r="I14" s="120"/>
      <c r="J14" s="121"/>
      <c r="K14" s="120"/>
      <c r="L14" s="121"/>
      <c r="M14" s="120"/>
      <c r="N14" s="122"/>
    </row>
    <row r="15" spans="1:14" ht="15.75" customHeight="1">
      <c r="A15" s="102" t="s">
        <v>131</v>
      </c>
      <c r="B15" s="103">
        <f>_xlfn.COMPOUNDVALUE(129)</f>
        <v>5246</v>
      </c>
      <c r="C15" s="104">
        <v>29927182</v>
      </c>
      <c r="D15" s="103">
        <f>_xlfn.COMPOUNDVALUE(130)</f>
        <v>2693</v>
      </c>
      <c r="E15" s="104">
        <v>920781</v>
      </c>
      <c r="F15" s="103">
        <f>_xlfn.COMPOUNDVALUE(131)</f>
        <v>7939</v>
      </c>
      <c r="G15" s="104">
        <v>30847963</v>
      </c>
      <c r="H15" s="103">
        <f>_xlfn.COMPOUNDVALUE(132)</f>
        <v>246</v>
      </c>
      <c r="I15" s="105">
        <v>1596542</v>
      </c>
      <c r="J15" s="103">
        <v>426</v>
      </c>
      <c r="K15" s="105">
        <v>55058</v>
      </c>
      <c r="L15" s="103">
        <v>8253</v>
      </c>
      <c r="M15" s="105">
        <v>29306479</v>
      </c>
      <c r="N15" s="106" t="s">
        <v>73</v>
      </c>
    </row>
    <row r="16" spans="1:14" ht="15.75" customHeight="1">
      <c r="A16" s="108" t="s">
        <v>132</v>
      </c>
      <c r="B16" s="109">
        <f>_xlfn.COMPOUNDVALUE(133)</f>
        <v>1693</v>
      </c>
      <c r="C16" s="110">
        <v>6083505</v>
      </c>
      <c r="D16" s="109">
        <f>_xlfn.COMPOUNDVALUE(134)</f>
        <v>930</v>
      </c>
      <c r="E16" s="110">
        <v>314674</v>
      </c>
      <c r="F16" s="109">
        <f>_xlfn.COMPOUNDVALUE(135)</f>
        <v>2623</v>
      </c>
      <c r="G16" s="110">
        <v>6398179</v>
      </c>
      <c r="H16" s="109">
        <f>_xlfn.COMPOUNDVALUE(136)</f>
        <v>62</v>
      </c>
      <c r="I16" s="111">
        <v>208601</v>
      </c>
      <c r="J16" s="109">
        <v>147</v>
      </c>
      <c r="K16" s="111">
        <v>3464</v>
      </c>
      <c r="L16" s="109">
        <v>2697</v>
      </c>
      <c r="M16" s="111">
        <v>6193042</v>
      </c>
      <c r="N16" s="112" t="s">
        <v>75</v>
      </c>
    </row>
    <row r="17" spans="1:14" ht="15.75" customHeight="1">
      <c r="A17" s="108" t="s">
        <v>133</v>
      </c>
      <c r="B17" s="109">
        <f>_xlfn.COMPOUNDVALUE(137)</f>
        <v>982</v>
      </c>
      <c r="C17" s="110">
        <v>3671561</v>
      </c>
      <c r="D17" s="109">
        <f>_xlfn.COMPOUNDVALUE(137)</f>
        <v>452</v>
      </c>
      <c r="E17" s="110">
        <v>168713</v>
      </c>
      <c r="F17" s="109">
        <f>_xlfn.COMPOUNDVALUE(138)</f>
        <v>1434</v>
      </c>
      <c r="G17" s="110">
        <v>3840273</v>
      </c>
      <c r="H17" s="109">
        <f>_xlfn.COMPOUNDVALUE(139)</f>
        <v>47</v>
      </c>
      <c r="I17" s="111">
        <v>111500</v>
      </c>
      <c r="J17" s="109">
        <v>82</v>
      </c>
      <c r="K17" s="111">
        <v>21800</v>
      </c>
      <c r="L17" s="109">
        <v>1490</v>
      </c>
      <c r="M17" s="111">
        <v>3750574</v>
      </c>
      <c r="N17" s="112" t="s">
        <v>77</v>
      </c>
    </row>
    <row r="18" spans="1:14" ht="15.75" customHeight="1">
      <c r="A18" s="108" t="s">
        <v>134</v>
      </c>
      <c r="B18" s="109">
        <f>_xlfn.COMPOUNDVALUE(140)</f>
        <v>1209</v>
      </c>
      <c r="C18" s="110">
        <v>4318137</v>
      </c>
      <c r="D18" s="109">
        <f>_xlfn.COMPOUNDVALUE(140)</f>
        <v>561</v>
      </c>
      <c r="E18" s="110">
        <v>196051</v>
      </c>
      <c r="F18" s="109">
        <f>_xlfn.COMPOUNDVALUE(141)</f>
        <v>1770</v>
      </c>
      <c r="G18" s="110">
        <v>4514188</v>
      </c>
      <c r="H18" s="109">
        <f>_xlfn.COMPOUNDVALUE(142)</f>
        <v>51</v>
      </c>
      <c r="I18" s="111">
        <v>35194</v>
      </c>
      <c r="J18" s="109">
        <v>121</v>
      </c>
      <c r="K18" s="111">
        <v>-12982</v>
      </c>
      <c r="L18" s="109">
        <v>1828</v>
      </c>
      <c r="M18" s="111">
        <v>4466012</v>
      </c>
      <c r="N18" s="112" t="s">
        <v>79</v>
      </c>
    </row>
    <row r="19" spans="1:14" ht="15.75" customHeight="1">
      <c r="A19" s="108" t="s">
        <v>135</v>
      </c>
      <c r="B19" s="109">
        <f>_xlfn.COMPOUNDVALUE(143)</f>
        <v>701</v>
      </c>
      <c r="C19" s="110">
        <v>2051942</v>
      </c>
      <c r="D19" s="109">
        <f>_xlfn.COMPOUNDVALUE(144)</f>
        <v>332</v>
      </c>
      <c r="E19" s="110">
        <v>113680</v>
      </c>
      <c r="F19" s="109">
        <f>_xlfn.COMPOUNDVALUE(145)</f>
        <v>1033</v>
      </c>
      <c r="G19" s="110">
        <v>2165621</v>
      </c>
      <c r="H19" s="109">
        <f>_xlfn.COMPOUNDVALUE(146)</f>
        <v>49</v>
      </c>
      <c r="I19" s="111">
        <v>176504</v>
      </c>
      <c r="J19" s="109">
        <v>61</v>
      </c>
      <c r="K19" s="111">
        <v>151</v>
      </c>
      <c r="L19" s="109">
        <v>1095</v>
      </c>
      <c r="M19" s="111">
        <v>1989269</v>
      </c>
      <c r="N19" s="112" t="s">
        <v>81</v>
      </c>
    </row>
    <row r="20" spans="1:14" ht="15.75" customHeight="1">
      <c r="A20" s="108" t="s">
        <v>136</v>
      </c>
      <c r="B20" s="109">
        <f>_xlfn.COMPOUNDVALUE(147)</f>
        <v>418</v>
      </c>
      <c r="C20" s="110">
        <v>1121432</v>
      </c>
      <c r="D20" s="109">
        <f>_xlfn.COMPOUNDVALUE(148)</f>
        <v>208</v>
      </c>
      <c r="E20" s="110">
        <v>72327</v>
      </c>
      <c r="F20" s="109">
        <f>_xlfn.COMPOUNDVALUE(149)</f>
        <v>626</v>
      </c>
      <c r="G20" s="110">
        <v>1193759</v>
      </c>
      <c r="H20" s="109">
        <f>_xlfn.COMPOUNDVALUE(150)</f>
        <v>19</v>
      </c>
      <c r="I20" s="111">
        <v>16388</v>
      </c>
      <c r="J20" s="109">
        <v>49</v>
      </c>
      <c r="K20" s="111">
        <v>-4572</v>
      </c>
      <c r="L20" s="109">
        <v>648</v>
      </c>
      <c r="M20" s="111">
        <v>1172799</v>
      </c>
      <c r="N20" s="112" t="s">
        <v>83</v>
      </c>
    </row>
    <row r="21" spans="1:14" ht="15.75" customHeight="1">
      <c r="A21" s="113" t="s">
        <v>137</v>
      </c>
      <c r="B21" s="114">
        <v>10249</v>
      </c>
      <c r="C21" s="115">
        <v>47173757</v>
      </c>
      <c r="D21" s="114">
        <v>5176</v>
      </c>
      <c r="E21" s="115">
        <v>1786226</v>
      </c>
      <c r="F21" s="114">
        <v>15425</v>
      </c>
      <c r="G21" s="115">
        <v>48959983</v>
      </c>
      <c r="H21" s="114">
        <v>474</v>
      </c>
      <c r="I21" s="116">
        <v>2144729</v>
      </c>
      <c r="J21" s="114">
        <v>886</v>
      </c>
      <c r="K21" s="116">
        <v>62919</v>
      </c>
      <c r="L21" s="114">
        <v>16011</v>
      </c>
      <c r="M21" s="116">
        <v>46878174</v>
      </c>
      <c r="N21" s="117" t="s">
        <v>85</v>
      </c>
    </row>
    <row r="22" spans="1:14" ht="15.75" customHeight="1">
      <c r="A22" s="118"/>
      <c r="B22" s="119"/>
      <c r="C22" s="120"/>
      <c r="D22" s="119"/>
      <c r="E22" s="120"/>
      <c r="F22" s="121"/>
      <c r="G22" s="120"/>
      <c r="H22" s="121"/>
      <c r="I22" s="120"/>
      <c r="J22" s="121"/>
      <c r="K22" s="120"/>
      <c r="L22" s="121"/>
      <c r="M22" s="120"/>
      <c r="N22" s="122"/>
    </row>
    <row r="23" spans="1:14" ht="15.75" customHeight="1">
      <c r="A23" s="102" t="s">
        <v>138</v>
      </c>
      <c r="B23" s="103">
        <f>_xlfn.COMPOUNDVALUE(151)</f>
        <v>5866</v>
      </c>
      <c r="C23" s="104">
        <v>27735455</v>
      </c>
      <c r="D23" s="103">
        <f>_xlfn.COMPOUNDVALUE(152)</f>
        <v>2713</v>
      </c>
      <c r="E23" s="104">
        <v>1020193</v>
      </c>
      <c r="F23" s="103">
        <f>_xlfn.COMPOUNDVALUE(153)</f>
        <v>8579</v>
      </c>
      <c r="G23" s="104">
        <v>28755648</v>
      </c>
      <c r="H23" s="103">
        <f>_xlfn.COMPOUNDVALUE(154)</f>
        <v>278</v>
      </c>
      <c r="I23" s="105">
        <v>1162010</v>
      </c>
      <c r="J23" s="103">
        <v>510</v>
      </c>
      <c r="K23" s="105">
        <v>45482</v>
      </c>
      <c r="L23" s="103">
        <v>8957</v>
      </c>
      <c r="M23" s="105">
        <v>27639120</v>
      </c>
      <c r="N23" s="106" t="s">
        <v>87</v>
      </c>
    </row>
    <row r="24" spans="1:14" ht="15.75" customHeight="1">
      <c r="A24" s="108" t="s">
        <v>139</v>
      </c>
      <c r="B24" s="109">
        <f>_xlfn.COMPOUNDVALUE(155)</f>
        <v>2120</v>
      </c>
      <c r="C24" s="110">
        <v>10292682</v>
      </c>
      <c r="D24" s="109">
        <f>_xlfn.COMPOUNDVALUE(156)</f>
        <v>906</v>
      </c>
      <c r="E24" s="110">
        <v>329993</v>
      </c>
      <c r="F24" s="109">
        <f>_xlfn.COMPOUNDVALUE(157)</f>
        <v>3026</v>
      </c>
      <c r="G24" s="110">
        <v>10622674</v>
      </c>
      <c r="H24" s="109">
        <f>_xlfn.COMPOUNDVALUE(158)</f>
        <v>216</v>
      </c>
      <c r="I24" s="111">
        <v>17860506</v>
      </c>
      <c r="J24" s="109">
        <v>240</v>
      </c>
      <c r="K24" s="111">
        <v>-106981</v>
      </c>
      <c r="L24" s="109">
        <v>3261</v>
      </c>
      <c r="M24" s="111">
        <v>-7344813</v>
      </c>
      <c r="N24" s="112" t="s">
        <v>89</v>
      </c>
    </row>
    <row r="25" spans="1:14" ht="15.75" customHeight="1">
      <c r="A25" s="108" t="s">
        <v>140</v>
      </c>
      <c r="B25" s="109">
        <f>_xlfn.COMPOUNDVALUE(159)</f>
        <v>995</v>
      </c>
      <c r="C25" s="110">
        <v>2676124</v>
      </c>
      <c r="D25" s="109">
        <f>_xlfn.COMPOUNDVALUE(160)</f>
        <v>447</v>
      </c>
      <c r="E25" s="110">
        <v>153228</v>
      </c>
      <c r="F25" s="109">
        <f>_xlfn.COMPOUNDVALUE(161)</f>
        <v>1442</v>
      </c>
      <c r="G25" s="110">
        <v>2829351</v>
      </c>
      <c r="H25" s="109">
        <f>_xlfn.COMPOUNDVALUE(162)</f>
        <v>67</v>
      </c>
      <c r="I25" s="111">
        <v>107159</v>
      </c>
      <c r="J25" s="109">
        <v>110</v>
      </c>
      <c r="K25" s="111">
        <v>-2076</v>
      </c>
      <c r="L25" s="109">
        <v>1525</v>
      </c>
      <c r="M25" s="111">
        <v>2720116</v>
      </c>
      <c r="N25" s="112" t="s">
        <v>91</v>
      </c>
    </row>
    <row r="26" spans="1:14" ht="15.75" customHeight="1">
      <c r="A26" s="108" t="s">
        <v>141</v>
      </c>
      <c r="B26" s="109">
        <f>_xlfn.COMPOUNDVALUE(163)</f>
        <v>761</v>
      </c>
      <c r="C26" s="110">
        <v>2086271</v>
      </c>
      <c r="D26" s="109">
        <f>_xlfn.COMPOUNDVALUE(164)</f>
        <v>354</v>
      </c>
      <c r="E26" s="110">
        <v>116567</v>
      </c>
      <c r="F26" s="109">
        <f>_xlfn.COMPOUNDVALUE(165)</f>
        <v>1115</v>
      </c>
      <c r="G26" s="110">
        <v>2202838</v>
      </c>
      <c r="H26" s="109">
        <f>_xlfn.COMPOUNDVALUE(166)</f>
        <v>44</v>
      </c>
      <c r="I26" s="111">
        <v>92421</v>
      </c>
      <c r="J26" s="109">
        <v>124</v>
      </c>
      <c r="K26" s="111">
        <v>2846</v>
      </c>
      <c r="L26" s="109">
        <v>1166</v>
      </c>
      <c r="M26" s="111">
        <v>2113263</v>
      </c>
      <c r="N26" s="112" t="s">
        <v>93</v>
      </c>
    </row>
    <row r="27" spans="1:14" ht="15.75" customHeight="1">
      <c r="A27" s="108" t="s">
        <v>142</v>
      </c>
      <c r="B27" s="109">
        <f>_xlfn.COMPOUNDVALUE(167)</f>
        <v>1093</v>
      </c>
      <c r="C27" s="110">
        <v>5328201</v>
      </c>
      <c r="D27" s="109">
        <f>_xlfn.COMPOUNDVALUE(168)</f>
        <v>501</v>
      </c>
      <c r="E27" s="110">
        <v>206977</v>
      </c>
      <c r="F27" s="109">
        <f>_xlfn.COMPOUNDVALUE(169)</f>
        <v>1594</v>
      </c>
      <c r="G27" s="110">
        <v>5535178</v>
      </c>
      <c r="H27" s="109">
        <f>_xlfn.COMPOUNDVALUE(170)</f>
        <v>34</v>
      </c>
      <c r="I27" s="111">
        <v>53630</v>
      </c>
      <c r="J27" s="109">
        <v>109</v>
      </c>
      <c r="K27" s="111">
        <v>-10765</v>
      </c>
      <c r="L27" s="109">
        <v>1647</v>
      </c>
      <c r="M27" s="111">
        <v>5470784</v>
      </c>
      <c r="N27" s="112" t="s">
        <v>95</v>
      </c>
    </row>
    <row r="28" spans="1:14" ht="15.75" customHeight="1">
      <c r="A28" s="108" t="s">
        <v>143</v>
      </c>
      <c r="B28" s="109">
        <f>_xlfn.COMPOUNDVALUE(171)</f>
        <v>976</v>
      </c>
      <c r="C28" s="110">
        <v>3094963</v>
      </c>
      <c r="D28" s="109">
        <f>_xlfn.COMPOUNDVALUE(172)</f>
        <v>501</v>
      </c>
      <c r="E28" s="110">
        <v>192908</v>
      </c>
      <c r="F28" s="109">
        <f>_xlfn.COMPOUNDVALUE(173)</f>
        <v>1477</v>
      </c>
      <c r="G28" s="110">
        <v>3287871</v>
      </c>
      <c r="H28" s="109">
        <f>_xlfn.COMPOUNDVALUE(174)</f>
        <v>57</v>
      </c>
      <c r="I28" s="111">
        <v>93244</v>
      </c>
      <c r="J28" s="109">
        <v>57</v>
      </c>
      <c r="K28" s="111">
        <v>9837</v>
      </c>
      <c r="L28" s="109">
        <v>1551</v>
      </c>
      <c r="M28" s="111">
        <v>3204464</v>
      </c>
      <c r="N28" s="112" t="s">
        <v>97</v>
      </c>
    </row>
    <row r="29" spans="1:14" ht="15.75" customHeight="1">
      <c r="A29" s="108" t="s">
        <v>144</v>
      </c>
      <c r="B29" s="109">
        <f>_xlfn.COMPOUNDVALUE(175)</f>
        <v>530</v>
      </c>
      <c r="C29" s="110">
        <v>1649622</v>
      </c>
      <c r="D29" s="109">
        <f>_xlfn.COMPOUNDVALUE(176)</f>
        <v>280</v>
      </c>
      <c r="E29" s="110">
        <v>105693</v>
      </c>
      <c r="F29" s="109">
        <f>_xlfn.COMPOUNDVALUE(177)</f>
        <v>810</v>
      </c>
      <c r="G29" s="110">
        <v>1755316</v>
      </c>
      <c r="H29" s="109">
        <f>_xlfn.COMPOUNDVALUE(178)</f>
        <v>10</v>
      </c>
      <c r="I29" s="111">
        <v>1404</v>
      </c>
      <c r="J29" s="109">
        <v>48</v>
      </c>
      <c r="K29" s="111">
        <v>-2120</v>
      </c>
      <c r="L29" s="109">
        <v>822</v>
      </c>
      <c r="M29" s="111">
        <v>1751792</v>
      </c>
      <c r="N29" s="112" t="s">
        <v>99</v>
      </c>
    </row>
    <row r="30" spans="1:14" ht="15.75" customHeight="1">
      <c r="A30" s="108" t="s">
        <v>145</v>
      </c>
      <c r="B30" s="109">
        <f>_xlfn.COMPOUNDVALUE(179)</f>
        <v>1069</v>
      </c>
      <c r="C30" s="110">
        <v>10081844</v>
      </c>
      <c r="D30" s="109">
        <f>_xlfn.COMPOUNDVALUE(180)</f>
        <v>451</v>
      </c>
      <c r="E30" s="110">
        <v>161423</v>
      </c>
      <c r="F30" s="109">
        <f>_xlfn.COMPOUNDVALUE(181)</f>
        <v>1520</v>
      </c>
      <c r="G30" s="110">
        <v>10243267</v>
      </c>
      <c r="H30" s="109">
        <f>_xlfn.COMPOUNDVALUE(182)</f>
        <v>44</v>
      </c>
      <c r="I30" s="111">
        <v>60537</v>
      </c>
      <c r="J30" s="109">
        <v>97</v>
      </c>
      <c r="K30" s="111">
        <v>7708</v>
      </c>
      <c r="L30" s="109">
        <v>1580</v>
      </c>
      <c r="M30" s="111">
        <v>10190437</v>
      </c>
      <c r="N30" s="112" t="s">
        <v>101</v>
      </c>
    </row>
    <row r="31" spans="1:14" ht="15.75" customHeight="1">
      <c r="A31" s="113" t="s">
        <v>146</v>
      </c>
      <c r="B31" s="114">
        <v>13410</v>
      </c>
      <c r="C31" s="115">
        <v>62945162</v>
      </c>
      <c r="D31" s="114">
        <v>6153</v>
      </c>
      <c r="E31" s="115">
        <v>2286982</v>
      </c>
      <c r="F31" s="114">
        <v>19563</v>
      </c>
      <c r="G31" s="115">
        <v>65232144</v>
      </c>
      <c r="H31" s="114">
        <v>750</v>
      </c>
      <c r="I31" s="116">
        <v>19430911</v>
      </c>
      <c r="J31" s="114">
        <v>1295</v>
      </c>
      <c r="K31" s="116">
        <v>-56070</v>
      </c>
      <c r="L31" s="114">
        <v>20509</v>
      </c>
      <c r="M31" s="116">
        <v>45745163</v>
      </c>
      <c r="N31" s="117" t="s">
        <v>103</v>
      </c>
    </row>
    <row r="32" spans="1:14" ht="15.75" customHeight="1">
      <c r="A32" s="118"/>
      <c r="B32" s="119"/>
      <c r="C32" s="120"/>
      <c r="D32" s="119"/>
      <c r="E32" s="120"/>
      <c r="F32" s="121"/>
      <c r="G32" s="120"/>
      <c r="H32" s="121"/>
      <c r="I32" s="120"/>
      <c r="J32" s="121"/>
      <c r="K32" s="120"/>
      <c r="L32" s="121"/>
      <c r="M32" s="120"/>
      <c r="N32" s="122"/>
    </row>
    <row r="33" spans="1:14" ht="15.75" customHeight="1">
      <c r="A33" s="102" t="s">
        <v>147</v>
      </c>
      <c r="B33" s="103">
        <f>_xlfn.COMPOUNDVALUE(183)</f>
        <v>3526</v>
      </c>
      <c r="C33" s="104">
        <v>15055465</v>
      </c>
      <c r="D33" s="103">
        <f>_xlfn.COMPOUNDVALUE(184)</f>
        <v>1494</v>
      </c>
      <c r="E33" s="104">
        <v>527324</v>
      </c>
      <c r="F33" s="103">
        <f>_xlfn.COMPOUNDVALUE(185)</f>
        <v>5020</v>
      </c>
      <c r="G33" s="104">
        <v>15582788</v>
      </c>
      <c r="H33" s="103">
        <f>_xlfn.COMPOUNDVALUE(186)</f>
        <v>119</v>
      </c>
      <c r="I33" s="105">
        <v>496405</v>
      </c>
      <c r="J33" s="103">
        <v>270</v>
      </c>
      <c r="K33" s="105">
        <v>61348</v>
      </c>
      <c r="L33" s="103">
        <v>5188</v>
      </c>
      <c r="M33" s="105">
        <v>15147732</v>
      </c>
      <c r="N33" s="106" t="s">
        <v>105</v>
      </c>
    </row>
    <row r="34" spans="1:14" ht="15.75" customHeight="1">
      <c r="A34" s="108" t="s">
        <v>148</v>
      </c>
      <c r="B34" s="109">
        <f>_xlfn.COMPOUNDVALUE(187)</f>
        <v>328</v>
      </c>
      <c r="C34" s="110">
        <v>834478</v>
      </c>
      <c r="D34" s="109">
        <f>_xlfn.COMPOUNDVALUE(188)</f>
        <v>159</v>
      </c>
      <c r="E34" s="110">
        <v>56710</v>
      </c>
      <c r="F34" s="109">
        <f>_xlfn.COMPOUNDVALUE(189)</f>
        <v>487</v>
      </c>
      <c r="G34" s="110">
        <v>891188</v>
      </c>
      <c r="H34" s="109">
        <f>_xlfn.COMPOUNDVALUE(190)</f>
        <v>13</v>
      </c>
      <c r="I34" s="111">
        <v>26816</v>
      </c>
      <c r="J34" s="109">
        <v>55</v>
      </c>
      <c r="K34" s="111">
        <v>5287</v>
      </c>
      <c r="L34" s="109">
        <v>511</v>
      </c>
      <c r="M34" s="111">
        <v>869659</v>
      </c>
      <c r="N34" s="112" t="s">
        <v>107</v>
      </c>
    </row>
    <row r="35" spans="1:14" ht="15.75" customHeight="1">
      <c r="A35" s="108" t="s">
        <v>149</v>
      </c>
      <c r="B35" s="109">
        <f>_xlfn.COMPOUNDVALUE(191)</f>
        <v>792</v>
      </c>
      <c r="C35" s="110">
        <v>2479987</v>
      </c>
      <c r="D35" s="109">
        <f>_xlfn.COMPOUNDVALUE(192)</f>
        <v>316</v>
      </c>
      <c r="E35" s="110">
        <v>120673</v>
      </c>
      <c r="F35" s="109">
        <f>_xlfn.COMPOUNDVALUE(193)</f>
        <v>1108</v>
      </c>
      <c r="G35" s="110">
        <v>2600660</v>
      </c>
      <c r="H35" s="109">
        <f>_xlfn.COMPOUNDVALUE(194)</f>
        <v>28</v>
      </c>
      <c r="I35" s="111">
        <v>413725</v>
      </c>
      <c r="J35" s="109">
        <v>57</v>
      </c>
      <c r="K35" s="111">
        <v>20209</v>
      </c>
      <c r="L35" s="109">
        <v>1145</v>
      </c>
      <c r="M35" s="111">
        <v>2207144</v>
      </c>
      <c r="N35" s="112" t="s">
        <v>109</v>
      </c>
    </row>
    <row r="36" spans="1:14" ht="15.75" customHeight="1">
      <c r="A36" s="108" t="s">
        <v>150</v>
      </c>
      <c r="B36" s="109">
        <f>_xlfn.COMPOUNDVALUE(195)</f>
        <v>610</v>
      </c>
      <c r="C36" s="110">
        <v>1311040</v>
      </c>
      <c r="D36" s="109">
        <f>_xlfn.COMPOUNDVALUE(196)</f>
        <v>229</v>
      </c>
      <c r="E36" s="110">
        <v>90392</v>
      </c>
      <c r="F36" s="109">
        <f>_xlfn.COMPOUNDVALUE(197)</f>
        <v>839</v>
      </c>
      <c r="G36" s="110">
        <v>1401432</v>
      </c>
      <c r="H36" s="109">
        <f>_xlfn.COMPOUNDVALUE(198)</f>
        <v>22</v>
      </c>
      <c r="I36" s="111">
        <v>47824</v>
      </c>
      <c r="J36" s="109">
        <v>59</v>
      </c>
      <c r="K36" s="111">
        <v>20602</v>
      </c>
      <c r="L36" s="109">
        <v>875</v>
      </c>
      <c r="M36" s="111">
        <v>1374209</v>
      </c>
      <c r="N36" s="112" t="s">
        <v>111</v>
      </c>
    </row>
    <row r="37" spans="1:14" ht="15.75" customHeight="1">
      <c r="A37" s="108" t="s">
        <v>151</v>
      </c>
      <c r="B37" s="109">
        <f>_xlfn.COMPOUNDVALUE(199)</f>
        <v>690</v>
      </c>
      <c r="C37" s="110">
        <v>1609922</v>
      </c>
      <c r="D37" s="109">
        <f>_xlfn.COMPOUNDVALUE(200)</f>
        <v>283</v>
      </c>
      <c r="E37" s="110">
        <v>108108</v>
      </c>
      <c r="F37" s="109">
        <f>_xlfn.COMPOUNDVALUE(201)</f>
        <v>973</v>
      </c>
      <c r="G37" s="110">
        <v>1718030</v>
      </c>
      <c r="H37" s="109">
        <f>_xlfn.COMPOUNDVALUE(202)</f>
        <v>22</v>
      </c>
      <c r="I37" s="111">
        <v>56009</v>
      </c>
      <c r="J37" s="109">
        <v>68</v>
      </c>
      <c r="K37" s="111">
        <v>3628</v>
      </c>
      <c r="L37" s="109">
        <v>1007</v>
      </c>
      <c r="M37" s="111">
        <v>1665650</v>
      </c>
      <c r="N37" s="112" t="s">
        <v>113</v>
      </c>
    </row>
    <row r="38" spans="1:14" ht="15.75" customHeight="1">
      <c r="A38" s="108" t="s">
        <v>152</v>
      </c>
      <c r="B38" s="109">
        <f>_xlfn.COMPOUNDVALUE(203)</f>
        <v>458</v>
      </c>
      <c r="C38" s="110">
        <v>1355889</v>
      </c>
      <c r="D38" s="109">
        <f>_xlfn.COMPOUNDVALUE(204)</f>
        <v>177</v>
      </c>
      <c r="E38" s="110">
        <v>66554</v>
      </c>
      <c r="F38" s="109">
        <f>_xlfn.COMPOUNDVALUE(205)</f>
        <v>635</v>
      </c>
      <c r="G38" s="110">
        <v>1422443</v>
      </c>
      <c r="H38" s="109">
        <f>_xlfn.COMPOUNDVALUE(206)</f>
        <v>24</v>
      </c>
      <c r="I38" s="111">
        <v>21742</v>
      </c>
      <c r="J38" s="109">
        <v>55</v>
      </c>
      <c r="K38" s="111">
        <v>982</v>
      </c>
      <c r="L38" s="109">
        <v>670</v>
      </c>
      <c r="M38" s="111">
        <v>1401683</v>
      </c>
      <c r="N38" s="112" t="s">
        <v>115</v>
      </c>
    </row>
    <row r="39" spans="1:14" ht="15.75" customHeight="1">
      <c r="A39" s="113" t="s">
        <v>153</v>
      </c>
      <c r="B39" s="114">
        <v>6404</v>
      </c>
      <c r="C39" s="115">
        <v>22646780</v>
      </c>
      <c r="D39" s="114">
        <v>2658</v>
      </c>
      <c r="E39" s="115">
        <v>969761</v>
      </c>
      <c r="F39" s="114">
        <v>9062</v>
      </c>
      <c r="G39" s="115">
        <v>23616541</v>
      </c>
      <c r="H39" s="114">
        <v>228</v>
      </c>
      <c r="I39" s="116">
        <v>1062520</v>
      </c>
      <c r="J39" s="114">
        <v>564</v>
      </c>
      <c r="K39" s="116">
        <v>112056</v>
      </c>
      <c r="L39" s="114">
        <v>9396</v>
      </c>
      <c r="M39" s="116">
        <v>22666077</v>
      </c>
      <c r="N39" s="117" t="s">
        <v>117</v>
      </c>
    </row>
    <row r="40" spans="1:14" ht="15.75" customHeight="1" thickBot="1">
      <c r="A40" s="123"/>
      <c r="B40" s="124"/>
      <c r="C40" s="125"/>
      <c r="D40" s="124"/>
      <c r="E40" s="125"/>
      <c r="F40" s="126"/>
      <c r="G40" s="125"/>
      <c r="H40" s="126"/>
      <c r="I40" s="125"/>
      <c r="J40" s="126"/>
      <c r="K40" s="125"/>
      <c r="L40" s="126"/>
      <c r="M40" s="125"/>
      <c r="N40" s="127"/>
    </row>
    <row r="41" spans="1:14" ht="15.75" customHeight="1" thickBot="1" thickTop="1">
      <c r="A41" s="129" t="s">
        <v>154</v>
      </c>
      <c r="B41" s="130">
        <v>37434</v>
      </c>
      <c r="C41" s="131">
        <v>157481308</v>
      </c>
      <c r="D41" s="130">
        <v>17597</v>
      </c>
      <c r="E41" s="131">
        <v>6351248</v>
      </c>
      <c r="F41" s="130">
        <v>55031</v>
      </c>
      <c r="G41" s="131">
        <v>163832556</v>
      </c>
      <c r="H41" s="130">
        <v>1835</v>
      </c>
      <c r="I41" s="132">
        <v>25144368</v>
      </c>
      <c r="J41" s="130">
        <v>3313</v>
      </c>
      <c r="K41" s="132">
        <v>146681</v>
      </c>
      <c r="L41" s="130">
        <v>57358</v>
      </c>
      <c r="M41" s="132">
        <v>138834869</v>
      </c>
      <c r="N41" s="133" t="s">
        <v>119</v>
      </c>
    </row>
    <row r="42" spans="1:14" ht="13.5">
      <c r="A42" s="197" t="s">
        <v>120</v>
      </c>
      <c r="B42" s="197"/>
      <c r="C42" s="197"/>
      <c r="D42" s="197"/>
      <c r="E42" s="197"/>
      <c r="F42" s="197"/>
      <c r="G42" s="197"/>
      <c r="H42" s="197"/>
      <c r="I42" s="197"/>
      <c r="J42" s="134"/>
      <c r="K42" s="134"/>
      <c r="L42" s="88"/>
      <c r="M42" s="88"/>
      <c r="N42" s="88"/>
    </row>
  </sheetData>
  <sheetProtection/>
  <mergeCells count="11">
    <mergeCell ref="A2:I2"/>
    <mergeCell ref="A3:A5"/>
    <mergeCell ref="B3:G3"/>
    <mergeCell ref="H3:I4"/>
    <mergeCell ref="J3:K4"/>
    <mergeCell ref="L3:M4"/>
    <mergeCell ref="N3:N5"/>
    <mergeCell ref="B4:C4"/>
    <mergeCell ref="D4:E4"/>
    <mergeCell ref="F4:G4"/>
    <mergeCell ref="A42:I42"/>
  </mergeCells>
  <printOptions/>
  <pageMargins left="0.7086614173228347" right="0.7086614173228347" top="0.7480314960629921" bottom="0.7480314960629921" header="0.31496062992125984" footer="0.31496062992125984"/>
  <pageSetup fitToHeight="0" fitToWidth="1" horizontalDpi="300" verticalDpi="300" orientation="portrait" paperSize="9" scale="55" r:id="rId1"/>
  <headerFooter>
    <oddFooter>&amp;R高松国税局
消費税
(H24)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41"/>
  <sheetViews>
    <sheetView tabSelected="1" zoomScalePageLayoutView="0" workbookViewId="0" topLeftCell="A1">
      <selection activeCell="A1" sqref="A1:K1"/>
    </sheetView>
  </sheetViews>
  <sheetFormatPr defaultColWidth="9.00390625" defaultRowHeight="13.5"/>
  <cols>
    <col min="1" max="1" width="10.375" style="89" customWidth="1"/>
    <col min="2" max="2" width="10.625" style="89" customWidth="1"/>
    <col min="3" max="3" width="12.625" style="89" customWidth="1"/>
    <col min="4" max="4" width="10.625" style="89" customWidth="1"/>
    <col min="5" max="5" width="12.625" style="89" customWidth="1"/>
    <col min="6" max="6" width="10.625" style="89" customWidth="1"/>
    <col min="7" max="7" width="12.625" style="89" customWidth="1"/>
    <col min="8" max="8" width="10.625" style="89" customWidth="1"/>
    <col min="9" max="9" width="12.625" style="89" customWidth="1"/>
    <col min="10" max="10" width="10.625" style="89" customWidth="1"/>
    <col min="11" max="11" width="12.625" style="89" customWidth="1"/>
    <col min="12" max="12" width="10.625" style="89" customWidth="1"/>
    <col min="13" max="13" width="12.625" style="89" customWidth="1"/>
    <col min="14" max="17" width="10.625" style="89" customWidth="1"/>
    <col min="18" max="18" width="10.375" style="89" customWidth="1"/>
    <col min="19" max="16384" width="9.00390625" style="89" customWidth="1"/>
  </cols>
  <sheetData>
    <row r="1" spans="1:16" ht="13.5">
      <c r="A1" s="87" t="s">
        <v>121</v>
      </c>
      <c r="B1" s="87"/>
      <c r="C1" s="87"/>
      <c r="D1" s="87"/>
      <c r="E1" s="87"/>
      <c r="F1" s="87"/>
      <c r="G1" s="87"/>
      <c r="H1" s="87"/>
      <c r="I1" s="87"/>
      <c r="J1" s="87"/>
      <c r="K1" s="87"/>
      <c r="L1" s="88"/>
      <c r="M1" s="88"/>
      <c r="N1" s="88"/>
      <c r="O1" s="88"/>
      <c r="P1" s="88"/>
    </row>
    <row r="2" spans="1:16" ht="14.25" thickBot="1">
      <c r="A2" s="204" t="s">
        <v>155</v>
      </c>
      <c r="B2" s="204"/>
      <c r="C2" s="204"/>
      <c r="D2" s="204"/>
      <c r="E2" s="204"/>
      <c r="F2" s="204"/>
      <c r="G2" s="204"/>
      <c r="H2" s="204"/>
      <c r="I2" s="204"/>
      <c r="J2" s="134"/>
      <c r="K2" s="134"/>
      <c r="L2" s="88"/>
      <c r="M2" s="88"/>
      <c r="N2" s="88"/>
      <c r="O2" s="88"/>
      <c r="P2" s="88"/>
    </row>
    <row r="3" spans="1:18" ht="19.5" customHeight="1">
      <c r="A3" s="199" t="s">
        <v>45</v>
      </c>
      <c r="B3" s="202" t="s">
        <v>46</v>
      </c>
      <c r="C3" s="202"/>
      <c r="D3" s="202"/>
      <c r="E3" s="202"/>
      <c r="F3" s="202"/>
      <c r="G3" s="202"/>
      <c r="H3" s="202" t="s">
        <v>13</v>
      </c>
      <c r="I3" s="202"/>
      <c r="J3" s="214" t="s">
        <v>47</v>
      </c>
      <c r="K3" s="202"/>
      <c r="L3" s="202" t="s">
        <v>48</v>
      </c>
      <c r="M3" s="202"/>
      <c r="N3" s="205" t="s">
        <v>156</v>
      </c>
      <c r="O3" s="206"/>
      <c r="P3" s="206"/>
      <c r="Q3" s="206"/>
      <c r="R3" s="192" t="s">
        <v>123</v>
      </c>
    </row>
    <row r="4" spans="1:18" ht="17.25" customHeight="1">
      <c r="A4" s="200"/>
      <c r="B4" s="195" t="s">
        <v>18</v>
      </c>
      <c r="C4" s="195"/>
      <c r="D4" s="195" t="s">
        <v>50</v>
      </c>
      <c r="E4" s="195"/>
      <c r="F4" s="195" t="s">
        <v>51</v>
      </c>
      <c r="G4" s="195"/>
      <c r="H4" s="195"/>
      <c r="I4" s="195"/>
      <c r="J4" s="195"/>
      <c r="K4" s="195"/>
      <c r="L4" s="195"/>
      <c r="M4" s="195"/>
      <c r="N4" s="207" t="s">
        <v>157</v>
      </c>
      <c r="O4" s="209" t="s">
        <v>158</v>
      </c>
      <c r="P4" s="211" t="s">
        <v>159</v>
      </c>
      <c r="Q4" s="191" t="s">
        <v>160</v>
      </c>
      <c r="R4" s="193"/>
    </row>
    <row r="5" spans="1:18" ht="28.5" customHeight="1">
      <c r="A5" s="201"/>
      <c r="B5" s="90" t="s">
        <v>52</v>
      </c>
      <c r="C5" s="91" t="s">
        <v>53</v>
      </c>
      <c r="D5" s="90" t="s">
        <v>52</v>
      </c>
      <c r="E5" s="91" t="s">
        <v>53</v>
      </c>
      <c r="F5" s="90" t="s">
        <v>52</v>
      </c>
      <c r="G5" s="91" t="s">
        <v>54</v>
      </c>
      <c r="H5" s="90" t="s">
        <v>52</v>
      </c>
      <c r="I5" s="91" t="s">
        <v>55</v>
      </c>
      <c r="J5" s="90" t="s">
        <v>52</v>
      </c>
      <c r="K5" s="91" t="s">
        <v>56</v>
      </c>
      <c r="L5" s="90" t="s">
        <v>52</v>
      </c>
      <c r="M5" s="137" t="s">
        <v>161</v>
      </c>
      <c r="N5" s="208"/>
      <c r="O5" s="210"/>
      <c r="P5" s="212"/>
      <c r="Q5" s="213"/>
      <c r="R5" s="194"/>
    </row>
    <row r="6" spans="1:18" ht="15.75" customHeight="1">
      <c r="A6" s="102" t="s">
        <v>58</v>
      </c>
      <c r="B6" s="103">
        <f>_xlfn.COMPOUNDVALUE(207)</f>
        <v>5106</v>
      </c>
      <c r="C6" s="104">
        <v>14479947</v>
      </c>
      <c r="D6" s="103">
        <f>_xlfn.COMPOUNDVALUE(208)</f>
        <v>3706</v>
      </c>
      <c r="E6" s="104">
        <v>1132094</v>
      </c>
      <c r="F6" s="103">
        <f>_xlfn.COMPOUNDVALUE(209)</f>
        <v>8812</v>
      </c>
      <c r="G6" s="104">
        <v>15612042</v>
      </c>
      <c r="H6" s="103">
        <f>_xlfn.COMPOUNDVALUE(210)</f>
        <v>244</v>
      </c>
      <c r="I6" s="105">
        <v>457512</v>
      </c>
      <c r="J6" s="103">
        <v>498</v>
      </c>
      <c r="K6" s="105">
        <v>88541</v>
      </c>
      <c r="L6" s="103">
        <v>9168</v>
      </c>
      <c r="M6" s="105">
        <v>15243070</v>
      </c>
      <c r="N6" s="103">
        <v>9265</v>
      </c>
      <c r="O6" s="138">
        <v>181</v>
      </c>
      <c r="P6" s="138">
        <v>24</v>
      </c>
      <c r="Q6" s="139">
        <v>9470</v>
      </c>
      <c r="R6" s="140" t="s">
        <v>59</v>
      </c>
    </row>
    <row r="7" spans="1:18" ht="15.75" customHeight="1">
      <c r="A7" s="108" t="s">
        <v>60</v>
      </c>
      <c r="B7" s="109">
        <f>_xlfn.COMPOUNDVALUE(211)</f>
        <v>1648</v>
      </c>
      <c r="C7" s="110">
        <v>5640941</v>
      </c>
      <c r="D7" s="109">
        <f>_xlfn.COMPOUNDVALUE(212)</f>
        <v>1830</v>
      </c>
      <c r="E7" s="110">
        <v>524551</v>
      </c>
      <c r="F7" s="109">
        <f>_xlfn.COMPOUNDVALUE(213)</f>
        <v>3478</v>
      </c>
      <c r="G7" s="110">
        <v>6165492</v>
      </c>
      <c r="H7" s="109">
        <f>_xlfn.COMPOUNDVALUE(214)</f>
        <v>103</v>
      </c>
      <c r="I7" s="111">
        <v>305260</v>
      </c>
      <c r="J7" s="109">
        <v>153</v>
      </c>
      <c r="K7" s="111">
        <v>8111</v>
      </c>
      <c r="L7" s="109">
        <v>3627</v>
      </c>
      <c r="M7" s="111">
        <v>5868342</v>
      </c>
      <c r="N7" s="103">
        <v>3631</v>
      </c>
      <c r="O7" s="138">
        <v>61</v>
      </c>
      <c r="P7" s="138">
        <v>7</v>
      </c>
      <c r="Q7" s="139">
        <v>3699</v>
      </c>
      <c r="R7" s="140" t="s">
        <v>61</v>
      </c>
    </row>
    <row r="8" spans="1:18" ht="15.75" customHeight="1">
      <c r="A8" s="108" t="s">
        <v>62</v>
      </c>
      <c r="B8" s="109">
        <f>_xlfn.COMPOUNDVALUE(215)</f>
        <v>1352</v>
      </c>
      <c r="C8" s="110">
        <v>2317494</v>
      </c>
      <c r="D8" s="109">
        <f>_xlfn.COMPOUNDVALUE(216)</f>
        <v>985</v>
      </c>
      <c r="E8" s="110">
        <v>272360</v>
      </c>
      <c r="F8" s="109">
        <f>_xlfn.COMPOUNDVALUE(217)</f>
        <v>2337</v>
      </c>
      <c r="G8" s="110">
        <v>2589855</v>
      </c>
      <c r="H8" s="109">
        <f>_xlfn.COMPOUNDVALUE(218)</f>
        <v>102</v>
      </c>
      <c r="I8" s="111">
        <v>1717954</v>
      </c>
      <c r="J8" s="109">
        <v>152</v>
      </c>
      <c r="K8" s="111">
        <v>7756</v>
      </c>
      <c r="L8" s="109">
        <v>2460</v>
      </c>
      <c r="M8" s="111">
        <v>879656</v>
      </c>
      <c r="N8" s="103">
        <v>2442</v>
      </c>
      <c r="O8" s="138">
        <v>65</v>
      </c>
      <c r="P8" s="138">
        <v>0</v>
      </c>
      <c r="Q8" s="139">
        <v>2507</v>
      </c>
      <c r="R8" s="140" t="s">
        <v>63</v>
      </c>
    </row>
    <row r="9" spans="1:18" ht="15.75" customHeight="1">
      <c r="A9" s="108" t="s">
        <v>64</v>
      </c>
      <c r="B9" s="109">
        <f>_xlfn.COMPOUNDVALUE(219)</f>
        <v>892</v>
      </c>
      <c r="C9" s="110">
        <v>1381700</v>
      </c>
      <c r="D9" s="109">
        <f>_xlfn.COMPOUNDVALUE(220)</f>
        <v>801</v>
      </c>
      <c r="E9" s="110">
        <v>216992</v>
      </c>
      <c r="F9" s="109">
        <f>_xlfn.COMPOUNDVALUE(221)</f>
        <v>1693</v>
      </c>
      <c r="G9" s="110">
        <v>1598692</v>
      </c>
      <c r="H9" s="109">
        <f>_xlfn.COMPOUNDVALUE(222)</f>
        <v>69</v>
      </c>
      <c r="I9" s="111">
        <v>52139</v>
      </c>
      <c r="J9" s="109">
        <v>98</v>
      </c>
      <c r="K9" s="111">
        <v>14492</v>
      </c>
      <c r="L9" s="109">
        <v>1782</v>
      </c>
      <c r="M9" s="111">
        <v>1561045</v>
      </c>
      <c r="N9" s="103">
        <v>1784</v>
      </c>
      <c r="O9" s="138">
        <v>30</v>
      </c>
      <c r="P9" s="138">
        <v>0</v>
      </c>
      <c r="Q9" s="139">
        <v>1814</v>
      </c>
      <c r="R9" s="140" t="s">
        <v>65</v>
      </c>
    </row>
    <row r="10" spans="1:18" ht="15.75" customHeight="1">
      <c r="A10" s="108" t="s">
        <v>66</v>
      </c>
      <c r="B10" s="109">
        <f>_xlfn.COMPOUNDVALUE(223)</f>
        <v>487</v>
      </c>
      <c r="C10" s="110">
        <v>849531</v>
      </c>
      <c r="D10" s="109">
        <f>_xlfn.COMPOUNDVALUE(224)</f>
        <v>398</v>
      </c>
      <c r="E10" s="110">
        <v>110993</v>
      </c>
      <c r="F10" s="109">
        <f>_xlfn.COMPOUNDVALUE(225)</f>
        <v>885</v>
      </c>
      <c r="G10" s="110">
        <v>960523</v>
      </c>
      <c r="H10" s="109">
        <f>_xlfn.COMPOUNDVALUE(226)</f>
        <v>22</v>
      </c>
      <c r="I10" s="111">
        <v>9690</v>
      </c>
      <c r="J10" s="109">
        <v>92</v>
      </c>
      <c r="K10" s="111">
        <v>11142</v>
      </c>
      <c r="L10" s="109">
        <v>930</v>
      </c>
      <c r="M10" s="111">
        <v>961975</v>
      </c>
      <c r="N10" s="103">
        <v>873</v>
      </c>
      <c r="O10" s="138">
        <v>15</v>
      </c>
      <c r="P10" s="138">
        <v>4</v>
      </c>
      <c r="Q10" s="139">
        <v>892</v>
      </c>
      <c r="R10" s="140" t="s">
        <v>67</v>
      </c>
    </row>
    <row r="11" spans="1:18" ht="15.75" customHeight="1">
      <c r="A11" s="108" t="s">
        <v>68</v>
      </c>
      <c r="B11" s="109">
        <f>_xlfn.COMPOUNDVALUE(227)</f>
        <v>532</v>
      </c>
      <c r="C11" s="110">
        <v>903134</v>
      </c>
      <c r="D11" s="109">
        <f>_xlfn.COMPOUNDVALUE(228)</f>
        <v>420</v>
      </c>
      <c r="E11" s="110">
        <v>119932</v>
      </c>
      <c r="F11" s="109">
        <f>_xlfn.COMPOUNDVALUE(229)</f>
        <v>952</v>
      </c>
      <c r="G11" s="110">
        <v>1023066</v>
      </c>
      <c r="H11" s="109">
        <f>_xlfn.COMPOUNDVALUE(230)</f>
        <v>32</v>
      </c>
      <c r="I11" s="111">
        <v>23527</v>
      </c>
      <c r="J11" s="109">
        <v>53</v>
      </c>
      <c r="K11" s="111">
        <v>5730</v>
      </c>
      <c r="L11" s="109">
        <v>1000</v>
      </c>
      <c r="M11" s="111">
        <v>1005269</v>
      </c>
      <c r="N11" s="103">
        <v>969</v>
      </c>
      <c r="O11" s="138">
        <v>17</v>
      </c>
      <c r="P11" s="138">
        <v>3</v>
      </c>
      <c r="Q11" s="139">
        <v>989</v>
      </c>
      <c r="R11" s="140" t="s">
        <v>69</v>
      </c>
    </row>
    <row r="12" spans="1:18" ht="15.75" customHeight="1">
      <c r="A12" s="113" t="s">
        <v>70</v>
      </c>
      <c r="B12" s="114">
        <v>10017</v>
      </c>
      <c r="C12" s="115">
        <v>25572747</v>
      </c>
      <c r="D12" s="114">
        <v>8140</v>
      </c>
      <c r="E12" s="115">
        <v>2376922</v>
      </c>
      <c r="F12" s="114">
        <v>18157</v>
      </c>
      <c r="G12" s="115">
        <v>27949669</v>
      </c>
      <c r="H12" s="114">
        <v>572</v>
      </c>
      <c r="I12" s="116">
        <v>2566083</v>
      </c>
      <c r="J12" s="114">
        <v>1046</v>
      </c>
      <c r="K12" s="116">
        <v>135771</v>
      </c>
      <c r="L12" s="114">
        <v>18967</v>
      </c>
      <c r="M12" s="116">
        <v>25519358</v>
      </c>
      <c r="N12" s="114">
        <v>18964</v>
      </c>
      <c r="O12" s="141">
        <v>369</v>
      </c>
      <c r="P12" s="141">
        <v>38</v>
      </c>
      <c r="Q12" s="142">
        <v>19371</v>
      </c>
      <c r="R12" s="117" t="s">
        <v>71</v>
      </c>
    </row>
    <row r="13" spans="1:18" ht="15.75" customHeight="1">
      <c r="A13" s="118"/>
      <c r="B13" s="119"/>
      <c r="C13" s="120"/>
      <c r="D13" s="119"/>
      <c r="E13" s="120"/>
      <c r="F13" s="121"/>
      <c r="G13" s="120"/>
      <c r="H13" s="121"/>
      <c r="I13" s="120"/>
      <c r="J13" s="121"/>
      <c r="K13" s="120"/>
      <c r="L13" s="121"/>
      <c r="M13" s="120"/>
      <c r="N13" s="143"/>
      <c r="O13" s="144"/>
      <c r="P13" s="144"/>
      <c r="Q13" s="145"/>
      <c r="R13" s="146" t="s">
        <v>162</v>
      </c>
    </row>
    <row r="14" spans="1:18" ht="15.75" customHeight="1">
      <c r="A14" s="102" t="s">
        <v>72</v>
      </c>
      <c r="B14" s="103">
        <f>_xlfn.COMPOUNDVALUE(231)</f>
        <v>6416</v>
      </c>
      <c r="C14" s="104">
        <v>30318393</v>
      </c>
      <c r="D14" s="103">
        <f>_xlfn.COMPOUNDVALUE(232)</f>
        <v>4519</v>
      </c>
      <c r="E14" s="104">
        <v>1389647</v>
      </c>
      <c r="F14" s="103">
        <f>_xlfn.COMPOUNDVALUE(233)</f>
        <v>10935</v>
      </c>
      <c r="G14" s="104">
        <v>31708040</v>
      </c>
      <c r="H14" s="103">
        <f>_xlfn.COMPOUNDVALUE(234)</f>
        <v>316</v>
      </c>
      <c r="I14" s="105">
        <v>1624363</v>
      </c>
      <c r="J14" s="103">
        <v>678</v>
      </c>
      <c r="K14" s="105">
        <v>108959</v>
      </c>
      <c r="L14" s="103">
        <v>11477</v>
      </c>
      <c r="M14" s="105">
        <v>30192635</v>
      </c>
      <c r="N14" s="147">
        <v>11377</v>
      </c>
      <c r="O14" s="148">
        <v>225</v>
      </c>
      <c r="P14" s="148">
        <v>34</v>
      </c>
      <c r="Q14" s="149">
        <v>11636</v>
      </c>
      <c r="R14" s="106" t="s">
        <v>73</v>
      </c>
    </row>
    <row r="15" spans="1:18" ht="15.75" customHeight="1">
      <c r="A15" s="108" t="s">
        <v>74</v>
      </c>
      <c r="B15" s="109">
        <f>_xlfn.COMPOUNDVALUE(235)</f>
        <v>2170</v>
      </c>
      <c r="C15" s="110">
        <v>6266286</v>
      </c>
      <c r="D15" s="109">
        <f>_xlfn.COMPOUNDVALUE(236)</f>
        <v>1855</v>
      </c>
      <c r="E15" s="110">
        <v>546069</v>
      </c>
      <c r="F15" s="109">
        <f>_xlfn.COMPOUNDVALUE(237)</f>
        <v>4025</v>
      </c>
      <c r="G15" s="110">
        <v>6812356</v>
      </c>
      <c r="H15" s="109">
        <f>_xlfn.COMPOUNDVALUE(238)</f>
        <v>92</v>
      </c>
      <c r="I15" s="111">
        <v>215219</v>
      </c>
      <c r="J15" s="109">
        <v>236</v>
      </c>
      <c r="K15" s="111">
        <v>24463</v>
      </c>
      <c r="L15" s="109">
        <v>4172</v>
      </c>
      <c r="M15" s="111">
        <v>6621600</v>
      </c>
      <c r="N15" s="103">
        <v>4127</v>
      </c>
      <c r="O15" s="138">
        <v>82</v>
      </c>
      <c r="P15" s="138">
        <v>7</v>
      </c>
      <c r="Q15" s="139">
        <v>4216</v>
      </c>
      <c r="R15" s="140" t="s">
        <v>75</v>
      </c>
    </row>
    <row r="16" spans="1:18" ht="15.75" customHeight="1">
      <c r="A16" s="108" t="s">
        <v>76</v>
      </c>
      <c r="B16" s="109">
        <f>_xlfn.COMPOUNDVALUE(239)</f>
        <v>1229</v>
      </c>
      <c r="C16" s="110">
        <v>3749949</v>
      </c>
      <c r="D16" s="109">
        <f>_xlfn.COMPOUNDVALUE(240)</f>
        <v>854</v>
      </c>
      <c r="E16" s="110">
        <v>264031</v>
      </c>
      <c r="F16" s="109">
        <f>_xlfn.COMPOUNDVALUE(241)</f>
        <v>2083</v>
      </c>
      <c r="G16" s="110">
        <v>4013979</v>
      </c>
      <c r="H16" s="109">
        <f>_xlfn.COMPOUNDVALUE(242)</f>
        <v>61</v>
      </c>
      <c r="I16" s="111">
        <v>115073</v>
      </c>
      <c r="J16" s="109">
        <v>121</v>
      </c>
      <c r="K16" s="111">
        <v>29142</v>
      </c>
      <c r="L16" s="109">
        <v>2169</v>
      </c>
      <c r="M16" s="111">
        <v>3928048</v>
      </c>
      <c r="N16" s="103">
        <v>2203</v>
      </c>
      <c r="O16" s="138">
        <v>41</v>
      </c>
      <c r="P16" s="138">
        <v>15</v>
      </c>
      <c r="Q16" s="139">
        <v>2259</v>
      </c>
      <c r="R16" s="140" t="s">
        <v>77</v>
      </c>
    </row>
    <row r="17" spans="1:18" ht="15.75" customHeight="1">
      <c r="A17" s="108" t="s">
        <v>78</v>
      </c>
      <c r="B17" s="109">
        <f>_xlfn.COMPOUNDVALUE(243)</f>
        <v>1703</v>
      </c>
      <c r="C17" s="110">
        <v>4470804</v>
      </c>
      <c r="D17" s="109">
        <f>_xlfn.COMPOUNDVALUE(244)</f>
        <v>1414</v>
      </c>
      <c r="E17" s="110">
        <v>389676</v>
      </c>
      <c r="F17" s="109">
        <f>_xlfn.COMPOUNDVALUE(245)</f>
        <v>3117</v>
      </c>
      <c r="G17" s="110">
        <v>4860480</v>
      </c>
      <c r="H17" s="109">
        <f>_xlfn.COMPOUNDVALUE(246)</f>
        <v>103</v>
      </c>
      <c r="I17" s="111">
        <v>42756</v>
      </c>
      <c r="J17" s="109">
        <v>212</v>
      </c>
      <c r="K17" s="111">
        <v>1127</v>
      </c>
      <c r="L17" s="109">
        <v>3254</v>
      </c>
      <c r="M17" s="111">
        <v>4818851</v>
      </c>
      <c r="N17" s="103">
        <v>3209</v>
      </c>
      <c r="O17" s="138">
        <v>52</v>
      </c>
      <c r="P17" s="138">
        <v>6</v>
      </c>
      <c r="Q17" s="139">
        <v>3267</v>
      </c>
      <c r="R17" s="140" t="s">
        <v>79</v>
      </c>
    </row>
    <row r="18" spans="1:18" ht="15.75" customHeight="1">
      <c r="A18" s="108" t="s">
        <v>80</v>
      </c>
      <c r="B18" s="109">
        <f>_xlfn.COMPOUNDVALUE(247)</f>
        <v>1011</v>
      </c>
      <c r="C18" s="110">
        <v>2147968</v>
      </c>
      <c r="D18" s="109">
        <f>_xlfn.COMPOUNDVALUE(248)</f>
        <v>782</v>
      </c>
      <c r="E18" s="110">
        <v>223076</v>
      </c>
      <c r="F18" s="109">
        <f>_xlfn.COMPOUNDVALUE(249)</f>
        <v>1793</v>
      </c>
      <c r="G18" s="110">
        <v>2371044</v>
      </c>
      <c r="H18" s="109">
        <f>_xlfn.COMPOUNDVALUE(250)</f>
        <v>80</v>
      </c>
      <c r="I18" s="111">
        <v>192820</v>
      </c>
      <c r="J18" s="109">
        <v>94</v>
      </c>
      <c r="K18" s="111">
        <v>12438</v>
      </c>
      <c r="L18" s="109">
        <v>1905</v>
      </c>
      <c r="M18" s="111">
        <v>2190663</v>
      </c>
      <c r="N18" s="103">
        <v>1818</v>
      </c>
      <c r="O18" s="138">
        <v>49</v>
      </c>
      <c r="P18" s="138">
        <v>2</v>
      </c>
      <c r="Q18" s="139">
        <v>1869</v>
      </c>
      <c r="R18" s="140" t="s">
        <v>81</v>
      </c>
    </row>
    <row r="19" spans="1:18" ht="15.75" customHeight="1">
      <c r="A19" s="108" t="s">
        <v>82</v>
      </c>
      <c r="B19" s="109">
        <f>_xlfn.COMPOUNDVALUE(251)</f>
        <v>515</v>
      </c>
      <c r="C19" s="110">
        <v>1147581</v>
      </c>
      <c r="D19" s="109">
        <f>_xlfn.COMPOUNDVALUE(252)</f>
        <v>476</v>
      </c>
      <c r="E19" s="110">
        <v>127503</v>
      </c>
      <c r="F19" s="109">
        <f>_xlfn.COMPOUNDVALUE(253)</f>
        <v>991</v>
      </c>
      <c r="G19" s="110">
        <v>1275084</v>
      </c>
      <c r="H19" s="109">
        <f>_xlfn.COMPOUNDVALUE(254)</f>
        <v>21</v>
      </c>
      <c r="I19" s="111">
        <v>16804</v>
      </c>
      <c r="J19" s="109">
        <v>75</v>
      </c>
      <c r="K19" s="111">
        <v>-1984</v>
      </c>
      <c r="L19" s="109">
        <v>1022</v>
      </c>
      <c r="M19" s="111">
        <v>1256295</v>
      </c>
      <c r="N19" s="103">
        <v>1027</v>
      </c>
      <c r="O19" s="138">
        <v>20</v>
      </c>
      <c r="P19" s="138">
        <v>1</v>
      </c>
      <c r="Q19" s="139">
        <v>1048</v>
      </c>
      <c r="R19" s="140" t="s">
        <v>83</v>
      </c>
    </row>
    <row r="20" spans="1:18" ht="15.75" customHeight="1">
      <c r="A20" s="113" t="s">
        <v>163</v>
      </c>
      <c r="B20" s="114">
        <v>13044</v>
      </c>
      <c r="C20" s="115">
        <v>48100981</v>
      </c>
      <c r="D20" s="114">
        <v>9900</v>
      </c>
      <c r="E20" s="115">
        <v>2940002</v>
      </c>
      <c r="F20" s="114">
        <v>22944</v>
      </c>
      <c r="G20" s="115">
        <v>51040983</v>
      </c>
      <c r="H20" s="114">
        <v>673</v>
      </c>
      <c r="I20" s="116">
        <v>2207035</v>
      </c>
      <c r="J20" s="114">
        <v>1416</v>
      </c>
      <c r="K20" s="116">
        <v>174144</v>
      </c>
      <c r="L20" s="114">
        <v>23999</v>
      </c>
      <c r="M20" s="116">
        <v>49008091</v>
      </c>
      <c r="N20" s="114">
        <v>23761</v>
      </c>
      <c r="O20" s="141">
        <v>469</v>
      </c>
      <c r="P20" s="141">
        <v>65</v>
      </c>
      <c r="Q20" s="142">
        <v>24295</v>
      </c>
      <c r="R20" s="117" t="s">
        <v>85</v>
      </c>
    </row>
    <row r="21" spans="1:18" ht="15.75" customHeight="1">
      <c r="A21" s="118"/>
      <c r="B21" s="119"/>
      <c r="C21" s="120"/>
      <c r="D21" s="119"/>
      <c r="E21" s="120"/>
      <c r="F21" s="121"/>
      <c r="G21" s="120"/>
      <c r="H21" s="121"/>
      <c r="I21" s="120"/>
      <c r="J21" s="121"/>
      <c r="K21" s="120"/>
      <c r="L21" s="121"/>
      <c r="M21" s="120"/>
      <c r="N21" s="143"/>
      <c r="O21" s="144"/>
      <c r="P21" s="144"/>
      <c r="Q21" s="145"/>
      <c r="R21" s="146" t="s">
        <v>162</v>
      </c>
    </row>
    <row r="22" spans="1:18" ht="15.75" customHeight="1">
      <c r="A22" s="102" t="s">
        <v>86</v>
      </c>
      <c r="B22" s="103">
        <f>_xlfn.COMPOUNDVALUE(255)</f>
        <v>7772</v>
      </c>
      <c r="C22" s="104">
        <v>28291199</v>
      </c>
      <c r="D22" s="103">
        <f>_xlfn.COMPOUNDVALUE(256)</f>
        <v>5310</v>
      </c>
      <c r="E22" s="104">
        <v>1672628</v>
      </c>
      <c r="F22" s="103">
        <f>_xlfn.COMPOUNDVALUE(257)</f>
        <v>13082</v>
      </c>
      <c r="G22" s="104">
        <v>29963826</v>
      </c>
      <c r="H22" s="103">
        <f>_xlfn.COMPOUNDVALUE(258)</f>
        <v>363</v>
      </c>
      <c r="I22" s="105">
        <v>1204396</v>
      </c>
      <c r="J22" s="103">
        <v>776</v>
      </c>
      <c r="K22" s="105">
        <v>97391</v>
      </c>
      <c r="L22" s="103">
        <v>13665</v>
      </c>
      <c r="M22" s="105">
        <v>28856821</v>
      </c>
      <c r="N22" s="147">
        <v>13892</v>
      </c>
      <c r="O22" s="148">
        <v>259</v>
      </c>
      <c r="P22" s="148">
        <v>21</v>
      </c>
      <c r="Q22" s="149">
        <v>14172</v>
      </c>
      <c r="R22" s="106" t="s">
        <v>87</v>
      </c>
    </row>
    <row r="23" spans="1:18" ht="15.75" customHeight="1">
      <c r="A23" s="108" t="s">
        <v>88</v>
      </c>
      <c r="B23" s="109">
        <f>_xlfn.COMPOUNDVALUE(259)</f>
        <v>2809</v>
      </c>
      <c r="C23" s="110">
        <v>10570146</v>
      </c>
      <c r="D23" s="109">
        <f>_xlfn.COMPOUNDVALUE(260)</f>
        <v>1945</v>
      </c>
      <c r="E23" s="110">
        <v>595670</v>
      </c>
      <c r="F23" s="109">
        <f>_xlfn.COMPOUNDVALUE(261)</f>
        <v>4754</v>
      </c>
      <c r="G23" s="110">
        <v>11165817</v>
      </c>
      <c r="H23" s="109">
        <f>_xlfn.COMPOUNDVALUE(262)</f>
        <v>241</v>
      </c>
      <c r="I23" s="111">
        <v>17864299</v>
      </c>
      <c r="J23" s="109">
        <v>376</v>
      </c>
      <c r="K23" s="111">
        <v>-85970</v>
      </c>
      <c r="L23" s="109">
        <v>5074</v>
      </c>
      <c r="M23" s="111">
        <v>-6784453</v>
      </c>
      <c r="N23" s="103">
        <v>4978</v>
      </c>
      <c r="O23" s="138">
        <v>115</v>
      </c>
      <c r="P23" s="138">
        <v>2</v>
      </c>
      <c r="Q23" s="139">
        <v>5095</v>
      </c>
      <c r="R23" s="140" t="s">
        <v>89</v>
      </c>
    </row>
    <row r="24" spans="1:18" ht="15.75" customHeight="1">
      <c r="A24" s="108" t="s">
        <v>90</v>
      </c>
      <c r="B24" s="109">
        <f>_xlfn.COMPOUNDVALUE(263)</f>
        <v>1671</v>
      </c>
      <c r="C24" s="110">
        <v>2981163</v>
      </c>
      <c r="D24" s="109">
        <f>_xlfn.COMPOUNDVALUE(264)</f>
        <v>1363</v>
      </c>
      <c r="E24" s="110">
        <v>363543</v>
      </c>
      <c r="F24" s="109">
        <f>_xlfn.COMPOUNDVALUE(265)</f>
        <v>3034</v>
      </c>
      <c r="G24" s="110">
        <v>3344706</v>
      </c>
      <c r="H24" s="109">
        <f>_xlfn.COMPOUNDVALUE(266)</f>
        <v>175</v>
      </c>
      <c r="I24" s="111">
        <v>137383</v>
      </c>
      <c r="J24" s="109">
        <v>197</v>
      </c>
      <c r="K24" s="111">
        <v>8427</v>
      </c>
      <c r="L24" s="109">
        <v>3246</v>
      </c>
      <c r="M24" s="111">
        <v>3215749</v>
      </c>
      <c r="N24" s="103">
        <v>3126</v>
      </c>
      <c r="O24" s="138">
        <v>45</v>
      </c>
      <c r="P24" s="138">
        <v>5</v>
      </c>
      <c r="Q24" s="139">
        <v>3176</v>
      </c>
      <c r="R24" s="140" t="s">
        <v>91</v>
      </c>
    </row>
    <row r="25" spans="1:18" ht="15.75" customHeight="1">
      <c r="A25" s="108" t="s">
        <v>92</v>
      </c>
      <c r="B25" s="109">
        <f>_xlfn.COMPOUNDVALUE(267)</f>
        <v>1069</v>
      </c>
      <c r="C25" s="110">
        <v>2213438</v>
      </c>
      <c r="D25" s="109">
        <f>_xlfn.COMPOUNDVALUE(268)</f>
        <v>1197</v>
      </c>
      <c r="E25" s="110">
        <v>283382</v>
      </c>
      <c r="F25" s="109">
        <f>_xlfn.COMPOUNDVALUE(269)</f>
        <v>2266</v>
      </c>
      <c r="G25" s="110">
        <v>2496820</v>
      </c>
      <c r="H25" s="109">
        <f>_xlfn.COMPOUNDVALUE(270)</f>
        <v>66</v>
      </c>
      <c r="I25" s="111">
        <v>98622</v>
      </c>
      <c r="J25" s="109">
        <v>156</v>
      </c>
      <c r="K25" s="111">
        <v>5515</v>
      </c>
      <c r="L25" s="109">
        <v>2348</v>
      </c>
      <c r="M25" s="111">
        <v>2403713</v>
      </c>
      <c r="N25" s="103">
        <v>2230</v>
      </c>
      <c r="O25" s="138">
        <v>44</v>
      </c>
      <c r="P25" s="138">
        <v>3</v>
      </c>
      <c r="Q25" s="139">
        <v>2277</v>
      </c>
      <c r="R25" s="140" t="s">
        <v>93</v>
      </c>
    </row>
    <row r="26" spans="1:18" ht="15.75" customHeight="1">
      <c r="A26" s="108" t="s">
        <v>94</v>
      </c>
      <c r="B26" s="109">
        <f>_xlfn.COMPOUNDVALUE(271)</f>
        <v>1458</v>
      </c>
      <c r="C26" s="110">
        <v>5446190</v>
      </c>
      <c r="D26" s="109">
        <f>_xlfn.COMPOUNDVALUE(272)</f>
        <v>1000</v>
      </c>
      <c r="E26" s="110">
        <v>334907</v>
      </c>
      <c r="F26" s="109">
        <f>_xlfn.COMPOUNDVALUE(273)</f>
        <v>2458</v>
      </c>
      <c r="G26" s="110">
        <v>5781097</v>
      </c>
      <c r="H26" s="109">
        <f>_xlfn.COMPOUNDVALUE(274)</f>
        <v>49</v>
      </c>
      <c r="I26" s="111">
        <v>58148</v>
      </c>
      <c r="J26" s="109">
        <v>177</v>
      </c>
      <c r="K26" s="111">
        <v>-5384</v>
      </c>
      <c r="L26" s="109">
        <v>2532</v>
      </c>
      <c r="M26" s="111">
        <v>5717564</v>
      </c>
      <c r="N26" s="103">
        <v>2585</v>
      </c>
      <c r="O26" s="138">
        <v>40</v>
      </c>
      <c r="P26" s="138">
        <v>4</v>
      </c>
      <c r="Q26" s="139">
        <v>2629</v>
      </c>
      <c r="R26" s="140" t="s">
        <v>95</v>
      </c>
    </row>
    <row r="27" spans="1:18" ht="15.75" customHeight="1">
      <c r="A27" s="108" t="s">
        <v>96</v>
      </c>
      <c r="B27" s="109">
        <f>_xlfn.COMPOUNDVALUE(275)</f>
        <v>1351</v>
      </c>
      <c r="C27" s="110">
        <v>3197467</v>
      </c>
      <c r="D27" s="109">
        <f>_xlfn.COMPOUNDVALUE(276)</f>
        <v>1005</v>
      </c>
      <c r="E27" s="110">
        <v>319985</v>
      </c>
      <c r="F27" s="109">
        <f>_xlfn.COMPOUNDVALUE(277)</f>
        <v>2356</v>
      </c>
      <c r="G27" s="110">
        <v>3517451</v>
      </c>
      <c r="H27" s="109">
        <f>_xlfn.COMPOUNDVALUE(278)</f>
        <v>76</v>
      </c>
      <c r="I27" s="111">
        <v>99639</v>
      </c>
      <c r="J27" s="109">
        <v>93</v>
      </c>
      <c r="K27" s="111">
        <v>12925</v>
      </c>
      <c r="L27" s="109">
        <v>2461</v>
      </c>
      <c r="M27" s="111">
        <v>3430737</v>
      </c>
      <c r="N27" s="103">
        <v>2476</v>
      </c>
      <c r="O27" s="138">
        <v>70</v>
      </c>
      <c r="P27" s="138">
        <v>3</v>
      </c>
      <c r="Q27" s="139">
        <v>2549</v>
      </c>
      <c r="R27" s="140" t="s">
        <v>97</v>
      </c>
    </row>
    <row r="28" spans="1:18" ht="15.75" customHeight="1">
      <c r="A28" s="108" t="s">
        <v>98</v>
      </c>
      <c r="B28" s="109">
        <f>_xlfn.COMPOUNDVALUE(279)</f>
        <v>762</v>
      </c>
      <c r="C28" s="110">
        <v>1714769</v>
      </c>
      <c r="D28" s="109">
        <f>_xlfn.COMPOUNDVALUE(280)</f>
        <v>659</v>
      </c>
      <c r="E28" s="110">
        <v>180200</v>
      </c>
      <c r="F28" s="109">
        <f>_xlfn.COMPOUNDVALUE(281)</f>
        <v>1421</v>
      </c>
      <c r="G28" s="110">
        <v>1894969</v>
      </c>
      <c r="H28" s="109">
        <f>_xlfn.COMPOUNDVALUE(282)</f>
        <v>21</v>
      </c>
      <c r="I28" s="111">
        <v>2942</v>
      </c>
      <c r="J28" s="109">
        <v>78</v>
      </c>
      <c r="K28" s="111">
        <v>2257</v>
      </c>
      <c r="L28" s="109">
        <v>1456</v>
      </c>
      <c r="M28" s="111">
        <v>1894284</v>
      </c>
      <c r="N28" s="103">
        <v>1434</v>
      </c>
      <c r="O28" s="138">
        <v>30</v>
      </c>
      <c r="P28" s="138">
        <v>1</v>
      </c>
      <c r="Q28" s="139">
        <v>1465</v>
      </c>
      <c r="R28" s="140" t="s">
        <v>99</v>
      </c>
    </row>
    <row r="29" spans="1:18" ht="15.75" customHeight="1">
      <c r="A29" s="108" t="s">
        <v>100</v>
      </c>
      <c r="B29" s="109">
        <f>_xlfn.COMPOUNDVALUE(283)</f>
        <v>1323</v>
      </c>
      <c r="C29" s="110">
        <v>10157023</v>
      </c>
      <c r="D29" s="109">
        <f>_xlfn.COMPOUNDVALUE(284)</f>
        <v>830</v>
      </c>
      <c r="E29" s="110">
        <v>257795</v>
      </c>
      <c r="F29" s="109">
        <f>_xlfn.COMPOUNDVALUE(285)</f>
        <v>2153</v>
      </c>
      <c r="G29" s="110">
        <v>10414818</v>
      </c>
      <c r="H29" s="109">
        <f>_xlfn.COMPOUNDVALUE(286)</f>
        <v>63</v>
      </c>
      <c r="I29" s="111">
        <v>63553</v>
      </c>
      <c r="J29" s="109">
        <v>136</v>
      </c>
      <c r="K29" s="111">
        <v>13499</v>
      </c>
      <c r="L29" s="109">
        <v>2241</v>
      </c>
      <c r="M29" s="111">
        <v>10364763</v>
      </c>
      <c r="N29" s="103">
        <v>2176</v>
      </c>
      <c r="O29" s="138">
        <v>51</v>
      </c>
      <c r="P29" s="138">
        <v>5</v>
      </c>
      <c r="Q29" s="139">
        <v>2232</v>
      </c>
      <c r="R29" s="140" t="s">
        <v>101</v>
      </c>
    </row>
    <row r="30" spans="1:18" ht="15.75" customHeight="1">
      <c r="A30" s="113" t="s">
        <v>164</v>
      </c>
      <c r="B30" s="114">
        <v>18215</v>
      </c>
      <c r="C30" s="115">
        <v>64571394</v>
      </c>
      <c r="D30" s="114">
        <v>13309</v>
      </c>
      <c r="E30" s="115">
        <v>4008109</v>
      </c>
      <c r="F30" s="114">
        <v>31524</v>
      </c>
      <c r="G30" s="115">
        <v>68579503</v>
      </c>
      <c r="H30" s="114">
        <v>1054</v>
      </c>
      <c r="I30" s="116">
        <v>19528983</v>
      </c>
      <c r="J30" s="114">
        <v>1989</v>
      </c>
      <c r="K30" s="116">
        <v>48659</v>
      </c>
      <c r="L30" s="114">
        <v>33023</v>
      </c>
      <c r="M30" s="116">
        <v>49099180</v>
      </c>
      <c r="N30" s="114">
        <v>32897</v>
      </c>
      <c r="O30" s="141">
        <v>654</v>
      </c>
      <c r="P30" s="141">
        <v>44</v>
      </c>
      <c r="Q30" s="142">
        <v>33595</v>
      </c>
      <c r="R30" s="117" t="s">
        <v>103</v>
      </c>
    </row>
    <row r="31" spans="1:18" ht="15.75" customHeight="1">
      <c r="A31" s="118"/>
      <c r="B31" s="119"/>
      <c r="C31" s="120"/>
      <c r="D31" s="119"/>
      <c r="E31" s="120"/>
      <c r="F31" s="121"/>
      <c r="G31" s="120"/>
      <c r="H31" s="121"/>
      <c r="I31" s="120"/>
      <c r="J31" s="121"/>
      <c r="K31" s="120"/>
      <c r="L31" s="121"/>
      <c r="M31" s="120"/>
      <c r="N31" s="143"/>
      <c r="O31" s="144"/>
      <c r="P31" s="144"/>
      <c r="Q31" s="145"/>
      <c r="R31" s="146" t="s">
        <v>162</v>
      </c>
    </row>
    <row r="32" spans="1:18" ht="15.75" customHeight="1">
      <c r="A32" s="102" t="s">
        <v>104</v>
      </c>
      <c r="B32" s="103">
        <f>_xlfn.COMPOUNDVALUE(287)</f>
        <v>4732</v>
      </c>
      <c r="C32" s="104">
        <v>15515478</v>
      </c>
      <c r="D32" s="103">
        <f>_xlfn.COMPOUNDVALUE(288)</f>
        <v>3521</v>
      </c>
      <c r="E32" s="104">
        <v>1018428</v>
      </c>
      <c r="F32" s="103">
        <f>_xlfn.COMPOUNDVALUE(289)</f>
        <v>8253</v>
      </c>
      <c r="G32" s="104">
        <v>16533906</v>
      </c>
      <c r="H32" s="103">
        <f>_xlfn.COMPOUNDVALUE(290)</f>
        <v>180</v>
      </c>
      <c r="I32" s="105">
        <v>513339</v>
      </c>
      <c r="J32" s="103">
        <v>566</v>
      </c>
      <c r="K32" s="105">
        <v>114401</v>
      </c>
      <c r="L32" s="103">
        <v>8602</v>
      </c>
      <c r="M32" s="105">
        <v>16134968</v>
      </c>
      <c r="N32" s="147">
        <v>8571</v>
      </c>
      <c r="O32" s="148">
        <v>129</v>
      </c>
      <c r="P32" s="148">
        <v>17</v>
      </c>
      <c r="Q32" s="149">
        <v>8717</v>
      </c>
      <c r="R32" s="106" t="s">
        <v>105</v>
      </c>
    </row>
    <row r="33" spans="1:18" ht="15.75" customHeight="1">
      <c r="A33" s="108" t="s">
        <v>106</v>
      </c>
      <c r="B33" s="109">
        <f>_xlfn.COMPOUNDVALUE(291)</f>
        <v>578</v>
      </c>
      <c r="C33" s="110">
        <v>948795</v>
      </c>
      <c r="D33" s="109">
        <f>_xlfn.COMPOUNDVALUE(292)</f>
        <v>959</v>
      </c>
      <c r="E33" s="110">
        <v>212941</v>
      </c>
      <c r="F33" s="109">
        <f>_xlfn.COMPOUNDVALUE(293)</f>
        <v>1537</v>
      </c>
      <c r="G33" s="110">
        <v>1161737</v>
      </c>
      <c r="H33" s="109">
        <f>_xlfn.COMPOUNDVALUE(294)</f>
        <v>20</v>
      </c>
      <c r="I33" s="111">
        <v>27697</v>
      </c>
      <c r="J33" s="109">
        <v>92</v>
      </c>
      <c r="K33" s="111">
        <v>8789</v>
      </c>
      <c r="L33" s="109">
        <v>1572</v>
      </c>
      <c r="M33" s="111">
        <v>1142828</v>
      </c>
      <c r="N33" s="103">
        <v>1604</v>
      </c>
      <c r="O33" s="138">
        <v>23</v>
      </c>
      <c r="P33" s="138">
        <v>1</v>
      </c>
      <c r="Q33" s="139">
        <v>1628</v>
      </c>
      <c r="R33" s="140" t="s">
        <v>107</v>
      </c>
    </row>
    <row r="34" spans="1:18" ht="15.75" customHeight="1">
      <c r="A34" s="108" t="s">
        <v>108</v>
      </c>
      <c r="B34" s="109">
        <f>_xlfn.COMPOUNDVALUE(295)</f>
        <v>1159</v>
      </c>
      <c r="C34" s="110">
        <v>2596574</v>
      </c>
      <c r="D34" s="109">
        <f>_xlfn.COMPOUNDVALUE(296)</f>
        <v>1316</v>
      </c>
      <c r="E34" s="110">
        <v>335130</v>
      </c>
      <c r="F34" s="109">
        <f>_xlfn.COMPOUNDVALUE(297)</f>
        <v>2475</v>
      </c>
      <c r="G34" s="110">
        <v>2931704</v>
      </c>
      <c r="H34" s="109">
        <f>_xlfn.COMPOUNDVALUE(298)</f>
        <v>48</v>
      </c>
      <c r="I34" s="111">
        <v>416552</v>
      </c>
      <c r="J34" s="109">
        <v>147</v>
      </c>
      <c r="K34" s="111">
        <v>36639</v>
      </c>
      <c r="L34" s="109">
        <v>2556</v>
      </c>
      <c r="M34" s="111">
        <v>2551791</v>
      </c>
      <c r="N34" s="103">
        <v>2469</v>
      </c>
      <c r="O34" s="138">
        <v>42</v>
      </c>
      <c r="P34" s="138">
        <v>2</v>
      </c>
      <c r="Q34" s="139">
        <v>2513</v>
      </c>
      <c r="R34" s="140" t="s">
        <v>109</v>
      </c>
    </row>
    <row r="35" spans="1:18" ht="15.75" customHeight="1">
      <c r="A35" s="108" t="s">
        <v>110</v>
      </c>
      <c r="B35" s="109">
        <f>_xlfn.COMPOUNDVALUE(299)</f>
        <v>951</v>
      </c>
      <c r="C35" s="110">
        <v>1452877</v>
      </c>
      <c r="D35" s="109">
        <f>_xlfn.COMPOUNDVALUE(300)</f>
        <v>1224</v>
      </c>
      <c r="E35" s="110">
        <v>310147</v>
      </c>
      <c r="F35" s="109">
        <f>_xlfn.COMPOUNDVALUE(301)</f>
        <v>2175</v>
      </c>
      <c r="G35" s="110">
        <v>1763024</v>
      </c>
      <c r="H35" s="109">
        <f>_xlfn.COMPOUNDVALUE(302)</f>
        <v>57</v>
      </c>
      <c r="I35" s="111">
        <v>63839</v>
      </c>
      <c r="J35" s="109">
        <v>98</v>
      </c>
      <c r="K35" s="111">
        <v>33067</v>
      </c>
      <c r="L35" s="109">
        <v>2267</v>
      </c>
      <c r="M35" s="111">
        <v>1732252</v>
      </c>
      <c r="N35" s="103">
        <v>2194</v>
      </c>
      <c r="O35" s="138">
        <v>25</v>
      </c>
      <c r="P35" s="138">
        <v>1</v>
      </c>
      <c r="Q35" s="139">
        <v>2220</v>
      </c>
      <c r="R35" s="140" t="s">
        <v>111</v>
      </c>
    </row>
    <row r="36" spans="1:18" ht="15.75" customHeight="1">
      <c r="A36" s="108" t="s">
        <v>112</v>
      </c>
      <c r="B36" s="109">
        <f>_xlfn.COMPOUNDVALUE(303)</f>
        <v>1290</v>
      </c>
      <c r="C36" s="110">
        <v>1851134</v>
      </c>
      <c r="D36" s="109">
        <f>_xlfn.COMPOUNDVALUE(304)</f>
        <v>995</v>
      </c>
      <c r="E36" s="110">
        <v>266591</v>
      </c>
      <c r="F36" s="109">
        <f>_xlfn.COMPOUNDVALUE(305)</f>
        <v>2285</v>
      </c>
      <c r="G36" s="110">
        <v>2117725</v>
      </c>
      <c r="H36" s="109">
        <f>_xlfn.COMPOUNDVALUE(306)</f>
        <v>52</v>
      </c>
      <c r="I36" s="111">
        <v>60637</v>
      </c>
      <c r="J36" s="109">
        <v>129</v>
      </c>
      <c r="K36" s="111">
        <v>14006</v>
      </c>
      <c r="L36" s="109">
        <v>2367</v>
      </c>
      <c r="M36" s="111">
        <v>2071095</v>
      </c>
      <c r="N36" s="103">
        <v>2321</v>
      </c>
      <c r="O36" s="138">
        <v>38</v>
      </c>
      <c r="P36" s="138">
        <v>2</v>
      </c>
      <c r="Q36" s="139">
        <v>2361</v>
      </c>
      <c r="R36" s="140" t="s">
        <v>113</v>
      </c>
    </row>
    <row r="37" spans="1:18" ht="15.75" customHeight="1">
      <c r="A37" s="108" t="s">
        <v>114</v>
      </c>
      <c r="B37" s="109">
        <f>_xlfn.COMPOUNDVALUE(307)</f>
        <v>660</v>
      </c>
      <c r="C37" s="110">
        <v>1441709</v>
      </c>
      <c r="D37" s="109">
        <f>_xlfn.COMPOUNDVALUE(308)</f>
        <v>886</v>
      </c>
      <c r="E37" s="110">
        <v>219578</v>
      </c>
      <c r="F37" s="109">
        <f>_xlfn.COMPOUNDVALUE(309)</f>
        <v>1546</v>
      </c>
      <c r="G37" s="110">
        <v>1661287</v>
      </c>
      <c r="H37" s="109">
        <f>_xlfn.COMPOUNDVALUE(310)</f>
        <v>40</v>
      </c>
      <c r="I37" s="111">
        <v>29376</v>
      </c>
      <c r="J37" s="109">
        <v>76</v>
      </c>
      <c r="K37" s="111">
        <v>2917</v>
      </c>
      <c r="L37" s="109">
        <v>1604</v>
      </c>
      <c r="M37" s="111">
        <v>1634828</v>
      </c>
      <c r="N37" s="103">
        <v>1597</v>
      </c>
      <c r="O37" s="138">
        <v>20</v>
      </c>
      <c r="P37" s="138">
        <v>1</v>
      </c>
      <c r="Q37" s="139">
        <v>1618</v>
      </c>
      <c r="R37" s="140" t="s">
        <v>115</v>
      </c>
    </row>
    <row r="38" spans="1:18" ht="15.75" customHeight="1">
      <c r="A38" s="113" t="s">
        <v>165</v>
      </c>
      <c r="B38" s="114">
        <v>9370</v>
      </c>
      <c r="C38" s="115">
        <v>23806568</v>
      </c>
      <c r="D38" s="114">
        <v>8901</v>
      </c>
      <c r="E38" s="115">
        <v>2362814</v>
      </c>
      <c r="F38" s="114">
        <v>18271</v>
      </c>
      <c r="G38" s="115">
        <v>26169383</v>
      </c>
      <c r="H38" s="114">
        <v>397</v>
      </c>
      <c r="I38" s="116">
        <v>1111439</v>
      </c>
      <c r="J38" s="114">
        <v>1108</v>
      </c>
      <c r="K38" s="116">
        <v>209819</v>
      </c>
      <c r="L38" s="114">
        <v>18968</v>
      </c>
      <c r="M38" s="116">
        <v>25267763</v>
      </c>
      <c r="N38" s="114">
        <v>18756</v>
      </c>
      <c r="O38" s="141">
        <v>277</v>
      </c>
      <c r="P38" s="141">
        <v>24</v>
      </c>
      <c r="Q38" s="142">
        <v>19057</v>
      </c>
      <c r="R38" s="117" t="s">
        <v>117</v>
      </c>
    </row>
    <row r="39" spans="1:18" ht="15.75" customHeight="1" thickBot="1">
      <c r="A39" s="123"/>
      <c r="B39" s="124"/>
      <c r="C39" s="125"/>
      <c r="D39" s="124"/>
      <c r="E39" s="125"/>
      <c r="F39" s="126"/>
      <c r="G39" s="125"/>
      <c r="H39" s="126"/>
      <c r="I39" s="125"/>
      <c r="J39" s="126"/>
      <c r="K39" s="125"/>
      <c r="L39" s="126"/>
      <c r="M39" s="125"/>
      <c r="N39" s="143"/>
      <c r="O39" s="144"/>
      <c r="P39" s="144"/>
      <c r="Q39" s="145"/>
      <c r="R39" s="146"/>
    </row>
    <row r="40" spans="1:18" ht="15.75" customHeight="1" thickBot="1" thickTop="1">
      <c r="A40" s="129" t="s">
        <v>119</v>
      </c>
      <c r="B40" s="130">
        <v>50646</v>
      </c>
      <c r="C40" s="131">
        <v>162051690</v>
      </c>
      <c r="D40" s="130">
        <v>40250</v>
      </c>
      <c r="E40" s="131">
        <v>11687847</v>
      </c>
      <c r="F40" s="130">
        <v>90896</v>
      </c>
      <c r="G40" s="131">
        <v>173739538</v>
      </c>
      <c r="H40" s="130">
        <v>2696</v>
      </c>
      <c r="I40" s="132">
        <v>25413540</v>
      </c>
      <c r="J40" s="130">
        <v>5559</v>
      </c>
      <c r="K40" s="132">
        <v>568394</v>
      </c>
      <c r="L40" s="130">
        <v>94957</v>
      </c>
      <c r="M40" s="132">
        <v>148894392</v>
      </c>
      <c r="N40" s="150">
        <v>94378</v>
      </c>
      <c r="O40" s="151">
        <v>1769</v>
      </c>
      <c r="P40" s="151">
        <v>171</v>
      </c>
      <c r="Q40" s="152">
        <v>96318</v>
      </c>
      <c r="R40" s="153" t="s">
        <v>119</v>
      </c>
    </row>
    <row r="41" spans="1:9" ht="13.5">
      <c r="A41" s="197" t="s">
        <v>166</v>
      </c>
      <c r="B41" s="197"/>
      <c r="C41" s="197"/>
      <c r="D41" s="197"/>
      <c r="E41" s="197"/>
      <c r="F41" s="197"/>
      <c r="G41" s="197"/>
      <c r="H41" s="197"/>
      <c r="I41" s="197"/>
    </row>
  </sheetData>
  <sheetProtection/>
  <mergeCells count="16">
    <mergeCell ref="A2:I2"/>
    <mergeCell ref="A3:A5"/>
    <mergeCell ref="B3:G3"/>
    <mergeCell ref="H3:I4"/>
    <mergeCell ref="J3:K4"/>
    <mergeCell ref="L3:M4"/>
    <mergeCell ref="A41:I41"/>
    <mergeCell ref="N3:Q3"/>
    <mergeCell ref="R3:R5"/>
    <mergeCell ref="B4:C4"/>
    <mergeCell ref="D4:E4"/>
    <mergeCell ref="F4:G4"/>
    <mergeCell ref="N4:N5"/>
    <mergeCell ref="O4:O5"/>
    <mergeCell ref="P4:P5"/>
    <mergeCell ref="Q4:Q5"/>
  </mergeCells>
  <printOptions/>
  <pageMargins left="0.7086614173228347" right="0.7086614173228347" top="0.7480314960629921" bottom="0.7480314960629921" header="0.31496062992125984" footer="0.31496062992125984"/>
  <pageSetup fitToHeight="0" fitToWidth="1" horizontalDpi="300" verticalDpi="300" orientation="portrait" paperSize="9" scale="44" r:id="rId1"/>
  <headerFooter>
    <oddFooter>&amp;R高松国税局
消費税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国税庁（企画課企画第二係）</cp:lastModifiedBy>
  <cp:lastPrinted>2014-06-03T00:27:46Z</cp:lastPrinted>
  <dcterms:created xsi:type="dcterms:W3CDTF">2003-07-09T01:05:10Z</dcterms:created>
  <dcterms:modified xsi:type="dcterms:W3CDTF">2014-06-03T00:55:29Z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