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435" tabRatio="830"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 name="_xlnm.Print_Titles" localSheetId="3">'(4)税務署別(個人事業者）'!$3:$6</definedName>
    <definedName name="_xlnm.Print_Titles" localSheetId="5">'(4)税務署別（合計）'!$3:$6</definedName>
    <definedName name="_xlnm.Print_Titles" localSheetId="4">'(4)税務署別（法人）'!$3:$6</definedName>
  </definedNames>
  <calcPr fullCalcOnLoad="1"/>
</workbook>
</file>

<file path=xl/sharedStrings.xml><?xml version="1.0" encoding="utf-8"?>
<sst xmlns="http://schemas.openxmlformats.org/spreadsheetml/2006/main" count="546" uniqueCount="250">
  <si>
    <t>　イ　個人事業者</t>
  </si>
  <si>
    <t>税務署名</t>
  </si>
  <si>
    <t>納　　　税　　　申　　　告　　　及　　　び　　　処　　　理</t>
  </si>
  <si>
    <t>還付申告及び処理</t>
  </si>
  <si>
    <t>既往年分の
申告及び処理</t>
  </si>
  <si>
    <t>合　　　　　　計</t>
  </si>
  <si>
    <t>税務署名</t>
  </si>
  <si>
    <t>一般申告及び処理</t>
  </si>
  <si>
    <t>簡易申告及び処理</t>
  </si>
  <si>
    <t>小　　　　　　計</t>
  </si>
  <si>
    <t>件数</t>
  </si>
  <si>
    <t>税額</t>
  </si>
  <si>
    <t>税　額　①</t>
  </si>
  <si>
    <t>税　額　②</t>
  </si>
  <si>
    <t>税　額　③</t>
  </si>
  <si>
    <t>件</t>
  </si>
  <si>
    <t>千円</t>
  </si>
  <si>
    <t>総　計</t>
  </si>
  <si>
    <t>青森</t>
  </si>
  <si>
    <t>弘前</t>
  </si>
  <si>
    <t>八戸</t>
  </si>
  <si>
    <t>黒石</t>
  </si>
  <si>
    <t>五所川原</t>
  </si>
  <si>
    <t>十和田</t>
  </si>
  <si>
    <t>むつ</t>
  </si>
  <si>
    <t>青森県計</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</si>
  <si>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</si>
  <si>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</si>
  <si>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</si>
  <si>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</si>
  <si>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</si>
  <si>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</si>
  <si>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</si>
  <si>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</si>
  <si>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</si>
  <si>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</si>
  <si>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</si>
  <si>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</si>
  <si>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</si>
  <si>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</si>
  <si>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</si>
  <si>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</si>
  <si>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</si>
  <si>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</si>
  <si>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</si>
  <si>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</si>
  <si>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</si>
  <si>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</si>
  <si>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</si>
  <si>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</si>
  <si>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</si>
  <si>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</si>
  <si>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</si>
  <si>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</si>
  <si>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</si>
  <si>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</si>
  <si>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</si>
  <si>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</si>
  <si>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</si>
  <si>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</si>
  <si>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</si>
  <si>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</si>
  <si>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</si>
  <si>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</si>
  <si>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</si>
  <si>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福島</t>
  </si>
  <si>
    <t>会津若松</t>
  </si>
  <si>
    <t>郡山</t>
  </si>
  <si>
    <t>いわき</t>
  </si>
  <si>
    <t>白河</t>
  </si>
  <si>
    <t>須賀川</t>
  </si>
  <si>
    <t>喜多方</t>
  </si>
  <si>
    <t>相馬</t>
  </si>
  <si>
    <t>二本松</t>
  </si>
  <si>
    <t>田島</t>
  </si>
  <si>
    <t>福島県計</t>
  </si>
  <si>
    <t>　ロ　法　　　人</t>
  </si>
  <si>
    <t>税務署名</t>
  </si>
  <si>
    <t>青森</t>
  </si>
  <si>
    <t>弘前</t>
  </si>
  <si>
    <t>八戸</t>
  </si>
  <si>
    <t>黒石</t>
  </si>
  <si>
    <t>五所川原</t>
  </si>
  <si>
    <t>十和田</t>
  </si>
  <si>
    <t>　ハ　個人事業者と法人の合計</t>
  </si>
  <si>
    <t>課　税　事　業　者　等　届　出　件　数</t>
  </si>
  <si>
    <t>課税事業者
届出</t>
  </si>
  <si>
    <t>課税事業者
選択届出</t>
  </si>
  <si>
    <t>新設法人に
該当する旨
の届出</t>
  </si>
  <si>
    <t>合　　　計</t>
  </si>
  <si>
    <t>岩手県計</t>
  </si>
  <si>
    <t>件数</t>
  </si>
  <si>
    <t>税　　　額
(①－②＋③)</t>
  </si>
  <si>
    <t>税　　額
(①－②＋③)</t>
  </si>
  <si>
    <t>総　計</t>
  </si>
  <si>
    <t>青森県計</t>
  </si>
  <si>
    <t>青森</t>
  </si>
  <si>
    <t>弘前</t>
  </si>
  <si>
    <t>八戸</t>
  </si>
  <si>
    <t>黒石</t>
  </si>
  <si>
    <t>五所川原</t>
  </si>
  <si>
    <t>十和田</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</si>
  <si>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</si>
  <si>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</si>
  <si>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</si>
  <si>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</si>
  <si>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</si>
  <si>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</si>
  <si>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</si>
  <si>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</si>
  <si>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</si>
  <si>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</si>
  <si>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</si>
  <si>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</si>
  <si>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</si>
  <si>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</si>
  <si>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</si>
  <si>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</si>
  <si>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</si>
  <si>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</si>
  <si>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</si>
  <si>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</si>
  <si>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</si>
  <si>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</si>
  <si>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</si>
  <si>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</si>
  <si>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</si>
  <si>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</si>
  <si>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</si>
  <si>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</si>
  <si>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</si>
  <si>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</si>
  <si>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</si>
  <si>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</si>
  <si>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</si>
  <si>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</si>
  <si>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</si>
  <si>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</si>
  <si>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</si>
  <si>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</si>
  <si>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</si>
  <si>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
  </si>
  <si>
    <t>福島</t>
  </si>
  <si>
    <t>会津若松</t>
  </si>
  <si>
    <t>郡山</t>
  </si>
  <si>
    <t>白河</t>
  </si>
  <si>
    <t>須賀川</t>
  </si>
  <si>
    <t>喜多方</t>
  </si>
  <si>
    <t>相馬</t>
  </si>
  <si>
    <t>二本松</t>
  </si>
  <si>
    <t>田島</t>
  </si>
  <si>
    <t>福島県計</t>
  </si>
  <si>
    <t>区　　　分</t>
  </si>
  <si>
    <t>件　　　数</t>
  </si>
  <si>
    <t>税　　　額</t>
  </si>
  <si>
    <t>件</t>
  </si>
  <si>
    <t>千円</t>
  </si>
  <si>
    <t>加算税</t>
  </si>
  <si>
    <t>(2)　課税状況の累年比較</t>
  </si>
  <si>
    <t>納税申告計</t>
  </si>
  <si>
    <t>(3)　課税事業者等届出件数</t>
  </si>
  <si>
    <t>課税事業者届出書</t>
  </si>
  <si>
    <t>課税事業者選択届出書</t>
  </si>
  <si>
    <t>新設法人に該当する旨の届出書</t>
  </si>
  <si>
    <t>合計</t>
  </si>
  <si>
    <t>（注）　納税義務者でなくなった旨の届出書又は課税事業者選択不適用届出書を提出した者は含まない。</t>
  </si>
  <si>
    <t>調査対象等：</t>
  </si>
  <si>
    <t>(1)　課税状況</t>
  </si>
  <si>
    <t>個　人　事　業　者</t>
  </si>
  <si>
    <t>現年分</t>
  </si>
  <si>
    <t>一般申告及び処理</t>
  </si>
  <si>
    <t>簡易申告及び処理</t>
  </si>
  <si>
    <t>納税申告計</t>
  </si>
  <si>
    <t>還付申告及び処理</t>
  </si>
  <si>
    <t>既往年分</t>
  </si>
  <si>
    <t>申告及び処理による
増差税額のあるもの</t>
  </si>
  <si>
    <t>申告及び処理による
減差税額のあるもの</t>
  </si>
  <si>
    <t>法　　　　　　　人</t>
  </si>
  <si>
    <t>合　　　　　　　計</t>
  </si>
  <si>
    <t>件　　数</t>
  </si>
  <si>
    <t>税　　額</t>
  </si>
  <si>
    <t>青森県計</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</si>
  <si>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</si>
  <si>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</si>
  <si>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</si>
  <si>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</si>
  <si>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</si>
  <si>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</si>
  <si>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</si>
  <si>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</si>
  <si>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</si>
  <si>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</si>
  <si>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</si>
  <si>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</si>
  <si>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</si>
  <si>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</si>
  <si>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</si>
  <si>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</si>
  <si>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</si>
  <si>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</si>
  <si>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</si>
  <si>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</si>
  <si>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</si>
  <si>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</si>
  <si>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</si>
  <si>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</si>
  <si>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</si>
  <si>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</si>
  <si>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</si>
  <si>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</si>
  <si>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</si>
  <si>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</si>
  <si>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</si>
  <si>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</si>
  <si>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</si>
  <si>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</si>
  <si>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</si>
  <si>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</si>
  <si>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</si>
  <si>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</si>
  <si>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</si>
  <si>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福島</t>
  </si>
  <si>
    <t>会津若松</t>
  </si>
  <si>
    <t>郡山</t>
  </si>
  <si>
    <t>白河</t>
  </si>
  <si>
    <t>須賀川</t>
  </si>
  <si>
    <t>喜多方</t>
  </si>
  <si>
    <t>相馬</t>
  </si>
  <si>
    <t>二本松</t>
  </si>
  <si>
    <t>田島</t>
  </si>
  <si>
    <t>福島県計</t>
  </si>
  <si>
    <t>総　計</t>
  </si>
  <si>
    <t>７　消　費　税</t>
  </si>
  <si>
    <t>（注）　この表は、「(1)　課税状況」の現年分及び既往年分を税務署別に示したものである（加算税を除く。）。</t>
  </si>
  <si>
    <t>（注）　この表は、「(1)　課税状況」の現年分及び既往年分並びに「(3)　課税事業者等届出件数」を税務署別に示したものである（加算税を除く。）。</t>
  </si>
  <si>
    <t>実件</t>
  </si>
  <si>
    <t>(4)　税務署別課税状況等</t>
  </si>
  <si>
    <t>(4)　税務署別課税状況等（続）</t>
  </si>
  <si>
    <t>平成29年度</t>
  </si>
  <si>
    <t>平成30年度</t>
  </si>
  <si>
    <t>令和元年度</t>
  </si>
  <si>
    <t>（注）　税関分は含まない。</t>
  </si>
  <si>
    <t>個　人　事　業　者</t>
  </si>
  <si>
    <t>法　　　　　人</t>
  </si>
  <si>
    <t>合　　　　　計</t>
  </si>
  <si>
    <t>令和２年度</t>
  </si>
  <si>
    <t xml:space="preserve"> 「現年分」は、令和３年４月１日から令和４年３月31日までに終了した課税期間に係る消費税の申告及び処理（更正、決定等）による課税事績(令和４年６月30日までのもの。国・地方公共団体等及び消費税申告期限延長届出書を提出した法人については令和４年９月30日までのもの。)に基づいて作成した。</t>
  </si>
  <si>
    <t xml:space="preserve"> 「既往年分」は、令和３年３月31日以前に終了した課税期間に係る消費税の申告及び処理（更正、決定等）による課税事績（令和３年７月１日から令和４年６月30日までのもの。国・地方公共団体等及び消費税申告期限延長届出書を提出した法人については令和３年10月１日から令和４年６月30日までのもの。）に基づいて作成した。</t>
  </si>
  <si>
    <t>令和３年度</t>
  </si>
  <si>
    <t>調査対象等：令和３年度末（令和４年３月31日現在）の届出件数を示している。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</si>
</sst>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50">
    <font>
      <sz val="11"/>
      <color theme="1"/>
      <name val="Calibri"/>
      <family val="3"/>
    </font>
    <font>
      <sz val="11"/>
      <color indexed="8"/>
      <name val="ＭＳ Ｐゴシック"/>
      <family val="3"/>
    </font>
    <font>
      <sz val="11"/>
      <name val="ＭＳ Ｐゴシック"/>
      <family val="3"/>
    </font>
    <font>
      <sz val="9"/>
      <name val="ＭＳ 明朝"/>
      <family val="1"/>
    </font>
    <font>
      <sz val="6"/>
      <name val="ＭＳ Ｐゴシック"/>
      <family val="3"/>
    </font>
    <font>
      <sz val="8"/>
      <name val="ＭＳ 明朝"/>
      <family val="1"/>
    </font>
    <font>
      <sz val="8"/>
      <name val="ＭＳ Ｐゴシック"/>
      <family val="3"/>
    </font>
    <font>
      <u val="single"/>
      <sz val="16.5"/>
      <color indexed="12"/>
      <name val="ＭＳ Ｐゴシック"/>
      <family val="3"/>
    </font>
    <font>
      <sz val="9"/>
      <name val="ＭＳ ゴシック"/>
      <family val="3"/>
    </font>
    <font>
      <sz val="11"/>
      <name val="ＭＳ ゴシック"/>
      <family val="3"/>
    </font>
    <font>
      <b/>
      <sz val="9"/>
      <name val="ＭＳ 明朝"/>
      <family val="1"/>
    </font>
    <font>
      <b/>
      <sz val="11"/>
      <name val="ＭＳ Ｐゴシック"/>
      <family val="3"/>
    </font>
    <font>
      <b/>
      <sz val="11"/>
      <name val="ＭＳ ゴシック"/>
      <family val="3"/>
    </font>
    <font>
      <sz val="13"/>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9"/>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style="thin"/>
      <right style="hair"/>
      <top style="thin"/>
      <bottom/>
    </border>
    <border>
      <left style="hair"/>
      <right style="thin"/>
      <top style="thin"/>
      <bottom/>
    </border>
    <border>
      <left style="hair"/>
      <right/>
      <top style="thin"/>
      <bottom/>
    </border>
    <border>
      <left style="thin"/>
      <right style="medium"/>
      <top style="thin"/>
      <bottom/>
    </border>
    <border>
      <left style="medium"/>
      <right/>
      <top/>
      <bottom style="hair">
        <color indexed="55"/>
      </bottom>
    </border>
    <border>
      <left style="thin"/>
      <right style="medium"/>
      <top/>
      <bottom style="hair">
        <color indexed="55"/>
      </bottom>
    </border>
    <border>
      <left style="medium"/>
      <right/>
      <top style="hair">
        <color indexed="55"/>
      </top>
      <bottom style="hair">
        <color indexed="55"/>
      </bottom>
    </border>
    <border>
      <left style="thin"/>
      <right style="medium"/>
      <top style="hair">
        <color indexed="55"/>
      </top>
      <bottom style="hair">
        <color indexed="55"/>
      </bottom>
    </border>
    <border>
      <left style="medium"/>
      <right/>
      <top style="hair">
        <color indexed="55"/>
      </top>
      <bottom style="thin">
        <color indexed="55"/>
      </bottom>
    </border>
    <border>
      <left style="thin"/>
      <right style="medium"/>
      <top style="hair">
        <color indexed="55"/>
      </top>
      <bottom style="thin">
        <color indexed="55"/>
      </bottom>
    </border>
    <border>
      <left style="medium"/>
      <right/>
      <top/>
      <bottom style="double"/>
    </border>
    <border>
      <left style="thin"/>
      <right style="medium"/>
      <top/>
      <bottom style="double"/>
    </border>
    <border>
      <left style="medium"/>
      <right/>
      <top/>
      <bottom style="medium"/>
    </border>
    <border>
      <left style="thin"/>
      <right style="medium"/>
      <top/>
      <bottom style="medium"/>
    </border>
    <border>
      <left style="medium"/>
      <right/>
      <top style="thin">
        <color indexed="55"/>
      </top>
      <bottom style="thin">
        <color indexed="55"/>
      </bottom>
    </border>
    <border>
      <left style="thin"/>
      <right style="medium"/>
      <top style="thin">
        <color indexed="55"/>
      </top>
      <bottom style="hair">
        <color indexed="55"/>
      </bottom>
    </border>
    <border>
      <left style="hair"/>
      <right style="thin"/>
      <top style="hair"/>
      <bottom style="thin"/>
    </border>
    <border>
      <left style="hair"/>
      <right style="hair"/>
      <top style="thin"/>
      <bottom/>
    </border>
    <border>
      <left style="thin"/>
      <right style="medium"/>
      <top style="double"/>
      <bottom style="medium"/>
    </border>
    <border>
      <left style="thin"/>
      <right style="hair"/>
      <top style="hair"/>
      <bottom style="thin"/>
    </border>
    <border>
      <left style="hair"/>
      <right/>
      <top style="hair"/>
      <bottom style="thin"/>
    </border>
    <border>
      <left style="hair"/>
      <right style="medium"/>
      <top style="thin"/>
      <bottom/>
    </border>
    <border>
      <left style="hair"/>
      <right style="thin"/>
      <top/>
      <bottom style="hair">
        <color indexed="55"/>
      </bottom>
    </border>
    <border>
      <left style="hair"/>
      <right style="medium"/>
      <top/>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hair"/>
      <right style="thin"/>
      <top style="thin"/>
      <bottom style="hair">
        <color indexed="55"/>
      </bottom>
    </border>
    <border>
      <left style="hair"/>
      <right style="medium"/>
      <top style="thin"/>
      <bottom style="hair">
        <color indexed="55"/>
      </bottom>
    </border>
    <border>
      <left/>
      <right style="thin"/>
      <top style="thin"/>
      <bottom/>
    </border>
    <border>
      <left/>
      <right style="medium"/>
      <top style="thin"/>
      <bottom/>
    </border>
    <border>
      <left style="thin"/>
      <right style="hair"/>
      <top/>
      <bottom style="hair">
        <color indexed="55"/>
      </bottom>
    </border>
    <border>
      <left style="thin"/>
      <right style="hair"/>
      <top style="hair">
        <color indexed="55"/>
      </top>
      <bottom style="thin"/>
    </border>
    <border>
      <left style="hair"/>
      <right style="medium"/>
      <top style="hair">
        <color indexed="55"/>
      </top>
      <bottom style="thin"/>
    </border>
    <border>
      <left style="thin"/>
      <right style="hair"/>
      <top style="thin"/>
      <bottom style="hair">
        <color indexed="55"/>
      </bottom>
    </border>
    <border>
      <left style="hair"/>
      <right style="thin"/>
      <top style="hair">
        <color indexed="55"/>
      </top>
      <bottom style="mediu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medium"/>
      <right style="thin"/>
      <top style="thin"/>
      <bottom/>
    </border>
    <border>
      <left style="thin"/>
      <right style="thin"/>
      <top style="thin"/>
      <bottom/>
    </border>
    <border>
      <left style="thin"/>
      <right/>
      <top style="thin"/>
      <bottom/>
    </border>
    <border>
      <left style="medium"/>
      <right style="thin"/>
      <top style="hair">
        <color indexed="55"/>
      </top>
      <bottom style="thin">
        <color theme="0" tint="-0.3499799966812134"/>
      </bottom>
    </border>
    <border>
      <left style="thin"/>
      <right style="medium"/>
      <top/>
      <bottom style="thin">
        <color indexed="23"/>
      </bottom>
    </border>
    <border>
      <left style="thin"/>
      <right style="medium"/>
      <top style="hair">
        <color indexed="55"/>
      </top>
      <bottom style="thin">
        <color theme="0" tint="-0.3499799966812134"/>
      </bottom>
    </border>
    <border>
      <left style="medium"/>
      <right/>
      <top style="hair">
        <color indexed="55"/>
      </top>
      <bottom style="thin">
        <color theme="0" tint="-0.3499799966812134"/>
      </bottom>
    </border>
    <border>
      <left style="medium"/>
      <right/>
      <top/>
      <bottom/>
    </border>
    <border>
      <left style="thin"/>
      <right style="medium"/>
      <top/>
      <bottom/>
    </border>
    <border>
      <left style="medium"/>
      <right/>
      <top style="thin">
        <color theme="0" tint="-0.3499799966812134"/>
      </top>
      <bottom style="hair">
        <color indexed="55"/>
      </bottom>
    </border>
    <border>
      <left style="thin"/>
      <right style="medium"/>
      <top style="thin">
        <color theme="0" tint="-0.3499799966812134"/>
      </top>
      <bottom style="hair">
        <color indexed="55"/>
      </bottom>
    </border>
    <border>
      <left style="medium"/>
      <right/>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medium"/>
      <right/>
      <top style="thin">
        <color indexed="55"/>
      </top>
      <bottom style="thin">
        <color theme="0" tint="-0.3499799966812134"/>
      </bottom>
    </border>
    <border>
      <left style="thin"/>
      <right style="medium"/>
      <top style="thin">
        <color indexed="55"/>
      </top>
      <bottom style="thin">
        <color theme="0" tint="-0.3499799966812134"/>
      </bottom>
    </border>
    <border>
      <left style="hair"/>
      <right style="hair"/>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border>
    <border>
      <left style="hair"/>
      <right style="thin"/>
      <top style="hair">
        <color indexed="55"/>
      </top>
      <bottom/>
    </border>
    <border>
      <left style="hair"/>
      <right style="medium"/>
      <top style="hair">
        <color indexed="55"/>
      </top>
      <bottom/>
    </border>
    <border>
      <left style="hair"/>
      <right style="hair"/>
      <top style="thin"/>
      <bottom style="hair">
        <color indexed="55"/>
      </bottom>
    </border>
    <border>
      <left style="hair"/>
      <right style="hair"/>
      <top/>
      <bottom style="medium"/>
    </border>
    <border>
      <left style="hair"/>
      <right style="thin"/>
      <top/>
      <bottom style="medium"/>
    </border>
    <border>
      <left style="hair"/>
      <right style="medium"/>
      <top/>
      <bottom style="medium"/>
    </border>
    <border>
      <left style="thin"/>
      <right style="hair"/>
      <top style="hair">
        <color indexed="55"/>
      </top>
      <bottom style="medium"/>
    </border>
    <border>
      <left style="hair"/>
      <right style="medium"/>
      <top style="hair">
        <color indexed="55"/>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thin"/>
      <right/>
      <top style="thin">
        <color indexed="55"/>
      </top>
      <bottom style="thin">
        <color theme="0" tint="-0.3499799966812134"/>
      </bottom>
    </border>
    <border>
      <left style="hair"/>
      <right style="thin"/>
      <top style="thin">
        <color indexed="55"/>
      </top>
      <bottom style="thin">
        <color theme="0" tint="-0.3499799966812134"/>
      </bottom>
    </border>
    <border>
      <left style="thin"/>
      <right style="hair"/>
      <top style="thin">
        <color indexed="55"/>
      </top>
      <bottom style="thin">
        <color theme="0" tint="-0.3499799966812134"/>
      </bottom>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thin"/>
      <right style="hair"/>
      <top/>
      <bottom style="medium"/>
    </border>
    <border>
      <left style="hair"/>
      <right/>
      <top/>
      <bottom style="medium"/>
    </border>
    <border>
      <left style="thin"/>
      <right style="hair"/>
      <top style="hair">
        <color indexed="55"/>
      </top>
      <bottom style="thin">
        <color theme="0" tint="-0.3499799966812134"/>
      </bottom>
    </border>
    <border>
      <left style="hair"/>
      <right style="thin"/>
      <top style="hair">
        <color indexed="55"/>
      </top>
      <bottom style="thin">
        <color theme="0" tint="-0.3499799966812134"/>
      </bottom>
    </border>
    <border>
      <left style="hair"/>
      <right/>
      <top style="hair">
        <color indexed="55"/>
      </top>
      <bottom style="thin">
        <color theme="0" tint="-0.3499799966812134"/>
      </bottom>
    </border>
    <border>
      <left style="thin"/>
      <right/>
      <top/>
      <bottom/>
    </border>
    <border>
      <left style="hair"/>
      <right style="thin"/>
      <top/>
      <bottom/>
    </border>
    <border>
      <left style="thin"/>
      <right style="hair"/>
      <top/>
      <bottom/>
    </border>
    <border>
      <left style="thin"/>
      <right style="hair"/>
      <top style="thin">
        <color theme="0" tint="-0.3499799966812134"/>
      </top>
      <bottom style="hair">
        <color indexed="55"/>
      </bottom>
    </border>
    <border>
      <left style="hair"/>
      <right style="thin"/>
      <top style="thin">
        <color theme="0" tint="-0.3499799966812134"/>
      </top>
      <bottom style="hair">
        <color indexed="55"/>
      </bottom>
    </border>
    <border>
      <left style="hair"/>
      <right/>
      <top style="thin">
        <color theme="0" tint="-0.3499799966812134"/>
      </top>
      <bottom style="hair">
        <color indexed="55"/>
      </bottom>
    </border>
    <border>
      <left style="thin"/>
      <right/>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thin"/>
      <right/>
      <top/>
      <bottom style="double"/>
    </border>
    <border>
      <left style="hair"/>
      <right style="thin"/>
      <top/>
      <bottom style="double"/>
    </border>
    <border>
      <left style="thin"/>
      <right style="hair"/>
      <top/>
      <bottom style="double"/>
    </border>
    <border>
      <left/>
      <right/>
      <top style="medium"/>
      <bottom/>
    </border>
    <border>
      <left>
        <color indexed="63"/>
      </left>
      <right/>
      <top style="thin">
        <color indexed="55"/>
      </top>
      <bottom style="thin">
        <color indexed="55"/>
      </bottom>
    </border>
    <border>
      <left style="medium"/>
      <right style="thin"/>
      <top style="thin">
        <color indexed="55"/>
      </top>
      <bottom style="thin">
        <color indexed="55"/>
      </bottom>
    </border>
    <border>
      <left style="thin"/>
      <right style="medium"/>
      <top style="thin">
        <color indexed="55"/>
      </top>
      <bottom style="thin">
        <color indexed="55"/>
      </bottom>
    </border>
    <border>
      <left style="hair"/>
      <right style="thin"/>
      <top style="thin">
        <color indexed="55"/>
      </top>
      <bottom style="thin">
        <color indexed="55"/>
      </bottom>
    </border>
    <border>
      <left>
        <color indexed="63"/>
      </left>
      <right style="thin"/>
      <top style="thin">
        <color indexed="55"/>
      </top>
      <bottom style="thin">
        <color indexed="55"/>
      </bottom>
    </border>
    <border>
      <left style="thin"/>
      <right style="hair"/>
      <top style="thin">
        <color indexed="55"/>
      </top>
      <bottom style="thin">
        <color indexed="55"/>
      </bottom>
    </border>
    <border>
      <left style="hair"/>
      <right/>
      <top style="thin">
        <color indexed="55"/>
      </top>
      <bottom style="thin">
        <color indexed="55"/>
      </bottom>
    </border>
    <border>
      <left>
        <color indexed="63"/>
      </left>
      <right style="hair"/>
      <top style="thin">
        <color indexed="55"/>
      </top>
      <bottom style="thin">
        <color indexed="55"/>
      </bottom>
    </border>
    <border>
      <left style="medium"/>
      <right style="thin"/>
      <top/>
      <bottom style="medium"/>
    </border>
    <border>
      <left style="thin"/>
      <right style="thin"/>
      <top/>
      <bottom style="medium"/>
    </border>
    <border>
      <left style="thin"/>
      <right/>
      <top/>
      <bottom style="medium"/>
    </border>
    <border>
      <left style="hair"/>
      <right style="hair"/>
      <top style="hair">
        <color indexed="55"/>
      </top>
      <bottom style="thin">
        <color theme="0" tint="-0.3499799966812134"/>
      </bottom>
    </border>
    <border>
      <left style="hair"/>
      <right style="hair"/>
      <top/>
      <bottom/>
    </border>
    <border>
      <left style="hair"/>
      <right/>
      <top/>
      <bottom/>
    </border>
    <border>
      <left style="hair"/>
      <right style="hair"/>
      <top style="thin">
        <color theme="0" tint="-0.3499799966812134"/>
      </top>
      <bottom style="hair">
        <color indexed="55"/>
      </bottom>
    </border>
    <border>
      <left style="hair"/>
      <right style="hair"/>
      <top style="thin">
        <color theme="0" tint="-0.3499799966812134"/>
      </top>
      <bottom style="thin">
        <color theme="0" tint="-0.3499799966812134"/>
      </bottom>
    </border>
    <border>
      <left style="hair"/>
      <right/>
      <top style="thin">
        <color theme="0" tint="-0.3499799966812134"/>
      </top>
      <bottom style="thin">
        <color theme="0" tint="-0.3499799966812134"/>
      </bottom>
    </border>
    <border>
      <left style="thin"/>
      <right style="hair"/>
      <top/>
      <bottom style="thin">
        <color indexed="55"/>
      </bottom>
    </border>
    <border>
      <left style="hair"/>
      <right style="hair"/>
      <top/>
      <bottom style="thin">
        <color indexed="55"/>
      </bottom>
    </border>
    <border>
      <left style="hair"/>
      <right/>
      <top/>
      <bottom style="thin">
        <color indexed="55"/>
      </bottom>
    </border>
    <border>
      <left style="thin"/>
      <right style="hair"/>
      <top style="double"/>
      <bottom style="medium"/>
    </border>
    <border>
      <left style="hair"/>
      <right style="hair"/>
      <top style="double"/>
      <bottom style="medium"/>
    </border>
    <border>
      <left style="hair"/>
      <right/>
      <top style="double"/>
      <bottom style="medium"/>
    </border>
    <border>
      <left style="hair"/>
      <right style="hair"/>
      <top style="hair">
        <color indexed="55"/>
      </top>
      <bottom style="thin"/>
    </border>
    <border>
      <left/>
      <right style="thin"/>
      <top/>
      <bottom style="medium"/>
    </border>
    <border>
      <left/>
      <right/>
      <top style="medium"/>
      <bottom style="thin"/>
    </border>
    <border>
      <left/>
      <right style="thin"/>
      <top style="medium"/>
      <bottom style="thin"/>
    </border>
    <border>
      <left/>
      <right style="medium"/>
      <top style="medium"/>
      <bottom style="thin"/>
    </border>
    <border>
      <left style="medium"/>
      <right/>
      <top style="medium"/>
      <bottom/>
    </border>
    <border>
      <left/>
      <right style="thin"/>
      <top style="medium"/>
      <bottom/>
    </border>
    <border>
      <left/>
      <right style="thin"/>
      <top/>
      <bottom/>
    </border>
    <border>
      <left style="medium"/>
      <right style="hair"/>
      <top/>
      <bottom/>
    </border>
    <border>
      <left style="medium"/>
      <right style="hair"/>
      <top/>
      <bottom style="thin"/>
    </border>
    <border>
      <left style="medium"/>
      <right style="hair"/>
      <top style="thin"/>
      <bottom style="hair"/>
    </border>
    <border>
      <left style="medium"/>
      <right style="hair"/>
      <top style="hair"/>
      <bottom style="thin"/>
    </border>
    <border>
      <left style="thin"/>
      <right style="thin"/>
      <top style="medium"/>
      <bottom style="thin"/>
    </border>
    <border>
      <left/>
      <right style="medium"/>
      <top style="medium"/>
      <bottom/>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medium"/>
      <right/>
      <top/>
      <bottom style="thin"/>
    </border>
    <border>
      <left style="thin"/>
      <right style="thin"/>
      <top style="medium"/>
      <bottom style="hair"/>
    </border>
    <border>
      <left style="thin"/>
      <right style="medium"/>
      <top/>
      <bottom style="thin"/>
    </border>
    <border>
      <left style="thin"/>
      <right style="thin"/>
      <top style="hair"/>
      <bottom style="hair"/>
    </border>
    <border>
      <left style="hair"/>
      <right style="thin"/>
      <top style="hair"/>
      <bottom style="hair"/>
    </border>
    <border>
      <left/>
      <right/>
      <top/>
      <bottom style="medium"/>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
      <left style="thin"/>
      <right/>
      <top style="medium"/>
      <bottom style="hair"/>
    </border>
    <border>
      <left/>
      <right/>
      <top style="medium"/>
      <bottom style="hair"/>
    </border>
    <border>
      <left style="thin"/>
      <right style="hair"/>
      <top style="hair"/>
      <bottom/>
    </border>
    <border>
      <left style="thin"/>
      <right style="hair"/>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protection/>
    </xf>
    <xf numFmtId="0" fontId="47" fillId="32" borderId="0" applyNumberFormat="0" applyBorder="0" applyAlignment="0" applyProtection="0"/>
  </cellStyleXfs>
  <cellXfs count="252">
    <xf numFmtId="0" fontId="0" fillId="0" borderId="0" xfId="0" applyFont="1" applyAlignment="1">
      <alignment vertical="center"/>
    </xf>
    <xf numFmtId="0" fontId="3" fillId="0" borderId="0" xfId="60" applyFont="1" applyAlignment="1">
      <alignment horizontal="left" vertical="center"/>
      <protection/>
    </xf>
    <xf numFmtId="0" fontId="3" fillId="0" borderId="0" xfId="60" applyFont="1" applyAlignment="1">
      <alignment horizontal="left" vertical="top"/>
      <protection/>
    </xf>
    <xf numFmtId="0" fontId="2" fillId="0" borderId="0" xfId="60" applyFont="1">
      <alignment/>
      <protection/>
    </xf>
    <xf numFmtId="0" fontId="2" fillId="0" borderId="0" xfId="60" applyFont="1" applyAlignment="1">
      <alignment horizontal="center"/>
      <protection/>
    </xf>
    <xf numFmtId="0" fontId="5" fillId="33" borderId="10" xfId="60" applyFont="1" applyFill="1" applyBorder="1" applyAlignment="1">
      <alignment horizontal="distributed" vertical="top"/>
      <protection/>
    </xf>
    <xf numFmtId="0" fontId="5" fillId="34" borderId="11" xfId="60" applyFont="1" applyFill="1" applyBorder="1" applyAlignment="1">
      <alignment horizontal="right" vertical="top"/>
      <protection/>
    </xf>
    <xf numFmtId="0" fontId="5" fillId="35" borderId="12" xfId="60" applyFont="1" applyFill="1" applyBorder="1" applyAlignment="1">
      <alignment horizontal="right" vertical="top"/>
      <protection/>
    </xf>
    <xf numFmtId="0" fontId="5" fillId="35" borderId="13" xfId="60" applyFont="1" applyFill="1" applyBorder="1" applyAlignment="1">
      <alignment horizontal="right" vertical="top"/>
      <protection/>
    </xf>
    <xf numFmtId="0" fontId="5" fillId="33" borderId="14" xfId="60" applyFont="1" applyFill="1" applyBorder="1" applyAlignment="1">
      <alignment horizontal="distributed" vertical="top"/>
      <protection/>
    </xf>
    <xf numFmtId="0" fontId="6" fillId="0" borderId="0" xfId="60" applyFont="1" applyAlignment="1">
      <alignment horizontal="right" vertical="top"/>
      <protection/>
    </xf>
    <xf numFmtId="0" fontId="3" fillId="36" borderId="15" xfId="60" applyFont="1" applyFill="1" applyBorder="1" applyAlignment="1">
      <alignment horizontal="distributed" vertical="center"/>
      <protection/>
    </xf>
    <xf numFmtId="0" fontId="3" fillId="36" borderId="16" xfId="60" applyFont="1" applyFill="1" applyBorder="1" applyAlignment="1">
      <alignment horizontal="distributed" vertical="center"/>
      <protection/>
    </xf>
    <xf numFmtId="0" fontId="3" fillId="36" borderId="17" xfId="60" applyFont="1" applyFill="1" applyBorder="1" applyAlignment="1">
      <alignment horizontal="distributed" vertical="center"/>
      <protection/>
    </xf>
    <xf numFmtId="0" fontId="3" fillId="36" borderId="18" xfId="60" applyFont="1" applyFill="1" applyBorder="1" applyAlignment="1">
      <alignment horizontal="distributed" vertical="center"/>
      <protection/>
    </xf>
    <xf numFmtId="0" fontId="8" fillId="36" borderId="19" xfId="60" applyFont="1" applyFill="1" applyBorder="1" applyAlignment="1">
      <alignment horizontal="distributed" vertical="center"/>
      <protection/>
    </xf>
    <xf numFmtId="0" fontId="8" fillId="36" borderId="20" xfId="60" applyFont="1" applyFill="1" applyBorder="1" applyAlignment="1">
      <alignment horizontal="distributed" vertical="center"/>
      <protection/>
    </xf>
    <xf numFmtId="0" fontId="9" fillId="0" borderId="0" xfId="60" applyFont="1">
      <alignment/>
      <protection/>
    </xf>
    <xf numFmtId="0" fontId="10" fillId="0" borderId="21" xfId="60" applyFont="1" applyFill="1" applyBorder="1" applyAlignment="1">
      <alignment horizontal="distributed" vertical="center"/>
      <protection/>
    </xf>
    <xf numFmtId="0" fontId="10" fillId="0" borderId="22" xfId="60" applyFont="1" applyFill="1" applyBorder="1" applyAlignment="1">
      <alignment horizontal="center" vertical="center"/>
      <protection/>
    </xf>
    <xf numFmtId="0" fontId="11" fillId="0" borderId="0" xfId="60" applyFont="1" applyFill="1">
      <alignment/>
      <protection/>
    </xf>
    <xf numFmtId="0" fontId="8" fillId="0" borderId="23" xfId="60" applyFont="1" applyBorder="1" applyAlignment="1">
      <alignment horizontal="center" vertical="center"/>
      <protection/>
    </xf>
    <xf numFmtId="0" fontId="8" fillId="0" borderId="24" xfId="60" applyFont="1" applyBorder="1" applyAlignment="1">
      <alignment horizontal="center" vertical="center"/>
      <protection/>
    </xf>
    <xf numFmtId="0" fontId="10" fillId="0" borderId="25" xfId="60" applyFont="1" applyFill="1" applyBorder="1" applyAlignment="1">
      <alignment horizontal="distributed" vertical="center"/>
      <protection/>
    </xf>
    <xf numFmtId="0" fontId="3" fillId="36" borderId="26" xfId="60" applyFont="1" applyFill="1" applyBorder="1" applyAlignment="1">
      <alignment horizontal="distributed" vertical="center"/>
      <protection/>
    </xf>
    <xf numFmtId="0" fontId="3" fillId="0" borderId="0" xfId="60" applyFont="1" applyBorder="1" applyAlignment="1">
      <alignment horizontal="left" vertical="center"/>
      <protection/>
    </xf>
    <xf numFmtId="0" fontId="2" fillId="0" borderId="0" xfId="60" applyFont="1" applyBorder="1">
      <alignment/>
      <protection/>
    </xf>
    <xf numFmtId="0" fontId="6" fillId="0" borderId="0" xfId="60" applyFont="1" applyAlignment="1">
      <alignment vertical="top"/>
      <protection/>
    </xf>
    <xf numFmtId="0" fontId="2" fillId="0" borderId="0" xfId="60" applyFont="1" applyFill="1">
      <alignment/>
      <protection/>
    </xf>
    <xf numFmtId="0" fontId="3" fillId="0" borderId="27" xfId="60" applyFont="1" applyBorder="1" applyAlignment="1">
      <alignment horizontal="center" vertical="center" wrapText="1"/>
      <protection/>
    </xf>
    <xf numFmtId="0" fontId="5" fillId="34" borderId="28" xfId="60" applyFont="1" applyFill="1" applyBorder="1" applyAlignment="1">
      <alignment horizontal="right" vertical="top"/>
      <protection/>
    </xf>
    <xf numFmtId="0" fontId="5" fillId="34" borderId="13" xfId="60" applyFont="1" applyFill="1" applyBorder="1" applyAlignment="1">
      <alignment horizontal="right" vertical="top"/>
      <protection/>
    </xf>
    <xf numFmtId="0" fontId="8" fillId="0" borderId="29" xfId="60" applyFont="1" applyBorder="1" applyAlignment="1">
      <alignment horizontal="center" vertical="center"/>
      <protection/>
    </xf>
    <xf numFmtId="0" fontId="3" fillId="0" borderId="30" xfId="60" applyFont="1" applyBorder="1" applyAlignment="1">
      <alignment horizontal="distributed" vertical="center" indent="1"/>
      <protection/>
    </xf>
    <xf numFmtId="0" fontId="3" fillId="0" borderId="27" xfId="60" applyFont="1" applyBorder="1" applyAlignment="1">
      <alignment horizontal="distributed" vertical="center" indent="1"/>
      <protection/>
    </xf>
    <xf numFmtId="0" fontId="3" fillId="0" borderId="31" xfId="60" applyFont="1" applyBorder="1" applyAlignment="1">
      <alignment horizontal="centerContinuous" vertical="center" wrapText="1"/>
      <protection/>
    </xf>
    <xf numFmtId="0" fontId="12" fillId="0" borderId="0" xfId="60" applyFont="1">
      <alignment/>
      <protection/>
    </xf>
    <xf numFmtId="0" fontId="3" fillId="0" borderId="31" xfId="60" applyFont="1" applyBorder="1" applyAlignment="1">
      <alignment horizontal="center" vertical="center"/>
      <protection/>
    </xf>
    <xf numFmtId="0" fontId="3" fillId="0" borderId="27" xfId="60" applyFont="1" applyBorder="1" applyAlignment="1">
      <alignment horizontal="center" vertical="center"/>
      <protection/>
    </xf>
    <xf numFmtId="0" fontId="13" fillId="0" borderId="0" xfId="60" applyFont="1" applyAlignment="1">
      <alignment horizontal="center" vertical="top"/>
      <protection/>
    </xf>
    <xf numFmtId="0" fontId="3" fillId="0" borderId="12" xfId="60" applyFont="1" applyBorder="1" applyAlignment="1">
      <alignment horizontal="center" vertical="center"/>
      <protection/>
    </xf>
    <xf numFmtId="0" fontId="3" fillId="0" borderId="32" xfId="60" applyFont="1" applyBorder="1" applyAlignment="1">
      <alignment horizontal="center" vertical="center"/>
      <protection/>
    </xf>
    <xf numFmtId="0" fontId="5" fillId="0" borderId="10" xfId="60" applyFont="1" applyFill="1" applyBorder="1" applyAlignment="1">
      <alignment horizontal="center" vertical="center"/>
      <protection/>
    </xf>
    <xf numFmtId="0" fontId="5" fillId="0" borderId="12" xfId="60" applyFont="1" applyFill="1" applyBorder="1" applyAlignment="1">
      <alignment horizontal="center" vertical="center"/>
      <protection/>
    </xf>
    <xf numFmtId="0" fontId="5" fillId="35" borderId="32" xfId="60" applyFont="1" applyFill="1" applyBorder="1" applyAlignment="1">
      <alignment horizontal="right" vertical="top"/>
      <protection/>
    </xf>
    <xf numFmtId="0" fontId="3" fillId="0" borderId="33" xfId="60" applyFont="1" applyBorder="1" applyAlignment="1">
      <alignment horizontal="distributed" vertical="center"/>
      <protection/>
    </xf>
    <xf numFmtId="3" fontId="3" fillId="35" borderId="33" xfId="60" applyNumberFormat="1" applyFont="1" applyFill="1" applyBorder="1" applyAlignment="1">
      <alignment horizontal="right" vertical="center"/>
      <protection/>
    </xf>
    <xf numFmtId="3" fontId="3" fillId="35" borderId="34" xfId="60" applyNumberFormat="1" applyFont="1" applyFill="1" applyBorder="1" applyAlignment="1">
      <alignment horizontal="right" vertical="center"/>
      <protection/>
    </xf>
    <xf numFmtId="0" fontId="3" fillId="0" borderId="35" xfId="60" applyFont="1" applyBorder="1" applyAlignment="1">
      <alignment horizontal="distributed" vertical="center"/>
      <protection/>
    </xf>
    <xf numFmtId="0" fontId="8" fillId="0" borderId="35" xfId="60" applyFont="1" applyBorder="1" applyAlignment="1">
      <alignment horizontal="distributed" vertical="center"/>
      <protection/>
    </xf>
    <xf numFmtId="0" fontId="8" fillId="0" borderId="0" xfId="60" applyFont="1" applyAlignment="1">
      <alignment horizontal="left" vertical="top"/>
      <protection/>
    </xf>
    <xf numFmtId="0" fontId="3" fillId="0" borderId="36" xfId="60" applyFont="1" applyBorder="1" applyAlignment="1">
      <alignment horizontal="distributed" vertical="center"/>
      <protection/>
    </xf>
    <xf numFmtId="0" fontId="3" fillId="0" borderId="37" xfId="60" applyFont="1" applyBorder="1" applyAlignment="1">
      <alignment horizontal="distributed" vertical="center" wrapText="1"/>
      <protection/>
    </xf>
    <xf numFmtId="0" fontId="3" fillId="0" borderId="11" xfId="60" applyFont="1" applyBorder="1" applyAlignment="1">
      <alignment horizontal="center" vertical="center"/>
      <protection/>
    </xf>
    <xf numFmtId="3" fontId="3" fillId="35" borderId="37" xfId="60" applyNumberFormat="1" applyFont="1" applyFill="1" applyBorder="1" applyAlignment="1">
      <alignment horizontal="right" vertical="center"/>
      <protection/>
    </xf>
    <xf numFmtId="3" fontId="3" fillId="35" borderId="38" xfId="60" applyNumberFormat="1" applyFont="1" applyFill="1" applyBorder="1" applyAlignment="1">
      <alignment horizontal="right" vertical="center"/>
      <protection/>
    </xf>
    <xf numFmtId="0" fontId="3" fillId="0" borderId="39" xfId="60" applyFont="1" applyBorder="1" applyAlignment="1">
      <alignment horizontal="center" vertical="center"/>
      <protection/>
    </xf>
    <xf numFmtId="0" fontId="3" fillId="0" borderId="40" xfId="60" applyFont="1" applyBorder="1" applyAlignment="1">
      <alignment horizontal="center" vertical="center"/>
      <protection/>
    </xf>
    <xf numFmtId="0" fontId="3" fillId="0" borderId="10" xfId="60" applyFont="1" applyBorder="1" applyAlignment="1">
      <alignment horizontal="center" vertical="center"/>
      <protection/>
    </xf>
    <xf numFmtId="0" fontId="5" fillId="34" borderId="11" xfId="60" applyFont="1" applyFill="1" applyBorder="1" applyAlignment="1">
      <alignment horizontal="right"/>
      <protection/>
    </xf>
    <xf numFmtId="0" fontId="5" fillId="35" borderId="12" xfId="60" applyFont="1" applyFill="1" applyBorder="1" applyAlignment="1">
      <alignment horizontal="right"/>
      <protection/>
    </xf>
    <xf numFmtId="0" fontId="5" fillId="35" borderId="32" xfId="60" applyFont="1" applyFill="1" applyBorder="1" applyAlignment="1">
      <alignment horizontal="right"/>
      <protection/>
    </xf>
    <xf numFmtId="0" fontId="3" fillId="0" borderId="0" xfId="60" applyFont="1" applyAlignment="1">
      <alignment horizontal="left"/>
      <protection/>
    </xf>
    <xf numFmtId="3" fontId="3" fillId="34" borderId="41" xfId="60" applyNumberFormat="1" applyFont="1" applyFill="1" applyBorder="1" applyAlignment="1">
      <alignment horizontal="right" vertical="center"/>
      <protection/>
    </xf>
    <xf numFmtId="0" fontId="3" fillId="0" borderId="0" xfId="60" applyFont="1" applyBorder="1" applyAlignment="1">
      <alignment horizontal="left" vertical="top"/>
      <protection/>
    </xf>
    <xf numFmtId="3" fontId="3" fillId="34" borderId="42" xfId="60" applyNumberFormat="1" applyFont="1" applyFill="1" applyBorder="1" applyAlignment="1">
      <alignment horizontal="right" vertical="center"/>
      <protection/>
    </xf>
    <xf numFmtId="3" fontId="3" fillId="35" borderId="36" xfId="60" applyNumberFormat="1" applyFont="1" applyFill="1" applyBorder="1" applyAlignment="1">
      <alignment horizontal="right" vertical="center"/>
      <protection/>
    </xf>
    <xf numFmtId="3" fontId="3" fillId="35" borderId="43" xfId="60" applyNumberFormat="1" applyFont="1" applyFill="1" applyBorder="1" applyAlignment="1">
      <alignment horizontal="right" vertical="center"/>
      <protection/>
    </xf>
    <xf numFmtId="0" fontId="3" fillId="0" borderId="37" xfId="60" applyFont="1" applyBorder="1" applyAlignment="1">
      <alignment horizontal="distributed" vertical="center"/>
      <protection/>
    </xf>
    <xf numFmtId="3" fontId="3" fillId="34" borderId="44" xfId="60" applyNumberFormat="1" applyFont="1" applyFill="1" applyBorder="1" applyAlignment="1">
      <alignment horizontal="right" vertical="center"/>
      <protection/>
    </xf>
    <xf numFmtId="0" fontId="3" fillId="0" borderId="45" xfId="60" applyFont="1" applyBorder="1" applyAlignment="1">
      <alignment horizontal="distributed" vertical="center"/>
      <protection/>
    </xf>
    <xf numFmtId="3" fontId="3" fillId="0" borderId="0" xfId="60" applyNumberFormat="1" applyFont="1" applyAlignment="1">
      <alignment horizontal="left" vertical="top"/>
      <protection/>
    </xf>
    <xf numFmtId="0" fontId="3" fillId="0" borderId="46" xfId="60" applyFont="1" applyBorder="1" applyAlignment="1">
      <alignment horizontal="distributed" vertical="center"/>
      <protection/>
    </xf>
    <xf numFmtId="0" fontId="3" fillId="0" borderId="47" xfId="60" applyFont="1" applyBorder="1" applyAlignment="1">
      <alignment horizontal="distributed" vertical="center"/>
      <protection/>
    </xf>
    <xf numFmtId="0" fontId="3" fillId="0" borderId="48" xfId="60" applyFont="1" applyBorder="1" applyAlignment="1">
      <alignment horizontal="center" vertical="center"/>
      <protection/>
    </xf>
    <xf numFmtId="0" fontId="3" fillId="0" borderId="49" xfId="60" applyFont="1" applyBorder="1" applyAlignment="1">
      <alignment horizontal="distributed" vertical="center" indent="1"/>
      <protection/>
    </xf>
    <xf numFmtId="0" fontId="5" fillId="34" borderId="50" xfId="60" applyFont="1" applyFill="1" applyBorder="1" applyAlignment="1">
      <alignment horizontal="right"/>
      <protection/>
    </xf>
    <xf numFmtId="0" fontId="5" fillId="34" borderId="51" xfId="60" applyFont="1" applyFill="1" applyBorder="1" applyAlignment="1">
      <alignment horizontal="right"/>
      <protection/>
    </xf>
    <xf numFmtId="0" fontId="5" fillId="34" borderId="52" xfId="60" applyFont="1" applyFill="1" applyBorder="1" applyAlignment="1">
      <alignment horizontal="right"/>
      <protection/>
    </xf>
    <xf numFmtId="0" fontId="5" fillId="34" borderId="14" xfId="60" applyFont="1" applyFill="1" applyBorder="1" applyAlignment="1">
      <alignment horizontal="right"/>
      <protection/>
    </xf>
    <xf numFmtId="3" fontId="3" fillId="0" borderId="0" xfId="60" applyNumberFormat="1" applyFont="1" applyAlignment="1">
      <alignment horizontal="left" vertical="center"/>
      <protection/>
    </xf>
    <xf numFmtId="0" fontId="8" fillId="36" borderId="53" xfId="60" applyFont="1" applyFill="1" applyBorder="1" applyAlignment="1">
      <alignment horizontal="distributed" vertical="center"/>
      <protection/>
    </xf>
    <xf numFmtId="0" fontId="10" fillId="0" borderId="54" xfId="60" applyFont="1" applyFill="1" applyBorder="1" applyAlignment="1">
      <alignment horizontal="center" vertical="center"/>
      <protection/>
    </xf>
    <xf numFmtId="0" fontId="8" fillId="36" borderId="55" xfId="60" applyFont="1" applyFill="1" applyBorder="1" applyAlignment="1">
      <alignment horizontal="distributed" vertical="center"/>
      <protection/>
    </xf>
    <xf numFmtId="0" fontId="8" fillId="36" borderId="56" xfId="60" applyFont="1" applyFill="1" applyBorder="1" applyAlignment="1">
      <alignment horizontal="distributed" vertical="center"/>
      <protection/>
    </xf>
    <xf numFmtId="0" fontId="10" fillId="0" borderId="57" xfId="60" applyFont="1" applyFill="1" applyBorder="1" applyAlignment="1">
      <alignment horizontal="distributed" vertical="center"/>
      <protection/>
    </xf>
    <xf numFmtId="0" fontId="10" fillId="0" borderId="58" xfId="60" applyFont="1" applyFill="1" applyBorder="1" applyAlignment="1">
      <alignment horizontal="center" vertical="center"/>
      <protection/>
    </xf>
    <xf numFmtId="0" fontId="3" fillId="36" borderId="59" xfId="60" applyFont="1" applyFill="1" applyBorder="1" applyAlignment="1">
      <alignment horizontal="distributed" vertical="center"/>
      <protection/>
    </xf>
    <xf numFmtId="0" fontId="3" fillId="36" borderId="60" xfId="60" applyFont="1" applyFill="1" applyBorder="1" applyAlignment="1">
      <alignment horizontal="distributed" vertical="center"/>
      <protection/>
    </xf>
    <xf numFmtId="0" fontId="10" fillId="0" borderId="61" xfId="60" applyFont="1" applyFill="1" applyBorder="1" applyAlignment="1">
      <alignment horizontal="distributed" vertical="center"/>
      <protection/>
    </xf>
    <xf numFmtId="0" fontId="10" fillId="0" borderId="62" xfId="60" applyFont="1" applyFill="1" applyBorder="1" applyAlignment="1">
      <alignment horizontal="center" vertical="center"/>
      <protection/>
    </xf>
    <xf numFmtId="0" fontId="10" fillId="0" borderId="63" xfId="60" applyFont="1" applyFill="1" applyBorder="1" applyAlignment="1">
      <alignment horizontal="distributed" vertical="center"/>
      <protection/>
    </xf>
    <xf numFmtId="0" fontId="10" fillId="0" borderId="64" xfId="60" applyFont="1" applyFill="1" applyBorder="1" applyAlignment="1">
      <alignment horizontal="center" vertical="center"/>
      <protection/>
    </xf>
    <xf numFmtId="3" fontId="3" fillId="34" borderId="65" xfId="60" applyNumberFormat="1" applyFont="1" applyFill="1" applyBorder="1" applyAlignment="1">
      <alignment horizontal="right" vertical="center"/>
      <protection/>
    </xf>
    <xf numFmtId="3" fontId="3" fillId="34" borderId="66" xfId="60" applyNumberFormat="1" applyFont="1" applyFill="1" applyBorder="1" applyAlignment="1">
      <alignment horizontal="right" vertical="center"/>
      <protection/>
    </xf>
    <xf numFmtId="3" fontId="3" fillId="35" borderId="35" xfId="60" applyNumberFormat="1" applyFont="1" applyFill="1" applyBorder="1" applyAlignment="1">
      <alignment horizontal="right" vertical="center"/>
      <protection/>
    </xf>
    <xf numFmtId="3" fontId="3" fillId="35" borderId="67" xfId="60" applyNumberFormat="1" applyFont="1" applyFill="1" applyBorder="1" applyAlignment="1">
      <alignment horizontal="right" vertical="center"/>
      <protection/>
    </xf>
    <xf numFmtId="3" fontId="8" fillId="34" borderId="66" xfId="60" applyNumberFormat="1" applyFont="1" applyFill="1" applyBorder="1" applyAlignment="1">
      <alignment horizontal="right" vertical="center"/>
      <protection/>
    </xf>
    <xf numFmtId="3" fontId="8" fillId="35" borderId="35" xfId="60" applyNumberFormat="1" applyFont="1" applyFill="1" applyBorder="1" applyAlignment="1">
      <alignment horizontal="right" vertical="center"/>
      <protection/>
    </xf>
    <xf numFmtId="3" fontId="8" fillId="35" borderId="67" xfId="60" applyNumberFormat="1" applyFont="1" applyFill="1" applyBorder="1" applyAlignment="1">
      <alignment horizontal="right" vertical="center"/>
      <protection/>
    </xf>
    <xf numFmtId="3" fontId="3" fillId="34" borderId="68" xfId="60" applyNumberFormat="1" applyFont="1" applyFill="1" applyBorder="1" applyAlignment="1">
      <alignment horizontal="right" vertical="center"/>
      <protection/>
    </xf>
    <xf numFmtId="3" fontId="3" fillId="35" borderId="69" xfId="60" applyNumberFormat="1" applyFont="1" applyFill="1" applyBorder="1" applyAlignment="1">
      <alignment horizontal="right" vertical="center"/>
      <protection/>
    </xf>
    <xf numFmtId="3" fontId="3" fillId="35" borderId="70" xfId="60" applyNumberFormat="1" applyFont="1" applyFill="1" applyBorder="1" applyAlignment="1">
      <alignment horizontal="right" vertical="center"/>
      <protection/>
    </xf>
    <xf numFmtId="3" fontId="3" fillId="34" borderId="71" xfId="60" applyNumberFormat="1" applyFont="1" applyFill="1" applyBorder="1" applyAlignment="1">
      <alignment horizontal="right" vertical="center"/>
      <protection/>
    </xf>
    <xf numFmtId="3" fontId="3" fillId="34" borderId="71" xfId="60" applyNumberFormat="1" applyFont="1" applyFill="1" applyBorder="1" applyAlignment="1">
      <alignment vertical="center"/>
      <protection/>
    </xf>
    <xf numFmtId="3" fontId="3" fillId="34" borderId="72" xfId="60" applyNumberFormat="1" applyFont="1" applyFill="1" applyBorder="1" applyAlignment="1">
      <alignment horizontal="right" vertical="center"/>
      <protection/>
    </xf>
    <xf numFmtId="3" fontId="3" fillId="35" borderId="73" xfId="60" applyNumberFormat="1" applyFont="1" applyFill="1" applyBorder="1" applyAlignment="1">
      <alignment horizontal="right" vertical="center"/>
      <protection/>
    </xf>
    <xf numFmtId="3" fontId="3" fillId="35" borderId="74" xfId="60" applyNumberFormat="1" applyFont="1" applyFill="1" applyBorder="1" applyAlignment="1">
      <alignment horizontal="right" vertical="center"/>
      <protection/>
    </xf>
    <xf numFmtId="3" fontId="3" fillId="34" borderId="75" xfId="60" applyNumberFormat="1" applyFont="1" applyFill="1" applyBorder="1" applyAlignment="1">
      <alignment horizontal="right" vertical="center"/>
      <protection/>
    </xf>
    <xf numFmtId="3" fontId="3" fillId="35" borderId="45" xfId="60" applyNumberFormat="1" applyFont="1" applyFill="1" applyBorder="1" applyAlignment="1">
      <alignment horizontal="right" vertical="center"/>
      <protection/>
    </xf>
    <xf numFmtId="3" fontId="3" fillId="35" borderId="76" xfId="60" applyNumberFormat="1" applyFont="1" applyFill="1" applyBorder="1" applyAlignment="1">
      <alignment horizontal="right" vertical="center"/>
      <protection/>
    </xf>
    <xf numFmtId="176" fontId="3" fillId="34" borderId="41" xfId="60" applyNumberFormat="1" applyFont="1" applyFill="1" applyBorder="1" applyAlignment="1">
      <alignment horizontal="right" vertical="center"/>
      <protection/>
    </xf>
    <xf numFmtId="176" fontId="3" fillId="35" borderId="33" xfId="60" applyNumberFormat="1" applyFont="1" applyFill="1" applyBorder="1" applyAlignment="1">
      <alignment horizontal="right" vertical="center"/>
      <protection/>
    </xf>
    <xf numFmtId="176" fontId="3" fillId="35" borderId="77" xfId="60" applyNumberFormat="1" applyFont="1" applyFill="1" applyBorder="1" applyAlignment="1">
      <alignment horizontal="right" vertical="center"/>
      <protection/>
    </xf>
    <xf numFmtId="176" fontId="3" fillId="34" borderId="78" xfId="60" applyNumberFormat="1" applyFont="1" applyFill="1" applyBorder="1" applyAlignment="1">
      <alignment horizontal="right" vertical="center"/>
      <protection/>
    </xf>
    <xf numFmtId="176" fontId="3" fillId="35" borderId="35" xfId="60" applyNumberFormat="1" applyFont="1" applyFill="1" applyBorder="1" applyAlignment="1">
      <alignment horizontal="right" vertical="center"/>
      <protection/>
    </xf>
    <xf numFmtId="176" fontId="3" fillId="35" borderId="79" xfId="60" applyNumberFormat="1" applyFont="1" applyFill="1" applyBorder="1" applyAlignment="1">
      <alignment horizontal="right" vertical="center"/>
      <protection/>
    </xf>
    <xf numFmtId="176" fontId="8" fillId="34" borderId="80" xfId="60" applyNumberFormat="1" applyFont="1" applyFill="1" applyBorder="1" applyAlignment="1">
      <alignment horizontal="right" vertical="center"/>
      <protection/>
    </xf>
    <xf numFmtId="176" fontId="8" fillId="35" borderId="81" xfId="60" applyNumberFormat="1" applyFont="1" applyFill="1" applyBorder="1" applyAlignment="1">
      <alignment horizontal="right" vertical="center"/>
      <protection/>
    </xf>
    <xf numFmtId="176" fontId="8" fillId="35" borderId="82" xfId="60" applyNumberFormat="1" applyFont="1" applyFill="1" applyBorder="1" applyAlignment="1">
      <alignment horizontal="right" vertical="center"/>
      <protection/>
    </xf>
    <xf numFmtId="176" fontId="10" fillId="0" borderId="83" xfId="60" applyNumberFormat="1" applyFont="1" applyFill="1" applyBorder="1" applyAlignment="1">
      <alignment horizontal="right" vertical="center"/>
      <protection/>
    </xf>
    <xf numFmtId="176" fontId="10" fillId="0" borderId="84" xfId="60" applyNumberFormat="1" applyFont="1" applyFill="1" applyBorder="1" applyAlignment="1">
      <alignment horizontal="right" vertical="center"/>
      <protection/>
    </xf>
    <xf numFmtId="176" fontId="10" fillId="0" borderId="85" xfId="60" applyNumberFormat="1" applyFont="1" applyFill="1" applyBorder="1" applyAlignment="1">
      <alignment horizontal="right" vertical="center"/>
      <protection/>
    </xf>
    <xf numFmtId="176" fontId="3" fillId="0" borderId="86" xfId="60" applyNumberFormat="1" applyFont="1" applyFill="1" applyBorder="1" applyAlignment="1">
      <alignment horizontal="right" vertical="center"/>
      <protection/>
    </xf>
    <xf numFmtId="176" fontId="3" fillId="0" borderId="87" xfId="60" applyNumberFormat="1" applyFont="1" applyFill="1" applyBorder="1" applyAlignment="1">
      <alignment horizontal="right" vertical="center"/>
      <protection/>
    </xf>
    <xf numFmtId="176" fontId="3" fillId="0" borderId="88" xfId="60" applyNumberFormat="1" applyFont="1" applyFill="1" applyBorder="1" applyAlignment="1">
      <alignment horizontal="right" vertical="center"/>
      <protection/>
    </xf>
    <xf numFmtId="176" fontId="8" fillId="34" borderId="89" xfId="60" applyNumberFormat="1" applyFont="1" applyFill="1" applyBorder="1" applyAlignment="1">
      <alignment horizontal="right" vertical="center"/>
      <protection/>
    </xf>
    <xf numFmtId="176" fontId="8" fillId="35" borderId="73" xfId="60" applyNumberFormat="1" applyFont="1" applyFill="1" applyBorder="1" applyAlignment="1">
      <alignment horizontal="right" vertical="center"/>
      <protection/>
    </xf>
    <xf numFmtId="176" fontId="8" fillId="35" borderId="90" xfId="60" applyNumberFormat="1" applyFont="1" applyFill="1" applyBorder="1" applyAlignment="1">
      <alignment horizontal="right" vertical="center"/>
      <protection/>
    </xf>
    <xf numFmtId="176" fontId="8" fillId="34" borderId="91" xfId="60" applyNumberFormat="1" applyFont="1" applyFill="1" applyBorder="1" applyAlignment="1">
      <alignment horizontal="right" vertical="center"/>
      <protection/>
    </xf>
    <xf numFmtId="176" fontId="8" fillId="35" borderId="92" xfId="60" applyNumberFormat="1" applyFont="1" applyFill="1" applyBorder="1" applyAlignment="1">
      <alignment horizontal="right" vertical="center"/>
      <protection/>
    </xf>
    <xf numFmtId="176" fontId="8" fillId="35" borderId="93" xfId="60" applyNumberFormat="1" applyFont="1" applyFill="1" applyBorder="1" applyAlignment="1">
      <alignment horizontal="right" vertical="center"/>
      <protection/>
    </xf>
    <xf numFmtId="176" fontId="10" fillId="0" borderId="94" xfId="60" applyNumberFormat="1" applyFont="1" applyFill="1" applyBorder="1" applyAlignment="1">
      <alignment horizontal="right" vertical="center"/>
      <protection/>
    </xf>
    <xf numFmtId="176" fontId="10" fillId="0" borderId="95" xfId="60" applyNumberFormat="1" applyFont="1" applyFill="1" applyBorder="1" applyAlignment="1">
      <alignment horizontal="right" vertical="center"/>
      <protection/>
    </xf>
    <xf numFmtId="176" fontId="10" fillId="0" borderId="96" xfId="60" applyNumberFormat="1" applyFont="1" applyFill="1" applyBorder="1" applyAlignment="1">
      <alignment horizontal="right" vertical="center"/>
      <protection/>
    </xf>
    <xf numFmtId="176" fontId="3" fillId="34" borderId="97" xfId="60" applyNumberFormat="1" applyFont="1" applyFill="1" applyBorder="1" applyAlignment="1">
      <alignment horizontal="right" vertical="center"/>
      <protection/>
    </xf>
    <xf numFmtId="176" fontId="3" fillId="35" borderId="98" xfId="60" applyNumberFormat="1" applyFont="1" applyFill="1" applyBorder="1" applyAlignment="1">
      <alignment horizontal="right" vertical="center"/>
      <protection/>
    </xf>
    <xf numFmtId="176" fontId="3" fillId="35" borderId="99" xfId="60" applyNumberFormat="1" applyFont="1" applyFill="1" applyBorder="1" applyAlignment="1">
      <alignment horizontal="right" vertical="center"/>
      <protection/>
    </xf>
    <xf numFmtId="176" fontId="10" fillId="0" borderId="100" xfId="60" applyNumberFormat="1" applyFont="1" applyFill="1" applyBorder="1" applyAlignment="1">
      <alignment horizontal="right" vertical="center"/>
      <protection/>
    </xf>
    <xf numFmtId="176" fontId="10" fillId="0" borderId="101" xfId="60" applyNumberFormat="1" applyFont="1" applyFill="1" applyBorder="1" applyAlignment="1">
      <alignment horizontal="right" vertical="center"/>
      <protection/>
    </xf>
    <xf numFmtId="176" fontId="10" fillId="0" borderId="102" xfId="60" applyNumberFormat="1" applyFont="1" applyFill="1" applyBorder="1" applyAlignment="1">
      <alignment horizontal="right" vertical="center"/>
      <protection/>
    </xf>
    <xf numFmtId="176" fontId="3" fillId="0" borderId="103" xfId="60" applyNumberFormat="1" applyFont="1" applyFill="1" applyBorder="1" applyAlignment="1">
      <alignment horizontal="right" vertical="center"/>
      <protection/>
    </xf>
    <xf numFmtId="176" fontId="3" fillId="0" borderId="104" xfId="60" applyNumberFormat="1" applyFont="1" applyFill="1" applyBorder="1" applyAlignment="1">
      <alignment horizontal="right" vertical="center"/>
      <protection/>
    </xf>
    <xf numFmtId="176" fontId="3" fillId="0" borderId="105" xfId="60" applyNumberFormat="1" applyFont="1" applyFill="1" applyBorder="1" applyAlignment="1">
      <alignment horizontal="right" vertical="center"/>
      <protection/>
    </xf>
    <xf numFmtId="0" fontId="3" fillId="0" borderId="106" xfId="60" applyFont="1" applyFill="1" applyBorder="1" applyAlignment="1">
      <alignment horizontal="distributed" vertical="center"/>
      <protection/>
    </xf>
    <xf numFmtId="3" fontId="3" fillId="0" borderId="106" xfId="60" applyNumberFormat="1" applyFont="1" applyFill="1" applyBorder="1" applyAlignment="1">
      <alignment horizontal="right" vertical="center"/>
      <protection/>
    </xf>
    <xf numFmtId="0" fontId="10" fillId="0" borderId="107" xfId="60" applyFont="1" applyFill="1" applyBorder="1" applyAlignment="1">
      <alignment horizontal="distributed" vertical="center"/>
      <protection/>
    </xf>
    <xf numFmtId="0" fontId="10" fillId="0" borderId="108" xfId="60" applyFont="1" applyFill="1" applyBorder="1" applyAlignment="1">
      <alignment horizontal="distributed" vertical="center"/>
      <protection/>
    </xf>
    <xf numFmtId="0" fontId="10" fillId="0" borderId="109" xfId="60" applyFont="1" applyFill="1" applyBorder="1" applyAlignment="1">
      <alignment horizontal="distributed" vertical="center"/>
      <protection/>
    </xf>
    <xf numFmtId="0" fontId="11" fillId="0" borderId="57" xfId="60" applyFont="1" applyFill="1" applyBorder="1">
      <alignment/>
      <protection/>
    </xf>
    <xf numFmtId="0" fontId="10" fillId="0" borderId="110" xfId="60" applyFont="1" applyFill="1" applyBorder="1" applyAlignment="1">
      <alignment horizontal="distributed" vertical="center"/>
      <protection/>
    </xf>
    <xf numFmtId="0" fontId="10" fillId="0" borderId="111" xfId="60" applyFont="1" applyFill="1" applyBorder="1" applyAlignment="1">
      <alignment horizontal="distributed" vertical="center"/>
      <protection/>
    </xf>
    <xf numFmtId="0" fontId="10" fillId="0" borderId="112" xfId="60" applyFont="1" applyFill="1" applyBorder="1" applyAlignment="1">
      <alignment horizontal="distributed" vertical="center"/>
      <protection/>
    </xf>
    <xf numFmtId="0" fontId="9" fillId="0" borderId="57" xfId="60" applyFont="1" applyBorder="1">
      <alignment/>
      <protection/>
    </xf>
    <xf numFmtId="0" fontId="10" fillId="0" borderId="113" xfId="60" applyFont="1" applyFill="1" applyBorder="1" applyAlignment="1">
      <alignment horizontal="distributed" vertical="center"/>
      <protection/>
    </xf>
    <xf numFmtId="0" fontId="10" fillId="0" borderId="114" xfId="60" applyFont="1" applyFill="1" applyBorder="1" applyAlignment="1">
      <alignment horizontal="distributed" vertical="center"/>
      <protection/>
    </xf>
    <xf numFmtId="3" fontId="3" fillId="34" borderId="115" xfId="60" applyNumberFormat="1" applyFont="1" applyFill="1" applyBorder="1" applyAlignment="1">
      <alignment vertical="center"/>
      <protection/>
    </xf>
    <xf numFmtId="3" fontId="3" fillId="34" borderId="116" xfId="60" applyNumberFormat="1" applyFont="1" applyFill="1" applyBorder="1" applyAlignment="1">
      <alignment vertical="center"/>
      <protection/>
    </xf>
    <xf numFmtId="3" fontId="3" fillId="34" borderId="117" xfId="60" applyNumberFormat="1" applyFont="1" applyFill="1" applyBorder="1" applyAlignment="1">
      <alignment vertical="center"/>
      <protection/>
    </xf>
    <xf numFmtId="3" fontId="3" fillId="34" borderId="24" xfId="60" applyNumberFormat="1" applyFont="1" applyFill="1" applyBorder="1" applyAlignment="1">
      <alignment vertical="center"/>
      <protection/>
    </xf>
    <xf numFmtId="0" fontId="3" fillId="0" borderId="0" xfId="0" applyFont="1" applyAlignment="1">
      <alignment horizontal="left" vertical="top"/>
    </xf>
    <xf numFmtId="0" fontId="3" fillId="0" borderId="106" xfId="60" applyFont="1" applyBorder="1" applyAlignment="1">
      <alignment horizontal="left" vertical="top"/>
      <protection/>
    </xf>
    <xf numFmtId="0" fontId="3" fillId="0" borderId="0" xfId="0" applyFont="1" applyBorder="1" applyAlignment="1">
      <alignment horizontal="left" vertical="top" wrapText="1"/>
    </xf>
    <xf numFmtId="3" fontId="48" fillId="34" borderId="65" xfId="60" applyNumberFormat="1" applyFont="1" applyFill="1" applyBorder="1" applyAlignment="1">
      <alignment horizontal="right" vertical="center"/>
      <protection/>
    </xf>
    <xf numFmtId="3" fontId="49" fillId="34" borderId="66" xfId="60" applyNumberFormat="1" applyFont="1" applyFill="1" applyBorder="1" applyAlignment="1">
      <alignment horizontal="right" vertical="center"/>
      <protection/>
    </xf>
    <xf numFmtId="3" fontId="48" fillId="34" borderId="68" xfId="60" applyNumberFormat="1" applyFont="1" applyFill="1" applyBorder="1" applyAlignment="1">
      <alignment horizontal="right" vertical="center"/>
      <protection/>
    </xf>
    <xf numFmtId="3" fontId="48" fillId="34" borderId="44" xfId="60" applyNumberFormat="1" applyFont="1" applyFill="1" applyBorder="1" applyAlignment="1">
      <alignment horizontal="right" vertical="center"/>
      <protection/>
    </xf>
    <xf numFmtId="3" fontId="48" fillId="34" borderId="75" xfId="60" applyNumberFormat="1" applyFont="1" applyFill="1" applyBorder="1" applyAlignment="1">
      <alignment horizontal="right" vertical="center"/>
      <protection/>
    </xf>
    <xf numFmtId="176" fontId="48" fillId="35" borderId="33" xfId="60" applyNumberFormat="1" applyFont="1" applyFill="1" applyBorder="1" applyAlignment="1">
      <alignment horizontal="right" vertical="center"/>
      <protection/>
    </xf>
    <xf numFmtId="176" fontId="48" fillId="35" borderId="35" xfId="60" applyNumberFormat="1" applyFont="1" applyFill="1" applyBorder="1" applyAlignment="1">
      <alignment horizontal="right" vertical="center"/>
      <protection/>
    </xf>
    <xf numFmtId="176" fontId="48" fillId="35" borderId="77" xfId="60" applyNumberFormat="1" applyFont="1" applyFill="1" applyBorder="1" applyAlignment="1">
      <alignment horizontal="right" vertical="center"/>
      <protection/>
    </xf>
    <xf numFmtId="176" fontId="48" fillId="35" borderId="79" xfId="60" applyNumberFormat="1" applyFont="1" applyFill="1" applyBorder="1" applyAlignment="1">
      <alignment horizontal="right" vertical="center"/>
      <protection/>
    </xf>
    <xf numFmtId="176" fontId="48" fillId="34" borderId="78" xfId="60" applyNumberFormat="1" applyFont="1" applyFill="1" applyBorder="1" applyAlignment="1">
      <alignment horizontal="right" vertical="center"/>
      <protection/>
    </xf>
    <xf numFmtId="176" fontId="49" fillId="34" borderId="80" xfId="60" applyNumberFormat="1" applyFont="1" applyFill="1" applyBorder="1" applyAlignment="1">
      <alignment horizontal="right" vertical="center"/>
      <protection/>
    </xf>
    <xf numFmtId="176" fontId="49" fillId="34" borderId="89" xfId="60" applyNumberFormat="1" applyFont="1" applyFill="1" applyBorder="1" applyAlignment="1">
      <alignment horizontal="right" vertical="center"/>
      <protection/>
    </xf>
    <xf numFmtId="41" fontId="3" fillId="34" borderId="41" xfId="60" applyNumberFormat="1" applyFont="1" applyFill="1" applyBorder="1" applyAlignment="1">
      <alignment horizontal="right" vertical="center"/>
      <protection/>
    </xf>
    <xf numFmtId="41" fontId="3" fillId="34" borderId="65" xfId="60" applyNumberFormat="1" applyFont="1" applyFill="1" applyBorder="1" applyAlignment="1">
      <alignment horizontal="right" vertical="center"/>
      <protection/>
    </xf>
    <xf numFmtId="41" fontId="3" fillId="34" borderId="77" xfId="60" applyNumberFormat="1" applyFont="1" applyFill="1" applyBorder="1" applyAlignment="1">
      <alignment horizontal="right" vertical="center"/>
      <protection/>
    </xf>
    <xf numFmtId="41" fontId="8" fillId="34" borderId="91" xfId="60" applyNumberFormat="1" applyFont="1" applyFill="1" applyBorder="1" applyAlignment="1">
      <alignment horizontal="right" vertical="center"/>
      <protection/>
    </xf>
    <xf numFmtId="41" fontId="8" fillId="34" borderId="118" xfId="60" applyNumberFormat="1" applyFont="1" applyFill="1" applyBorder="1" applyAlignment="1">
      <alignment horizontal="right" vertical="center"/>
      <protection/>
    </xf>
    <xf numFmtId="41" fontId="8" fillId="34" borderId="93" xfId="60" applyNumberFormat="1" applyFont="1" applyFill="1" applyBorder="1" applyAlignment="1">
      <alignment horizontal="right" vertical="center"/>
      <protection/>
    </xf>
    <xf numFmtId="41" fontId="3" fillId="0" borderId="96" xfId="60" applyNumberFormat="1" applyFont="1" applyFill="1" applyBorder="1" applyAlignment="1">
      <alignment horizontal="right" vertical="center"/>
      <protection/>
    </xf>
    <xf numFmtId="41" fontId="3" fillId="0" borderId="119" xfId="60" applyNumberFormat="1" applyFont="1" applyFill="1" applyBorder="1" applyAlignment="1">
      <alignment horizontal="right" vertical="center"/>
      <protection/>
    </xf>
    <xf numFmtId="41" fontId="3" fillId="0" borderId="120" xfId="60" applyNumberFormat="1" applyFont="1" applyFill="1" applyBorder="1" applyAlignment="1">
      <alignment horizontal="right" vertical="center"/>
      <protection/>
    </xf>
    <xf numFmtId="41" fontId="3" fillId="34" borderId="97" xfId="60" applyNumberFormat="1" applyFont="1" applyFill="1" applyBorder="1" applyAlignment="1">
      <alignment horizontal="right" vertical="center"/>
      <protection/>
    </xf>
    <xf numFmtId="41" fontId="3" fillId="34" borderId="121" xfId="60" applyNumberFormat="1" applyFont="1" applyFill="1" applyBorder="1" applyAlignment="1">
      <alignment horizontal="right" vertical="center"/>
      <protection/>
    </xf>
    <xf numFmtId="41" fontId="3" fillId="34" borderId="99" xfId="60" applyNumberFormat="1" applyFont="1" applyFill="1" applyBorder="1" applyAlignment="1">
      <alignment horizontal="right" vertical="center"/>
      <protection/>
    </xf>
    <xf numFmtId="41" fontId="3" fillId="0" borderId="102" xfId="60" applyNumberFormat="1" applyFont="1" applyFill="1" applyBorder="1" applyAlignment="1">
      <alignment horizontal="right" vertical="center"/>
      <protection/>
    </xf>
    <xf numFmtId="41" fontId="3" fillId="0" borderId="122" xfId="60" applyNumberFormat="1" applyFont="1" applyFill="1" applyBorder="1" applyAlignment="1">
      <alignment horizontal="right" vertical="center"/>
      <protection/>
    </xf>
    <xf numFmtId="41" fontId="3" fillId="0" borderId="123" xfId="60" applyNumberFormat="1" applyFont="1" applyFill="1" applyBorder="1" applyAlignment="1">
      <alignment horizontal="right" vertical="center"/>
      <protection/>
    </xf>
    <xf numFmtId="41" fontId="3" fillId="0" borderId="124" xfId="60" applyNumberFormat="1" applyFont="1" applyFill="1" applyBorder="1" applyAlignment="1">
      <alignment horizontal="right" vertical="center"/>
      <protection/>
    </xf>
    <xf numFmtId="41" fontId="3" fillId="0" borderId="125" xfId="60" applyNumberFormat="1" applyFont="1" applyFill="1" applyBorder="1" applyAlignment="1">
      <alignment horizontal="right" vertical="center"/>
      <protection/>
    </xf>
    <xf numFmtId="41" fontId="3" fillId="0" borderId="126" xfId="60" applyNumberFormat="1" applyFont="1" applyFill="1" applyBorder="1" applyAlignment="1">
      <alignment horizontal="right" vertical="center"/>
      <protection/>
    </xf>
    <xf numFmtId="41" fontId="8" fillId="34" borderId="127" xfId="60" applyNumberFormat="1" applyFont="1" applyFill="1" applyBorder="1" applyAlignment="1">
      <alignment horizontal="right" vertical="center"/>
      <protection/>
    </xf>
    <xf numFmtId="41" fontId="8" fillId="34" borderId="128" xfId="60" applyNumberFormat="1" applyFont="1" applyFill="1" applyBorder="1" applyAlignment="1">
      <alignment horizontal="right" vertical="center"/>
      <protection/>
    </xf>
    <xf numFmtId="41" fontId="8" fillId="34" borderId="129" xfId="60" applyNumberFormat="1" applyFont="1" applyFill="1" applyBorder="1" applyAlignment="1">
      <alignment horizontal="right" vertical="center"/>
      <protection/>
    </xf>
    <xf numFmtId="0" fontId="3" fillId="0" borderId="28" xfId="60" applyFont="1" applyBorder="1" applyAlignment="1">
      <alignment horizontal="center" vertical="center"/>
      <protection/>
    </xf>
    <xf numFmtId="0" fontId="3" fillId="0" borderId="36" xfId="60" applyFont="1" applyBorder="1" applyAlignment="1">
      <alignment horizontal="distributed" vertical="center" wrapText="1"/>
      <protection/>
    </xf>
    <xf numFmtId="3" fontId="3" fillId="34" borderId="130" xfId="60" applyNumberFormat="1" applyFont="1" applyFill="1" applyBorder="1" applyAlignment="1">
      <alignment horizontal="right" vertical="center"/>
      <protection/>
    </xf>
    <xf numFmtId="3" fontId="3" fillId="34" borderId="130" xfId="60" applyNumberFormat="1" applyFont="1" applyFill="1" applyBorder="1" applyAlignment="1">
      <alignment vertical="center"/>
      <protection/>
    </xf>
    <xf numFmtId="41" fontId="48" fillId="34" borderId="65" xfId="60" applyNumberFormat="1" applyFont="1" applyFill="1" applyBorder="1" applyAlignment="1">
      <alignment horizontal="right" vertical="center"/>
      <protection/>
    </xf>
    <xf numFmtId="0" fontId="3" fillId="0" borderId="23" xfId="60" applyFont="1" applyBorder="1" applyAlignment="1">
      <alignment horizontal="distributed" vertical="center"/>
      <protection/>
    </xf>
    <xf numFmtId="0" fontId="3" fillId="0" borderId="131" xfId="60" applyFont="1" applyBorder="1" applyAlignment="1">
      <alignment horizontal="distributed" vertical="center"/>
      <protection/>
    </xf>
    <xf numFmtId="0" fontId="3" fillId="0" borderId="0" xfId="0" applyFont="1" applyBorder="1" applyAlignment="1">
      <alignment horizontal="left" vertical="top" wrapText="1"/>
    </xf>
    <xf numFmtId="0" fontId="3" fillId="0" borderId="0" xfId="0" applyFont="1" applyAlignment="1">
      <alignment horizontal="left" vertical="top" wrapText="1"/>
    </xf>
    <xf numFmtId="0" fontId="3" fillId="0" borderId="132" xfId="60" applyFont="1" applyBorder="1" applyAlignment="1">
      <alignment horizontal="center" vertical="center"/>
      <protection/>
    </xf>
    <xf numFmtId="0" fontId="3" fillId="0" borderId="133" xfId="60" applyFont="1" applyBorder="1" applyAlignment="1">
      <alignment horizontal="center" vertical="center"/>
      <protection/>
    </xf>
    <xf numFmtId="0" fontId="3" fillId="0" borderId="134" xfId="60" applyFont="1" applyBorder="1" applyAlignment="1">
      <alignment horizontal="center" vertical="center"/>
      <protection/>
    </xf>
    <xf numFmtId="0" fontId="13" fillId="0" borderId="0" xfId="60" applyFont="1" applyAlignment="1">
      <alignment horizontal="center" vertical="top"/>
      <protection/>
    </xf>
    <xf numFmtId="0" fontId="3" fillId="0" borderId="0" xfId="60" applyFont="1" applyAlignment="1">
      <alignment horizontal="left" vertical="top"/>
      <protection/>
    </xf>
    <xf numFmtId="0" fontId="3" fillId="0" borderId="135" xfId="60" applyFont="1" applyBorder="1" applyAlignment="1">
      <alignment horizontal="center" vertical="center"/>
      <protection/>
    </xf>
    <xf numFmtId="0" fontId="3" fillId="0" borderId="136" xfId="60" applyFont="1" applyBorder="1" applyAlignment="1">
      <alignment horizontal="center" vertical="center"/>
      <protection/>
    </xf>
    <xf numFmtId="0" fontId="3" fillId="0" borderId="57" xfId="60" applyFont="1" applyBorder="1" applyAlignment="1">
      <alignment horizontal="center" vertical="center"/>
      <protection/>
    </xf>
    <xf numFmtId="0" fontId="3" fillId="0" borderId="137" xfId="60" applyFont="1" applyBorder="1" applyAlignment="1">
      <alignment horizontal="center" vertical="center"/>
      <protection/>
    </xf>
    <xf numFmtId="0" fontId="3" fillId="0" borderId="138" xfId="60" applyFont="1" applyBorder="1" applyAlignment="1">
      <alignment horizontal="distributed" vertical="center" wrapText="1"/>
      <protection/>
    </xf>
    <xf numFmtId="0" fontId="3" fillId="0" borderId="138" xfId="60" applyFont="1" applyBorder="1" applyAlignment="1">
      <alignment horizontal="distributed" vertical="center"/>
      <protection/>
    </xf>
    <xf numFmtId="0" fontId="3" fillId="0" borderId="139" xfId="60" applyFont="1" applyBorder="1" applyAlignment="1">
      <alignment horizontal="distributed" vertical="center"/>
      <protection/>
    </xf>
    <xf numFmtId="0" fontId="3" fillId="0" borderId="140" xfId="60" applyFont="1" applyBorder="1" applyAlignment="1">
      <alignment horizontal="distributed" vertical="center" wrapText="1"/>
      <protection/>
    </xf>
    <xf numFmtId="0" fontId="3" fillId="0" borderId="141" xfId="60" applyFont="1" applyBorder="1" applyAlignment="1">
      <alignment horizontal="distributed" vertical="center"/>
      <protection/>
    </xf>
    <xf numFmtId="0" fontId="3" fillId="0" borderId="138" xfId="60" applyFont="1" applyBorder="1" applyAlignment="1">
      <alignment horizontal="center" vertical="center"/>
      <protection/>
    </xf>
    <xf numFmtId="0" fontId="3" fillId="0" borderId="139" xfId="60" applyFont="1" applyBorder="1" applyAlignment="1">
      <alignment horizontal="center" vertical="center"/>
      <protection/>
    </xf>
    <xf numFmtId="0" fontId="3" fillId="0" borderId="142" xfId="60" applyFont="1" applyBorder="1" applyAlignment="1">
      <alignment horizontal="center" vertical="center"/>
      <protection/>
    </xf>
    <xf numFmtId="0" fontId="3" fillId="0" borderId="106" xfId="60" applyFont="1" applyBorder="1" applyAlignment="1">
      <alignment horizontal="center" vertical="center"/>
      <protection/>
    </xf>
    <xf numFmtId="0" fontId="3" fillId="0" borderId="143" xfId="60" applyFont="1" applyBorder="1" applyAlignment="1">
      <alignment horizontal="center" vertical="center"/>
      <protection/>
    </xf>
    <xf numFmtId="0" fontId="3" fillId="0" borderId="106" xfId="60" applyFont="1" applyBorder="1" applyAlignment="1">
      <alignment horizontal="left" vertical="center"/>
      <protection/>
    </xf>
    <xf numFmtId="0" fontId="3" fillId="0" borderId="0" xfId="60" applyFont="1" applyAlignment="1">
      <alignment horizontal="left" vertical="center"/>
      <protection/>
    </xf>
    <xf numFmtId="0" fontId="3" fillId="0" borderId="144" xfId="60" applyFont="1" applyBorder="1" applyAlignment="1">
      <alignment horizontal="center" vertical="center"/>
      <protection/>
    </xf>
    <xf numFmtId="0" fontId="3" fillId="0" borderId="145" xfId="60" applyFont="1" applyBorder="1" applyAlignment="1">
      <alignment horizontal="center" vertical="center"/>
      <protection/>
    </xf>
    <xf numFmtId="0" fontId="3" fillId="0" borderId="146" xfId="60" applyFont="1" applyBorder="1" applyAlignment="1">
      <alignment horizontal="center" vertical="center"/>
      <protection/>
    </xf>
    <xf numFmtId="0" fontId="3" fillId="0" borderId="147" xfId="60" applyFont="1" applyBorder="1" applyAlignment="1">
      <alignment horizontal="center" vertical="center"/>
      <protection/>
    </xf>
    <xf numFmtId="0" fontId="3" fillId="0" borderId="106" xfId="60" applyFont="1" applyBorder="1" applyAlignment="1">
      <alignment horizontal="left"/>
      <protection/>
    </xf>
    <xf numFmtId="0" fontId="3" fillId="0" borderId="135" xfId="60" applyFont="1" applyBorder="1" applyAlignment="1">
      <alignment horizontal="distributed" vertical="center"/>
      <protection/>
    </xf>
    <xf numFmtId="0" fontId="3" fillId="0" borderId="57" xfId="60" applyFont="1" applyBorder="1" applyAlignment="1">
      <alignment horizontal="distributed" vertical="center"/>
      <protection/>
    </xf>
    <xf numFmtId="0" fontId="3" fillId="0" borderId="148" xfId="60" applyFont="1" applyBorder="1" applyAlignment="1">
      <alignment horizontal="distributed" vertical="center"/>
      <protection/>
    </xf>
    <xf numFmtId="0" fontId="3" fillId="0" borderId="149" xfId="60" applyFont="1" applyBorder="1" applyAlignment="1">
      <alignment horizontal="center" vertical="center"/>
      <protection/>
    </xf>
    <xf numFmtId="0" fontId="3" fillId="0" borderId="49" xfId="60" applyFont="1" applyBorder="1" applyAlignment="1">
      <alignment horizontal="distributed" vertical="center" wrapText="1"/>
      <protection/>
    </xf>
    <xf numFmtId="0" fontId="3" fillId="0" borderId="58" xfId="60" applyFont="1" applyBorder="1" applyAlignment="1">
      <alignment horizontal="distributed" vertical="center" wrapText="1"/>
      <protection/>
    </xf>
    <xf numFmtId="0" fontId="3" fillId="0" borderId="150" xfId="60" applyFont="1" applyBorder="1" applyAlignment="1">
      <alignment horizontal="distributed" vertical="center" wrapText="1"/>
      <protection/>
    </xf>
    <xf numFmtId="0" fontId="3" fillId="0" borderId="151" xfId="60" applyFont="1" applyBorder="1" applyAlignment="1">
      <alignment horizontal="center" vertical="center"/>
      <protection/>
    </xf>
    <xf numFmtId="0" fontId="3" fillId="0" borderId="152" xfId="60" applyFont="1" applyBorder="1" applyAlignment="1">
      <alignment horizontal="center" vertical="center"/>
      <protection/>
    </xf>
    <xf numFmtId="0" fontId="3" fillId="0" borderId="144" xfId="60" applyFont="1" applyBorder="1" applyAlignment="1">
      <alignment horizontal="center" vertical="center" wrapText="1"/>
      <protection/>
    </xf>
    <xf numFmtId="0" fontId="3" fillId="0" borderId="153" xfId="60" applyFont="1" applyBorder="1" applyAlignment="1">
      <alignment horizontal="left" vertical="center"/>
      <protection/>
    </xf>
    <xf numFmtId="0" fontId="3" fillId="0" borderId="154" xfId="60" applyFont="1" applyBorder="1" applyAlignment="1">
      <alignment horizontal="distributed" vertical="center" wrapText="1"/>
      <protection/>
    </xf>
    <xf numFmtId="0" fontId="3" fillId="0" borderId="155" xfId="60" applyFont="1" applyBorder="1" applyAlignment="1">
      <alignment horizontal="distributed" vertical="center"/>
      <protection/>
    </xf>
    <xf numFmtId="0" fontId="3" fillId="0" borderId="156" xfId="60" applyFont="1" applyBorder="1" applyAlignment="1">
      <alignment horizontal="distributed" vertical="center" wrapText="1"/>
      <protection/>
    </xf>
    <xf numFmtId="0" fontId="3" fillId="0" borderId="157" xfId="60" applyFont="1" applyBorder="1" applyAlignment="1">
      <alignment horizontal="distributed" vertical="center" wrapText="1"/>
      <protection/>
    </xf>
    <xf numFmtId="0" fontId="3" fillId="0" borderId="31" xfId="60" applyFont="1" applyBorder="1" applyAlignment="1">
      <alignment horizontal="center" vertical="center"/>
      <protection/>
    </xf>
    <xf numFmtId="0" fontId="3" fillId="0" borderId="149" xfId="60" applyFont="1" applyBorder="1" applyAlignment="1">
      <alignment horizontal="center" vertical="center" wrapText="1"/>
      <protection/>
    </xf>
    <xf numFmtId="0" fontId="3" fillId="0" borderId="158" xfId="60" applyFont="1" applyBorder="1" applyAlignment="1">
      <alignment horizontal="center" vertical="center"/>
      <protection/>
    </xf>
    <xf numFmtId="0" fontId="3" fillId="0" borderId="159" xfId="60" applyFont="1" applyBorder="1" applyAlignment="1">
      <alignment horizontal="center" vertical="center"/>
      <protection/>
    </xf>
    <xf numFmtId="0" fontId="3" fillId="0" borderId="160" xfId="60" applyFont="1" applyBorder="1" applyAlignment="1">
      <alignment horizontal="distributed" vertical="center" wrapText="1"/>
      <protection/>
    </xf>
    <xf numFmtId="0" fontId="3" fillId="0" borderId="161" xfId="60" applyFont="1" applyBorder="1" applyAlignment="1">
      <alignment horizontal="distributed"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H17"/>
  <sheetViews>
    <sheetView showGridLines="0" tabSelected="1" workbookViewId="0" topLeftCell="A1">
      <selection activeCell="A1" sqref="A1:H1"/>
    </sheetView>
  </sheetViews>
  <sheetFormatPr defaultColWidth="5.8515625" defaultRowHeight="15"/>
  <cols>
    <col min="1" max="1" width="10.57421875" style="2" customWidth="1"/>
    <col min="2" max="2" width="16.00390625" style="2" customWidth="1"/>
    <col min="3" max="3" width="9.140625" style="2" customWidth="1"/>
    <col min="4" max="4" width="9.7109375" style="2" customWidth="1"/>
    <col min="5" max="5" width="9.140625" style="2" customWidth="1"/>
    <col min="6" max="6" width="11.421875" style="2" bestFit="1" customWidth="1"/>
    <col min="7" max="7" width="9.140625" style="2" customWidth="1"/>
    <col min="8" max="8" width="11.421875" style="2" bestFit="1" customWidth="1"/>
    <col min="9" max="16384" width="5.8515625" style="2" customWidth="1"/>
  </cols>
  <sheetData>
    <row r="1" spans="1:8" ht="15">
      <c r="A1" s="208" t="s">
        <v>232</v>
      </c>
      <c r="B1" s="208"/>
      <c r="C1" s="208"/>
      <c r="D1" s="208"/>
      <c r="E1" s="208"/>
      <c r="F1" s="208"/>
      <c r="G1" s="208"/>
      <c r="H1" s="208"/>
    </row>
    <row r="2" spans="1:8" ht="15">
      <c r="A2" s="39"/>
      <c r="B2" s="39"/>
      <c r="C2" s="39"/>
      <c r="D2" s="39"/>
      <c r="E2" s="39"/>
      <c r="F2" s="39"/>
      <c r="G2" s="39"/>
      <c r="H2" s="39"/>
    </row>
    <row r="3" spans="1:8" ht="12" thickBot="1">
      <c r="A3" s="209" t="s">
        <v>167</v>
      </c>
      <c r="B3" s="209"/>
      <c r="C3" s="209"/>
      <c r="D3" s="209"/>
      <c r="E3" s="209"/>
      <c r="F3" s="209"/>
      <c r="G3" s="209"/>
      <c r="H3" s="209"/>
    </row>
    <row r="4" spans="1:8" ht="24" customHeight="1">
      <c r="A4" s="210" t="s">
        <v>152</v>
      </c>
      <c r="B4" s="211"/>
      <c r="C4" s="205" t="s">
        <v>242</v>
      </c>
      <c r="D4" s="206"/>
      <c r="E4" s="205" t="s">
        <v>243</v>
      </c>
      <c r="F4" s="206"/>
      <c r="G4" s="205" t="s">
        <v>244</v>
      </c>
      <c r="H4" s="207"/>
    </row>
    <row r="5" spans="1:8" ht="24" customHeight="1">
      <c r="A5" s="212"/>
      <c r="B5" s="213"/>
      <c r="C5" s="196" t="s">
        <v>153</v>
      </c>
      <c r="D5" s="40" t="s">
        <v>154</v>
      </c>
      <c r="E5" s="196" t="s">
        <v>153</v>
      </c>
      <c r="F5" s="40" t="s">
        <v>154</v>
      </c>
      <c r="G5" s="196" t="s">
        <v>153</v>
      </c>
      <c r="H5" s="41" t="s">
        <v>154</v>
      </c>
    </row>
    <row r="6" spans="1:8" ht="12" customHeight="1">
      <c r="A6" s="42"/>
      <c r="B6" s="43"/>
      <c r="C6" s="30" t="s">
        <v>155</v>
      </c>
      <c r="D6" s="7" t="s">
        <v>156</v>
      </c>
      <c r="E6" s="30" t="s">
        <v>155</v>
      </c>
      <c r="F6" s="7" t="s">
        <v>156</v>
      </c>
      <c r="G6" s="30" t="s">
        <v>155</v>
      </c>
      <c r="H6" s="44" t="s">
        <v>156</v>
      </c>
    </row>
    <row r="7" spans="1:8" ht="30" customHeight="1">
      <c r="A7" s="214" t="s">
        <v>169</v>
      </c>
      <c r="B7" s="45" t="s">
        <v>170</v>
      </c>
      <c r="C7" s="163">
        <v>25393</v>
      </c>
      <c r="D7" s="46">
        <v>16295407</v>
      </c>
      <c r="E7" s="93">
        <v>77567</v>
      </c>
      <c r="F7" s="46">
        <v>686159176</v>
      </c>
      <c r="G7" s="93">
        <v>102960</v>
      </c>
      <c r="H7" s="47">
        <v>702454583</v>
      </c>
    </row>
    <row r="8" spans="1:8" ht="30" customHeight="1">
      <c r="A8" s="215"/>
      <c r="B8" s="48" t="s">
        <v>171</v>
      </c>
      <c r="C8" s="94">
        <v>47490</v>
      </c>
      <c r="D8" s="95">
        <v>18687240</v>
      </c>
      <c r="E8" s="94">
        <v>31648</v>
      </c>
      <c r="F8" s="95">
        <v>22707687</v>
      </c>
      <c r="G8" s="94">
        <v>79138</v>
      </c>
      <c r="H8" s="96">
        <v>41394927</v>
      </c>
    </row>
    <row r="9" spans="1:8" s="50" customFormat="1" ht="30" customHeight="1">
      <c r="A9" s="215"/>
      <c r="B9" s="49" t="s">
        <v>172</v>
      </c>
      <c r="C9" s="164">
        <v>72883</v>
      </c>
      <c r="D9" s="98">
        <v>34982647</v>
      </c>
      <c r="E9" s="97">
        <v>109215</v>
      </c>
      <c r="F9" s="98">
        <v>708866863</v>
      </c>
      <c r="G9" s="97">
        <v>182098</v>
      </c>
      <c r="H9" s="99">
        <v>743849510</v>
      </c>
    </row>
    <row r="10" spans="1:8" ht="30" customHeight="1">
      <c r="A10" s="216"/>
      <c r="B10" s="51" t="s">
        <v>173</v>
      </c>
      <c r="C10" s="165">
        <v>4737</v>
      </c>
      <c r="D10" s="101">
        <v>2360814</v>
      </c>
      <c r="E10" s="100">
        <v>7035</v>
      </c>
      <c r="F10" s="101">
        <v>68912917</v>
      </c>
      <c r="G10" s="100">
        <v>11772</v>
      </c>
      <c r="H10" s="102">
        <v>71273731</v>
      </c>
    </row>
    <row r="11" spans="1:8" ht="30" customHeight="1">
      <c r="A11" s="217" t="s">
        <v>174</v>
      </c>
      <c r="B11" s="52" t="s">
        <v>175</v>
      </c>
      <c r="C11" s="103">
        <v>4370</v>
      </c>
      <c r="D11" s="54">
        <v>1355957</v>
      </c>
      <c r="E11" s="104">
        <v>4336</v>
      </c>
      <c r="F11" s="54">
        <v>3008727</v>
      </c>
      <c r="G11" s="104">
        <v>8706</v>
      </c>
      <c r="H11" s="55">
        <v>4364684</v>
      </c>
    </row>
    <row r="12" spans="1:8" ht="30" customHeight="1">
      <c r="A12" s="218"/>
      <c r="B12" s="197" t="s">
        <v>176</v>
      </c>
      <c r="C12" s="198">
        <v>1263</v>
      </c>
      <c r="D12" s="66">
        <v>263118</v>
      </c>
      <c r="E12" s="199">
        <v>981</v>
      </c>
      <c r="F12" s="66">
        <v>1371188</v>
      </c>
      <c r="G12" s="199">
        <v>2244</v>
      </c>
      <c r="H12" s="67">
        <v>1634306</v>
      </c>
    </row>
    <row r="13" spans="1:8" ht="30" customHeight="1" thickBot="1">
      <c r="A13" s="201" t="s">
        <v>157</v>
      </c>
      <c r="B13" s="202"/>
      <c r="C13" s="105">
        <v>4184</v>
      </c>
      <c r="D13" s="106">
        <v>223802</v>
      </c>
      <c r="E13" s="105">
        <v>3608</v>
      </c>
      <c r="F13" s="106">
        <v>441438</v>
      </c>
      <c r="G13" s="105">
        <v>7792</v>
      </c>
      <c r="H13" s="107">
        <v>665239</v>
      </c>
    </row>
    <row r="14" spans="1:8" ht="2.25" customHeight="1">
      <c r="A14" s="144"/>
      <c r="B14" s="144"/>
      <c r="C14" s="145"/>
      <c r="D14" s="145"/>
      <c r="E14" s="145"/>
      <c r="F14" s="145"/>
      <c r="G14" s="145"/>
      <c r="H14" s="145"/>
    </row>
    <row r="15" spans="1:8" s="1" customFormat="1" ht="48.75" customHeight="1">
      <c r="A15" s="162" t="s">
        <v>166</v>
      </c>
      <c r="B15" s="203" t="s">
        <v>246</v>
      </c>
      <c r="C15" s="203"/>
      <c r="D15" s="203"/>
      <c r="E15" s="203"/>
      <c r="F15" s="203"/>
      <c r="G15" s="203"/>
      <c r="H15" s="203"/>
    </row>
    <row r="16" spans="1:8" ht="45.75" customHeight="1">
      <c r="A16" s="160"/>
      <c r="B16" s="204" t="s">
        <v>247</v>
      </c>
      <c r="C16" s="204"/>
      <c r="D16" s="204"/>
      <c r="E16" s="204"/>
      <c r="F16" s="204"/>
      <c r="G16" s="204"/>
      <c r="H16" s="204"/>
    </row>
    <row r="17" ht="14.25" customHeight="1">
      <c r="A17" s="2" t="s">
        <v>241</v>
      </c>
    </row>
  </sheetData>
  <sheetProtection/>
  <mergeCells count="11">
    <mergeCell ref="A1:H1"/>
    <mergeCell ref="A3:H3"/>
    <mergeCell ref="A4:B5"/>
    <mergeCell ref="A7:A10"/>
    <mergeCell ref="A11:A12"/>
    <mergeCell ref="A13:B13"/>
    <mergeCell ref="B15:H15"/>
    <mergeCell ref="B16:H16"/>
    <mergeCell ref="C4:D4"/>
    <mergeCell ref="E4:F4"/>
    <mergeCell ref="G4:H4"/>
  </mergeCells>
  <printOptions horizontalCentered="1"/>
  <pageMargins left="0.5905511811023623" right="0.5905511811023623" top="0.7874015748031497" bottom="0.7874015748031497" header="0.5118110236220472" footer="0.35433070866141736"/>
  <pageSetup fitToHeight="0" fitToWidth="1" horizontalDpi="600" verticalDpi="600" orientation="landscape" paperSize="9" r:id="rId1"/>
  <headerFooter alignWithMargins="0">
    <oddFooter>&amp;R仙台国税局
消費税
(R03)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workbookViewId="0" topLeftCell="A1">
      <selection activeCell="A1" sqref="A1"/>
    </sheetView>
  </sheetViews>
  <sheetFormatPr defaultColWidth="9.140625" defaultRowHeight="15"/>
  <cols>
    <col min="1" max="1" width="10.57421875" style="3" customWidth="1"/>
    <col min="2" max="2" width="15.57421875" style="3" customWidth="1"/>
    <col min="3" max="3" width="8.57421875" style="3" customWidth="1"/>
    <col min="4" max="4" width="10.57421875" style="3" customWidth="1"/>
    <col min="5" max="5" width="8.57421875" style="3" customWidth="1"/>
    <col min="6" max="6" width="12.8515625" style="3" bestFit="1" customWidth="1"/>
    <col min="7" max="7" width="8.57421875" style="3" customWidth="1"/>
    <col min="8" max="8" width="12.8515625" style="3" bestFit="1" customWidth="1"/>
    <col min="9" max="16384" width="9.00390625" style="3" customWidth="1"/>
  </cols>
  <sheetData>
    <row r="1" s="2" customFormat="1" ht="12" thickBot="1">
      <c r="A1" s="2" t="s">
        <v>158</v>
      </c>
    </row>
    <row r="2" spans="1:8" s="2" customFormat="1" ht="15" customHeight="1">
      <c r="A2" s="210" t="s">
        <v>152</v>
      </c>
      <c r="B2" s="211"/>
      <c r="C2" s="221" t="s">
        <v>168</v>
      </c>
      <c r="D2" s="221"/>
      <c r="E2" s="221" t="s">
        <v>177</v>
      </c>
      <c r="F2" s="221"/>
      <c r="G2" s="222" t="s">
        <v>178</v>
      </c>
      <c r="H2" s="223"/>
    </row>
    <row r="3" spans="1:8" s="2" customFormat="1" ht="15" customHeight="1">
      <c r="A3" s="212"/>
      <c r="B3" s="213"/>
      <c r="C3" s="53" t="s">
        <v>179</v>
      </c>
      <c r="D3" s="40" t="s">
        <v>180</v>
      </c>
      <c r="E3" s="53" t="s">
        <v>179</v>
      </c>
      <c r="F3" s="56" t="s">
        <v>180</v>
      </c>
      <c r="G3" s="53" t="s">
        <v>179</v>
      </c>
      <c r="H3" s="57" t="s">
        <v>180</v>
      </c>
    </row>
    <row r="4" spans="1:8" s="62" customFormat="1" ht="15" customHeight="1">
      <c r="A4" s="58"/>
      <c r="B4" s="40"/>
      <c r="C4" s="59" t="s">
        <v>15</v>
      </c>
      <c r="D4" s="60" t="s">
        <v>16</v>
      </c>
      <c r="E4" s="59" t="s">
        <v>15</v>
      </c>
      <c r="F4" s="60" t="s">
        <v>16</v>
      </c>
      <c r="G4" s="59" t="s">
        <v>15</v>
      </c>
      <c r="H4" s="61" t="s">
        <v>16</v>
      </c>
    </row>
    <row r="5" spans="1:8" s="64" customFormat="1" ht="30" customHeight="1">
      <c r="A5" s="219" t="s">
        <v>238</v>
      </c>
      <c r="B5" s="45" t="s">
        <v>159</v>
      </c>
      <c r="C5" s="63">
        <v>79322</v>
      </c>
      <c r="D5" s="46">
        <v>36467855</v>
      </c>
      <c r="E5" s="63">
        <v>111402</v>
      </c>
      <c r="F5" s="46">
        <v>624518675</v>
      </c>
      <c r="G5" s="63">
        <v>190724</v>
      </c>
      <c r="H5" s="47">
        <v>660986530</v>
      </c>
    </row>
    <row r="6" spans="1:8" s="64" customFormat="1" ht="30" customHeight="1">
      <c r="A6" s="220"/>
      <c r="B6" s="51" t="s">
        <v>3</v>
      </c>
      <c r="C6" s="65">
        <v>2311</v>
      </c>
      <c r="D6" s="66">
        <v>1609742</v>
      </c>
      <c r="E6" s="65">
        <v>5054</v>
      </c>
      <c r="F6" s="66">
        <v>44818077</v>
      </c>
      <c r="G6" s="65">
        <v>7365</v>
      </c>
      <c r="H6" s="67">
        <v>46427819</v>
      </c>
    </row>
    <row r="7" spans="1:8" s="64" customFormat="1" ht="30" customHeight="1">
      <c r="A7" s="219" t="s">
        <v>239</v>
      </c>
      <c r="B7" s="68" t="s">
        <v>159</v>
      </c>
      <c r="C7" s="69">
        <v>79585</v>
      </c>
      <c r="D7" s="54">
        <v>36089002</v>
      </c>
      <c r="E7" s="69">
        <v>111813</v>
      </c>
      <c r="F7" s="54">
        <v>623500762</v>
      </c>
      <c r="G7" s="69">
        <v>191398</v>
      </c>
      <c r="H7" s="55">
        <v>659589764</v>
      </c>
    </row>
    <row r="8" spans="1:8" s="64" customFormat="1" ht="30" customHeight="1">
      <c r="A8" s="220"/>
      <c r="B8" s="51" t="s">
        <v>3</v>
      </c>
      <c r="C8" s="65">
        <v>2400</v>
      </c>
      <c r="D8" s="66">
        <v>1512638</v>
      </c>
      <c r="E8" s="65">
        <v>5138</v>
      </c>
      <c r="F8" s="66">
        <v>42311402</v>
      </c>
      <c r="G8" s="65">
        <v>7538</v>
      </c>
      <c r="H8" s="67">
        <v>43824040</v>
      </c>
    </row>
    <row r="9" spans="1:8" s="64" customFormat="1" ht="30" customHeight="1">
      <c r="A9" s="219" t="s">
        <v>240</v>
      </c>
      <c r="B9" s="68" t="s">
        <v>159</v>
      </c>
      <c r="C9" s="69">
        <v>75298</v>
      </c>
      <c r="D9" s="54">
        <v>35438010</v>
      </c>
      <c r="E9" s="69">
        <v>110990</v>
      </c>
      <c r="F9" s="54">
        <v>647328311</v>
      </c>
      <c r="G9" s="69">
        <v>186288</v>
      </c>
      <c r="H9" s="55">
        <v>682766321</v>
      </c>
    </row>
    <row r="10" spans="1:8" s="64" customFormat="1" ht="30" customHeight="1">
      <c r="A10" s="220"/>
      <c r="B10" s="51" t="s">
        <v>3</v>
      </c>
      <c r="C10" s="65">
        <v>2460</v>
      </c>
      <c r="D10" s="66">
        <v>1700088</v>
      </c>
      <c r="E10" s="65">
        <v>5270</v>
      </c>
      <c r="F10" s="66">
        <v>44238954</v>
      </c>
      <c r="G10" s="65">
        <v>7730</v>
      </c>
      <c r="H10" s="67">
        <v>45939042</v>
      </c>
    </row>
    <row r="11" spans="1:8" s="64" customFormat="1" ht="30" customHeight="1">
      <c r="A11" s="219" t="s">
        <v>245</v>
      </c>
      <c r="B11" s="68" t="s">
        <v>159</v>
      </c>
      <c r="C11" s="69">
        <v>73361</v>
      </c>
      <c r="D11" s="54">
        <v>35318062</v>
      </c>
      <c r="E11" s="69">
        <v>109708</v>
      </c>
      <c r="F11" s="54">
        <v>720644190</v>
      </c>
      <c r="G11" s="69">
        <v>183069</v>
      </c>
      <c r="H11" s="55">
        <v>755962252</v>
      </c>
    </row>
    <row r="12" spans="1:8" s="64" customFormat="1" ht="30" customHeight="1">
      <c r="A12" s="220"/>
      <c r="B12" s="51" t="s">
        <v>3</v>
      </c>
      <c r="C12" s="65">
        <v>4089</v>
      </c>
      <c r="D12" s="66">
        <v>2411955</v>
      </c>
      <c r="E12" s="65">
        <v>6626</v>
      </c>
      <c r="F12" s="66">
        <v>51879895</v>
      </c>
      <c r="G12" s="65">
        <v>10715</v>
      </c>
      <c r="H12" s="67">
        <v>54291850</v>
      </c>
    </row>
    <row r="13" spans="1:8" s="2" customFormat="1" ht="30" customHeight="1">
      <c r="A13" s="219" t="s">
        <v>248</v>
      </c>
      <c r="B13" s="68" t="s">
        <v>159</v>
      </c>
      <c r="C13" s="166">
        <v>72883</v>
      </c>
      <c r="D13" s="54">
        <v>34982647</v>
      </c>
      <c r="E13" s="69">
        <v>109215</v>
      </c>
      <c r="F13" s="54">
        <v>708866863</v>
      </c>
      <c r="G13" s="69">
        <v>182098</v>
      </c>
      <c r="H13" s="55">
        <v>743849510</v>
      </c>
    </row>
    <row r="14" spans="1:8" s="2" customFormat="1" ht="30" customHeight="1" thickBot="1">
      <c r="A14" s="219"/>
      <c r="B14" s="70" t="s">
        <v>3</v>
      </c>
      <c r="C14" s="167">
        <v>4737</v>
      </c>
      <c r="D14" s="109">
        <v>2360814</v>
      </c>
      <c r="E14" s="108">
        <v>7035</v>
      </c>
      <c r="F14" s="109">
        <v>68912917</v>
      </c>
      <c r="G14" s="108">
        <v>11772</v>
      </c>
      <c r="H14" s="110">
        <v>71273731</v>
      </c>
    </row>
    <row r="15" spans="1:7" s="2" customFormat="1" ht="11.25">
      <c r="A15" s="161"/>
      <c r="E15" s="71"/>
      <c r="G15" s="71"/>
    </row>
    <row r="16" spans="5:7" s="2" customFormat="1" ht="11.25">
      <c r="E16" s="71"/>
      <c r="G16" s="71"/>
    </row>
    <row r="17" spans="5:7" s="2" customFormat="1" ht="11.25">
      <c r="E17" s="71"/>
      <c r="G17" s="71"/>
    </row>
    <row r="18" spans="5:7" s="2" customFormat="1" ht="11.25">
      <c r="E18" s="71"/>
      <c r="G18" s="71"/>
    </row>
    <row r="19" spans="5:7" s="2" customFormat="1" ht="11.25">
      <c r="E19" s="71"/>
      <c r="G19" s="71"/>
    </row>
    <row r="20" spans="5:7" s="2" customFormat="1" ht="11.25">
      <c r="E20" s="71"/>
      <c r="G20" s="71"/>
    </row>
    <row r="21" spans="5:7" s="2" customFormat="1" ht="11.25">
      <c r="E21" s="71"/>
      <c r="G21" s="71"/>
    </row>
    <row r="22" spans="5:7" s="2" customFormat="1" ht="11.25">
      <c r="E22" s="71"/>
      <c r="G22" s="71"/>
    </row>
  </sheetData>
  <sheetProtection/>
  <mergeCells count="9">
    <mergeCell ref="A11:A12"/>
    <mergeCell ref="A13:A14"/>
    <mergeCell ref="A2:B3"/>
    <mergeCell ref="C2:D2"/>
    <mergeCell ref="E2:F2"/>
    <mergeCell ref="G2:H2"/>
    <mergeCell ref="A5:A6"/>
    <mergeCell ref="A7:A8"/>
    <mergeCell ref="A9:A10"/>
  </mergeCells>
  <printOptions horizontalCentered="1"/>
  <pageMargins left="0.5905511811023623" right="0.5905511811023623" top="0.7874015748031497" bottom="0.7874015748031497" header="0.5118110236220472" footer="0.35433070866141736"/>
  <pageSetup fitToHeight="0" fitToWidth="1" horizontalDpi="600" verticalDpi="600" orientation="landscape" paperSize="9" r:id="rId1"/>
  <headerFooter alignWithMargins="0">
    <oddFooter>&amp;R仙台国税局
消費税
(R03)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workbookViewId="0" topLeftCell="A1">
      <selection activeCell="A1" sqref="A1"/>
    </sheetView>
  </sheetViews>
  <sheetFormatPr defaultColWidth="9.140625" defaultRowHeight="15"/>
  <cols>
    <col min="1" max="2" width="18.57421875" style="3" customWidth="1"/>
    <col min="3" max="3" width="23.57421875" style="3" customWidth="1"/>
    <col min="4" max="4" width="18.57421875" style="3" customWidth="1"/>
    <col min="5" max="16384" width="9.00390625" style="3" customWidth="1"/>
  </cols>
  <sheetData>
    <row r="1" s="2" customFormat="1" ht="20.25" customHeight="1" thickBot="1">
      <c r="A1" s="2" t="s">
        <v>160</v>
      </c>
    </row>
    <row r="2" spans="1:4" s="1" customFormat="1" ht="19.5" customHeight="1">
      <c r="A2" s="72" t="s">
        <v>161</v>
      </c>
      <c r="B2" s="73" t="s">
        <v>162</v>
      </c>
      <c r="C2" s="74" t="s">
        <v>163</v>
      </c>
      <c r="D2" s="75" t="s">
        <v>164</v>
      </c>
    </row>
    <row r="3" spans="1:4" s="62" customFormat="1" ht="15" customHeight="1">
      <c r="A3" s="76" t="s">
        <v>15</v>
      </c>
      <c r="B3" s="77" t="s">
        <v>15</v>
      </c>
      <c r="C3" s="78" t="s">
        <v>15</v>
      </c>
      <c r="D3" s="79" t="s">
        <v>15</v>
      </c>
    </row>
    <row r="4" spans="1:9" s="1" customFormat="1" ht="30" customHeight="1" thickBot="1">
      <c r="A4" s="156">
        <v>189499</v>
      </c>
      <c r="B4" s="157">
        <v>5740</v>
      </c>
      <c r="C4" s="158">
        <v>396</v>
      </c>
      <c r="D4" s="159">
        <v>195635</v>
      </c>
      <c r="E4" s="80"/>
      <c r="G4" s="80"/>
      <c r="I4" s="80"/>
    </row>
    <row r="5" spans="1:4" s="1" customFormat="1" ht="15" customHeight="1">
      <c r="A5" s="224" t="s">
        <v>249</v>
      </c>
      <c r="B5" s="224"/>
      <c r="C5" s="224"/>
      <c r="D5" s="224"/>
    </row>
    <row r="6" spans="1:4" s="1" customFormat="1" ht="15" customHeight="1">
      <c r="A6" s="225" t="s">
        <v>165</v>
      </c>
      <c r="B6" s="225"/>
      <c r="C6" s="225"/>
      <c r="D6" s="225"/>
    </row>
  </sheetData>
  <sheetProtection/>
  <mergeCells count="2">
    <mergeCell ref="A5:D5"/>
    <mergeCell ref="A6:D6"/>
  </mergeCells>
  <printOptions horizontalCentered="1"/>
  <pageMargins left="0.5905511811023623" right="0.5905511811023623" top="0.7874015748031497" bottom="0.7874015748031497" header="0.5118110236220472" footer="0.35433070866141736"/>
  <pageSetup fitToHeight="0" fitToWidth="1" horizontalDpi="600" verticalDpi="600" orientation="landscape" paperSize="9" r:id="rId1"/>
  <headerFooter alignWithMargins="0">
    <oddFooter>&amp;R仙台国税局
消費税
(R03)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86"/>
  <sheetViews>
    <sheetView showGridLines="0" workbookViewId="0" topLeftCell="A1">
      <selection activeCell="A1" sqref="A1"/>
    </sheetView>
  </sheetViews>
  <sheetFormatPr defaultColWidth="9.140625" defaultRowHeight="15"/>
  <cols>
    <col min="1" max="1" width="11.42187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4" width="11.421875" style="3" customWidth="1"/>
    <col min="15" max="16384" width="9.00390625" style="3" customWidth="1"/>
  </cols>
  <sheetData>
    <row r="1" spans="1:14" ht="13.5">
      <c r="A1" s="1" t="s">
        <v>236</v>
      </c>
      <c r="B1" s="1"/>
      <c r="C1" s="1"/>
      <c r="D1" s="1"/>
      <c r="E1" s="1"/>
      <c r="F1" s="1"/>
      <c r="G1" s="1"/>
      <c r="H1" s="2"/>
      <c r="I1" s="2"/>
      <c r="J1" s="2"/>
      <c r="K1" s="2"/>
      <c r="L1" s="2"/>
      <c r="M1" s="2"/>
      <c r="N1" s="2"/>
    </row>
    <row r="2" spans="1:14" ht="14.25" thickBot="1">
      <c r="A2" s="225" t="s">
        <v>0</v>
      </c>
      <c r="B2" s="225"/>
      <c r="C2" s="225"/>
      <c r="D2" s="225"/>
      <c r="E2" s="225"/>
      <c r="F2" s="225"/>
      <c r="G2" s="225"/>
      <c r="H2" s="2"/>
      <c r="I2" s="2"/>
      <c r="J2" s="2"/>
      <c r="K2" s="2"/>
      <c r="L2" s="2"/>
      <c r="M2" s="2"/>
      <c r="N2" s="2"/>
    </row>
    <row r="3" spans="1:14" ht="19.5" customHeight="1">
      <c r="A3" s="231" t="s">
        <v>1</v>
      </c>
      <c r="B3" s="234" t="s">
        <v>2</v>
      </c>
      <c r="C3" s="234"/>
      <c r="D3" s="234"/>
      <c r="E3" s="234"/>
      <c r="F3" s="234"/>
      <c r="G3" s="234"/>
      <c r="H3" s="226" t="s">
        <v>3</v>
      </c>
      <c r="I3" s="227"/>
      <c r="J3" s="240" t="s">
        <v>4</v>
      </c>
      <c r="K3" s="227"/>
      <c r="L3" s="226" t="s">
        <v>5</v>
      </c>
      <c r="M3" s="227"/>
      <c r="N3" s="235" t="s">
        <v>6</v>
      </c>
    </row>
    <row r="4" spans="1:14" ht="17.25" customHeight="1">
      <c r="A4" s="232"/>
      <c r="B4" s="238" t="s">
        <v>7</v>
      </c>
      <c r="C4" s="238"/>
      <c r="D4" s="228" t="s">
        <v>8</v>
      </c>
      <c r="E4" s="239"/>
      <c r="F4" s="228" t="s">
        <v>9</v>
      </c>
      <c r="G4" s="239"/>
      <c r="H4" s="228"/>
      <c r="I4" s="229"/>
      <c r="J4" s="228"/>
      <c r="K4" s="229"/>
      <c r="L4" s="228"/>
      <c r="M4" s="229"/>
      <c r="N4" s="236"/>
    </row>
    <row r="5" spans="1:14" s="4" customFormat="1" ht="28.5" customHeight="1">
      <c r="A5" s="233"/>
      <c r="B5" s="33" t="s">
        <v>10</v>
      </c>
      <c r="C5" s="34" t="s">
        <v>11</v>
      </c>
      <c r="D5" s="33" t="s">
        <v>10</v>
      </c>
      <c r="E5" s="34" t="s">
        <v>11</v>
      </c>
      <c r="F5" s="33" t="s">
        <v>10</v>
      </c>
      <c r="G5" s="38" t="s">
        <v>12</v>
      </c>
      <c r="H5" s="33" t="s">
        <v>91</v>
      </c>
      <c r="I5" s="37" t="s">
        <v>13</v>
      </c>
      <c r="J5" s="33" t="s">
        <v>91</v>
      </c>
      <c r="K5" s="37" t="s">
        <v>14</v>
      </c>
      <c r="L5" s="33" t="s">
        <v>91</v>
      </c>
      <c r="M5" s="35" t="s">
        <v>92</v>
      </c>
      <c r="N5" s="237"/>
    </row>
    <row r="6" spans="1:14" s="10" customFormat="1" ht="10.5">
      <c r="A6" s="5"/>
      <c r="B6" s="6" t="s">
        <v>15</v>
      </c>
      <c r="C6" s="7" t="s">
        <v>16</v>
      </c>
      <c r="D6" s="6" t="s">
        <v>15</v>
      </c>
      <c r="E6" s="7" t="s">
        <v>16</v>
      </c>
      <c r="F6" s="6" t="s">
        <v>15</v>
      </c>
      <c r="G6" s="7" t="s">
        <v>16</v>
      </c>
      <c r="H6" s="6" t="s">
        <v>15</v>
      </c>
      <c r="I6" s="8" t="s">
        <v>16</v>
      </c>
      <c r="J6" s="6" t="s">
        <v>15</v>
      </c>
      <c r="K6" s="8" t="s">
        <v>16</v>
      </c>
      <c r="L6" s="6" t="s">
        <v>235</v>
      </c>
      <c r="M6" s="8" t="s">
        <v>16</v>
      </c>
      <c r="N6" s="9"/>
    </row>
    <row r="7" spans="1:14" ht="15.75" customHeight="1">
      <c r="A7" s="11" t="s">
        <v>18</v>
      </c>
      <c r="B7" s="111">
        <f>_xlfn.COMPOUNDVALUE(1)</f>
        <v>886</v>
      </c>
      <c r="C7" s="168">
        <v>607302</v>
      </c>
      <c r="D7" s="111">
        <f>_xlfn.COMPOUNDVALUE(2)</f>
        <v>1617</v>
      </c>
      <c r="E7" s="168">
        <v>660539</v>
      </c>
      <c r="F7" s="111">
        <f>_xlfn.COMPOUNDVALUE(3)</f>
        <v>2503</v>
      </c>
      <c r="G7" s="168">
        <v>1267841</v>
      </c>
      <c r="H7" s="111">
        <f>_xlfn.COMPOUNDVALUE(4)</f>
        <v>70</v>
      </c>
      <c r="I7" s="170">
        <v>40149</v>
      </c>
      <c r="J7" s="111">
        <v>165</v>
      </c>
      <c r="K7" s="113">
        <v>28709</v>
      </c>
      <c r="L7" s="111">
        <v>2630</v>
      </c>
      <c r="M7" s="113">
        <v>1256402</v>
      </c>
      <c r="N7" s="12" t="s">
        <v>96</v>
      </c>
    </row>
    <row r="8" spans="1:14" ht="15.75" customHeight="1">
      <c r="A8" s="13" t="s">
        <v>19</v>
      </c>
      <c r="B8" s="114">
        <f>_xlfn.COMPOUNDVALUE(5)</f>
        <v>579</v>
      </c>
      <c r="C8" s="169">
        <v>349554</v>
      </c>
      <c r="D8" s="114">
        <f>_xlfn.COMPOUNDVALUE(6)</f>
        <v>1321</v>
      </c>
      <c r="E8" s="169">
        <v>456635</v>
      </c>
      <c r="F8" s="114">
        <f>_xlfn.COMPOUNDVALUE(7)</f>
        <v>1900</v>
      </c>
      <c r="G8" s="169">
        <v>806189</v>
      </c>
      <c r="H8" s="114">
        <f>_xlfn.COMPOUNDVALUE(8)</f>
        <v>51</v>
      </c>
      <c r="I8" s="171">
        <v>14033</v>
      </c>
      <c r="J8" s="114">
        <v>148</v>
      </c>
      <c r="K8" s="116">
        <v>26238</v>
      </c>
      <c r="L8" s="114">
        <v>2050</v>
      </c>
      <c r="M8" s="116">
        <v>818394</v>
      </c>
      <c r="N8" s="14" t="s">
        <v>97</v>
      </c>
    </row>
    <row r="9" spans="1:14" ht="15.75" customHeight="1">
      <c r="A9" s="13" t="s">
        <v>20</v>
      </c>
      <c r="B9" s="114">
        <f>_xlfn.COMPOUNDVALUE(9)</f>
        <v>829</v>
      </c>
      <c r="C9" s="169">
        <v>544414</v>
      </c>
      <c r="D9" s="114">
        <f>_xlfn.COMPOUNDVALUE(10)</f>
        <v>1445</v>
      </c>
      <c r="E9" s="169">
        <v>573643</v>
      </c>
      <c r="F9" s="114">
        <f>_xlfn.COMPOUNDVALUE(11)</f>
        <v>2274</v>
      </c>
      <c r="G9" s="169">
        <v>1118057</v>
      </c>
      <c r="H9" s="114">
        <f>_xlfn.COMPOUNDVALUE(12)</f>
        <v>115</v>
      </c>
      <c r="I9" s="171">
        <v>63892</v>
      </c>
      <c r="J9" s="114">
        <v>173</v>
      </c>
      <c r="K9" s="116">
        <v>29985</v>
      </c>
      <c r="L9" s="114">
        <v>2437</v>
      </c>
      <c r="M9" s="116">
        <v>1084150</v>
      </c>
      <c r="N9" s="14" t="s">
        <v>98</v>
      </c>
    </row>
    <row r="10" spans="1:14" ht="15.75" customHeight="1">
      <c r="A10" s="13" t="s">
        <v>21</v>
      </c>
      <c r="B10" s="114">
        <f>_xlfn.COMPOUNDVALUE(13)</f>
        <v>261</v>
      </c>
      <c r="C10" s="169">
        <v>150123</v>
      </c>
      <c r="D10" s="114">
        <f>_xlfn.COMPOUNDVALUE(14)</f>
        <v>745</v>
      </c>
      <c r="E10" s="169">
        <v>232525</v>
      </c>
      <c r="F10" s="114">
        <f>_xlfn.COMPOUNDVALUE(15)</f>
        <v>1006</v>
      </c>
      <c r="G10" s="169">
        <v>382648</v>
      </c>
      <c r="H10" s="114">
        <f>_xlfn.COMPOUNDVALUE(16)</f>
        <v>27</v>
      </c>
      <c r="I10" s="171">
        <v>4951</v>
      </c>
      <c r="J10" s="114">
        <v>49</v>
      </c>
      <c r="K10" s="116">
        <v>1784</v>
      </c>
      <c r="L10" s="114">
        <v>1049</v>
      </c>
      <c r="M10" s="116">
        <v>379480</v>
      </c>
      <c r="N10" s="14" t="s">
        <v>99</v>
      </c>
    </row>
    <row r="11" spans="1:14" ht="15.75" customHeight="1">
      <c r="A11" s="13" t="s">
        <v>22</v>
      </c>
      <c r="B11" s="114">
        <f>_xlfn.COMPOUNDVALUE(17)</f>
        <v>479</v>
      </c>
      <c r="C11" s="169">
        <v>276302</v>
      </c>
      <c r="D11" s="114">
        <f>_xlfn.COMPOUNDVALUE(18)</f>
        <v>1516</v>
      </c>
      <c r="E11" s="169">
        <v>429893</v>
      </c>
      <c r="F11" s="114">
        <f>_xlfn.COMPOUNDVALUE(19)</f>
        <v>1995</v>
      </c>
      <c r="G11" s="169">
        <v>706195</v>
      </c>
      <c r="H11" s="114">
        <f>_xlfn.COMPOUNDVALUE(20)</f>
        <v>97</v>
      </c>
      <c r="I11" s="171">
        <v>51775</v>
      </c>
      <c r="J11" s="114">
        <v>73</v>
      </c>
      <c r="K11" s="116">
        <v>29854</v>
      </c>
      <c r="L11" s="114">
        <v>2121</v>
      </c>
      <c r="M11" s="116">
        <v>684274</v>
      </c>
      <c r="N11" s="14" t="s">
        <v>100</v>
      </c>
    </row>
    <row r="12" spans="1:14" ht="15.75" customHeight="1">
      <c r="A12" s="13" t="s">
        <v>23</v>
      </c>
      <c r="B12" s="114">
        <f>_xlfn.COMPOUNDVALUE(21)</f>
        <v>730</v>
      </c>
      <c r="C12" s="169">
        <v>500134</v>
      </c>
      <c r="D12" s="114">
        <f>_xlfn.COMPOUNDVALUE(22)</f>
        <v>1814</v>
      </c>
      <c r="E12" s="169">
        <v>651950</v>
      </c>
      <c r="F12" s="114">
        <f>_xlfn.COMPOUNDVALUE(23)</f>
        <v>2544</v>
      </c>
      <c r="G12" s="169">
        <v>1152084</v>
      </c>
      <c r="H12" s="114">
        <f>_xlfn.COMPOUNDVALUE(24)</f>
        <v>199</v>
      </c>
      <c r="I12" s="171">
        <v>108374</v>
      </c>
      <c r="J12" s="114">
        <v>72</v>
      </c>
      <c r="K12" s="116">
        <v>16453</v>
      </c>
      <c r="L12" s="114">
        <v>2768</v>
      </c>
      <c r="M12" s="116">
        <v>1060163</v>
      </c>
      <c r="N12" s="14" t="s">
        <v>101</v>
      </c>
    </row>
    <row r="13" spans="1:14" ht="15.75" customHeight="1">
      <c r="A13" s="13" t="s">
        <v>24</v>
      </c>
      <c r="B13" s="114">
        <f>_xlfn.COMPOUNDVALUE(25)</f>
        <v>221</v>
      </c>
      <c r="C13" s="169">
        <v>152259</v>
      </c>
      <c r="D13" s="114">
        <f>_xlfn.COMPOUNDVALUE(26)</f>
        <v>490</v>
      </c>
      <c r="E13" s="169">
        <v>163087</v>
      </c>
      <c r="F13" s="114">
        <f>_xlfn.COMPOUNDVALUE(27)</f>
        <v>711</v>
      </c>
      <c r="G13" s="169">
        <v>315346</v>
      </c>
      <c r="H13" s="114">
        <f>_xlfn.COMPOUNDVALUE(28)</f>
        <v>25</v>
      </c>
      <c r="I13" s="171">
        <v>12542</v>
      </c>
      <c r="J13" s="114">
        <v>18</v>
      </c>
      <c r="K13" s="116">
        <v>6401</v>
      </c>
      <c r="L13" s="114">
        <v>747</v>
      </c>
      <c r="M13" s="116">
        <v>309205</v>
      </c>
      <c r="N13" s="14" t="s">
        <v>24</v>
      </c>
    </row>
    <row r="14" spans="1:14" s="17" customFormat="1" ht="15.75" customHeight="1">
      <c r="A14" s="15" t="s">
        <v>25</v>
      </c>
      <c r="B14" s="117">
        <v>3985</v>
      </c>
      <c r="C14" s="118">
        <v>2580089</v>
      </c>
      <c r="D14" s="117">
        <v>8948</v>
      </c>
      <c r="E14" s="118">
        <v>3168271</v>
      </c>
      <c r="F14" s="117">
        <v>12933</v>
      </c>
      <c r="G14" s="118">
        <v>5748360</v>
      </c>
      <c r="H14" s="117">
        <v>584</v>
      </c>
      <c r="I14" s="119">
        <v>295717</v>
      </c>
      <c r="J14" s="117">
        <v>698</v>
      </c>
      <c r="K14" s="119">
        <v>139424</v>
      </c>
      <c r="L14" s="117">
        <v>13802</v>
      </c>
      <c r="M14" s="119">
        <v>5592067</v>
      </c>
      <c r="N14" s="16" t="s">
        <v>95</v>
      </c>
    </row>
    <row r="15" spans="1:15" s="20" customFormat="1" ht="15.75" customHeight="1">
      <c r="A15" s="147"/>
      <c r="B15" s="146"/>
      <c r="C15" s="150"/>
      <c r="D15" s="146"/>
      <c r="E15" s="150"/>
      <c r="F15" s="146"/>
      <c r="G15" s="150"/>
      <c r="H15" s="152"/>
      <c r="I15" s="151"/>
      <c r="J15" s="146"/>
      <c r="K15" s="150"/>
      <c r="L15" s="152"/>
      <c r="M15" s="151"/>
      <c r="N15" s="148"/>
      <c r="O15" s="149"/>
    </row>
    <row r="16" spans="1:14" ht="15.75" customHeight="1">
      <c r="A16" s="11" t="s">
        <v>26</v>
      </c>
      <c r="B16" s="111">
        <f>_xlfn.COMPOUNDVALUE(29)</f>
        <v>1474</v>
      </c>
      <c r="C16" s="168">
        <v>908885</v>
      </c>
      <c r="D16" s="111">
        <f>_xlfn.COMPOUNDVALUE(30)</f>
        <v>2093</v>
      </c>
      <c r="E16" s="168">
        <v>941613</v>
      </c>
      <c r="F16" s="111">
        <f>_xlfn.COMPOUNDVALUE(31)</f>
        <v>3567</v>
      </c>
      <c r="G16" s="168">
        <v>1850498</v>
      </c>
      <c r="H16" s="111">
        <f>_xlfn.COMPOUNDVALUE(32)</f>
        <v>324</v>
      </c>
      <c r="I16" s="170">
        <v>130375</v>
      </c>
      <c r="J16" s="111">
        <v>350</v>
      </c>
      <c r="K16" s="113">
        <v>80144</v>
      </c>
      <c r="L16" s="111">
        <v>4080</v>
      </c>
      <c r="M16" s="113">
        <v>1800267</v>
      </c>
      <c r="N16" s="24" t="s">
        <v>102</v>
      </c>
    </row>
    <row r="17" spans="1:14" ht="15.75" customHeight="1">
      <c r="A17" s="13" t="s">
        <v>27</v>
      </c>
      <c r="B17" s="114">
        <f>_xlfn.COMPOUNDVALUE(33)</f>
        <v>240</v>
      </c>
      <c r="C17" s="169">
        <v>156209</v>
      </c>
      <c r="D17" s="114">
        <f>_xlfn.COMPOUNDVALUE(34)</f>
        <v>559</v>
      </c>
      <c r="E17" s="169">
        <v>185046</v>
      </c>
      <c r="F17" s="114">
        <f>_xlfn.COMPOUNDVALUE(35)</f>
        <v>799</v>
      </c>
      <c r="G17" s="169">
        <v>341255</v>
      </c>
      <c r="H17" s="114">
        <f>_xlfn.COMPOUNDVALUE(36)</f>
        <v>39</v>
      </c>
      <c r="I17" s="171">
        <v>17868</v>
      </c>
      <c r="J17" s="114">
        <v>39</v>
      </c>
      <c r="K17" s="116">
        <v>12059</v>
      </c>
      <c r="L17" s="114">
        <v>853</v>
      </c>
      <c r="M17" s="116">
        <v>335446</v>
      </c>
      <c r="N17" s="14" t="s">
        <v>103</v>
      </c>
    </row>
    <row r="18" spans="1:14" ht="15.75" customHeight="1">
      <c r="A18" s="13" t="s">
        <v>28</v>
      </c>
      <c r="B18" s="114">
        <f>_xlfn.COMPOUNDVALUE(37)</f>
        <v>261</v>
      </c>
      <c r="C18" s="169">
        <v>175455</v>
      </c>
      <c r="D18" s="114">
        <f>_xlfn.COMPOUNDVALUE(38)</f>
        <v>464</v>
      </c>
      <c r="E18" s="169">
        <v>146512</v>
      </c>
      <c r="F18" s="114">
        <f>_xlfn.COMPOUNDVALUE(39)</f>
        <v>725</v>
      </c>
      <c r="G18" s="169">
        <v>321967</v>
      </c>
      <c r="H18" s="114">
        <f>_xlfn.COMPOUNDVALUE(40)</f>
        <v>54</v>
      </c>
      <c r="I18" s="171">
        <v>29813</v>
      </c>
      <c r="J18" s="114">
        <v>37</v>
      </c>
      <c r="K18" s="116">
        <v>1315</v>
      </c>
      <c r="L18" s="114">
        <v>784</v>
      </c>
      <c r="M18" s="116">
        <v>293468</v>
      </c>
      <c r="N18" s="14" t="s">
        <v>104</v>
      </c>
    </row>
    <row r="19" spans="1:14" ht="15.75" customHeight="1">
      <c r="A19" s="13" t="s">
        <v>29</v>
      </c>
      <c r="B19" s="114">
        <f>_xlfn.COMPOUNDVALUE(41)</f>
        <v>399</v>
      </c>
      <c r="C19" s="169">
        <v>250865</v>
      </c>
      <c r="D19" s="114">
        <f>_xlfn.COMPOUNDVALUE(42)</f>
        <v>659</v>
      </c>
      <c r="E19" s="169">
        <v>274581</v>
      </c>
      <c r="F19" s="114">
        <f>_xlfn.COMPOUNDVALUE(43)</f>
        <v>1058</v>
      </c>
      <c r="G19" s="169">
        <v>525446</v>
      </c>
      <c r="H19" s="114">
        <f>_xlfn.COMPOUNDVALUE(44)</f>
        <v>153</v>
      </c>
      <c r="I19" s="171">
        <v>70105</v>
      </c>
      <c r="J19" s="114">
        <v>96</v>
      </c>
      <c r="K19" s="116">
        <v>14017</v>
      </c>
      <c r="L19" s="114">
        <v>1259</v>
      </c>
      <c r="M19" s="116">
        <v>469358</v>
      </c>
      <c r="N19" s="14" t="s">
        <v>105</v>
      </c>
    </row>
    <row r="20" spans="1:14" ht="15.75" customHeight="1">
      <c r="A20" s="13" t="s">
        <v>30</v>
      </c>
      <c r="B20" s="114">
        <f>_xlfn.COMPOUNDVALUE(45)</f>
        <v>549</v>
      </c>
      <c r="C20" s="169">
        <v>378087</v>
      </c>
      <c r="D20" s="114">
        <f>_xlfn.COMPOUNDVALUE(46)</f>
        <v>762</v>
      </c>
      <c r="E20" s="169">
        <v>316005</v>
      </c>
      <c r="F20" s="114">
        <f>_xlfn.COMPOUNDVALUE(47)</f>
        <v>1311</v>
      </c>
      <c r="G20" s="169">
        <v>694092</v>
      </c>
      <c r="H20" s="114">
        <f>_xlfn.COMPOUNDVALUE(48)</f>
        <v>111</v>
      </c>
      <c r="I20" s="171">
        <v>59071</v>
      </c>
      <c r="J20" s="114">
        <v>95</v>
      </c>
      <c r="K20" s="116">
        <v>19999</v>
      </c>
      <c r="L20" s="114">
        <v>1461</v>
      </c>
      <c r="M20" s="116">
        <v>655021</v>
      </c>
      <c r="N20" s="14" t="s">
        <v>106</v>
      </c>
    </row>
    <row r="21" spans="1:14" ht="15.75" customHeight="1">
      <c r="A21" s="13" t="s">
        <v>31</v>
      </c>
      <c r="B21" s="114">
        <f>_xlfn.COMPOUNDVALUE(49)</f>
        <v>277</v>
      </c>
      <c r="C21" s="169">
        <v>170108</v>
      </c>
      <c r="D21" s="114">
        <f>_xlfn.COMPOUNDVALUE(50)</f>
        <v>300</v>
      </c>
      <c r="E21" s="169">
        <v>119745</v>
      </c>
      <c r="F21" s="114">
        <f>_xlfn.COMPOUNDVALUE(51)</f>
        <v>577</v>
      </c>
      <c r="G21" s="169">
        <v>289853</v>
      </c>
      <c r="H21" s="114">
        <f>_xlfn.COMPOUNDVALUE(52)</f>
        <v>64</v>
      </c>
      <c r="I21" s="171">
        <v>38649</v>
      </c>
      <c r="J21" s="114">
        <v>23</v>
      </c>
      <c r="K21" s="116">
        <v>2060</v>
      </c>
      <c r="L21" s="114">
        <v>658</v>
      </c>
      <c r="M21" s="116">
        <v>253263</v>
      </c>
      <c r="N21" s="14" t="s">
        <v>107</v>
      </c>
    </row>
    <row r="22" spans="1:14" ht="15.75" customHeight="1">
      <c r="A22" s="13" t="s">
        <v>32</v>
      </c>
      <c r="B22" s="114">
        <f>_xlfn.COMPOUNDVALUE(53)</f>
        <v>366</v>
      </c>
      <c r="C22" s="169">
        <v>206634</v>
      </c>
      <c r="D22" s="114">
        <f>_xlfn.COMPOUNDVALUE(54)</f>
        <v>503</v>
      </c>
      <c r="E22" s="169">
        <v>212102</v>
      </c>
      <c r="F22" s="114">
        <f>_xlfn.COMPOUNDVALUE(55)</f>
        <v>869</v>
      </c>
      <c r="G22" s="169">
        <v>418737</v>
      </c>
      <c r="H22" s="114">
        <f>_xlfn.COMPOUNDVALUE(56)</f>
        <v>101</v>
      </c>
      <c r="I22" s="171">
        <v>30264</v>
      </c>
      <c r="J22" s="114">
        <v>54</v>
      </c>
      <c r="K22" s="116">
        <v>1360</v>
      </c>
      <c r="L22" s="114">
        <v>983</v>
      </c>
      <c r="M22" s="116">
        <v>389833</v>
      </c>
      <c r="N22" s="14" t="s">
        <v>108</v>
      </c>
    </row>
    <row r="23" spans="1:14" ht="15.75" customHeight="1">
      <c r="A23" s="13" t="s">
        <v>33</v>
      </c>
      <c r="B23" s="114">
        <f>_xlfn.COMPOUNDVALUE(57)</f>
        <v>223</v>
      </c>
      <c r="C23" s="169">
        <v>176828</v>
      </c>
      <c r="D23" s="114">
        <f>_xlfn.COMPOUNDVALUE(58)</f>
        <v>337</v>
      </c>
      <c r="E23" s="169">
        <v>119556</v>
      </c>
      <c r="F23" s="114">
        <f>_xlfn.COMPOUNDVALUE(59)</f>
        <v>560</v>
      </c>
      <c r="G23" s="169">
        <v>296384</v>
      </c>
      <c r="H23" s="114">
        <f>_xlfn.COMPOUNDVALUE(60)</f>
        <v>50</v>
      </c>
      <c r="I23" s="171">
        <v>23014</v>
      </c>
      <c r="J23" s="114">
        <v>44</v>
      </c>
      <c r="K23" s="116">
        <v>7968</v>
      </c>
      <c r="L23" s="114">
        <v>630</v>
      </c>
      <c r="M23" s="116">
        <v>281338</v>
      </c>
      <c r="N23" s="14" t="s">
        <v>109</v>
      </c>
    </row>
    <row r="24" spans="1:14" ht="15.75" customHeight="1">
      <c r="A24" s="13" t="s">
        <v>34</v>
      </c>
      <c r="B24" s="114">
        <f>_xlfn.COMPOUNDVALUE(61)</f>
        <v>272</v>
      </c>
      <c r="C24" s="169">
        <v>207826</v>
      </c>
      <c r="D24" s="114">
        <f>_xlfn.COMPOUNDVALUE(62)</f>
        <v>395</v>
      </c>
      <c r="E24" s="169">
        <v>149891</v>
      </c>
      <c r="F24" s="114">
        <f>_xlfn.COMPOUNDVALUE(63)</f>
        <v>667</v>
      </c>
      <c r="G24" s="169">
        <v>357717</v>
      </c>
      <c r="H24" s="114">
        <f>_xlfn.COMPOUNDVALUE(64)</f>
        <v>70</v>
      </c>
      <c r="I24" s="171">
        <v>46173</v>
      </c>
      <c r="J24" s="114">
        <v>40</v>
      </c>
      <c r="K24" s="116">
        <v>9162</v>
      </c>
      <c r="L24" s="114">
        <v>763</v>
      </c>
      <c r="M24" s="116">
        <v>320707</v>
      </c>
      <c r="N24" s="14" t="s">
        <v>110</v>
      </c>
    </row>
    <row r="25" spans="1:14" s="17" customFormat="1" ht="15.75" customHeight="1">
      <c r="A25" s="15" t="s">
        <v>35</v>
      </c>
      <c r="B25" s="117">
        <v>4061</v>
      </c>
      <c r="C25" s="118">
        <v>2630899</v>
      </c>
      <c r="D25" s="117">
        <v>6072</v>
      </c>
      <c r="E25" s="118">
        <v>2465049</v>
      </c>
      <c r="F25" s="117">
        <v>10133</v>
      </c>
      <c r="G25" s="118">
        <v>5095948</v>
      </c>
      <c r="H25" s="117">
        <v>966</v>
      </c>
      <c r="I25" s="119">
        <v>445332</v>
      </c>
      <c r="J25" s="117">
        <v>778</v>
      </c>
      <c r="K25" s="119">
        <v>148084</v>
      </c>
      <c r="L25" s="117">
        <v>11471</v>
      </c>
      <c r="M25" s="119">
        <v>4798701</v>
      </c>
      <c r="N25" s="16" t="s">
        <v>111</v>
      </c>
    </row>
    <row r="26" spans="1:15" s="20" customFormat="1" ht="15.75" customHeight="1">
      <c r="A26" s="23"/>
      <c r="B26" s="152"/>
      <c r="C26" s="150"/>
      <c r="D26" s="146"/>
      <c r="E26" s="154"/>
      <c r="F26" s="152"/>
      <c r="G26" s="146"/>
      <c r="H26" s="152"/>
      <c r="I26" s="146"/>
      <c r="J26" s="152"/>
      <c r="K26" s="150"/>
      <c r="L26" s="146"/>
      <c r="M26" s="150"/>
      <c r="N26" s="148"/>
      <c r="O26" s="149"/>
    </row>
    <row r="27" spans="1:14" s="17" customFormat="1" ht="15.75" customHeight="1">
      <c r="A27" s="11" t="s">
        <v>36</v>
      </c>
      <c r="B27" s="111">
        <f>_xlfn.COMPOUNDVALUE(65)</f>
        <v>1631</v>
      </c>
      <c r="C27" s="168">
        <v>1291022</v>
      </c>
      <c r="D27" s="111">
        <f>_xlfn.COMPOUNDVALUE(66)</f>
        <v>1976</v>
      </c>
      <c r="E27" s="168">
        <v>1076279</v>
      </c>
      <c r="F27" s="111">
        <f>_xlfn.COMPOUNDVALUE(67)</f>
        <v>3607</v>
      </c>
      <c r="G27" s="168">
        <v>2367301</v>
      </c>
      <c r="H27" s="111">
        <f>_xlfn.COMPOUNDVALUE(68)</f>
        <v>266</v>
      </c>
      <c r="I27" s="170">
        <v>107538</v>
      </c>
      <c r="J27" s="111">
        <v>309</v>
      </c>
      <c r="K27" s="113">
        <v>66574</v>
      </c>
      <c r="L27" s="111">
        <v>4018</v>
      </c>
      <c r="M27" s="113">
        <v>2326337</v>
      </c>
      <c r="N27" s="24" t="s">
        <v>112</v>
      </c>
    </row>
    <row r="28" spans="1:14" s="17" customFormat="1" ht="15.75" customHeight="1">
      <c r="A28" s="13" t="s">
        <v>37</v>
      </c>
      <c r="B28" s="114">
        <f>_xlfn.COMPOUNDVALUE(69)</f>
        <v>802</v>
      </c>
      <c r="C28" s="169">
        <v>778265</v>
      </c>
      <c r="D28" s="114">
        <f>_xlfn.COMPOUNDVALUE(70)</f>
        <v>1132</v>
      </c>
      <c r="E28" s="169">
        <v>670898</v>
      </c>
      <c r="F28" s="114">
        <f>_xlfn.COMPOUNDVALUE(71)</f>
        <v>1934</v>
      </c>
      <c r="G28" s="169">
        <v>1449163</v>
      </c>
      <c r="H28" s="114">
        <f>_xlfn.COMPOUNDVALUE(72)</f>
        <v>140</v>
      </c>
      <c r="I28" s="171">
        <v>87706</v>
      </c>
      <c r="J28" s="114">
        <v>196</v>
      </c>
      <c r="K28" s="116">
        <v>52874</v>
      </c>
      <c r="L28" s="114">
        <v>2191</v>
      </c>
      <c r="M28" s="116">
        <v>1414331</v>
      </c>
      <c r="N28" s="14" t="s">
        <v>113</v>
      </c>
    </row>
    <row r="29" spans="1:14" s="17" customFormat="1" ht="15.75" customHeight="1">
      <c r="A29" s="13" t="s">
        <v>38</v>
      </c>
      <c r="B29" s="114">
        <f>_xlfn.COMPOUNDVALUE(73)</f>
        <v>851</v>
      </c>
      <c r="C29" s="169">
        <v>598069</v>
      </c>
      <c r="D29" s="114">
        <f>_xlfn.COMPOUNDVALUE(74)</f>
        <v>1453</v>
      </c>
      <c r="E29" s="169">
        <v>629221</v>
      </c>
      <c r="F29" s="114">
        <f>_xlfn.COMPOUNDVALUE(75)</f>
        <v>2304</v>
      </c>
      <c r="G29" s="169">
        <v>1227290</v>
      </c>
      <c r="H29" s="114">
        <f>_xlfn.COMPOUNDVALUE(76)</f>
        <v>98</v>
      </c>
      <c r="I29" s="171">
        <v>38116</v>
      </c>
      <c r="J29" s="114">
        <v>281</v>
      </c>
      <c r="K29" s="116">
        <v>49326</v>
      </c>
      <c r="L29" s="114">
        <v>2539</v>
      </c>
      <c r="M29" s="116">
        <v>1238499</v>
      </c>
      <c r="N29" s="14" t="s">
        <v>114</v>
      </c>
    </row>
    <row r="30" spans="1:14" s="17" customFormat="1" ht="15.75" customHeight="1">
      <c r="A30" s="13" t="s">
        <v>39</v>
      </c>
      <c r="B30" s="114">
        <f>_xlfn.COMPOUNDVALUE(77)</f>
        <v>669</v>
      </c>
      <c r="C30" s="169">
        <v>501342</v>
      </c>
      <c r="D30" s="114">
        <f>_xlfn.COMPOUNDVALUE(78)</f>
        <v>1333</v>
      </c>
      <c r="E30" s="169">
        <v>501767</v>
      </c>
      <c r="F30" s="114">
        <f>_xlfn.COMPOUNDVALUE(79)</f>
        <v>2002</v>
      </c>
      <c r="G30" s="169">
        <v>1003109</v>
      </c>
      <c r="H30" s="114">
        <f>_xlfn.COMPOUNDVALUE(80)</f>
        <v>123</v>
      </c>
      <c r="I30" s="171">
        <v>57631</v>
      </c>
      <c r="J30" s="114">
        <v>140</v>
      </c>
      <c r="K30" s="116">
        <v>30280</v>
      </c>
      <c r="L30" s="114">
        <v>2202</v>
      </c>
      <c r="M30" s="116">
        <v>975758</v>
      </c>
      <c r="N30" s="14" t="s">
        <v>115</v>
      </c>
    </row>
    <row r="31" spans="1:14" s="17" customFormat="1" ht="15.75" customHeight="1">
      <c r="A31" s="13" t="s">
        <v>40</v>
      </c>
      <c r="B31" s="114">
        <f>_xlfn.COMPOUNDVALUE(81)</f>
        <v>460</v>
      </c>
      <c r="C31" s="169">
        <v>268178</v>
      </c>
      <c r="D31" s="114">
        <f>_xlfn.COMPOUNDVALUE(82)</f>
        <v>658</v>
      </c>
      <c r="E31" s="169">
        <v>270669</v>
      </c>
      <c r="F31" s="114">
        <f>_xlfn.COMPOUNDVALUE(83)</f>
        <v>1118</v>
      </c>
      <c r="G31" s="169">
        <v>538847</v>
      </c>
      <c r="H31" s="114">
        <f>_xlfn.COMPOUNDVALUE(84)</f>
        <v>71</v>
      </c>
      <c r="I31" s="171">
        <v>32829</v>
      </c>
      <c r="J31" s="114">
        <v>109</v>
      </c>
      <c r="K31" s="116">
        <v>37306</v>
      </c>
      <c r="L31" s="114">
        <v>1240</v>
      </c>
      <c r="M31" s="116">
        <v>543324</v>
      </c>
      <c r="N31" s="14" t="s">
        <v>116</v>
      </c>
    </row>
    <row r="32" spans="1:14" s="17" customFormat="1" ht="15.75" customHeight="1">
      <c r="A32" s="13" t="s">
        <v>41</v>
      </c>
      <c r="B32" s="114">
        <f>_xlfn.COMPOUNDVALUE(85)</f>
        <v>646</v>
      </c>
      <c r="C32" s="169">
        <v>358828</v>
      </c>
      <c r="D32" s="114">
        <f>_xlfn.COMPOUNDVALUE(86)</f>
        <v>1172</v>
      </c>
      <c r="E32" s="169">
        <v>444292</v>
      </c>
      <c r="F32" s="114">
        <f>_xlfn.COMPOUNDVALUE(87)</f>
        <v>1818</v>
      </c>
      <c r="G32" s="169">
        <v>803120</v>
      </c>
      <c r="H32" s="114">
        <f>_xlfn.COMPOUNDVALUE(88)</f>
        <v>201</v>
      </c>
      <c r="I32" s="171">
        <v>89480</v>
      </c>
      <c r="J32" s="114">
        <v>100</v>
      </c>
      <c r="K32" s="116">
        <v>21408</v>
      </c>
      <c r="L32" s="114">
        <v>2063</v>
      </c>
      <c r="M32" s="116">
        <v>735048</v>
      </c>
      <c r="N32" s="14" t="s">
        <v>117</v>
      </c>
    </row>
    <row r="33" spans="1:14" s="17" customFormat="1" ht="15.75" customHeight="1">
      <c r="A33" s="13" t="s">
        <v>42</v>
      </c>
      <c r="B33" s="172">
        <f>_xlfn.COMPOUNDVALUE(89)</f>
        <v>281</v>
      </c>
      <c r="C33" s="169">
        <v>212406</v>
      </c>
      <c r="D33" s="114">
        <f>_xlfn.COMPOUNDVALUE(90)</f>
        <v>528</v>
      </c>
      <c r="E33" s="169">
        <v>162361</v>
      </c>
      <c r="F33" s="172">
        <f>_xlfn.COMPOUNDVALUE(91)</f>
        <v>809</v>
      </c>
      <c r="G33" s="169">
        <v>374767</v>
      </c>
      <c r="H33" s="172">
        <f>_xlfn.COMPOUNDVALUE(92)</f>
        <v>39</v>
      </c>
      <c r="I33" s="171">
        <v>16457</v>
      </c>
      <c r="J33" s="114">
        <v>54</v>
      </c>
      <c r="K33" s="116">
        <v>9127</v>
      </c>
      <c r="L33" s="114">
        <v>875</v>
      </c>
      <c r="M33" s="116">
        <v>367437</v>
      </c>
      <c r="N33" s="14" t="s">
        <v>118</v>
      </c>
    </row>
    <row r="34" spans="1:14" s="17" customFormat="1" ht="15.75" customHeight="1">
      <c r="A34" s="13" t="s">
        <v>43</v>
      </c>
      <c r="B34" s="172">
        <f>_xlfn.COMPOUNDVALUE(93)</f>
        <v>475</v>
      </c>
      <c r="C34" s="169">
        <v>264943</v>
      </c>
      <c r="D34" s="114">
        <f>_xlfn.COMPOUNDVALUE(94)</f>
        <v>693</v>
      </c>
      <c r="E34" s="169">
        <v>278904</v>
      </c>
      <c r="F34" s="172">
        <f>_xlfn.COMPOUNDVALUE(95)</f>
        <v>1168</v>
      </c>
      <c r="G34" s="169">
        <v>543847</v>
      </c>
      <c r="H34" s="172">
        <f>_xlfn.COMPOUNDVALUE(96)</f>
        <v>143</v>
      </c>
      <c r="I34" s="171">
        <v>66262</v>
      </c>
      <c r="J34" s="114">
        <v>178</v>
      </c>
      <c r="K34" s="116">
        <v>35784</v>
      </c>
      <c r="L34" s="114">
        <v>1410</v>
      </c>
      <c r="M34" s="116">
        <v>513368</v>
      </c>
      <c r="N34" s="14" t="s">
        <v>119</v>
      </c>
    </row>
    <row r="35" spans="1:14" s="17" customFormat="1" ht="15.75" customHeight="1">
      <c r="A35" s="13" t="s">
        <v>44</v>
      </c>
      <c r="B35" s="172">
        <f>_xlfn.COMPOUNDVALUE(97)</f>
        <v>258</v>
      </c>
      <c r="C35" s="169">
        <v>136469</v>
      </c>
      <c r="D35" s="114">
        <f>_xlfn.COMPOUNDVALUE(98)</f>
        <v>404</v>
      </c>
      <c r="E35" s="169">
        <v>157804</v>
      </c>
      <c r="F35" s="172">
        <f>_xlfn.COMPOUNDVALUE(99)</f>
        <v>662</v>
      </c>
      <c r="G35" s="169">
        <v>294273</v>
      </c>
      <c r="H35" s="172">
        <f>_xlfn.COMPOUNDVALUE(100)</f>
        <v>100</v>
      </c>
      <c r="I35" s="171">
        <v>55221</v>
      </c>
      <c r="J35" s="114">
        <v>68</v>
      </c>
      <c r="K35" s="116">
        <v>14879</v>
      </c>
      <c r="L35" s="114">
        <v>795</v>
      </c>
      <c r="M35" s="116">
        <v>253931</v>
      </c>
      <c r="N35" s="14" t="s">
        <v>120</v>
      </c>
    </row>
    <row r="36" spans="1:14" s="17" customFormat="1" ht="15.75" customHeight="1">
      <c r="A36" s="13" t="s">
        <v>45</v>
      </c>
      <c r="B36" s="172">
        <f>_xlfn.COMPOUNDVALUE(101)</f>
        <v>306</v>
      </c>
      <c r="C36" s="169">
        <v>162633</v>
      </c>
      <c r="D36" s="114">
        <f>_xlfn.COMPOUNDVALUE(102)</f>
        <v>568</v>
      </c>
      <c r="E36" s="169">
        <v>220000</v>
      </c>
      <c r="F36" s="172">
        <f>_xlfn.COMPOUNDVALUE(103)</f>
        <v>874</v>
      </c>
      <c r="G36" s="169">
        <v>382634</v>
      </c>
      <c r="H36" s="172">
        <f>_xlfn.COMPOUNDVALUE(104)</f>
        <v>137</v>
      </c>
      <c r="I36" s="171">
        <v>108366</v>
      </c>
      <c r="J36" s="114">
        <v>84</v>
      </c>
      <c r="K36" s="116">
        <v>2675</v>
      </c>
      <c r="L36" s="114">
        <v>1037</v>
      </c>
      <c r="M36" s="116">
        <v>276943</v>
      </c>
      <c r="N36" s="14" t="s">
        <v>121</v>
      </c>
    </row>
    <row r="37" spans="1:14" s="17" customFormat="1" ht="15.75" customHeight="1">
      <c r="A37" s="15" t="s">
        <v>46</v>
      </c>
      <c r="B37" s="173">
        <v>6379</v>
      </c>
      <c r="C37" s="118">
        <v>4572155</v>
      </c>
      <c r="D37" s="117">
        <v>9917</v>
      </c>
      <c r="E37" s="118">
        <v>4412195</v>
      </c>
      <c r="F37" s="173">
        <v>16296</v>
      </c>
      <c r="G37" s="118">
        <v>8984350</v>
      </c>
      <c r="H37" s="173">
        <v>1318</v>
      </c>
      <c r="I37" s="119">
        <v>659607</v>
      </c>
      <c r="J37" s="117">
        <v>1519</v>
      </c>
      <c r="K37" s="119">
        <v>320232</v>
      </c>
      <c r="L37" s="117">
        <v>18370</v>
      </c>
      <c r="M37" s="119">
        <v>8644975</v>
      </c>
      <c r="N37" s="16" t="s">
        <v>122</v>
      </c>
    </row>
    <row r="38" spans="1:14" s="17" customFormat="1" ht="15.75" customHeight="1">
      <c r="A38" s="91"/>
      <c r="B38" s="120"/>
      <c r="C38" s="121"/>
      <c r="D38" s="120"/>
      <c r="E38" s="121"/>
      <c r="F38" s="122"/>
      <c r="G38" s="121"/>
      <c r="H38" s="122"/>
      <c r="I38" s="121"/>
      <c r="J38" s="122"/>
      <c r="K38" s="121"/>
      <c r="L38" s="122"/>
      <c r="M38" s="121"/>
      <c r="N38" s="92"/>
    </row>
    <row r="39" spans="1:14" s="17" customFormat="1" ht="15.75" customHeight="1">
      <c r="A39" s="11" t="s">
        <v>47</v>
      </c>
      <c r="B39" s="111">
        <f>_xlfn.COMPOUNDVALUE(105)</f>
        <v>610</v>
      </c>
      <c r="C39" s="168">
        <v>377996</v>
      </c>
      <c r="D39" s="111">
        <f>_xlfn.COMPOUNDVALUE(106)</f>
        <v>868</v>
      </c>
      <c r="E39" s="168">
        <v>433711</v>
      </c>
      <c r="F39" s="111">
        <f>_xlfn.COMPOUNDVALUE(107)</f>
        <v>1478</v>
      </c>
      <c r="G39" s="168">
        <v>811706</v>
      </c>
      <c r="H39" s="111">
        <f>_xlfn.COMPOUNDVALUE(108)</f>
        <v>60</v>
      </c>
      <c r="I39" s="170">
        <v>23416</v>
      </c>
      <c r="J39" s="111">
        <v>179</v>
      </c>
      <c r="K39" s="113">
        <v>32258</v>
      </c>
      <c r="L39" s="111">
        <v>1621</v>
      </c>
      <c r="M39" s="113">
        <v>820548</v>
      </c>
      <c r="N39" s="12" t="s">
        <v>123</v>
      </c>
    </row>
    <row r="40" spans="1:14" s="17" customFormat="1" ht="15.75" customHeight="1">
      <c r="A40" s="13" t="s">
        <v>48</v>
      </c>
      <c r="B40" s="114">
        <f>_xlfn.COMPOUNDVALUE(109)</f>
        <v>402</v>
      </c>
      <c r="C40" s="169">
        <v>226341</v>
      </c>
      <c r="D40" s="114">
        <f>_xlfn.COMPOUNDVALUE(110)</f>
        <v>1156</v>
      </c>
      <c r="E40" s="169">
        <v>393806</v>
      </c>
      <c r="F40" s="114">
        <f>_xlfn.COMPOUNDVALUE(111)</f>
        <v>1558</v>
      </c>
      <c r="G40" s="169">
        <v>620147</v>
      </c>
      <c r="H40" s="114">
        <f>_xlfn.COMPOUNDVALUE(112)</f>
        <v>43</v>
      </c>
      <c r="I40" s="171">
        <v>12220</v>
      </c>
      <c r="J40" s="114">
        <v>109</v>
      </c>
      <c r="K40" s="116">
        <v>24188</v>
      </c>
      <c r="L40" s="114">
        <v>1650</v>
      </c>
      <c r="M40" s="116">
        <v>632116</v>
      </c>
      <c r="N40" s="14" t="s">
        <v>124</v>
      </c>
    </row>
    <row r="41" spans="1:14" s="17" customFormat="1" ht="15.75" customHeight="1">
      <c r="A41" s="13" t="s">
        <v>49</v>
      </c>
      <c r="B41" s="114">
        <f>_xlfn.COMPOUNDVALUE(113)</f>
        <v>263</v>
      </c>
      <c r="C41" s="169">
        <v>169174</v>
      </c>
      <c r="D41" s="114">
        <f>_xlfn.COMPOUNDVALUE(114)</f>
        <v>649</v>
      </c>
      <c r="E41" s="169">
        <v>211667</v>
      </c>
      <c r="F41" s="114">
        <f>_xlfn.COMPOUNDVALUE(115)</f>
        <v>912</v>
      </c>
      <c r="G41" s="169">
        <v>380841</v>
      </c>
      <c r="H41" s="114">
        <f>_xlfn.COMPOUNDVALUE(116)</f>
        <v>45</v>
      </c>
      <c r="I41" s="171">
        <v>21202</v>
      </c>
      <c r="J41" s="114">
        <v>73</v>
      </c>
      <c r="K41" s="116">
        <v>14043</v>
      </c>
      <c r="L41" s="114">
        <v>984</v>
      </c>
      <c r="M41" s="116">
        <v>373681</v>
      </c>
      <c r="N41" s="14" t="s">
        <v>125</v>
      </c>
    </row>
    <row r="42" spans="1:14" s="17" customFormat="1" ht="15.75" customHeight="1">
      <c r="A42" s="13" t="s">
        <v>50</v>
      </c>
      <c r="B42" s="114">
        <f>_xlfn.COMPOUNDVALUE(117)</f>
        <v>273</v>
      </c>
      <c r="C42" s="169">
        <v>142186</v>
      </c>
      <c r="D42" s="114">
        <f>_xlfn.COMPOUNDVALUE(118)</f>
        <v>652</v>
      </c>
      <c r="E42" s="169">
        <v>232457</v>
      </c>
      <c r="F42" s="114">
        <f>_xlfn.COMPOUNDVALUE(119)</f>
        <v>925</v>
      </c>
      <c r="G42" s="169">
        <v>374643</v>
      </c>
      <c r="H42" s="114">
        <f>_xlfn.COMPOUNDVALUE(120)</f>
        <v>59</v>
      </c>
      <c r="I42" s="171">
        <v>25205</v>
      </c>
      <c r="J42" s="114">
        <v>37</v>
      </c>
      <c r="K42" s="116">
        <v>276</v>
      </c>
      <c r="L42" s="114">
        <v>995</v>
      </c>
      <c r="M42" s="116">
        <v>349714</v>
      </c>
      <c r="N42" s="14" t="s">
        <v>126</v>
      </c>
    </row>
    <row r="43" spans="1:14" s="17" customFormat="1" ht="15.75" customHeight="1">
      <c r="A43" s="13" t="s">
        <v>51</v>
      </c>
      <c r="B43" s="114">
        <f>_xlfn.COMPOUNDVALUE(121)</f>
        <v>342</v>
      </c>
      <c r="C43" s="169">
        <v>201952</v>
      </c>
      <c r="D43" s="114">
        <f>_xlfn.COMPOUNDVALUE(122)</f>
        <v>657</v>
      </c>
      <c r="E43" s="169">
        <v>254682</v>
      </c>
      <c r="F43" s="114">
        <f>_xlfn.COMPOUNDVALUE(123)</f>
        <v>999</v>
      </c>
      <c r="G43" s="169">
        <v>456634</v>
      </c>
      <c r="H43" s="114">
        <f>_xlfn.COMPOUNDVALUE(124)</f>
        <v>69</v>
      </c>
      <c r="I43" s="171">
        <v>27100</v>
      </c>
      <c r="J43" s="114">
        <v>49</v>
      </c>
      <c r="K43" s="116">
        <v>2225</v>
      </c>
      <c r="L43" s="114">
        <v>1086</v>
      </c>
      <c r="M43" s="116">
        <v>431758</v>
      </c>
      <c r="N43" s="14" t="s">
        <v>127</v>
      </c>
    </row>
    <row r="44" spans="1:14" s="17" customFormat="1" ht="15.75" customHeight="1">
      <c r="A44" s="13" t="s">
        <v>52</v>
      </c>
      <c r="B44" s="114">
        <f>_xlfn.COMPOUNDVALUE(125)</f>
        <v>305</v>
      </c>
      <c r="C44" s="169">
        <v>204799</v>
      </c>
      <c r="D44" s="114">
        <f>_xlfn.COMPOUNDVALUE(126)</f>
        <v>608</v>
      </c>
      <c r="E44" s="169">
        <v>225127</v>
      </c>
      <c r="F44" s="114">
        <f>_xlfn.COMPOUNDVALUE(127)</f>
        <v>913</v>
      </c>
      <c r="G44" s="169">
        <v>429926</v>
      </c>
      <c r="H44" s="114">
        <f>_xlfn.COMPOUNDVALUE(128)</f>
        <v>53</v>
      </c>
      <c r="I44" s="171">
        <v>32247</v>
      </c>
      <c r="J44" s="114">
        <v>65</v>
      </c>
      <c r="K44" s="116">
        <v>7699</v>
      </c>
      <c r="L44" s="114">
        <v>985</v>
      </c>
      <c r="M44" s="116">
        <v>405378</v>
      </c>
      <c r="N44" s="14" t="s">
        <v>128</v>
      </c>
    </row>
    <row r="45" spans="1:14" s="17" customFormat="1" ht="15.75" customHeight="1">
      <c r="A45" s="13" t="s">
        <v>53</v>
      </c>
      <c r="B45" s="114">
        <f>_xlfn.COMPOUNDVALUE(129)</f>
        <v>219</v>
      </c>
      <c r="C45" s="169">
        <v>133049</v>
      </c>
      <c r="D45" s="114">
        <f>_xlfn.COMPOUNDVALUE(130)</f>
        <v>398</v>
      </c>
      <c r="E45" s="169">
        <v>145914</v>
      </c>
      <c r="F45" s="114">
        <f>_xlfn.COMPOUNDVALUE(131)</f>
        <v>617</v>
      </c>
      <c r="G45" s="169">
        <v>278963</v>
      </c>
      <c r="H45" s="114">
        <f>_xlfn.COMPOUNDVALUE(132)</f>
        <v>56</v>
      </c>
      <c r="I45" s="171">
        <v>26905</v>
      </c>
      <c r="J45" s="114">
        <v>25</v>
      </c>
      <c r="K45" s="116">
        <v>2217</v>
      </c>
      <c r="L45" s="114">
        <v>680</v>
      </c>
      <c r="M45" s="116">
        <v>254275</v>
      </c>
      <c r="N45" s="14" t="s">
        <v>129</v>
      </c>
    </row>
    <row r="46" spans="1:14" s="17" customFormat="1" ht="15.75" customHeight="1">
      <c r="A46" s="13" t="s">
        <v>54</v>
      </c>
      <c r="B46" s="114">
        <f>_xlfn.COMPOUNDVALUE(133)</f>
        <v>363</v>
      </c>
      <c r="C46" s="169">
        <v>220891</v>
      </c>
      <c r="D46" s="114">
        <f>_xlfn.COMPOUNDVALUE(134)</f>
        <v>910</v>
      </c>
      <c r="E46" s="169">
        <v>318098</v>
      </c>
      <c r="F46" s="114">
        <f>_xlfn.COMPOUNDVALUE(135)</f>
        <v>1273</v>
      </c>
      <c r="G46" s="169">
        <v>538989</v>
      </c>
      <c r="H46" s="114">
        <f>_xlfn.COMPOUNDVALUE(136)</f>
        <v>61</v>
      </c>
      <c r="I46" s="171">
        <v>27044</v>
      </c>
      <c r="J46" s="114">
        <v>73</v>
      </c>
      <c r="K46" s="116">
        <v>12451</v>
      </c>
      <c r="L46" s="114">
        <v>1376</v>
      </c>
      <c r="M46" s="116">
        <v>524395</v>
      </c>
      <c r="N46" s="14" t="s">
        <v>130</v>
      </c>
    </row>
    <row r="47" spans="1:14" s="17" customFormat="1" ht="15.75" customHeight="1">
      <c r="A47" s="15" t="s">
        <v>55</v>
      </c>
      <c r="B47" s="117">
        <v>2777</v>
      </c>
      <c r="C47" s="118">
        <v>1676387</v>
      </c>
      <c r="D47" s="117">
        <v>5898</v>
      </c>
      <c r="E47" s="118">
        <v>2215461</v>
      </c>
      <c r="F47" s="117">
        <v>8675</v>
      </c>
      <c r="G47" s="118">
        <v>3891848</v>
      </c>
      <c r="H47" s="117">
        <v>446</v>
      </c>
      <c r="I47" s="119">
        <v>195338</v>
      </c>
      <c r="J47" s="117">
        <v>610</v>
      </c>
      <c r="K47" s="119">
        <v>95356</v>
      </c>
      <c r="L47" s="117">
        <v>9377</v>
      </c>
      <c r="M47" s="119">
        <v>3791866</v>
      </c>
      <c r="N47" s="16" t="s">
        <v>131</v>
      </c>
    </row>
    <row r="48" spans="1:15" s="17" customFormat="1" ht="15.75" customHeight="1">
      <c r="A48" s="23"/>
      <c r="B48" s="152"/>
      <c r="C48" s="150"/>
      <c r="D48" s="146"/>
      <c r="E48" s="150"/>
      <c r="F48" s="155"/>
      <c r="G48" s="146"/>
      <c r="H48" s="152"/>
      <c r="I48" s="154"/>
      <c r="J48" s="152"/>
      <c r="K48" s="150"/>
      <c r="L48" s="146"/>
      <c r="M48" s="150"/>
      <c r="N48" s="148"/>
      <c r="O48" s="153"/>
    </row>
    <row r="49" spans="1:14" s="17" customFormat="1" ht="15.75" customHeight="1">
      <c r="A49" s="11" t="s">
        <v>56</v>
      </c>
      <c r="B49" s="111">
        <f>_xlfn.COMPOUNDVALUE(137)</f>
        <v>915</v>
      </c>
      <c r="C49" s="168">
        <v>554540</v>
      </c>
      <c r="D49" s="111">
        <f>_xlfn.COMPOUNDVALUE(138)</f>
        <v>2028</v>
      </c>
      <c r="E49" s="168">
        <v>829040</v>
      </c>
      <c r="F49" s="111">
        <f>_xlfn.COMPOUNDVALUE(139)</f>
        <v>2943</v>
      </c>
      <c r="G49" s="168">
        <v>1383580</v>
      </c>
      <c r="H49" s="111">
        <f>_xlfn.COMPOUNDVALUE(140)</f>
        <v>110</v>
      </c>
      <c r="I49" s="170">
        <v>51082</v>
      </c>
      <c r="J49" s="111">
        <v>234</v>
      </c>
      <c r="K49" s="113">
        <v>43573</v>
      </c>
      <c r="L49" s="111">
        <v>3144</v>
      </c>
      <c r="M49" s="113">
        <v>1376071</v>
      </c>
      <c r="N49" s="24" t="s">
        <v>132</v>
      </c>
    </row>
    <row r="50" spans="1:14" s="17" customFormat="1" ht="15.75" customHeight="1">
      <c r="A50" s="13" t="s">
        <v>57</v>
      </c>
      <c r="B50" s="114">
        <f>_xlfn.COMPOUNDVALUE(141)</f>
        <v>480</v>
      </c>
      <c r="C50" s="169">
        <v>279480</v>
      </c>
      <c r="D50" s="114">
        <f>_xlfn.COMPOUNDVALUE(142)</f>
        <v>1049</v>
      </c>
      <c r="E50" s="169">
        <v>371110</v>
      </c>
      <c r="F50" s="114">
        <f>_xlfn.COMPOUNDVALUE(143)</f>
        <v>1529</v>
      </c>
      <c r="G50" s="169">
        <v>650590</v>
      </c>
      <c r="H50" s="114">
        <f>_xlfn.COMPOUNDVALUE(144)</f>
        <v>94</v>
      </c>
      <c r="I50" s="171">
        <v>30052</v>
      </c>
      <c r="J50" s="114">
        <v>78</v>
      </c>
      <c r="K50" s="116">
        <v>13349</v>
      </c>
      <c r="L50" s="114">
        <v>1653</v>
      </c>
      <c r="M50" s="116">
        <v>633887</v>
      </c>
      <c r="N50" s="14" t="s">
        <v>133</v>
      </c>
    </row>
    <row r="51" spans="1:14" s="17" customFormat="1" ht="15.75" customHeight="1">
      <c r="A51" s="13" t="s">
        <v>58</v>
      </c>
      <c r="B51" s="114">
        <f>_xlfn.COMPOUNDVALUE(145)</f>
        <v>480</v>
      </c>
      <c r="C51" s="169">
        <v>310355</v>
      </c>
      <c r="D51" s="114">
        <f>_xlfn.COMPOUNDVALUE(146)</f>
        <v>1416</v>
      </c>
      <c r="E51" s="169">
        <v>470955</v>
      </c>
      <c r="F51" s="114">
        <f>_xlfn.COMPOUNDVALUE(147)</f>
        <v>1896</v>
      </c>
      <c r="G51" s="169">
        <v>781310</v>
      </c>
      <c r="H51" s="114">
        <f>_xlfn.COMPOUNDVALUE(148)</f>
        <v>68</v>
      </c>
      <c r="I51" s="171">
        <v>23616</v>
      </c>
      <c r="J51" s="114">
        <v>97</v>
      </c>
      <c r="K51" s="116">
        <v>11354</v>
      </c>
      <c r="L51" s="114">
        <v>2003</v>
      </c>
      <c r="M51" s="116">
        <v>769048</v>
      </c>
      <c r="N51" s="14" t="s">
        <v>134</v>
      </c>
    </row>
    <row r="52" spans="1:14" s="17" customFormat="1" ht="15.75" customHeight="1">
      <c r="A52" s="13" t="s">
        <v>59</v>
      </c>
      <c r="B52" s="114">
        <f>_xlfn.COMPOUNDVALUE(149)</f>
        <v>306</v>
      </c>
      <c r="C52" s="169">
        <v>166125</v>
      </c>
      <c r="D52" s="114">
        <f>_xlfn.COMPOUNDVALUE(150)</f>
        <v>816</v>
      </c>
      <c r="E52" s="169">
        <v>279708</v>
      </c>
      <c r="F52" s="114">
        <f>_xlfn.COMPOUNDVALUE(151)</f>
        <v>1122</v>
      </c>
      <c r="G52" s="169">
        <v>445833</v>
      </c>
      <c r="H52" s="114">
        <f>_xlfn.COMPOUNDVALUE(152)</f>
        <v>49</v>
      </c>
      <c r="I52" s="171">
        <v>32676</v>
      </c>
      <c r="J52" s="114">
        <v>79</v>
      </c>
      <c r="K52" s="116">
        <v>11743</v>
      </c>
      <c r="L52" s="114">
        <v>1203</v>
      </c>
      <c r="M52" s="116">
        <v>424899</v>
      </c>
      <c r="N52" s="14" t="s">
        <v>135</v>
      </c>
    </row>
    <row r="53" spans="1:14" s="17" customFormat="1" ht="15.75" customHeight="1">
      <c r="A53" s="13" t="s">
        <v>60</v>
      </c>
      <c r="B53" s="114">
        <f>_xlfn.COMPOUNDVALUE(153)</f>
        <v>301</v>
      </c>
      <c r="C53" s="169">
        <v>196069</v>
      </c>
      <c r="D53" s="114">
        <f>_xlfn.COMPOUNDVALUE(154)</f>
        <v>698</v>
      </c>
      <c r="E53" s="169">
        <v>248789</v>
      </c>
      <c r="F53" s="114">
        <f>_xlfn.COMPOUNDVALUE(155)</f>
        <v>999</v>
      </c>
      <c r="G53" s="169">
        <v>444858</v>
      </c>
      <c r="H53" s="114">
        <f>_xlfn.COMPOUNDVALUE(156)</f>
        <v>55</v>
      </c>
      <c r="I53" s="171">
        <v>45377</v>
      </c>
      <c r="J53" s="114">
        <v>82</v>
      </c>
      <c r="K53" s="116">
        <v>6841</v>
      </c>
      <c r="L53" s="114">
        <v>1084</v>
      </c>
      <c r="M53" s="116">
        <v>406323</v>
      </c>
      <c r="N53" s="14" t="s">
        <v>136</v>
      </c>
    </row>
    <row r="54" spans="1:14" s="17" customFormat="1" ht="15.75" customHeight="1">
      <c r="A54" s="13" t="s">
        <v>61</v>
      </c>
      <c r="B54" s="114">
        <f>_xlfn.COMPOUNDVALUE(157)</f>
        <v>228</v>
      </c>
      <c r="C54" s="169">
        <v>139243</v>
      </c>
      <c r="D54" s="114">
        <f>_xlfn.COMPOUNDVALUE(158)</f>
        <v>639</v>
      </c>
      <c r="E54" s="169">
        <v>228159</v>
      </c>
      <c r="F54" s="114">
        <f>_xlfn.COMPOUNDVALUE(159)</f>
        <v>867</v>
      </c>
      <c r="G54" s="169">
        <v>367402</v>
      </c>
      <c r="H54" s="114">
        <f>_xlfn.COMPOUNDVALUE(160)</f>
        <v>42</v>
      </c>
      <c r="I54" s="171">
        <v>15372</v>
      </c>
      <c r="J54" s="114">
        <v>79</v>
      </c>
      <c r="K54" s="116">
        <v>16716</v>
      </c>
      <c r="L54" s="114">
        <v>958</v>
      </c>
      <c r="M54" s="116">
        <v>368745</v>
      </c>
      <c r="N54" s="14" t="s">
        <v>137</v>
      </c>
    </row>
    <row r="55" spans="1:14" s="17" customFormat="1" ht="15.75" customHeight="1">
      <c r="A55" s="13" t="s">
        <v>62</v>
      </c>
      <c r="B55" s="114">
        <f>_xlfn.COMPOUNDVALUE(161)</f>
        <v>414</v>
      </c>
      <c r="C55" s="169">
        <v>245504</v>
      </c>
      <c r="D55" s="114">
        <f>_xlfn.COMPOUNDVALUE(162)</f>
        <v>842</v>
      </c>
      <c r="E55" s="169">
        <v>296276</v>
      </c>
      <c r="F55" s="114">
        <f>_xlfn.COMPOUNDVALUE(163)</f>
        <v>1256</v>
      </c>
      <c r="G55" s="169">
        <v>541780</v>
      </c>
      <c r="H55" s="114">
        <f>_xlfn.COMPOUNDVALUE(164)</f>
        <v>56</v>
      </c>
      <c r="I55" s="171">
        <v>47042</v>
      </c>
      <c r="J55" s="114">
        <v>121</v>
      </c>
      <c r="K55" s="116">
        <v>33456</v>
      </c>
      <c r="L55" s="114">
        <v>1383</v>
      </c>
      <c r="M55" s="116">
        <v>528194</v>
      </c>
      <c r="N55" s="14" t="s">
        <v>138</v>
      </c>
    </row>
    <row r="56" spans="1:14" s="17" customFormat="1" ht="15.75" customHeight="1">
      <c r="A56" s="13" t="s">
        <v>63</v>
      </c>
      <c r="B56" s="114">
        <f>_xlfn.COMPOUNDVALUE(165)</f>
        <v>187</v>
      </c>
      <c r="C56" s="169">
        <v>99203</v>
      </c>
      <c r="D56" s="114">
        <f>_xlfn.COMPOUNDVALUE(166)</f>
        <v>356</v>
      </c>
      <c r="E56" s="169">
        <v>123857</v>
      </c>
      <c r="F56" s="114">
        <f>_xlfn.COMPOUNDVALUE(167)</f>
        <v>543</v>
      </c>
      <c r="G56" s="169">
        <v>223060</v>
      </c>
      <c r="H56" s="114">
        <f>_xlfn.COMPOUNDVALUE(168)</f>
        <v>76</v>
      </c>
      <c r="I56" s="171">
        <v>40861</v>
      </c>
      <c r="J56" s="114">
        <v>34</v>
      </c>
      <c r="K56" s="116">
        <v>28730</v>
      </c>
      <c r="L56" s="114">
        <v>630</v>
      </c>
      <c r="M56" s="116">
        <v>210929</v>
      </c>
      <c r="N56" s="14" t="s">
        <v>139</v>
      </c>
    </row>
    <row r="57" spans="1:14" s="17" customFormat="1" ht="15.75" customHeight="1">
      <c r="A57" s="15" t="s">
        <v>64</v>
      </c>
      <c r="B57" s="117">
        <v>3311</v>
      </c>
      <c r="C57" s="118">
        <v>1990519</v>
      </c>
      <c r="D57" s="117">
        <v>7844</v>
      </c>
      <c r="E57" s="118">
        <v>2847894</v>
      </c>
      <c r="F57" s="117">
        <v>11155</v>
      </c>
      <c r="G57" s="118">
        <v>4838413</v>
      </c>
      <c r="H57" s="117">
        <v>550</v>
      </c>
      <c r="I57" s="119">
        <v>286078</v>
      </c>
      <c r="J57" s="117">
        <v>804</v>
      </c>
      <c r="K57" s="119">
        <v>165762</v>
      </c>
      <c r="L57" s="117">
        <v>12058</v>
      </c>
      <c r="M57" s="119">
        <v>4718096</v>
      </c>
      <c r="N57" s="16" t="s">
        <v>140</v>
      </c>
    </row>
    <row r="58" spans="1:14" s="17" customFormat="1" ht="15.75" customHeight="1">
      <c r="A58" s="147"/>
      <c r="B58" s="146"/>
      <c r="C58" s="150"/>
      <c r="D58" s="146"/>
      <c r="E58" s="154"/>
      <c r="F58" s="152"/>
      <c r="G58" s="154"/>
      <c r="H58" s="152"/>
      <c r="I58" s="146"/>
      <c r="J58" s="152"/>
      <c r="K58" s="150"/>
      <c r="L58" s="146"/>
      <c r="M58" s="150"/>
      <c r="N58" s="148"/>
    </row>
    <row r="59" spans="1:14" s="17" customFormat="1" ht="15.75" customHeight="1">
      <c r="A59" s="11" t="s">
        <v>65</v>
      </c>
      <c r="B59" s="111">
        <f>_xlfn.COMPOUNDVALUE(169)</f>
        <v>782</v>
      </c>
      <c r="C59" s="168">
        <v>447768</v>
      </c>
      <c r="D59" s="111">
        <f>_xlfn.COMPOUNDVALUE(170)</f>
        <v>1685</v>
      </c>
      <c r="E59" s="168">
        <v>690874</v>
      </c>
      <c r="F59" s="111">
        <f>_xlfn.COMPOUNDVALUE(171)</f>
        <v>2467</v>
      </c>
      <c r="G59" s="168">
        <v>1138642</v>
      </c>
      <c r="H59" s="111">
        <f>_xlfn.COMPOUNDVALUE(172)</f>
        <v>111</v>
      </c>
      <c r="I59" s="170">
        <v>39914</v>
      </c>
      <c r="J59" s="111">
        <v>258</v>
      </c>
      <c r="K59" s="113">
        <v>28607</v>
      </c>
      <c r="L59" s="111">
        <v>2696</v>
      </c>
      <c r="M59" s="113">
        <v>1127335</v>
      </c>
      <c r="N59" s="24" t="s">
        <v>142</v>
      </c>
    </row>
    <row r="60" spans="1:14" s="17" customFormat="1" ht="15.75" customHeight="1">
      <c r="A60" s="11" t="s">
        <v>66</v>
      </c>
      <c r="B60" s="111">
        <f>_xlfn.COMPOUNDVALUE(173)</f>
        <v>475</v>
      </c>
      <c r="C60" s="168">
        <v>283893</v>
      </c>
      <c r="D60" s="111">
        <f>_xlfn.COMPOUNDVALUE(174)</f>
        <v>1095</v>
      </c>
      <c r="E60" s="168">
        <v>380809</v>
      </c>
      <c r="F60" s="111">
        <f>_xlfn.COMPOUNDVALUE(175)</f>
        <v>1570</v>
      </c>
      <c r="G60" s="168">
        <v>664702</v>
      </c>
      <c r="H60" s="111">
        <f>_xlfn.COMPOUNDVALUE(176)</f>
        <v>80</v>
      </c>
      <c r="I60" s="170">
        <v>43303</v>
      </c>
      <c r="J60" s="111">
        <v>150</v>
      </c>
      <c r="K60" s="113">
        <v>6389</v>
      </c>
      <c r="L60" s="111">
        <v>1711</v>
      </c>
      <c r="M60" s="113">
        <v>627787</v>
      </c>
      <c r="N60" s="12" t="s">
        <v>143</v>
      </c>
    </row>
    <row r="61" spans="1:14" s="17" customFormat="1" ht="15.75" customHeight="1">
      <c r="A61" s="11" t="s">
        <v>67</v>
      </c>
      <c r="B61" s="111">
        <f>_xlfn.COMPOUNDVALUE(177)</f>
        <v>978</v>
      </c>
      <c r="C61" s="168">
        <v>520619</v>
      </c>
      <c r="D61" s="111">
        <f>_xlfn.COMPOUNDVALUE(178)</f>
        <v>1628</v>
      </c>
      <c r="E61" s="168">
        <v>730636</v>
      </c>
      <c r="F61" s="111">
        <f>_xlfn.COMPOUNDVALUE(179)</f>
        <v>2606</v>
      </c>
      <c r="G61" s="168">
        <v>1251255</v>
      </c>
      <c r="H61" s="111">
        <f>_xlfn.COMPOUNDVALUE(180)</f>
        <v>169</v>
      </c>
      <c r="I61" s="170">
        <v>103745</v>
      </c>
      <c r="J61" s="111">
        <v>303</v>
      </c>
      <c r="K61" s="113">
        <v>60352</v>
      </c>
      <c r="L61" s="111">
        <v>2947</v>
      </c>
      <c r="M61" s="113">
        <v>1207862</v>
      </c>
      <c r="N61" s="12" t="s">
        <v>144</v>
      </c>
    </row>
    <row r="62" spans="1:14" s="17" customFormat="1" ht="15.75" customHeight="1">
      <c r="A62" s="13" t="s">
        <v>68</v>
      </c>
      <c r="B62" s="114">
        <f>_xlfn.COMPOUNDVALUE(181)</f>
        <v>818</v>
      </c>
      <c r="C62" s="169">
        <v>482318</v>
      </c>
      <c r="D62" s="114">
        <f>_xlfn.COMPOUNDVALUE(182)</f>
        <v>1145</v>
      </c>
      <c r="E62" s="169">
        <v>540900</v>
      </c>
      <c r="F62" s="114">
        <f>_xlfn.COMPOUNDVALUE(183)</f>
        <v>1963</v>
      </c>
      <c r="G62" s="169">
        <v>1023218</v>
      </c>
      <c r="H62" s="114">
        <f>_xlfn.COMPOUNDVALUE(184)</f>
        <v>101</v>
      </c>
      <c r="I62" s="171">
        <v>38801</v>
      </c>
      <c r="J62" s="114">
        <v>146</v>
      </c>
      <c r="K62" s="116">
        <v>38480</v>
      </c>
      <c r="L62" s="114">
        <v>2134</v>
      </c>
      <c r="M62" s="116">
        <v>1022897</v>
      </c>
      <c r="N62" s="14" t="s">
        <v>68</v>
      </c>
    </row>
    <row r="63" spans="1:14" s="17" customFormat="1" ht="15.75" customHeight="1">
      <c r="A63" s="13" t="s">
        <v>69</v>
      </c>
      <c r="B63" s="114">
        <f>_xlfn.COMPOUNDVALUE(185)</f>
        <v>445</v>
      </c>
      <c r="C63" s="169">
        <v>265520</v>
      </c>
      <c r="D63" s="114">
        <f>_xlfn.COMPOUNDVALUE(186)</f>
        <v>841</v>
      </c>
      <c r="E63" s="169">
        <v>324241</v>
      </c>
      <c r="F63" s="114">
        <f>_xlfn.COMPOUNDVALUE(187)</f>
        <v>1286</v>
      </c>
      <c r="G63" s="169">
        <v>589761</v>
      </c>
      <c r="H63" s="114">
        <f>_xlfn.COMPOUNDVALUE(188)</f>
        <v>96</v>
      </c>
      <c r="I63" s="171">
        <v>49957</v>
      </c>
      <c r="J63" s="114">
        <v>117</v>
      </c>
      <c r="K63" s="116">
        <v>31957</v>
      </c>
      <c r="L63" s="114">
        <v>1430</v>
      </c>
      <c r="M63" s="116">
        <v>571760</v>
      </c>
      <c r="N63" s="14" t="s">
        <v>145</v>
      </c>
    </row>
    <row r="64" spans="1:14" s="17" customFormat="1" ht="15.75" customHeight="1">
      <c r="A64" s="13" t="s">
        <v>70</v>
      </c>
      <c r="B64" s="114">
        <f>_xlfn.COMPOUNDVALUE(189)</f>
        <v>372</v>
      </c>
      <c r="C64" s="169">
        <v>177881</v>
      </c>
      <c r="D64" s="114">
        <f>_xlfn.COMPOUNDVALUE(190)</f>
        <v>797</v>
      </c>
      <c r="E64" s="169">
        <v>282917</v>
      </c>
      <c r="F64" s="114">
        <f>_xlfn.COMPOUNDVALUE(191)</f>
        <v>1169</v>
      </c>
      <c r="G64" s="169">
        <v>460798</v>
      </c>
      <c r="H64" s="114">
        <f>_xlfn.COMPOUNDVALUE(192)</f>
        <v>80</v>
      </c>
      <c r="I64" s="171">
        <v>35620</v>
      </c>
      <c r="J64" s="114">
        <v>51</v>
      </c>
      <c r="K64" s="116">
        <v>12207</v>
      </c>
      <c r="L64" s="114">
        <v>1281</v>
      </c>
      <c r="M64" s="116">
        <v>437385</v>
      </c>
      <c r="N64" s="14" t="s">
        <v>146</v>
      </c>
    </row>
    <row r="65" spans="1:14" s="17" customFormat="1" ht="15.75" customHeight="1">
      <c r="A65" s="13" t="s">
        <v>71</v>
      </c>
      <c r="B65" s="114">
        <f>_xlfn.COMPOUNDVALUE(193)</f>
        <v>147</v>
      </c>
      <c r="C65" s="169">
        <v>67142</v>
      </c>
      <c r="D65" s="114">
        <f>_xlfn.COMPOUNDVALUE(194)</f>
        <v>382</v>
      </c>
      <c r="E65" s="169">
        <v>117304</v>
      </c>
      <c r="F65" s="114">
        <f>_xlfn.COMPOUNDVALUE(195)</f>
        <v>529</v>
      </c>
      <c r="G65" s="169">
        <v>184446</v>
      </c>
      <c r="H65" s="114">
        <f>_xlfn.COMPOUNDVALUE(196)</f>
        <v>41</v>
      </c>
      <c r="I65" s="171">
        <v>13081</v>
      </c>
      <c r="J65" s="114">
        <v>31</v>
      </c>
      <c r="K65" s="116">
        <v>2095</v>
      </c>
      <c r="L65" s="114">
        <v>582</v>
      </c>
      <c r="M65" s="116">
        <v>173459</v>
      </c>
      <c r="N65" s="14" t="s">
        <v>147</v>
      </c>
    </row>
    <row r="66" spans="1:14" s="17" customFormat="1" ht="15.75" customHeight="1">
      <c r="A66" s="13" t="s">
        <v>72</v>
      </c>
      <c r="B66" s="114">
        <f>_xlfn.COMPOUNDVALUE(197)</f>
        <v>504</v>
      </c>
      <c r="C66" s="169">
        <v>392336</v>
      </c>
      <c r="D66" s="114">
        <f>_xlfn.COMPOUNDVALUE(198)</f>
        <v>651</v>
      </c>
      <c r="E66" s="169">
        <v>283329</v>
      </c>
      <c r="F66" s="114">
        <f>_xlfn.COMPOUNDVALUE(199)</f>
        <v>1155</v>
      </c>
      <c r="G66" s="169">
        <v>675665</v>
      </c>
      <c r="H66" s="114">
        <f>_xlfn.COMPOUNDVALUE(200)</f>
        <v>111</v>
      </c>
      <c r="I66" s="171">
        <v>115976</v>
      </c>
      <c r="J66" s="114">
        <v>72</v>
      </c>
      <c r="K66" s="116">
        <v>34353</v>
      </c>
      <c r="L66" s="114">
        <v>1298</v>
      </c>
      <c r="M66" s="116">
        <v>594042</v>
      </c>
      <c r="N66" s="14" t="s">
        <v>148</v>
      </c>
    </row>
    <row r="67" spans="1:14" s="17" customFormat="1" ht="15.75" customHeight="1">
      <c r="A67" s="13" t="s">
        <v>73</v>
      </c>
      <c r="B67" s="114">
        <f>_xlfn.COMPOUNDVALUE(201)</f>
        <v>274</v>
      </c>
      <c r="C67" s="169">
        <v>145279</v>
      </c>
      <c r="D67" s="114">
        <f>_xlfn.COMPOUNDVALUE(202)</f>
        <v>401</v>
      </c>
      <c r="E67" s="169">
        <v>154910</v>
      </c>
      <c r="F67" s="114">
        <f>_xlfn.COMPOUNDVALUE(203)</f>
        <v>675</v>
      </c>
      <c r="G67" s="169">
        <v>300190</v>
      </c>
      <c r="H67" s="114">
        <f>_xlfn.COMPOUNDVALUE(204)</f>
        <v>69</v>
      </c>
      <c r="I67" s="171">
        <v>27756</v>
      </c>
      <c r="J67" s="114">
        <v>73</v>
      </c>
      <c r="K67" s="116">
        <v>7396</v>
      </c>
      <c r="L67" s="114">
        <v>782</v>
      </c>
      <c r="M67" s="116">
        <v>279830</v>
      </c>
      <c r="N67" s="14" t="s">
        <v>149</v>
      </c>
    </row>
    <row r="68" spans="1:14" s="17" customFormat="1" ht="15.75" customHeight="1">
      <c r="A68" s="13" t="s">
        <v>74</v>
      </c>
      <c r="B68" s="114">
        <f>_xlfn.COMPOUNDVALUE(205)</f>
        <v>85</v>
      </c>
      <c r="C68" s="169">
        <v>62603</v>
      </c>
      <c r="D68" s="114">
        <f>_xlfn.COMPOUNDVALUE(206)</f>
        <v>186</v>
      </c>
      <c r="E68" s="169">
        <v>72450</v>
      </c>
      <c r="F68" s="114">
        <f>_xlfn.COMPOUNDVALUE(207)</f>
        <v>271</v>
      </c>
      <c r="G68" s="169">
        <v>135053</v>
      </c>
      <c r="H68" s="114">
        <f>_xlfn.COMPOUNDVALUE(208)</f>
        <v>15</v>
      </c>
      <c r="I68" s="171">
        <v>10590</v>
      </c>
      <c r="J68" s="114">
        <v>23</v>
      </c>
      <c r="K68" s="116">
        <v>2146</v>
      </c>
      <c r="L68" s="114">
        <v>297</v>
      </c>
      <c r="M68" s="116">
        <v>126609</v>
      </c>
      <c r="N68" s="14" t="s">
        <v>150</v>
      </c>
    </row>
    <row r="69" spans="1:14" s="17" customFormat="1" ht="15.75" customHeight="1">
      <c r="A69" s="15" t="s">
        <v>75</v>
      </c>
      <c r="B69" s="117">
        <v>4880</v>
      </c>
      <c r="C69" s="118">
        <v>2845358</v>
      </c>
      <c r="D69" s="117">
        <v>8811</v>
      </c>
      <c r="E69" s="118">
        <v>3578370</v>
      </c>
      <c r="F69" s="117">
        <v>13691</v>
      </c>
      <c r="G69" s="118">
        <v>6423728</v>
      </c>
      <c r="H69" s="117">
        <v>873</v>
      </c>
      <c r="I69" s="119">
        <v>478742</v>
      </c>
      <c r="J69" s="117">
        <v>1224</v>
      </c>
      <c r="K69" s="119">
        <v>223981</v>
      </c>
      <c r="L69" s="117">
        <v>15158</v>
      </c>
      <c r="M69" s="119">
        <v>6168967</v>
      </c>
      <c r="N69" s="16" t="s">
        <v>151</v>
      </c>
    </row>
    <row r="70" spans="1:15" s="17" customFormat="1" ht="15.75" customHeight="1" thickBot="1">
      <c r="A70" s="18"/>
      <c r="B70" s="123"/>
      <c r="C70" s="124"/>
      <c r="D70" s="123"/>
      <c r="E70" s="124"/>
      <c r="F70" s="125"/>
      <c r="G70" s="124"/>
      <c r="H70" s="125"/>
      <c r="I70" s="124"/>
      <c r="J70" s="125"/>
      <c r="K70" s="124"/>
      <c r="L70" s="125"/>
      <c r="M70" s="124"/>
      <c r="N70" s="19"/>
      <c r="O70" s="36"/>
    </row>
    <row r="71" spans="1:14" s="17" customFormat="1" ht="15.75" customHeight="1" thickBot="1" thickTop="1">
      <c r="A71" s="21" t="s">
        <v>17</v>
      </c>
      <c r="B71" s="174">
        <v>25393</v>
      </c>
      <c r="C71" s="127">
        <v>16295407</v>
      </c>
      <c r="D71" s="126">
        <v>47490</v>
      </c>
      <c r="E71" s="127">
        <v>18687240</v>
      </c>
      <c r="F71" s="174">
        <v>72883</v>
      </c>
      <c r="G71" s="127">
        <v>34982647</v>
      </c>
      <c r="H71" s="174">
        <v>4737</v>
      </c>
      <c r="I71" s="128">
        <v>2360814</v>
      </c>
      <c r="J71" s="126">
        <v>5633</v>
      </c>
      <c r="K71" s="128">
        <v>1092839</v>
      </c>
      <c r="L71" s="126">
        <v>80236</v>
      </c>
      <c r="M71" s="128">
        <v>33714672</v>
      </c>
      <c r="N71" s="22" t="s">
        <v>94</v>
      </c>
    </row>
    <row r="72" spans="1:14" ht="13.5">
      <c r="A72" s="230" t="s">
        <v>233</v>
      </c>
      <c r="B72" s="230"/>
      <c r="C72" s="230"/>
      <c r="D72" s="230"/>
      <c r="E72" s="230"/>
      <c r="F72" s="230"/>
      <c r="G72" s="230"/>
      <c r="H72" s="230"/>
      <c r="I72" s="230"/>
      <c r="J72" s="25"/>
      <c r="K72" s="25"/>
      <c r="L72" s="2"/>
      <c r="M72" s="2"/>
      <c r="N72" s="2"/>
    </row>
    <row r="74" spans="2:10" ht="13.5">
      <c r="B74" s="26"/>
      <c r="C74" s="26"/>
      <c r="D74" s="26"/>
      <c r="E74" s="26"/>
      <c r="F74" s="26"/>
      <c r="G74" s="26"/>
      <c r="H74" s="26"/>
      <c r="J74" s="26"/>
    </row>
    <row r="75" spans="2:10" ht="13.5">
      <c r="B75" s="26"/>
      <c r="C75" s="26"/>
      <c r="D75" s="26"/>
      <c r="E75" s="26"/>
      <c r="F75" s="26"/>
      <c r="G75" s="26"/>
      <c r="H75" s="26"/>
      <c r="J75" s="26"/>
    </row>
    <row r="76" spans="2:10" ht="13.5">
      <c r="B76" s="26"/>
      <c r="C76" s="26"/>
      <c r="D76" s="26"/>
      <c r="E76" s="26"/>
      <c r="F76" s="26"/>
      <c r="G76" s="26"/>
      <c r="H76" s="26"/>
      <c r="J76" s="26"/>
    </row>
    <row r="77" spans="2:10" ht="13.5">
      <c r="B77" s="26"/>
      <c r="C77" s="26"/>
      <c r="D77" s="26"/>
      <c r="E77" s="26"/>
      <c r="F77" s="26"/>
      <c r="G77" s="26"/>
      <c r="H77" s="26"/>
      <c r="J77" s="26"/>
    </row>
    <row r="78" spans="2:10" ht="13.5">
      <c r="B78" s="26"/>
      <c r="C78" s="26"/>
      <c r="D78" s="26"/>
      <c r="E78" s="26"/>
      <c r="F78" s="26"/>
      <c r="G78" s="26"/>
      <c r="H78" s="26"/>
      <c r="J78" s="26"/>
    </row>
    <row r="79" spans="2:10" ht="13.5">
      <c r="B79" s="26"/>
      <c r="C79" s="26"/>
      <c r="D79" s="26"/>
      <c r="E79" s="26"/>
      <c r="F79" s="26"/>
      <c r="G79" s="26"/>
      <c r="H79" s="26"/>
      <c r="J79" s="26"/>
    </row>
    <row r="80" spans="2:10" ht="13.5">
      <c r="B80" s="26"/>
      <c r="C80" s="26"/>
      <c r="D80" s="26"/>
      <c r="E80" s="26"/>
      <c r="F80" s="26"/>
      <c r="G80" s="26"/>
      <c r="H80" s="26"/>
      <c r="J80" s="26"/>
    </row>
    <row r="81" spans="2:10" ht="13.5">
      <c r="B81" s="26"/>
      <c r="C81" s="26"/>
      <c r="D81" s="26"/>
      <c r="E81" s="26"/>
      <c r="F81" s="26"/>
      <c r="G81" s="26"/>
      <c r="H81" s="26"/>
      <c r="J81" s="26"/>
    </row>
    <row r="82" spans="2:10" ht="13.5">
      <c r="B82" s="26"/>
      <c r="C82" s="26"/>
      <c r="D82" s="26"/>
      <c r="E82" s="26"/>
      <c r="F82" s="26"/>
      <c r="G82" s="26"/>
      <c r="H82" s="26"/>
      <c r="J82" s="26"/>
    </row>
    <row r="83" spans="2:10" ht="13.5">
      <c r="B83" s="26"/>
      <c r="C83" s="26"/>
      <c r="D83" s="26"/>
      <c r="E83" s="26"/>
      <c r="F83" s="26"/>
      <c r="G83" s="26"/>
      <c r="H83" s="26"/>
      <c r="J83" s="26"/>
    </row>
    <row r="84" spans="2:10" ht="13.5">
      <c r="B84" s="26"/>
      <c r="C84" s="26"/>
      <c r="D84" s="26"/>
      <c r="E84" s="26"/>
      <c r="F84" s="26"/>
      <c r="G84" s="26"/>
      <c r="H84" s="26"/>
      <c r="J84" s="26"/>
    </row>
    <row r="85" spans="2:10" ht="13.5">
      <c r="B85" s="26"/>
      <c r="C85" s="26"/>
      <c r="D85" s="26"/>
      <c r="E85" s="26"/>
      <c r="F85" s="26"/>
      <c r="G85" s="26"/>
      <c r="H85" s="26"/>
      <c r="J85" s="26"/>
    </row>
    <row r="86" spans="2:10" ht="13.5">
      <c r="B86" s="26"/>
      <c r="C86" s="26"/>
      <c r="D86" s="26"/>
      <c r="E86" s="26"/>
      <c r="F86" s="26"/>
      <c r="G86" s="26"/>
      <c r="H86" s="26"/>
      <c r="J86" s="26"/>
    </row>
  </sheetData>
  <sheetProtection/>
  <mergeCells count="11">
    <mergeCell ref="N3:N5"/>
    <mergeCell ref="B4:C4"/>
    <mergeCell ref="D4:E4"/>
    <mergeCell ref="F4:G4"/>
    <mergeCell ref="J3:K4"/>
    <mergeCell ref="L3:M4"/>
    <mergeCell ref="A72:I72"/>
    <mergeCell ref="A2:G2"/>
    <mergeCell ref="A3:A5"/>
    <mergeCell ref="B3:G3"/>
    <mergeCell ref="H3:I4"/>
  </mergeCells>
  <printOptions horizontalCentered="1"/>
  <pageMargins left="0.5905511811023623" right="0.5905511811023623" top="0.7874015748031497" bottom="0.7874015748031497" header="0.5118110236220472" footer="0.35433070866141736"/>
  <pageSetup fitToHeight="0" fitToWidth="1" horizontalDpi="600" verticalDpi="600" orientation="landscape" paperSize="9" scale="79" r:id="rId1"/>
  <headerFooter alignWithMargins="0">
    <oddFooter>&amp;R仙台国税局
消費税
(R03)</oddFooter>
  </headerFooter>
  <rowBreaks count="1" manualBreakCount="1">
    <brk id="38" max="13" man="1"/>
  </rowBreaks>
</worksheet>
</file>

<file path=xl/worksheets/sheet5.xml><?xml version="1.0" encoding="utf-8"?>
<worksheet xmlns="http://schemas.openxmlformats.org/spreadsheetml/2006/main" xmlns:r="http://schemas.openxmlformats.org/officeDocument/2006/relationships">
  <sheetPr>
    <pageSetUpPr fitToPage="1"/>
  </sheetPr>
  <dimension ref="A1:N72"/>
  <sheetViews>
    <sheetView showGridLines="0" workbookViewId="0" topLeftCell="A1">
      <selection activeCell="A1" sqref="A1"/>
    </sheetView>
  </sheetViews>
  <sheetFormatPr defaultColWidth="9.140625" defaultRowHeight="15"/>
  <cols>
    <col min="1" max="1" width="11.14062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4" width="11.421875" style="3" customWidth="1"/>
    <col min="15" max="16384" width="9.00390625" style="3" customWidth="1"/>
  </cols>
  <sheetData>
    <row r="1" spans="1:13" ht="13.5">
      <c r="A1" s="1" t="s">
        <v>237</v>
      </c>
      <c r="B1" s="1"/>
      <c r="C1" s="1"/>
      <c r="D1" s="1"/>
      <c r="E1" s="1"/>
      <c r="F1" s="1"/>
      <c r="G1" s="1"/>
      <c r="H1" s="1"/>
      <c r="I1" s="1"/>
      <c r="J1" s="1"/>
      <c r="K1" s="1"/>
      <c r="L1" s="2"/>
      <c r="M1" s="2"/>
    </row>
    <row r="2" spans="1:13" ht="14.25" thickBot="1">
      <c r="A2" s="241" t="s">
        <v>76</v>
      </c>
      <c r="B2" s="241"/>
      <c r="C2" s="241"/>
      <c r="D2" s="241"/>
      <c r="E2" s="241"/>
      <c r="F2" s="241"/>
      <c r="G2" s="241"/>
      <c r="H2" s="241"/>
      <c r="I2" s="241"/>
      <c r="J2" s="25"/>
      <c r="K2" s="25"/>
      <c r="L2" s="2"/>
      <c r="M2" s="2"/>
    </row>
    <row r="3" spans="1:14" ht="19.5" customHeight="1">
      <c r="A3" s="231" t="s">
        <v>1</v>
      </c>
      <c r="B3" s="234" t="s">
        <v>2</v>
      </c>
      <c r="C3" s="234"/>
      <c r="D3" s="234"/>
      <c r="E3" s="234"/>
      <c r="F3" s="234"/>
      <c r="G3" s="234"/>
      <c r="H3" s="226" t="s">
        <v>3</v>
      </c>
      <c r="I3" s="227"/>
      <c r="J3" s="240" t="s">
        <v>4</v>
      </c>
      <c r="K3" s="227"/>
      <c r="L3" s="226" t="s">
        <v>5</v>
      </c>
      <c r="M3" s="227"/>
      <c r="N3" s="235" t="s">
        <v>77</v>
      </c>
    </row>
    <row r="4" spans="1:14" ht="17.25" customHeight="1">
      <c r="A4" s="232"/>
      <c r="B4" s="228" t="s">
        <v>7</v>
      </c>
      <c r="C4" s="239"/>
      <c r="D4" s="228" t="s">
        <v>8</v>
      </c>
      <c r="E4" s="239"/>
      <c r="F4" s="228" t="s">
        <v>9</v>
      </c>
      <c r="G4" s="239"/>
      <c r="H4" s="228"/>
      <c r="I4" s="229"/>
      <c r="J4" s="228"/>
      <c r="K4" s="229"/>
      <c r="L4" s="228"/>
      <c r="M4" s="229"/>
      <c r="N4" s="236"/>
    </row>
    <row r="5" spans="1:14" ht="28.5" customHeight="1">
      <c r="A5" s="233"/>
      <c r="B5" s="33" t="s">
        <v>10</v>
      </c>
      <c r="C5" s="34" t="s">
        <v>11</v>
      </c>
      <c r="D5" s="33" t="s">
        <v>10</v>
      </c>
      <c r="E5" s="34" t="s">
        <v>11</v>
      </c>
      <c r="F5" s="33" t="s">
        <v>10</v>
      </c>
      <c r="G5" s="38" t="s">
        <v>12</v>
      </c>
      <c r="H5" s="33" t="s">
        <v>91</v>
      </c>
      <c r="I5" s="37" t="s">
        <v>13</v>
      </c>
      <c r="J5" s="33" t="s">
        <v>91</v>
      </c>
      <c r="K5" s="37" t="s">
        <v>14</v>
      </c>
      <c r="L5" s="33" t="s">
        <v>91</v>
      </c>
      <c r="M5" s="35" t="s">
        <v>92</v>
      </c>
      <c r="N5" s="237"/>
    </row>
    <row r="6" spans="1:14" s="27" customFormat="1" ht="10.5">
      <c r="A6" s="5"/>
      <c r="B6" s="6" t="s">
        <v>15</v>
      </c>
      <c r="C6" s="7" t="s">
        <v>16</v>
      </c>
      <c r="D6" s="6" t="s">
        <v>15</v>
      </c>
      <c r="E6" s="7" t="s">
        <v>16</v>
      </c>
      <c r="F6" s="6" t="s">
        <v>15</v>
      </c>
      <c r="G6" s="7" t="s">
        <v>16</v>
      </c>
      <c r="H6" s="6" t="s">
        <v>15</v>
      </c>
      <c r="I6" s="8" t="s">
        <v>16</v>
      </c>
      <c r="J6" s="6" t="s">
        <v>15</v>
      </c>
      <c r="K6" s="8" t="s">
        <v>16</v>
      </c>
      <c r="L6" s="6" t="s">
        <v>235</v>
      </c>
      <c r="M6" s="8" t="s">
        <v>16</v>
      </c>
      <c r="N6" s="9"/>
    </row>
    <row r="7" spans="1:14" ht="15.75" customHeight="1">
      <c r="A7" s="11" t="s">
        <v>78</v>
      </c>
      <c r="B7" s="111">
        <f>_xlfn.COMPOUNDVALUE(209)</f>
        <v>2531</v>
      </c>
      <c r="C7" s="112">
        <v>20984666</v>
      </c>
      <c r="D7" s="111">
        <f>_xlfn.COMPOUNDVALUE(210)</f>
        <v>929</v>
      </c>
      <c r="E7" s="112">
        <v>670361</v>
      </c>
      <c r="F7" s="111">
        <f>_xlfn.COMPOUNDVALUE(211)</f>
        <v>3460</v>
      </c>
      <c r="G7" s="112">
        <v>21655027</v>
      </c>
      <c r="H7" s="111">
        <f>_xlfn.COMPOUNDVALUE(212)</f>
        <v>182</v>
      </c>
      <c r="I7" s="113">
        <v>547830</v>
      </c>
      <c r="J7" s="111">
        <v>218</v>
      </c>
      <c r="K7" s="113">
        <v>32920</v>
      </c>
      <c r="L7" s="111">
        <v>3674</v>
      </c>
      <c r="M7" s="113">
        <v>21140117</v>
      </c>
      <c r="N7" s="12" t="s">
        <v>96</v>
      </c>
    </row>
    <row r="8" spans="1:14" ht="15.75" customHeight="1">
      <c r="A8" s="13" t="s">
        <v>79</v>
      </c>
      <c r="B8" s="114">
        <f>_xlfn.COMPOUNDVALUE(213)</f>
        <v>1437</v>
      </c>
      <c r="C8" s="115">
        <v>10536290</v>
      </c>
      <c r="D8" s="114">
        <f>_xlfn.COMPOUNDVALUE(214)</f>
        <v>568</v>
      </c>
      <c r="E8" s="115">
        <v>374137</v>
      </c>
      <c r="F8" s="114">
        <f>_xlfn.COMPOUNDVALUE(215)</f>
        <v>2005</v>
      </c>
      <c r="G8" s="115">
        <v>10910427</v>
      </c>
      <c r="H8" s="114">
        <f>_xlfn.COMPOUNDVALUE(216)</f>
        <v>111</v>
      </c>
      <c r="I8" s="116">
        <v>917836</v>
      </c>
      <c r="J8" s="114">
        <v>136</v>
      </c>
      <c r="K8" s="116">
        <v>47063</v>
      </c>
      <c r="L8" s="114">
        <v>2133</v>
      </c>
      <c r="M8" s="116">
        <v>10039653</v>
      </c>
      <c r="N8" s="14" t="s">
        <v>97</v>
      </c>
    </row>
    <row r="9" spans="1:14" ht="15.75" customHeight="1">
      <c r="A9" s="13" t="s">
        <v>80</v>
      </c>
      <c r="B9" s="114">
        <f>_xlfn.COMPOUNDVALUE(217)</f>
        <v>2661</v>
      </c>
      <c r="C9" s="115">
        <v>23375496</v>
      </c>
      <c r="D9" s="114">
        <f>_xlfn.COMPOUNDVALUE(218)</f>
        <v>1015</v>
      </c>
      <c r="E9" s="115">
        <v>728606</v>
      </c>
      <c r="F9" s="114">
        <f>_xlfn.COMPOUNDVALUE(219)</f>
        <v>3676</v>
      </c>
      <c r="G9" s="115">
        <v>24104102</v>
      </c>
      <c r="H9" s="114">
        <f>_xlfn.COMPOUNDVALUE(220)</f>
        <v>180</v>
      </c>
      <c r="I9" s="116">
        <v>1777659</v>
      </c>
      <c r="J9" s="114">
        <v>153</v>
      </c>
      <c r="K9" s="116">
        <v>43652</v>
      </c>
      <c r="L9" s="114">
        <v>3867</v>
      </c>
      <c r="M9" s="116">
        <v>22370095</v>
      </c>
      <c r="N9" s="14" t="s">
        <v>98</v>
      </c>
    </row>
    <row r="10" spans="1:14" ht="15.75" customHeight="1">
      <c r="A10" s="13" t="s">
        <v>81</v>
      </c>
      <c r="B10" s="114">
        <f>_xlfn.COMPOUNDVALUE(221)</f>
        <v>547</v>
      </c>
      <c r="C10" s="115">
        <v>3817220</v>
      </c>
      <c r="D10" s="114">
        <f>_xlfn.COMPOUNDVALUE(222)</f>
        <v>190</v>
      </c>
      <c r="E10" s="115">
        <v>139167</v>
      </c>
      <c r="F10" s="114">
        <f>_xlfn.COMPOUNDVALUE(223)</f>
        <v>737</v>
      </c>
      <c r="G10" s="115">
        <v>3956387</v>
      </c>
      <c r="H10" s="114">
        <f>_xlfn.COMPOUNDVALUE(224)</f>
        <v>49</v>
      </c>
      <c r="I10" s="116">
        <v>108053</v>
      </c>
      <c r="J10" s="114">
        <v>34</v>
      </c>
      <c r="K10" s="116">
        <v>-934</v>
      </c>
      <c r="L10" s="114">
        <v>804</v>
      </c>
      <c r="M10" s="116">
        <v>3847400</v>
      </c>
      <c r="N10" s="14" t="s">
        <v>99</v>
      </c>
    </row>
    <row r="11" spans="1:14" ht="15.75" customHeight="1">
      <c r="A11" s="13" t="s">
        <v>82</v>
      </c>
      <c r="B11" s="114">
        <f>_xlfn.COMPOUNDVALUE(225)</f>
        <v>1057</v>
      </c>
      <c r="C11" s="115">
        <v>5052106</v>
      </c>
      <c r="D11" s="114">
        <f>_xlfn.COMPOUNDVALUE(226)</f>
        <v>380</v>
      </c>
      <c r="E11" s="115">
        <v>257279</v>
      </c>
      <c r="F11" s="114">
        <f>_xlfn.COMPOUNDVALUE(227)</f>
        <v>1437</v>
      </c>
      <c r="G11" s="115">
        <v>5309385</v>
      </c>
      <c r="H11" s="114">
        <f>_xlfn.COMPOUNDVALUE(228)</f>
        <v>96</v>
      </c>
      <c r="I11" s="116">
        <v>1302709</v>
      </c>
      <c r="J11" s="114">
        <v>73</v>
      </c>
      <c r="K11" s="116">
        <v>335</v>
      </c>
      <c r="L11" s="114">
        <v>1542</v>
      </c>
      <c r="M11" s="116">
        <v>4007011</v>
      </c>
      <c r="N11" s="14" t="s">
        <v>100</v>
      </c>
    </row>
    <row r="12" spans="1:14" ht="15.75" customHeight="1">
      <c r="A12" s="13" t="s">
        <v>83</v>
      </c>
      <c r="B12" s="114">
        <f>_xlfn.COMPOUNDVALUE(229)</f>
        <v>1774</v>
      </c>
      <c r="C12" s="115">
        <v>19490747</v>
      </c>
      <c r="D12" s="114">
        <f>_xlfn.COMPOUNDVALUE(230)</f>
        <v>608</v>
      </c>
      <c r="E12" s="115">
        <v>457088</v>
      </c>
      <c r="F12" s="114">
        <f>_xlfn.COMPOUNDVALUE(231)</f>
        <v>2382</v>
      </c>
      <c r="G12" s="115">
        <v>19947835</v>
      </c>
      <c r="H12" s="114">
        <f>_xlfn.COMPOUNDVALUE(232)</f>
        <v>165</v>
      </c>
      <c r="I12" s="116">
        <v>4347993</v>
      </c>
      <c r="J12" s="114">
        <v>136</v>
      </c>
      <c r="K12" s="116">
        <v>-51117</v>
      </c>
      <c r="L12" s="114">
        <v>2570</v>
      </c>
      <c r="M12" s="116">
        <v>15548725</v>
      </c>
      <c r="N12" s="14" t="s">
        <v>101</v>
      </c>
    </row>
    <row r="13" spans="1:14" s="17" customFormat="1" ht="15.75" customHeight="1">
      <c r="A13" s="13" t="s">
        <v>24</v>
      </c>
      <c r="B13" s="114">
        <f>_xlfn.COMPOUNDVALUE(233)</f>
        <v>555</v>
      </c>
      <c r="C13" s="115">
        <v>3506281</v>
      </c>
      <c r="D13" s="114">
        <f>_xlfn.COMPOUNDVALUE(234)</f>
        <v>183</v>
      </c>
      <c r="E13" s="115">
        <v>134857</v>
      </c>
      <c r="F13" s="114">
        <f>_xlfn.COMPOUNDVALUE(235)</f>
        <v>738</v>
      </c>
      <c r="G13" s="115">
        <v>3641138</v>
      </c>
      <c r="H13" s="114">
        <f>_xlfn.COMPOUNDVALUE(236)</f>
        <v>34</v>
      </c>
      <c r="I13" s="116">
        <v>63380</v>
      </c>
      <c r="J13" s="114">
        <v>22</v>
      </c>
      <c r="K13" s="116">
        <v>30351</v>
      </c>
      <c r="L13" s="114">
        <v>780</v>
      </c>
      <c r="M13" s="116">
        <v>3608109</v>
      </c>
      <c r="N13" s="14" t="s">
        <v>24</v>
      </c>
    </row>
    <row r="14" spans="1:14" s="28" customFormat="1" ht="15.75" customHeight="1">
      <c r="A14" s="15" t="s">
        <v>181</v>
      </c>
      <c r="B14" s="117">
        <v>10562</v>
      </c>
      <c r="C14" s="118">
        <v>86762805</v>
      </c>
      <c r="D14" s="117">
        <v>3873</v>
      </c>
      <c r="E14" s="118">
        <v>2761495</v>
      </c>
      <c r="F14" s="117">
        <v>14435</v>
      </c>
      <c r="G14" s="118">
        <v>89524300</v>
      </c>
      <c r="H14" s="117">
        <v>817</v>
      </c>
      <c r="I14" s="119">
        <v>9065459</v>
      </c>
      <c r="J14" s="117">
        <v>772</v>
      </c>
      <c r="K14" s="119">
        <v>102270</v>
      </c>
      <c r="L14" s="117">
        <v>15370</v>
      </c>
      <c r="M14" s="119">
        <v>80561111</v>
      </c>
      <c r="N14" s="16" t="s">
        <v>95</v>
      </c>
    </row>
    <row r="15" spans="1:14" s="17" customFormat="1" ht="15.75" customHeight="1">
      <c r="A15" s="147"/>
      <c r="B15" s="155"/>
      <c r="C15" s="146"/>
      <c r="D15" s="152"/>
      <c r="E15" s="154"/>
      <c r="F15" s="152"/>
      <c r="G15" s="154"/>
      <c r="H15" s="152"/>
      <c r="I15" s="154"/>
      <c r="J15" s="152"/>
      <c r="K15" s="150"/>
      <c r="L15" s="155"/>
      <c r="M15" s="146"/>
      <c r="N15" s="148"/>
    </row>
    <row r="16" spans="1:14" ht="15.75" customHeight="1">
      <c r="A16" s="11" t="s">
        <v>182</v>
      </c>
      <c r="B16" s="111">
        <f>_xlfn.COMPOUNDVALUE(237)</f>
        <v>3820</v>
      </c>
      <c r="C16" s="112">
        <v>35411086</v>
      </c>
      <c r="D16" s="111">
        <f>_xlfn.COMPOUNDVALUE(238)</f>
        <v>1589</v>
      </c>
      <c r="E16" s="112">
        <v>1176319</v>
      </c>
      <c r="F16" s="111">
        <f>_xlfn.COMPOUNDVALUE(239)</f>
        <v>5409</v>
      </c>
      <c r="G16" s="112">
        <v>36587405</v>
      </c>
      <c r="H16" s="111">
        <f>_xlfn.COMPOUNDVALUE(240)</f>
        <v>306</v>
      </c>
      <c r="I16" s="113">
        <v>2396294</v>
      </c>
      <c r="J16" s="111">
        <v>261</v>
      </c>
      <c r="K16" s="113">
        <v>97882</v>
      </c>
      <c r="L16" s="111">
        <v>5762</v>
      </c>
      <c r="M16" s="113">
        <v>34288992</v>
      </c>
      <c r="N16" s="24" t="s">
        <v>102</v>
      </c>
    </row>
    <row r="17" spans="1:14" ht="15.75" customHeight="1">
      <c r="A17" s="13" t="s">
        <v>183</v>
      </c>
      <c r="B17" s="114">
        <f>_xlfn.COMPOUNDVALUE(241)</f>
        <v>621</v>
      </c>
      <c r="C17" s="115">
        <v>4305652</v>
      </c>
      <c r="D17" s="114">
        <f>_xlfn.COMPOUNDVALUE(242)</f>
        <v>211</v>
      </c>
      <c r="E17" s="115">
        <v>155904</v>
      </c>
      <c r="F17" s="114">
        <f>_xlfn.COMPOUNDVALUE(243)</f>
        <v>832</v>
      </c>
      <c r="G17" s="115">
        <v>4461557</v>
      </c>
      <c r="H17" s="114">
        <f>_xlfn.COMPOUNDVALUE(244)</f>
        <v>42</v>
      </c>
      <c r="I17" s="116">
        <v>188941</v>
      </c>
      <c r="J17" s="114">
        <v>43</v>
      </c>
      <c r="K17" s="116">
        <v>8562</v>
      </c>
      <c r="L17" s="114">
        <v>885</v>
      </c>
      <c r="M17" s="116">
        <v>4281178</v>
      </c>
      <c r="N17" s="14" t="s">
        <v>103</v>
      </c>
    </row>
    <row r="18" spans="1:14" ht="15.75" customHeight="1">
      <c r="A18" s="13" t="s">
        <v>184</v>
      </c>
      <c r="B18" s="114">
        <f>_xlfn.COMPOUNDVALUE(245)</f>
        <v>533</v>
      </c>
      <c r="C18" s="115">
        <v>4007484</v>
      </c>
      <c r="D18" s="114">
        <f>_xlfn.COMPOUNDVALUE(246)</f>
        <v>180</v>
      </c>
      <c r="E18" s="115">
        <v>116493</v>
      </c>
      <c r="F18" s="114">
        <f>_xlfn.COMPOUNDVALUE(247)</f>
        <v>713</v>
      </c>
      <c r="G18" s="115">
        <v>4123977</v>
      </c>
      <c r="H18" s="114">
        <f>_xlfn.COMPOUNDVALUE(248)</f>
        <v>51</v>
      </c>
      <c r="I18" s="116">
        <v>256441</v>
      </c>
      <c r="J18" s="114">
        <v>31</v>
      </c>
      <c r="K18" s="116">
        <v>-19049</v>
      </c>
      <c r="L18" s="114">
        <v>766</v>
      </c>
      <c r="M18" s="116">
        <v>3848487</v>
      </c>
      <c r="N18" s="14" t="s">
        <v>104</v>
      </c>
    </row>
    <row r="19" spans="1:14" ht="15.75" customHeight="1">
      <c r="A19" s="13" t="s">
        <v>185</v>
      </c>
      <c r="B19" s="114">
        <f>_xlfn.COMPOUNDVALUE(249)</f>
        <v>968</v>
      </c>
      <c r="C19" s="115">
        <v>8785722</v>
      </c>
      <c r="D19" s="114">
        <f>_xlfn.COMPOUNDVALUE(250)</f>
        <v>398</v>
      </c>
      <c r="E19" s="115">
        <v>271226</v>
      </c>
      <c r="F19" s="114">
        <f>_xlfn.COMPOUNDVALUE(251)</f>
        <v>1366</v>
      </c>
      <c r="G19" s="115">
        <v>9056949</v>
      </c>
      <c r="H19" s="114">
        <f>_xlfn.COMPOUNDVALUE(252)</f>
        <v>144</v>
      </c>
      <c r="I19" s="116">
        <v>410369</v>
      </c>
      <c r="J19" s="114">
        <v>88</v>
      </c>
      <c r="K19" s="116">
        <v>-597</v>
      </c>
      <c r="L19" s="114">
        <v>1520</v>
      </c>
      <c r="M19" s="116">
        <v>8645982</v>
      </c>
      <c r="N19" s="14" t="s">
        <v>105</v>
      </c>
    </row>
    <row r="20" spans="1:14" ht="15.75" customHeight="1">
      <c r="A20" s="13" t="s">
        <v>186</v>
      </c>
      <c r="B20" s="114">
        <f>_xlfn.COMPOUNDVALUE(253)</f>
        <v>1464</v>
      </c>
      <c r="C20" s="115">
        <v>15565642</v>
      </c>
      <c r="D20" s="114">
        <f>_xlfn.COMPOUNDVALUE(254)</f>
        <v>549</v>
      </c>
      <c r="E20" s="115">
        <v>383426</v>
      </c>
      <c r="F20" s="114">
        <f>_xlfn.COMPOUNDVALUE(255)</f>
        <v>2013</v>
      </c>
      <c r="G20" s="115">
        <v>15949068</v>
      </c>
      <c r="H20" s="114">
        <f>_xlfn.COMPOUNDVALUE(256)</f>
        <v>158</v>
      </c>
      <c r="I20" s="116">
        <v>827709</v>
      </c>
      <c r="J20" s="114">
        <v>84</v>
      </c>
      <c r="K20" s="116">
        <v>104760</v>
      </c>
      <c r="L20" s="114">
        <v>2188</v>
      </c>
      <c r="M20" s="116">
        <v>15226119</v>
      </c>
      <c r="N20" s="14" t="s">
        <v>106</v>
      </c>
    </row>
    <row r="21" spans="1:14" ht="15.75" customHeight="1">
      <c r="A21" s="13" t="s">
        <v>187</v>
      </c>
      <c r="B21" s="114">
        <f>_xlfn.COMPOUNDVALUE(257)</f>
        <v>457</v>
      </c>
      <c r="C21" s="115">
        <v>3099956</v>
      </c>
      <c r="D21" s="114">
        <f>_xlfn.COMPOUNDVALUE(258)</f>
        <v>173</v>
      </c>
      <c r="E21" s="115">
        <v>126836</v>
      </c>
      <c r="F21" s="114">
        <f>_xlfn.COMPOUNDVALUE(259)</f>
        <v>630</v>
      </c>
      <c r="G21" s="115">
        <v>3226791</v>
      </c>
      <c r="H21" s="114">
        <f>_xlfn.COMPOUNDVALUE(260)</f>
        <v>57</v>
      </c>
      <c r="I21" s="116">
        <v>277048</v>
      </c>
      <c r="J21" s="114">
        <v>15</v>
      </c>
      <c r="K21" s="116">
        <v>2809</v>
      </c>
      <c r="L21" s="114">
        <v>689</v>
      </c>
      <c r="M21" s="116">
        <v>2952552</v>
      </c>
      <c r="N21" s="14" t="s">
        <v>107</v>
      </c>
    </row>
    <row r="22" spans="1:14" ht="15.75" customHeight="1">
      <c r="A22" s="13" t="s">
        <v>188</v>
      </c>
      <c r="B22" s="114">
        <f>_xlfn.COMPOUNDVALUE(261)</f>
        <v>885</v>
      </c>
      <c r="C22" s="115">
        <v>6986611</v>
      </c>
      <c r="D22" s="114">
        <f>_xlfn.COMPOUNDVALUE(262)</f>
        <v>397</v>
      </c>
      <c r="E22" s="115">
        <v>251516</v>
      </c>
      <c r="F22" s="114">
        <f>_xlfn.COMPOUNDVALUE(263)</f>
        <v>1282</v>
      </c>
      <c r="G22" s="115">
        <v>7238127</v>
      </c>
      <c r="H22" s="114">
        <f>_xlfn.COMPOUNDVALUE(264)</f>
        <v>73</v>
      </c>
      <c r="I22" s="116">
        <v>233706</v>
      </c>
      <c r="J22" s="114">
        <v>77</v>
      </c>
      <c r="K22" s="116">
        <v>19741</v>
      </c>
      <c r="L22" s="114">
        <v>1395</v>
      </c>
      <c r="M22" s="116">
        <v>7024162</v>
      </c>
      <c r="N22" s="14" t="s">
        <v>108</v>
      </c>
    </row>
    <row r="23" spans="1:14" ht="15.75" customHeight="1">
      <c r="A23" s="13" t="s">
        <v>189</v>
      </c>
      <c r="B23" s="114">
        <f>_xlfn.COMPOUNDVALUE(265)</f>
        <v>595</v>
      </c>
      <c r="C23" s="115">
        <v>3788246</v>
      </c>
      <c r="D23" s="114">
        <f>_xlfn.COMPOUNDVALUE(266)</f>
        <v>217</v>
      </c>
      <c r="E23" s="115">
        <v>140958</v>
      </c>
      <c r="F23" s="114">
        <f>_xlfn.COMPOUNDVALUE(267)</f>
        <v>812</v>
      </c>
      <c r="G23" s="115">
        <v>3929203</v>
      </c>
      <c r="H23" s="114">
        <f>_xlfn.COMPOUNDVALUE(268)</f>
        <v>61</v>
      </c>
      <c r="I23" s="116">
        <v>184042</v>
      </c>
      <c r="J23" s="114">
        <v>34</v>
      </c>
      <c r="K23" s="116">
        <v>17010</v>
      </c>
      <c r="L23" s="114">
        <v>887</v>
      </c>
      <c r="M23" s="116">
        <v>3762171</v>
      </c>
      <c r="N23" s="14" t="s">
        <v>109</v>
      </c>
    </row>
    <row r="24" spans="1:14" ht="15.75" customHeight="1">
      <c r="A24" s="13" t="s">
        <v>190</v>
      </c>
      <c r="B24" s="114">
        <f>_xlfn.COMPOUNDVALUE(269)</f>
        <v>455</v>
      </c>
      <c r="C24" s="115">
        <v>3388422</v>
      </c>
      <c r="D24" s="114">
        <f>_xlfn.COMPOUNDVALUE(270)</f>
        <v>139</v>
      </c>
      <c r="E24" s="115">
        <v>101369</v>
      </c>
      <c r="F24" s="114">
        <f>_xlfn.COMPOUNDVALUE(271)</f>
        <v>594</v>
      </c>
      <c r="G24" s="115">
        <v>3489791</v>
      </c>
      <c r="H24" s="114">
        <f>_xlfn.COMPOUNDVALUE(272)</f>
        <v>50</v>
      </c>
      <c r="I24" s="116">
        <v>860709</v>
      </c>
      <c r="J24" s="114">
        <v>20</v>
      </c>
      <c r="K24" s="116">
        <v>20736</v>
      </c>
      <c r="L24" s="114">
        <v>652</v>
      </c>
      <c r="M24" s="116">
        <v>2649818</v>
      </c>
      <c r="N24" s="14" t="s">
        <v>110</v>
      </c>
    </row>
    <row r="25" spans="1:14" ht="15.75" customHeight="1">
      <c r="A25" s="15" t="s">
        <v>191</v>
      </c>
      <c r="B25" s="117">
        <v>9798</v>
      </c>
      <c r="C25" s="118">
        <v>85338820</v>
      </c>
      <c r="D25" s="117">
        <v>3853</v>
      </c>
      <c r="E25" s="118">
        <v>2724048</v>
      </c>
      <c r="F25" s="117">
        <v>13651</v>
      </c>
      <c r="G25" s="118">
        <v>88062867</v>
      </c>
      <c r="H25" s="117">
        <v>942</v>
      </c>
      <c r="I25" s="119">
        <v>5635258</v>
      </c>
      <c r="J25" s="117">
        <v>653</v>
      </c>
      <c r="K25" s="119">
        <v>251852</v>
      </c>
      <c r="L25" s="117">
        <v>14744</v>
      </c>
      <c r="M25" s="119">
        <v>82679461</v>
      </c>
      <c r="N25" s="16" t="s">
        <v>111</v>
      </c>
    </row>
    <row r="26" spans="1:14" ht="15.75" customHeight="1">
      <c r="A26" s="147"/>
      <c r="B26" s="155"/>
      <c r="C26" s="146"/>
      <c r="D26" s="152"/>
      <c r="E26" s="154"/>
      <c r="F26" s="152"/>
      <c r="G26" s="154"/>
      <c r="H26" s="152"/>
      <c r="I26" s="154"/>
      <c r="J26" s="152"/>
      <c r="K26" s="150"/>
      <c r="L26" s="155"/>
      <c r="M26" s="146"/>
      <c r="N26" s="148"/>
    </row>
    <row r="27" spans="1:14" ht="15.75" customHeight="1">
      <c r="A27" s="11" t="s">
        <v>192</v>
      </c>
      <c r="B27" s="111">
        <f>_xlfn.COMPOUNDVALUE(273)</f>
        <v>5203</v>
      </c>
      <c r="C27" s="112">
        <v>66352090</v>
      </c>
      <c r="D27" s="111">
        <f>_xlfn.COMPOUNDVALUE(274)</f>
        <v>2289</v>
      </c>
      <c r="E27" s="112">
        <v>1778351</v>
      </c>
      <c r="F27" s="111">
        <f>_xlfn.COMPOUNDVALUE(275)</f>
        <v>7492</v>
      </c>
      <c r="G27" s="112">
        <v>68130440</v>
      </c>
      <c r="H27" s="111">
        <f>_xlfn.COMPOUNDVALUE(276)</f>
        <v>504</v>
      </c>
      <c r="I27" s="113">
        <v>2708100</v>
      </c>
      <c r="J27" s="111">
        <v>427</v>
      </c>
      <c r="K27" s="113">
        <v>211348</v>
      </c>
      <c r="L27" s="111">
        <v>8075</v>
      </c>
      <c r="M27" s="113">
        <v>65633688</v>
      </c>
      <c r="N27" s="24" t="s">
        <v>112</v>
      </c>
    </row>
    <row r="28" spans="1:14" ht="15.75" customHeight="1">
      <c r="A28" s="13" t="s">
        <v>193</v>
      </c>
      <c r="B28" s="114">
        <f>_xlfn.COMPOUNDVALUE(277)</f>
        <v>5008</v>
      </c>
      <c r="C28" s="115">
        <v>75069953</v>
      </c>
      <c r="D28" s="114">
        <f>_xlfn.COMPOUNDVALUE(278)</f>
        <v>1627</v>
      </c>
      <c r="E28" s="115">
        <v>1303974</v>
      </c>
      <c r="F28" s="114">
        <f>_xlfn.COMPOUNDVALUE(279)</f>
        <v>6635</v>
      </c>
      <c r="G28" s="115">
        <v>76373927</v>
      </c>
      <c r="H28" s="114">
        <f>_xlfn.COMPOUNDVALUE(280)</f>
        <v>441</v>
      </c>
      <c r="I28" s="116">
        <v>3059934</v>
      </c>
      <c r="J28" s="114">
        <v>290</v>
      </c>
      <c r="K28" s="116">
        <v>501566</v>
      </c>
      <c r="L28" s="114">
        <v>7140</v>
      </c>
      <c r="M28" s="116">
        <v>73815559</v>
      </c>
      <c r="N28" s="14" t="s">
        <v>113</v>
      </c>
    </row>
    <row r="29" spans="1:14" ht="15.75" customHeight="1">
      <c r="A29" s="13" t="s">
        <v>194</v>
      </c>
      <c r="B29" s="114">
        <f>_xlfn.COMPOUNDVALUE(281)</f>
        <v>2632</v>
      </c>
      <c r="C29" s="115">
        <v>22918541</v>
      </c>
      <c r="D29" s="114">
        <f>_xlfn.COMPOUNDVALUE(282)</f>
        <v>1144</v>
      </c>
      <c r="E29" s="115">
        <v>971480</v>
      </c>
      <c r="F29" s="114">
        <f>_xlfn.COMPOUNDVALUE(283)</f>
        <v>3776</v>
      </c>
      <c r="G29" s="115">
        <v>23890021</v>
      </c>
      <c r="H29" s="114">
        <f>_xlfn.COMPOUNDVALUE(284)</f>
        <v>224</v>
      </c>
      <c r="I29" s="116">
        <v>1152155</v>
      </c>
      <c r="J29" s="114">
        <v>224</v>
      </c>
      <c r="K29" s="116">
        <v>149047</v>
      </c>
      <c r="L29" s="114">
        <v>4052</v>
      </c>
      <c r="M29" s="116">
        <v>22886912</v>
      </c>
      <c r="N29" s="14" t="s">
        <v>114</v>
      </c>
    </row>
    <row r="30" spans="1:14" ht="15.75" customHeight="1">
      <c r="A30" s="13" t="s">
        <v>195</v>
      </c>
      <c r="B30" s="114">
        <f>_xlfn.COMPOUNDVALUE(285)</f>
        <v>2063</v>
      </c>
      <c r="C30" s="115">
        <v>13258933</v>
      </c>
      <c r="D30" s="114">
        <f>_xlfn.COMPOUNDVALUE(286)</f>
        <v>723</v>
      </c>
      <c r="E30" s="115">
        <v>529492</v>
      </c>
      <c r="F30" s="114">
        <f>_xlfn.COMPOUNDVALUE(287)</f>
        <v>2786</v>
      </c>
      <c r="G30" s="115">
        <v>13788425</v>
      </c>
      <c r="H30" s="114">
        <f>_xlfn.COMPOUNDVALUE(288)</f>
        <v>240</v>
      </c>
      <c r="I30" s="116">
        <v>1996235</v>
      </c>
      <c r="J30" s="114">
        <v>73</v>
      </c>
      <c r="K30" s="116">
        <v>29647</v>
      </c>
      <c r="L30" s="114">
        <v>3039</v>
      </c>
      <c r="M30" s="116">
        <v>11821837</v>
      </c>
      <c r="N30" s="14" t="s">
        <v>115</v>
      </c>
    </row>
    <row r="31" spans="1:14" ht="15.75" customHeight="1">
      <c r="A31" s="13" t="s">
        <v>196</v>
      </c>
      <c r="B31" s="114">
        <f>_xlfn.COMPOUNDVALUE(289)</f>
        <v>1421</v>
      </c>
      <c r="C31" s="115">
        <v>7838925</v>
      </c>
      <c r="D31" s="114">
        <f>_xlfn.COMPOUNDVALUE(290)</f>
        <v>609</v>
      </c>
      <c r="E31" s="115">
        <v>420962</v>
      </c>
      <c r="F31" s="114">
        <f>_xlfn.COMPOUNDVALUE(291)</f>
        <v>2030</v>
      </c>
      <c r="G31" s="115">
        <v>8259887</v>
      </c>
      <c r="H31" s="114">
        <f>_xlfn.COMPOUNDVALUE(292)</f>
        <v>136</v>
      </c>
      <c r="I31" s="116">
        <v>702851</v>
      </c>
      <c r="J31" s="114">
        <v>122</v>
      </c>
      <c r="K31" s="116">
        <v>5700</v>
      </c>
      <c r="L31" s="114">
        <v>2182</v>
      </c>
      <c r="M31" s="116">
        <v>7562736</v>
      </c>
      <c r="N31" s="14" t="s">
        <v>116</v>
      </c>
    </row>
    <row r="32" spans="1:14" ht="15.75" customHeight="1">
      <c r="A32" s="13" t="s">
        <v>197</v>
      </c>
      <c r="B32" s="114">
        <f>_xlfn.COMPOUNDVALUE(293)</f>
        <v>1542</v>
      </c>
      <c r="C32" s="115">
        <v>9816897</v>
      </c>
      <c r="D32" s="114">
        <f>_xlfn.COMPOUNDVALUE(294)</f>
        <v>688</v>
      </c>
      <c r="E32" s="115">
        <v>491241</v>
      </c>
      <c r="F32" s="114">
        <f>_xlfn.COMPOUNDVALUE(295)</f>
        <v>2230</v>
      </c>
      <c r="G32" s="115">
        <v>10308138</v>
      </c>
      <c r="H32" s="114">
        <f>_xlfn.COMPOUNDVALUE(296)</f>
        <v>175</v>
      </c>
      <c r="I32" s="116">
        <v>596730</v>
      </c>
      <c r="J32" s="114">
        <v>117</v>
      </c>
      <c r="K32" s="116">
        <v>42904</v>
      </c>
      <c r="L32" s="114">
        <v>2424</v>
      </c>
      <c r="M32" s="116">
        <v>9754312</v>
      </c>
      <c r="N32" s="14" t="s">
        <v>117</v>
      </c>
    </row>
    <row r="33" spans="1:14" ht="15.75" customHeight="1">
      <c r="A33" s="13" t="s">
        <v>198</v>
      </c>
      <c r="B33" s="114">
        <f>_xlfn.COMPOUNDVALUE(297)</f>
        <v>798</v>
      </c>
      <c r="C33" s="115">
        <v>4856901</v>
      </c>
      <c r="D33" s="114">
        <f>_xlfn.COMPOUNDVALUE(298)</f>
        <v>285</v>
      </c>
      <c r="E33" s="115">
        <v>176323</v>
      </c>
      <c r="F33" s="114">
        <f>_xlfn.COMPOUNDVALUE(299)</f>
        <v>1083</v>
      </c>
      <c r="G33" s="115">
        <v>5033224</v>
      </c>
      <c r="H33" s="114">
        <f>_xlfn.COMPOUNDVALUE(300)</f>
        <v>92</v>
      </c>
      <c r="I33" s="116">
        <v>409008</v>
      </c>
      <c r="J33" s="114">
        <v>38</v>
      </c>
      <c r="K33" s="116">
        <v>9770</v>
      </c>
      <c r="L33" s="114">
        <v>1180</v>
      </c>
      <c r="M33" s="116">
        <v>4633986</v>
      </c>
      <c r="N33" s="14" t="s">
        <v>118</v>
      </c>
    </row>
    <row r="34" spans="1:14" ht="15.75" customHeight="1">
      <c r="A34" s="13" t="s">
        <v>199</v>
      </c>
      <c r="B34" s="114">
        <f>_xlfn.COMPOUNDVALUE(301)</f>
        <v>1189</v>
      </c>
      <c r="C34" s="115">
        <v>6172537</v>
      </c>
      <c r="D34" s="114">
        <f>_xlfn.COMPOUNDVALUE(302)</f>
        <v>547</v>
      </c>
      <c r="E34" s="115">
        <v>404754</v>
      </c>
      <c r="F34" s="114">
        <f>_xlfn.COMPOUNDVALUE(303)</f>
        <v>1736</v>
      </c>
      <c r="G34" s="115">
        <v>6577291</v>
      </c>
      <c r="H34" s="114">
        <f>_xlfn.COMPOUNDVALUE(304)</f>
        <v>134</v>
      </c>
      <c r="I34" s="116">
        <v>1580905</v>
      </c>
      <c r="J34" s="114">
        <v>70</v>
      </c>
      <c r="K34" s="116">
        <v>9726</v>
      </c>
      <c r="L34" s="114">
        <v>1880</v>
      </c>
      <c r="M34" s="116">
        <v>5006112</v>
      </c>
      <c r="N34" s="14" t="s">
        <v>119</v>
      </c>
    </row>
    <row r="35" spans="1:14" ht="15.75" customHeight="1">
      <c r="A35" s="13" t="s">
        <v>200</v>
      </c>
      <c r="B35" s="114">
        <f>_xlfn.COMPOUNDVALUE(305)</f>
        <v>567</v>
      </c>
      <c r="C35" s="115">
        <v>3877666</v>
      </c>
      <c r="D35" s="114">
        <f>_xlfn.COMPOUNDVALUE(306)</f>
        <v>221</v>
      </c>
      <c r="E35" s="115">
        <v>163327</v>
      </c>
      <c r="F35" s="114">
        <f>_xlfn.COMPOUNDVALUE(307)</f>
        <v>788</v>
      </c>
      <c r="G35" s="115">
        <v>4040993</v>
      </c>
      <c r="H35" s="114">
        <f>_xlfn.COMPOUNDVALUE(308)</f>
        <v>80</v>
      </c>
      <c r="I35" s="116">
        <v>973983</v>
      </c>
      <c r="J35" s="114">
        <v>35</v>
      </c>
      <c r="K35" s="116">
        <v>-1723</v>
      </c>
      <c r="L35" s="114">
        <v>869</v>
      </c>
      <c r="M35" s="116">
        <v>3065287</v>
      </c>
      <c r="N35" s="14" t="s">
        <v>120</v>
      </c>
    </row>
    <row r="36" spans="1:14" ht="15.75" customHeight="1">
      <c r="A36" s="13" t="s">
        <v>201</v>
      </c>
      <c r="B36" s="114">
        <f>_xlfn.COMPOUNDVALUE(309)</f>
        <v>689</v>
      </c>
      <c r="C36" s="115">
        <v>5014659</v>
      </c>
      <c r="D36" s="114">
        <f>_xlfn.COMPOUNDVALUE(310)</f>
        <v>324</v>
      </c>
      <c r="E36" s="115">
        <v>238154</v>
      </c>
      <c r="F36" s="114">
        <f>_xlfn.COMPOUNDVALUE(311)</f>
        <v>1013</v>
      </c>
      <c r="G36" s="115">
        <v>5252812</v>
      </c>
      <c r="H36" s="114">
        <f>_xlfn.COMPOUNDVALUE(312)</f>
        <v>85</v>
      </c>
      <c r="I36" s="116">
        <v>182308</v>
      </c>
      <c r="J36" s="114">
        <v>29</v>
      </c>
      <c r="K36" s="116">
        <v>-27113</v>
      </c>
      <c r="L36" s="114">
        <v>1103</v>
      </c>
      <c r="M36" s="116">
        <v>5043392</v>
      </c>
      <c r="N36" s="14" t="s">
        <v>121</v>
      </c>
    </row>
    <row r="37" spans="1:14" ht="15.75" customHeight="1">
      <c r="A37" s="15" t="s">
        <v>202</v>
      </c>
      <c r="B37" s="117">
        <v>21112</v>
      </c>
      <c r="C37" s="118">
        <v>215177101</v>
      </c>
      <c r="D37" s="117">
        <v>8457</v>
      </c>
      <c r="E37" s="118">
        <v>6478058</v>
      </c>
      <c r="F37" s="117">
        <v>29569</v>
      </c>
      <c r="G37" s="118">
        <v>221655159</v>
      </c>
      <c r="H37" s="117">
        <v>2111</v>
      </c>
      <c r="I37" s="119">
        <v>13362208</v>
      </c>
      <c r="J37" s="117">
        <v>1425</v>
      </c>
      <c r="K37" s="119">
        <v>930871</v>
      </c>
      <c r="L37" s="117">
        <v>31944</v>
      </c>
      <c r="M37" s="119">
        <v>209223822</v>
      </c>
      <c r="N37" s="16" t="s">
        <v>122</v>
      </c>
    </row>
    <row r="38" spans="1:14" ht="15.75" customHeight="1">
      <c r="A38" s="147"/>
      <c r="B38" s="155"/>
      <c r="C38" s="146"/>
      <c r="D38" s="152"/>
      <c r="E38" s="154"/>
      <c r="F38" s="152"/>
      <c r="G38" s="154"/>
      <c r="H38" s="152"/>
      <c r="I38" s="154"/>
      <c r="J38" s="152"/>
      <c r="K38" s="150"/>
      <c r="L38" s="155"/>
      <c r="M38" s="146"/>
      <c r="N38" s="148"/>
    </row>
    <row r="39" spans="1:14" ht="15.75" customHeight="1">
      <c r="A39" s="11" t="s">
        <v>203</v>
      </c>
      <c r="B39" s="111">
        <f>_xlfn.COMPOUNDVALUE(313)</f>
        <v>2213</v>
      </c>
      <c r="C39" s="112">
        <v>20380483</v>
      </c>
      <c r="D39" s="111">
        <f>_xlfn.COMPOUNDVALUE(314)</f>
        <v>873</v>
      </c>
      <c r="E39" s="112">
        <v>678023</v>
      </c>
      <c r="F39" s="111">
        <f>_xlfn.COMPOUNDVALUE(315)</f>
        <v>3086</v>
      </c>
      <c r="G39" s="112">
        <v>21058507</v>
      </c>
      <c r="H39" s="111">
        <f>_xlfn.COMPOUNDVALUE(316)</f>
        <v>134</v>
      </c>
      <c r="I39" s="113">
        <v>759058</v>
      </c>
      <c r="J39" s="111">
        <v>269</v>
      </c>
      <c r="K39" s="113">
        <v>15979</v>
      </c>
      <c r="L39" s="111">
        <v>3248</v>
      </c>
      <c r="M39" s="113">
        <v>20315427</v>
      </c>
      <c r="N39" s="12" t="s">
        <v>123</v>
      </c>
    </row>
    <row r="40" spans="1:14" ht="15.75" customHeight="1">
      <c r="A40" s="13" t="s">
        <v>204</v>
      </c>
      <c r="B40" s="114">
        <f>_xlfn.COMPOUNDVALUE(317)</f>
        <v>1071</v>
      </c>
      <c r="C40" s="115">
        <v>9079438</v>
      </c>
      <c r="D40" s="114">
        <f>_xlfn.COMPOUNDVALUE(318)</f>
        <v>464</v>
      </c>
      <c r="E40" s="115">
        <v>311556</v>
      </c>
      <c r="F40" s="114">
        <f>_xlfn.COMPOUNDVALUE(319)</f>
        <v>1535</v>
      </c>
      <c r="G40" s="115">
        <v>9390994</v>
      </c>
      <c r="H40" s="114">
        <f>_xlfn.COMPOUNDVALUE(320)</f>
        <v>92</v>
      </c>
      <c r="I40" s="116">
        <v>472824</v>
      </c>
      <c r="J40" s="114">
        <v>115</v>
      </c>
      <c r="K40" s="116">
        <v>13213</v>
      </c>
      <c r="L40" s="114">
        <v>1652</v>
      </c>
      <c r="M40" s="116">
        <v>8931383</v>
      </c>
      <c r="N40" s="14" t="s">
        <v>124</v>
      </c>
    </row>
    <row r="41" spans="1:14" ht="15.75" customHeight="1">
      <c r="A41" s="13" t="s">
        <v>205</v>
      </c>
      <c r="B41" s="114">
        <f>_xlfn.COMPOUNDVALUE(321)</f>
        <v>636</v>
      </c>
      <c r="C41" s="115">
        <v>3911785</v>
      </c>
      <c r="D41" s="114">
        <f>_xlfn.COMPOUNDVALUE(322)</f>
        <v>269</v>
      </c>
      <c r="E41" s="115">
        <v>170019</v>
      </c>
      <c r="F41" s="114">
        <f>_xlfn.COMPOUNDVALUE(323)</f>
        <v>905</v>
      </c>
      <c r="G41" s="115">
        <v>4081804</v>
      </c>
      <c r="H41" s="114">
        <f>_xlfn.COMPOUNDVALUE(324)</f>
        <v>50</v>
      </c>
      <c r="I41" s="116">
        <v>283122</v>
      </c>
      <c r="J41" s="114">
        <v>45</v>
      </c>
      <c r="K41" s="116">
        <v>620</v>
      </c>
      <c r="L41" s="114">
        <v>963</v>
      </c>
      <c r="M41" s="116">
        <v>3799302</v>
      </c>
      <c r="N41" s="14" t="s">
        <v>125</v>
      </c>
    </row>
    <row r="42" spans="1:14" ht="15.75" customHeight="1">
      <c r="A42" s="13" t="s">
        <v>206</v>
      </c>
      <c r="B42" s="114">
        <f>_xlfn.COMPOUNDVALUE(325)</f>
        <v>669</v>
      </c>
      <c r="C42" s="115">
        <v>3900249</v>
      </c>
      <c r="D42" s="114">
        <f>_xlfn.COMPOUNDVALUE(326)</f>
        <v>277</v>
      </c>
      <c r="E42" s="115">
        <v>194798</v>
      </c>
      <c r="F42" s="114">
        <f>_xlfn.COMPOUNDVALUE(327)</f>
        <v>946</v>
      </c>
      <c r="G42" s="115">
        <v>4095046</v>
      </c>
      <c r="H42" s="114">
        <f>_xlfn.COMPOUNDVALUE(328)</f>
        <v>107</v>
      </c>
      <c r="I42" s="116">
        <v>456770</v>
      </c>
      <c r="J42" s="114">
        <v>48</v>
      </c>
      <c r="K42" s="116">
        <v>265</v>
      </c>
      <c r="L42" s="114">
        <v>1058</v>
      </c>
      <c r="M42" s="116">
        <v>3638542</v>
      </c>
      <c r="N42" s="14" t="s">
        <v>126</v>
      </c>
    </row>
    <row r="43" spans="1:14" ht="15.75" customHeight="1">
      <c r="A43" s="13" t="s">
        <v>207</v>
      </c>
      <c r="B43" s="114">
        <f>_xlfn.COMPOUNDVALUE(329)</f>
        <v>1110</v>
      </c>
      <c r="C43" s="115">
        <v>8546123</v>
      </c>
      <c r="D43" s="114">
        <f>_xlfn.COMPOUNDVALUE(330)</f>
        <v>431</v>
      </c>
      <c r="E43" s="115">
        <v>285841</v>
      </c>
      <c r="F43" s="114">
        <f>_xlfn.COMPOUNDVALUE(331)</f>
        <v>1541</v>
      </c>
      <c r="G43" s="115">
        <v>8831964</v>
      </c>
      <c r="H43" s="114">
        <f>_xlfn.COMPOUNDVALUE(332)</f>
        <v>146</v>
      </c>
      <c r="I43" s="116">
        <v>1036165</v>
      </c>
      <c r="J43" s="114">
        <v>78</v>
      </c>
      <c r="K43" s="116">
        <v>35345</v>
      </c>
      <c r="L43" s="114">
        <v>1710</v>
      </c>
      <c r="M43" s="116">
        <v>7831143</v>
      </c>
      <c r="N43" s="14" t="s">
        <v>127</v>
      </c>
    </row>
    <row r="44" spans="1:14" ht="15.75" customHeight="1">
      <c r="A44" s="13" t="s">
        <v>208</v>
      </c>
      <c r="B44" s="114">
        <f>_xlfn.COMPOUNDVALUE(333)</f>
        <v>699</v>
      </c>
      <c r="C44" s="115">
        <v>7947081</v>
      </c>
      <c r="D44" s="114">
        <f>_xlfn.COMPOUNDVALUE(334)</f>
        <v>318</v>
      </c>
      <c r="E44" s="115">
        <v>213529</v>
      </c>
      <c r="F44" s="114">
        <f>_xlfn.COMPOUNDVALUE(335)</f>
        <v>1017</v>
      </c>
      <c r="G44" s="115">
        <v>8160610</v>
      </c>
      <c r="H44" s="114">
        <f>_xlfn.COMPOUNDVALUE(336)</f>
        <v>90</v>
      </c>
      <c r="I44" s="116">
        <v>299129</v>
      </c>
      <c r="J44" s="114">
        <v>51</v>
      </c>
      <c r="K44" s="116">
        <v>-120003</v>
      </c>
      <c r="L44" s="114">
        <v>1122</v>
      </c>
      <c r="M44" s="116">
        <v>7741478</v>
      </c>
      <c r="N44" s="14" t="s">
        <v>128</v>
      </c>
    </row>
    <row r="45" spans="1:14" ht="15.75" customHeight="1">
      <c r="A45" s="13" t="s">
        <v>209</v>
      </c>
      <c r="B45" s="114">
        <f>_xlfn.COMPOUNDVALUE(337)</f>
        <v>463</v>
      </c>
      <c r="C45" s="115">
        <v>3774564</v>
      </c>
      <c r="D45" s="114">
        <f>_xlfn.COMPOUNDVALUE(338)</f>
        <v>176</v>
      </c>
      <c r="E45" s="115">
        <v>117525</v>
      </c>
      <c r="F45" s="114">
        <f>_xlfn.COMPOUNDVALUE(339)</f>
        <v>639</v>
      </c>
      <c r="G45" s="115">
        <v>3892089</v>
      </c>
      <c r="H45" s="114">
        <f>_xlfn.COMPOUNDVALUE(340)</f>
        <v>70</v>
      </c>
      <c r="I45" s="116">
        <v>185392</v>
      </c>
      <c r="J45" s="114">
        <v>23</v>
      </c>
      <c r="K45" s="116">
        <v>8856</v>
      </c>
      <c r="L45" s="114">
        <v>714</v>
      </c>
      <c r="M45" s="116">
        <v>3715552</v>
      </c>
      <c r="N45" s="14" t="s">
        <v>129</v>
      </c>
    </row>
    <row r="46" spans="1:14" ht="15.75" customHeight="1">
      <c r="A46" s="13" t="s">
        <v>210</v>
      </c>
      <c r="B46" s="114">
        <f>_xlfn.COMPOUNDVALUE(341)</f>
        <v>1007</v>
      </c>
      <c r="C46" s="115">
        <v>6661198</v>
      </c>
      <c r="D46" s="114">
        <f>_xlfn.COMPOUNDVALUE(342)</f>
        <v>443</v>
      </c>
      <c r="E46" s="115">
        <v>315130</v>
      </c>
      <c r="F46" s="114">
        <f>_xlfn.COMPOUNDVALUE(343)</f>
        <v>1450</v>
      </c>
      <c r="G46" s="115">
        <v>6976327</v>
      </c>
      <c r="H46" s="114">
        <f>_xlfn.COMPOUNDVALUE(344)</f>
        <v>136</v>
      </c>
      <c r="I46" s="116">
        <v>304180</v>
      </c>
      <c r="J46" s="114">
        <v>39</v>
      </c>
      <c r="K46" s="116">
        <v>1850</v>
      </c>
      <c r="L46" s="114">
        <v>1591</v>
      </c>
      <c r="M46" s="116">
        <v>6673997</v>
      </c>
      <c r="N46" s="14" t="s">
        <v>130</v>
      </c>
    </row>
    <row r="47" spans="1:14" ht="15.75" customHeight="1">
      <c r="A47" s="15" t="s">
        <v>211</v>
      </c>
      <c r="B47" s="117">
        <v>7868</v>
      </c>
      <c r="C47" s="118">
        <v>64200920</v>
      </c>
      <c r="D47" s="117">
        <v>3251</v>
      </c>
      <c r="E47" s="118">
        <v>2286420</v>
      </c>
      <c r="F47" s="117">
        <v>11119</v>
      </c>
      <c r="G47" s="118">
        <v>66487340</v>
      </c>
      <c r="H47" s="117">
        <v>825</v>
      </c>
      <c r="I47" s="119">
        <v>3796641</v>
      </c>
      <c r="J47" s="117">
        <v>668</v>
      </c>
      <c r="K47" s="119">
        <v>-43875</v>
      </c>
      <c r="L47" s="117">
        <v>12058</v>
      </c>
      <c r="M47" s="119">
        <v>62646824</v>
      </c>
      <c r="N47" s="16" t="s">
        <v>131</v>
      </c>
    </row>
    <row r="48" spans="1:14" ht="15.75" customHeight="1">
      <c r="A48" s="147"/>
      <c r="B48" s="155"/>
      <c r="C48" s="146"/>
      <c r="D48" s="152"/>
      <c r="E48" s="154"/>
      <c r="F48" s="152"/>
      <c r="G48" s="154"/>
      <c r="H48" s="152"/>
      <c r="I48" s="154"/>
      <c r="J48" s="152"/>
      <c r="K48" s="150"/>
      <c r="L48" s="155"/>
      <c r="M48" s="146"/>
      <c r="N48" s="148"/>
    </row>
    <row r="49" spans="1:14" ht="15.75" customHeight="1">
      <c r="A49" s="11" t="s">
        <v>212</v>
      </c>
      <c r="B49" s="111">
        <f>_xlfn.COMPOUNDVALUE(345)</f>
        <v>3423</v>
      </c>
      <c r="C49" s="112">
        <v>32430239</v>
      </c>
      <c r="D49" s="111">
        <f>_xlfn.COMPOUNDVALUE(346)</f>
        <v>1542</v>
      </c>
      <c r="E49" s="112">
        <v>1047110</v>
      </c>
      <c r="F49" s="111">
        <f>_xlfn.COMPOUNDVALUE(347)</f>
        <v>4965</v>
      </c>
      <c r="G49" s="112">
        <v>33477349</v>
      </c>
      <c r="H49" s="111">
        <f>_xlfn.COMPOUNDVALUE(348)</f>
        <v>273</v>
      </c>
      <c r="I49" s="113">
        <v>749898</v>
      </c>
      <c r="J49" s="111">
        <v>238</v>
      </c>
      <c r="K49" s="113">
        <v>33158</v>
      </c>
      <c r="L49" s="111">
        <v>5266</v>
      </c>
      <c r="M49" s="113">
        <v>32760609</v>
      </c>
      <c r="N49" s="24" t="s">
        <v>132</v>
      </c>
    </row>
    <row r="50" spans="1:14" ht="15.75" customHeight="1">
      <c r="A50" s="13" t="s">
        <v>213</v>
      </c>
      <c r="B50" s="114">
        <f>_xlfn.COMPOUNDVALUE(349)</f>
        <v>1459</v>
      </c>
      <c r="C50" s="115">
        <v>10101146</v>
      </c>
      <c r="D50" s="114">
        <f>_xlfn.COMPOUNDVALUE(350)</f>
        <v>633</v>
      </c>
      <c r="E50" s="115">
        <v>389215</v>
      </c>
      <c r="F50" s="114">
        <f>_xlfn.COMPOUNDVALUE(351)</f>
        <v>2092</v>
      </c>
      <c r="G50" s="115">
        <v>10490361</v>
      </c>
      <c r="H50" s="114">
        <f>_xlfn.COMPOUNDVALUE(352)</f>
        <v>115</v>
      </c>
      <c r="I50" s="116">
        <v>1574791</v>
      </c>
      <c r="J50" s="114">
        <v>114</v>
      </c>
      <c r="K50" s="116">
        <v>7914</v>
      </c>
      <c r="L50" s="114">
        <v>2221</v>
      </c>
      <c r="M50" s="116">
        <v>8923485</v>
      </c>
      <c r="N50" s="14" t="s">
        <v>133</v>
      </c>
    </row>
    <row r="51" spans="1:14" ht="15.75" customHeight="1">
      <c r="A51" s="13" t="s">
        <v>214</v>
      </c>
      <c r="B51" s="114">
        <f>_xlfn.COMPOUNDVALUE(353)</f>
        <v>1260</v>
      </c>
      <c r="C51" s="115">
        <v>8719304</v>
      </c>
      <c r="D51" s="114">
        <f>_xlfn.COMPOUNDVALUE(354)</f>
        <v>534</v>
      </c>
      <c r="E51" s="115">
        <v>346110</v>
      </c>
      <c r="F51" s="114">
        <f>_xlfn.COMPOUNDVALUE(355)</f>
        <v>1794</v>
      </c>
      <c r="G51" s="115">
        <v>9065414</v>
      </c>
      <c r="H51" s="114">
        <f>_xlfn.COMPOUNDVALUE(356)</f>
        <v>130</v>
      </c>
      <c r="I51" s="116">
        <v>590890</v>
      </c>
      <c r="J51" s="114">
        <v>40</v>
      </c>
      <c r="K51" s="116">
        <v>61822</v>
      </c>
      <c r="L51" s="114">
        <v>1927</v>
      </c>
      <c r="M51" s="116">
        <v>8536346</v>
      </c>
      <c r="N51" s="14" t="s">
        <v>134</v>
      </c>
    </row>
    <row r="52" spans="1:14" ht="15.75" customHeight="1">
      <c r="A52" s="13" t="s">
        <v>215</v>
      </c>
      <c r="B52" s="114">
        <f>_xlfn.COMPOUNDVALUE(357)</f>
        <v>1023</v>
      </c>
      <c r="C52" s="115">
        <v>8373956</v>
      </c>
      <c r="D52" s="114">
        <f>_xlfn.COMPOUNDVALUE(358)</f>
        <v>499</v>
      </c>
      <c r="E52" s="115">
        <v>305308</v>
      </c>
      <c r="F52" s="114">
        <f>_xlfn.COMPOUNDVALUE(359)</f>
        <v>1522</v>
      </c>
      <c r="G52" s="115">
        <v>8679264</v>
      </c>
      <c r="H52" s="114">
        <f>_xlfn.COMPOUNDVALUE(360)</f>
        <v>103</v>
      </c>
      <c r="I52" s="116">
        <v>571637</v>
      </c>
      <c r="J52" s="114">
        <v>55</v>
      </c>
      <c r="K52" s="116">
        <v>9061</v>
      </c>
      <c r="L52" s="114">
        <v>1626</v>
      </c>
      <c r="M52" s="116">
        <v>8116688</v>
      </c>
      <c r="N52" s="14" t="s">
        <v>135</v>
      </c>
    </row>
    <row r="53" spans="1:14" ht="15.75" customHeight="1">
      <c r="A53" s="13" t="s">
        <v>216</v>
      </c>
      <c r="B53" s="114">
        <f>_xlfn.COMPOUNDVALUE(361)</f>
        <v>618</v>
      </c>
      <c r="C53" s="115">
        <v>4228587</v>
      </c>
      <c r="D53" s="114">
        <f>_xlfn.COMPOUNDVALUE(362)</f>
        <v>265</v>
      </c>
      <c r="E53" s="115">
        <v>190082</v>
      </c>
      <c r="F53" s="114">
        <f>_xlfn.COMPOUNDVALUE(363)</f>
        <v>883</v>
      </c>
      <c r="G53" s="115">
        <v>4418669</v>
      </c>
      <c r="H53" s="114">
        <f>_xlfn.COMPOUNDVALUE(364)</f>
        <v>43</v>
      </c>
      <c r="I53" s="116">
        <v>157740</v>
      </c>
      <c r="J53" s="114">
        <v>36</v>
      </c>
      <c r="K53" s="116">
        <v>2638</v>
      </c>
      <c r="L53" s="114">
        <v>933</v>
      </c>
      <c r="M53" s="116">
        <v>4263567</v>
      </c>
      <c r="N53" s="14" t="s">
        <v>136</v>
      </c>
    </row>
    <row r="54" spans="1:14" ht="15.75" customHeight="1">
      <c r="A54" s="13" t="s">
        <v>217</v>
      </c>
      <c r="B54" s="114">
        <f>_xlfn.COMPOUNDVALUE(365)</f>
        <v>665</v>
      </c>
      <c r="C54" s="115">
        <v>4960010</v>
      </c>
      <c r="D54" s="114">
        <f>_xlfn.COMPOUNDVALUE(366)</f>
        <v>273</v>
      </c>
      <c r="E54" s="115">
        <v>173159</v>
      </c>
      <c r="F54" s="114">
        <f>_xlfn.COMPOUNDVALUE(367)</f>
        <v>938</v>
      </c>
      <c r="G54" s="115">
        <v>5133169</v>
      </c>
      <c r="H54" s="114">
        <f>_xlfn.COMPOUNDVALUE(368)</f>
        <v>51</v>
      </c>
      <c r="I54" s="116">
        <v>95049</v>
      </c>
      <c r="J54" s="114">
        <v>24</v>
      </c>
      <c r="K54" s="116">
        <v>-3894</v>
      </c>
      <c r="L54" s="114">
        <v>989</v>
      </c>
      <c r="M54" s="116">
        <v>5034226</v>
      </c>
      <c r="N54" s="14" t="s">
        <v>137</v>
      </c>
    </row>
    <row r="55" spans="1:14" ht="15.75" customHeight="1">
      <c r="A55" s="13" t="s">
        <v>218</v>
      </c>
      <c r="B55" s="114">
        <f>_xlfn.COMPOUNDVALUE(369)</f>
        <v>726</v>
      </c>
      <c r="C55" s="115">
        <v>5837692</v>
      </c>
      <c r="D55" s="114">
        <f>_xlfn.COMPOUNDVALUE(370)</f>
        <v>233</v>
      </c>
      <c r="E55" s="115">
        <v>171350</v>
      </c>
      <c r="F55" s="114">
        <f>_xlfn.COMPOUNDVALUE(371)</f>
        <v>959</v>
      </c>
      <c r="G55" s="115">
        <v>6009042</v>
      </c>
      <c r="H55" s="114">
        <f>_xlfn.COMPOUNDVALUE(372)</f>
        <v>71</v>
      </c>
      <c r="I55" s="116">
        <v>3362590</v>
      </c>
      <c r="J55" s="114">
        <v>46</v>
      </c>
      <c r="K55" s="116">
        <v>16967</v>
      </c>
      <c r="L55" s="114">
        <v>1036</v>
      </c>
      <c r="M55" s="116">
        <v>2663420</v>
      </c>
      <c r="N55" s="14" t="s">
        <v>138</v>
      </c>
    </row>
    <row r="56" spans="1:14" ht="15.75" customHeight="1">
      <c r="A56" s="13" t="s">
        <v>219</v>
      </c>
      <c r="B56" s="114">
        <f>_xlfn.COMPOUNDVALUE(373)</f>
        <v>524</v>
      </c>
      <c r="C56" s="115">
        <v>4177183</v>
      </c>
      <c r="D56" s="114">
        <f>_xlfn.COMPOUNDVALUE(374)</f>
        <v>224</v>
      </c>
      <c r="E56" s="115">
        <v>154434</v>
      </c>
      <c r="F56" s="114">
        <f>_xlfn.COMPOUNDVALUE(375)</f>
        <v>748</v>
      </c>
      <c r="G56" s="115">
        <v>4331616</v>
      </c>
      <c r="H56" s="114">
        <f>_xlfn.COMPOUNDVALUE(376)</f>
        <v>55</v>
      </c>
      <c r="I56" s="116">
        <v>128334</v>
      </c>
      <c r="J56" s="114">
        <v>28</v>
      </c>
      <c r="K56" s="116">
        <v>5207</v>
      </c>
      <c r="L56" s="114">
        <v>812</v>
      </c>
      <c r="M56" s="116">
        <v>4208489</v>
      </c>
      <c r="N56" s="14" t="s">
        <v>139</v>
      </c>
    </row>
    <row r="57" spans="1:14" ht="15.75" customHeight="1">
      <c r="A57" s="15" t="s">
        <v>220</v>
      </c>
      <c r="B57" s="117">
        <v>9698</v>
      </c>
      <c r="C57" s="118">
        <v>78828116</v>
      </c>
      <c r="D57" s="117">
        <v>4203</v>
      </c>
      <c r="E57" s="118">
        <v>2776768</v>
      </c>
      <c r="F57" s="117">
        <v>13901</v>
      </c>
      <c r="G57" s="118">
        <v>81604884</v>
      </c>
      <c r="H57" s="117">
        <v>841</v>
      </c>
      <c r="I57" s="119">
        <v>7230928</v>
      </c>
      <c r="J57" s="117">
        <v>581</v>
      </c>
      <c r="K57" s="119">
        <v>132873</v>
      </c>
      <c r="L57" s="117">
        <v>14810</v>
      </c>
      <c r="M57" s="119">
        <v>74506830</v>
      </c>
      <c r="N57" s="16" t="s">
        <v>140</v>
      </c>
    </row>
    <row r="58" spans="1:14" ht="15.75" customHeight="1">
      <c r="A58" s="147"/>
      <c r="B58" s="155"/>
      <c r="C58" s="146"/>
      <c r="D58" s="152"/>
      <c r="E58" s="154"/>
      <c r="F58" s="152"/>
      <c r="G58" s="154"/>
      <c r="H58" s="152"/>
      <c r="I58" s="154"/>
      <c r="J58" s="152"/>
      <c r="K58" s="150"/>
      <c r="L58" s="155"/>
      <c r="M58" s="146"/>
      <c r="N58" s="148"/>
    </row>
    <row r="59" spans="1:14" ht="15.75" customHeight="1">
      <c r="A59" s="11" t="s">
        <v>221</v>
      </c>
      <c r="B59" s="111">
        <f>_xlfn.COMPOUNDVALUE(377)</f>
        <v>3407</v>
      </c>
      <c r="C59" s="112">
        <v>30245819</v>
      </c>
      <c r="D59" s="111">
        <f>_xlfn.COMPOUNDVALUE(378)</f>
        <v>1413</v>
      </c>
      <c r="E59" s="112">
        <v>996128</v>
      </c>
      <c r="F59" s="111">
        <f>_xlfn.COMPOUNDVALUE(379)</f>
        <v>4820</v>
      </c>
      <c r="G59" s="112">
        <v>31241947</v>
      </c>
      <c r="H59" s="111">
        <f>_xlfn.COMPOUNDVALUE(380)</f>
        <v>243</v>
      </c>
      <c r="I59" s="113">
        <v>2036560</v>
      </c>
      <c r="J59" s="111">
        <v>245</v>
      </c>
      <c r="K59" s="113">
        <v>-44574</v>
      </c>
      <c r="L59" s="111">
        <v>5097</v>
      </c>
      <c r="M59" s="113">
        <v>29160813</v>
      </c>
      <c r="N59" s="24" t="s">
        <v>142</v>
      </c>
    </row>
    <row r="60" spans="1:14" ht="15.75" customHeight="1">
      <c r="A60" s="11" t="s">
        <v>222</v>
      </c>
      <c r="B60" s="111">
        <f>_xlfn.COMPOUNDVALUE(381)</f>
        <v>1639</v>
      </c>
      <c r="C60" s="112">
        <v>11551054</v>
      </c>
      <c r="D60" s="111">
        <f>_xlfn.COMPOUNDVALUE(382)</f>
        <v>860</v>
      </c>
      <c r="E60" s="112">
        <v>548483</v>
      </c>
      <c r="F60" s="111">
        <f>_xlfn.COMPOUNDVALUE(383)</f>
        <v>2499</v>
      </c>
      <c r="G60" s="112">
        <v>12099537</v>
      </c>
      <c r="H60" s="111">
        <f>_xlfn.COMPOUNDVALUE(384)</f>
        <v>125</v>
      </c>
      <c r="I60" s="113">
        <v>1491185</v>
      </c>
      <c r="J60" s="111">
        <v>77</v>
      </c>
      <c r="K60" s="113">
        <v>-21477</v>
      </c>
      <c r="L60" s="111">
        <v>2639</v>
      </c>
      <c r="M60" s="113">
        <v>10586874</v>
      </c>
      <c r="N60" s="12" t="s">
        <v>143</v>
      </c>
    </row>
    <row r="61" spans="1:14" ht="15.75" customHeight="1">
      <c r="A61" s="11" t="s">
        <v>223</v>
      </c>
      <c r="B61" s="111">
        <f>_xlfn.COMPOUNDVALUE(385)</f>
        <v>4348</v>
      </c>
      <c r="C61" s="112">
        <v>40134971</v>
      </c>
      <c r="D61" s="111">
        <f>_xlfn.COMPOUNDVALUE(386)</f>
        <v>1857</v>
      </c>
      <c r="E61" s="112">
        <v>1369789</v>
      </c>
      <c r="F61" s="111">
        <f>_xlfn.COMPOUNDVALUE(387)</f>
        <v>6205</v>
      </c>
      <c r="G61" s="112">
        <v>41504760</v>
      </c>
      <c r="H61" s="111">
        <f>_xlfn.COMPOUNDVALUE(388)</f>
        <v>320</v>
      </c>
      <c r="I61" s="113">
        <v>2108516</v>
      </c>
      <c r="J61" s="111">
        <v>307</v>
      </c>
      <c r="K61" s="113">
        <v>162948</v>
      </c>
      <c r="L61" s="111">
        <v>6565</v>
      </c>
      <c r="M61" s="113">
        <v>39559192</v>
      </c>
      <c r="N61" s="12" t="s">
        <v>144</v>
      </c>
    </row>
    <row r="62" spans="1:14" ht="15.75" customHeight="1">
      <c r="A62" s="13" t="s">
        <v>68</v>
      </c>
      <c r="B62" s="114">
        <f>_xlfn.COMPOUNDVALUE(389)</f>
        <v>3515</v>
      </c>
      <c r="C62" s="115">
        <v>27884672</v>
      </c>
      <c r="D62" s="114">
        <f>_xlfn.COMPOUNDVALUE(390)</f>
        <v>1592</v>
      </c>
      <c r="E62" s="115">
        <v>1165495</v>
      </c>
      <c r="F62" s="114">
        <f>_xlfn.COMPOUNDVALUE(391)</f>
        <v>5107</v>
      </c>
      <c r="G62" s="115">
        <v>29050167</v>
      </c>
      <c r="H62" s="114">
        <f>_xlfn.COMPOUNDVALUE(392)</f>
        <v>235</v>
      </c>
      <c r="I62" s="116">
        <v>9936097</v>
      </c>
      <c r="J62" s="114">
        <v>189</v>
      </c>
      <c r="K62" s="116">
        <v>36233</v>
      </c>
      <c r="L62" s="114">
        <v>5390</v>
      </c>
      <c r="M62" s="116">
        <v>19150303</v>
      </c>
      <c r="N62" s="14" t="s">
        <v>68</v>
      </c>
    </row>
    <row r="63" spans="1:14" ht="15.75" customHeight="1">
      <c r="A63" s="13" t="s">
        <v>224</v>
      </c>
      <c r="B63" s="114">
        <f>_xlfn.COMPOUNDVALUE(393)</f>
        <v>1172</v>
      </c>
      <c r="C63" s="115">
        <v>9028624</v>
      </c>
      <c r="D63" s="114">
        <f>_xlfn.COMPOUNDVALUE(394)</f>
        <v>511</v>
      </c>
      <c r="E63" s="115">
        <v>356192</v>
      </c>
      <c r="F63" s="114">
        <f>_xlfn.COMPOUNDVALUE(395)</f>
        <v>1683</v>
      </c>
      <c r="G63" s="115">
        <v>9384816</v>
      </c>
      <c r="H63" s="114">
        <f>_xlfn.COMPOUNDVALUE(396)</f>
        <v>119</v>
      </c>
      <c r="I63" s="116">
        <v>339699</v>
      </c>
      <c r="J63" s="114">
        <v>68</v>
      </c>
      <c r="K63" s="116">
        <v>-9182</v>
      </c>
      <c r="L63" s="114">
        <v>1813</v>
      </c>
      <c r="M63" s="116">
        <v>9035935</v>
      </c>
      <c r="N63" s="14" t="s">
        <v>145</v>
      </c>
    </row>
    <row r="64" spans="1:14" ht="15.75" customHeight="1">
      <c r="A64" s="13" t="s">
        <v>225</v>
      </c>
      <c r="B64" s="114">
        <f>_xlfn.COMPOUNDVALUE(397)</f>
        <v>1203</v>
      </c>
      <c r="C64" s="115">
        <v>8495687</v>
      </c>
      <c r="D64" s="114">
        <f>_xlfn.COMPOUNDVALUE(398)</f>
        <v>545</v>
      </c>
      <c r="E64" s="115">
        <v>370905</v>
      </c>
      <c r="F64" s="114">
        <f>_xlfn.COMPOUNDVALUE(399)</f>
        <v>1748</v>
      </c>
      <c r="G64" s="115">
        <v>8866592</v>
      </c>
      <c r="H64" s="114">
        <f>_xlfn.COMPOUNDVALUE(400)</f>
        <v>95</v>
      </c>
      <c r="I64" s="116">
        <v>884174</v>
      </c>
      <c r="J64" s="114">
        <v>39</v>
      </c>
      <c r="K64" s="116">
        <v>-2498</v>
      </c>
      <c r="L64" s="114">
        <v>1852</v>
      </c>
      <c r="M64" s="116">
        <v>7979921</v>
      </c>
      <c r="N64" s="14" t="s">
        <v>146</v>
      </c>
    </row>
    <row r="65" spans="1:14" ht="15.75" customHeight="1">
      <c r="A65" s="13" t="s">
        <v>226</v>
      </c>
      <c r="B65" s="114">
        <f>_xlfn.COMPOUNDVALUE(401)</f>
        <v>423</v>
      </c>
      <c r="C65" s="115">
        <v>3047122</v>
      </c>
      <c r="D65" s="114">
        <f>_xlfn.COMPOUNDVALUE(402)</f>
        <v>234</v>
      </c>
      <c r="E65" s="115">
        <v>168161</v>
      </c>
      <c r="F65" s="114">
        <f>_xlfn.COMPOUNDVALUE(403)</f>
        <v>657</v>
      </c>
      <c r="G65" s="115">
        <v>3215282</v>
      </c>
      <c r="H65" s="114">
        <f>_xlfn.COMPOUNDVALUE(404)</f>
        <v>43</v>
      </c>
      <c r="I65" s="116">
        <v>107784</v>
      </c>
      <c r="J65" s="114">
        <v>55</v>
      </c>
      <c r="K65" s="116">
        <v>9035</v>
      </c>
      <c r="L65" s="114">
        <v>717</v>
      </c>
      <c r="M65" s="116">
        <v>3116533</v>
      </c>
      <c r="N65" s="14" t="s">
        <v>147</v>
      </c>
    </row>
    <row r="66" spans="1:14" ht="15.75" customHeight="1">
      <c r="A66" s="13" t="s">
        <v>227</v>
      </c>
      <c r="B66" s="114">
        <f>_xlfn.COMPOUNDVALUE(405)</f>
        <v>1701</v>
      </c>
      <c r="C66" s="115">
        <v>17408299</v>
      </c>
      <c r="D66" s="114">
        <f>_xlfn.COMPOUNDVALUE(406)</f>
        <v>533</v>
      </c>
      <c r="E66" s="115">
        <v>390152</v>
      </c>
      <c r="F66" s="114">
        <f>_xlfn.COMPOUNDVALUE(407)</f>
        <v>2234</v>
      </c>
      <c r="G66" s="115">
        <v>17798451</v>
      </c>
      <c r="H66" s="114">
        <f>_xlfn.COMPOUNDVALUE(408)</f>
        <v>215</v>
      </c>
      <c r="I66" s="116">
        <v>12595600</v>
      </c>
      <c r="J66" s="114">
        <v>181</v>
      </c>
      <c r="K66" s="116">
        <v>113846</v>
      </c>
      <c r="L66" s="114">
        <v>2507</v>
      </c>
      <c r="M66" s="116">
        <v>5316697</v>
      </c>
      <c r="N66" s="14" t="s">
        <v>148</v>
      </c>
    </row>
    <row r="67" spans="1:14" ht="15.75" customHeight="1">
      <c r="A67" s="13" t="s">
        <v>228</v>
      </c>
      <c r="B67" s="114">
        <f>_xlfn.COMPOUNDVALUE(409)</f>
        <v>846</v>
      </c>
      <c r="C67" s="115">
        <v>6605103</v>
      </c>
      <c r="D67" s="114">
        <f>_xlfn.COMPOUNDVALUE(410)</f>
        <v>344</v>
      </c>
      <c r="E67" s="115">
        <v>224849</v>
      </c>
      <c r="F67" s="114">
        <f>_xlfn.COMPOUNDVALUE(411)</f>
        <v>1190</v>
      </c>
      <c r="G67" s="115">
        <v>6829952</v>
      </c>
      <c r="H67" s="114">
        <f>_xlfn.COMPOUNDVALUE(412)</f>
        <v>74</v>
      </c>
      <c r="I67" s="116">
        <v>288511</v>
      </c>
      <c r="J67" s="114">
        <v>41</v>
      </c>
      <c r="K67" s="116">
        <v>16478</v>
      </c>
      <c r="L67" s="114">
        <v>1276</v>
      </c>
      <c r="M67" s="116">
        <v>6557919</v>
      </c>
      <c r="N67" s="14" t="s">
        <v>149</v>
      </c>
    </row>
    <row r="68" spans="1:14" ht="15.75" customHeight="1">
      <c r="A68" s="13" t="s">
        <v>229</v>
      </c>
      <c r="B68" s="114">
        <f>_xlfn.COMPOUNDVALUE(413)</f>
        <v>275</v>
      </c>
      <c r="C68" s="115">
        <v>1450063</v>
      </c>
      <c r="D68" s="114">
        <f>_xlfn.COMPOUNDVALUE(414)</f>
        <v>122</v>
      </c>
      <c r="E68" s="115">
        <v>90747</v>
      </c>
      <c r="F68" s="114">
        <f>_xlfn.COMPOUNDVALUE(415)</f>
        <v>397</v>
      </c>
      <c r="G68" s="115">
        <v>1540810</v>
      </c>
      <c r="H68" s="114">
        <f>_xlfn.COMPOUNDVALUE(416)</f>
        <v>30</v>
      </c>
      <c r="I68" s="116">
        <v>34297</v>
      </c>
      <c r="J68" s="114">
        <v>16</v>
      </c>
      <c r="K68" s="116">
        <v>2738</v>
      </c>
      <c r="L68" s="114">
        <v>429</v>
      </c>
      <c r="M68" s="116">
        <v>1509251</v>
      </c>
      <c r="N68" s="14" t="s">
        <v>150</v>
      </c>
    </row>
    <row r="69" spans="1:14" ht="15.75" customHeight="1">
      <c r="A69" s="15" t="s">
        <v>230</v>
      </c>
      <c r="B69" s="117">
        <v>18529</v>
      </c>
      <c r="C69" s="118">
        <v>155851413</v>
      </c>
      <c r="D69" s="117">
        <v>8011</v>
      </c>
      <c r="E69" s="118">
        <v>5680900</v>
      </c>
      <c r="F69" s="117">
        <v>26540</v>
      </c>
      <c r="G69" s="118">
        <v>161532313</v>
      </c>
      <c r="H69" s="117">
        <v>1499</v>
      </c>
      <c r="I69" s="119">
        <v>29822423</v>
      </c>
      <c r="J69" s="117">
        <v>1218</v>
      </c>
      <c r="K69" s="119">
        <v>263548</v>
      </c>
      <c r="L69" s="117">
        <v>28285</v>
      </c>
      <c r="M69" s="119">
        <v>131973437</v>
      </c>
      <c r="N69" s="16" t="s">
        <v>151</v>
      </c>
    </row>
    <row r="70" spans="1:14" ht="15.75" customHeight="1" thickBot="1">
      <c r="A70" s="18"/>
      <c r="B70" s="123"/>
      <c r="C70" s="124"/>
      <c r="D70" s="123"/>
      <c r="E70" s="124"/>
      <c r="F70" s="125"/>
      <c r="G70" s="124"/>
      <c r="H70" s="125"/>
      <c r="I70" s="124"/>
      <c r="J70" s="125"/>
      <c r="K70" s="124"/>
      <c r="L70" s="125"/>
      <c r="M70" s="124"/>
      <c r="N70" s="19"/>
    </row>
    <row r="71" spans="1:14" ht="15.75" customHeight="1" thickBot="1" thickTop="1">
      <c r="A71" s="21" t="s">
        <v>231</v>
      </c>
      <c r="B71" s="126">
        <v>77567</v>
      </c>
      <c r="C71" s="127">
        <v>686159176</v>
      </c>
      <c r="D71" s="126">
        <v>31648</v>
      </c>
      <c r="E71" s="127">
        <v>22707687</v>
      </c>
      <c r="F71" s="126">
        <v>109215</v>
      </c>
      <c r="G71" s="127">
        <v>708866863</v>
      </c>
      <c r="H71" s="126">
        <v>7035</v>
      </c>
      <c r="I71" s="128">
        <v>68912917</v>
      </c>
      <c r="J71" s="126">
        <v>5317</v>
      </c>
      <c r="K71" s="128">
        <v>1637538</v>
      </c>
      <c r="L71" s="126">
        <v>117211</v>
      </c>
      <c r="M71" s="128">
        <v>641591485</v>
      </c>
      <c r="N71" s="22" t="s">
        <v>94</v>
      </c>
    </row>
    <row r="72" spans="1:14" ht="13.5">
      <c r="A72" s="230" t="s">
        <v>233</v>
      </c>
      <c r="B72" s="230"/>
      <c r="C72" s="230"/>
      <c r="D72" s="230"/>
      <c r="E72" s="230"/>
      <c r="F72" s="230"/>
      <c r="G72" s="230"/>
      <c r="H72" s="230"/>
      <c r="I72" s="230"/>
      <c r="J72" s="25"/>
      <c r="K72" s="25"/>
      <c r="L72" s="2"/>
      <c r="M72" s="2"/>
      <c r="N72" s="2"/>
    </row>
  </sheetData>
  <sheetProtection/>
  <mergeCells count="11">
    <mergeCell ref="N3:N5"/>
    <mergeCell ref="B4:C4"/>
    <mergeCell ref="D4:E4"/>
    <mergeCell ref="F4:G4"/>
    <mergeCell ref="J3:K4"/>
    <mergeCell ref="L3:M4"/>
    <mergeCell ref="A72:I72"/>
    <mergeCell ref="A2:I2"/>
    <mergeCell ref="A3:A5"/>
    <mergeCell ref="B3:G3"/>
    <mergeCell ref="H3:I4"/>
  </mergeCells>
  <printOptions horizontalCentered="1"/>
  <pageMargins left="0.5905511811023623" right="0.5905511811023623" top="0.7874015748031497" bottom="0.7874015748031497" header="0.5118110236220472" footer="0.35433070866141736"/>
  <pageSetup fitToHeight="0" fitToWidth="1" horizontalDpi="600" verticalDpi="600" orientation="landscape" paperSize="9" scale="84" r:id="rId1"/>
  <headerFooter alignWithMargins="0">
    <oddFooter>&amp;R仙台国税局
消費税
(R03)</oddFooter>
  </headerFooter>
  <rowBreaks count="1" manualBreakCount="1">
    <brk id="38"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R72"/>
  <sheetViews>
    <sheetView showGridLines="0" zoomScaleSheetLayoutView="85" workbookViewId="0" topLeftCell="A1">
      <selection activeCell="A1" sqref="A1"/>
    </sheetView>
  </sheetViews>
  <sheetFormatPr defaultColWidth="9.140625" defaultRowHeight="15"/>
  <cols>
    <col min="1" max="1" width="10.42187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7" width="10.57421875" style="3" customWidth="1"/>
    <col min="18" max="18" width="10.421875" style="3" customWidth="1"/>
    <col min="19" max="16384" width="9.00390625" style="3" customWidth="1"/>
  </cols>
  <sheetData>
    <row r="1" spans="1:16" ht="13.5">
      <c r="A1" s="1" t="s">
        <v>237</v>
      </c>
      <c r="B1" s="1"/>
      <c r="C1" s="1"/>
      <c r="D1" s="1"/>
      <c r="E1" s="1"/>
      <c r="F1" s="1"/>
      <c r="G1" s="1"/>
      <c r="H1" s="1"/>
      <c r="I1" s="1"/>
      <c r="J1" s="1"/>
      <c r="K1" s="1"/>
      <c r="L1" s="2"/>
      <c r="M1" s="2"/>
      <c r="N1" s="2"/>
      <c r="O1" s="2"/>
      <c r="P1" s="2"/>
    </row>
    <row r="2" spans="1:16" ht="14.25" thickBot="1">
      <c r="A2" s="241" t="s">
        <v>84</v>
      </c>
      <c r="B2" s="241"/>
      <c r="C2" s="241"/>
      <c r="D2" s="241"/>
      <c r="E2" s="241"/>
      <c r="F2" s="241"/>
      <c r="G2" s="241"/>
      <c r="H2" s="241"/>
      <c r="I2" s="241"/>
      <c r="J2" s="25"/>
      <c r="K2" s="25"/>
      <c r="L2" s="2"/>
      <c r="M2" s="2"/>
      <c r="N2" s="2"/>
      <c r="O2" s="2"/>
      <c r="P2" s="2"/>
    </row>
    <row r="3" spans="1:18" ht="19.5" customHeight="1">
      <c r="A3" s="231" t="s">
        <v>1</v>
      </c>
      <c r="B3" s="234" t="s">
        <v>2</v>
      </c>
      <c r="C3" s="234"/>
      <c r="D3" s="234"/>
      <c r="E3" s="234"/>
      <c r="F3" s="234"/>
      <c r="G3" s="234"/>
      <c r="H3" s="234" t="s">
        <v>3</v>
      </c>
      <c r="I3" s="234"/>
      <c r="J3" s="247" t="s">
        <v>4</v>
      </c>
      <c r="K3" s="234"/>
      <c r="L3" s="234" t="s">
        <v>5</v>
      </c>
      <c r="M3" s="234"/>
      <c r="N3" s="248" t="s">
        <v>85</v>
      </c>
      <c r="O3" s="249"/>
      <c r="P3" s="249"/>
      <c r="Q3" s="249"/>
      <c r="R3" s="235" t="s">
        <v>77</v>
      </c>
    </row>
    <row r="4" spans="1:18" ht="17.25" customHeight="1">
      <c r="A4" s="232"/>
      <c r="B4" s="238" t="s">
        <v>7</v>
      </c>
      <c r="C4" s="238"/>
      <c r="D4" s="238" t="s">
        <v>8</v>
      </c>
      <c r="E4" s="238"/>
      <c r="F4" s="238" t="s">
        <v>9</v>
      </c>
      <c r="G4" s="238"/>
      <c r="H4" s="238"/>
      <c r="I4" s="238"/>
      <c r="J4" s="238"/>
      <c r="K4" s="238"/>
      <c r="L4" s="238"/>
      <c r="M4" s="238"/>
      <c r="N4" s="250" t="s">
        <v>86</v>
      </c>
      <c r="O4" s="242" t="s">
        <v>87</v>
      </c>
      <c r="P4" s="244" t="s">
        <v>88</v>
      </c>
      <c r="Q4" s="229" t="s">
        <v>89</v>
      </c>
      <c r="R4" s="236"/>
    </row>
    <row r="5" spans="1:18" ht="28.5" customHeight="1">
      <c r="A5" s="233"/>
      <c r="B5" s="33" t="s">
        <v>10</v>
      </c>
      <c r="C5" s="34" t="s">
        <v>11</v>
      </c>
      <c r="D5" s="33" t="s">
        <v>10</v>
      </c>
      <c r="E5" s="34" t="s">
        <v>11</v>
      </c>
      <c r="F5" s="33" t="s">
        <v>10</v>
      </c>
      <c r="G5" s="34" t="s">
        <v>12</v>
      </c>
      <c r="H5" s="33" t="s">
        <v>10</v>
      </c>
      <c r="I5" s="34" t="s">
        <v>13</v>
      </c>
      <c r="J5" s="33" t="s">
        <v>10</v>
      </c>
      <c r="K5" s="34" t="s">
        <v>14</v>
      </c>
      <c r="L5" s="33" t="s">
        <v>10</v>
      </c>
      <c r="M5" s="29" t="s">
        <v>93</v>
      </c>
      <c r="N5" s="251"/>
      <c r="O5" s="243"/>
      <c r="P5" s="245"/>
      <c r="Q5" s="246"/>
      <c r="R5" s="237"/>
    </row>
    <row r="6" spans="1:18" s="27" customFormat="1" ht="10.5">
      <c r="A6" s="5"/>
      <c r="B6" s="6" t="s">
        <v>15</v>
      </c>
      <c r="C6" s="7" t="s">
        <v>16</v>
      </c>
      <c r="D6" s="6" t="s">
        <v>15</v>
      </c>
      <c r="E6" s="7" t="s">
        <v>16</v>
      </c>
      <c r="F6" s="6" t="s">
        <v>15</v>
      </c>
      <c r="G6" s="7" t="s">
        <v>16</v>
      </c>
      <c r="H6" s="6" t="s">
        <v>15</v>
      </c>
      <c r="I6" s="7" t="s">
        <v>16</v>
      </c>
      <c r="J6" s="6" t="s">
        <v>15</v>
      </c>
      <c r="K6" s="7" t="s">
        <v>16</v>
      </c>
      <c r="L6" s="6" t="s">
        <v>235</v>
      </c>
      <c r="M6" s="7" t="s">
        <v>16</v>
      </c>
      <c r="N6" s="6" t="s">
        <v>15</v>
      </c>
      <c r="O6" s="30" t="s">
        <v>15</v>
      </c>
      <c r="P6" s="30" t="s">
        <v>15</v>
      </c>
      <c r="Q6" s="31" t="s">
        <v>15</v>
      </c>
      <c r="R6" s="9"/>
    </row>
    <row r="7" spans="1:18" ht="15.75" customHeight="1">
      <c r="A7" s="11" t="s">
        <v>18</v>
      </c>
      <c r="B7" s="111">
        <f>_xlfn.COMPOUNDVALUE(417)</f>
        <v>3417</v>
      </c>
      <c r="C7" s="112">
        <v>21591968</v>
      </c>
      <c r="D7" s="111">
        <f>_xlfn.COMPOUNDVALUE(418)</f>
        <v>2546</v>
      </c>
      <c r="E7" s="112">
        <v>1330901</v>
      </c>
      <c r="F7" s="111">
        <f>_xlfn.COMPOUNDVALUE(419)</f>
        <v>5963</v>
      </c>
      <c r="G7" s="112">
        <v>22922868</v>
      </c>
      <c r="H7" s="111">
        <f>_xlfn.COMPOUNDVALUE(420)</f>
        <v>252</v>
      </c>
      <c r="I7" s="113">
        <v>587978</v>
      </c>
      <c r="J7" s="111">
        <v>383</v>
      </c>
      <c r="K7" s="113">
        <v>61629</v>
      </c>
      <c r="L7" s="111">
        <v>6304</v>
      </c>
      <c r="M7" s="113">
        <v>22396519</v>
      </c>
      <c r="N7" s="175">
        <v>6045</v>
      </c>
      <c r="O7" s="176">
        <v>178</v>
      </c>
      <c r="P7" s="176">
        <v>21</v>
      </c>
      <c r="Q7" s="177">
        <v>6244</v>
      </c>
      <c r="R7" s="12" t="s">
        <v>96</v>
      </c>
    </row>
    <row r="8" spans="1:18" ht="15.75" customHeight="1">
      <c r="A8" s="13" t="s">
        <v>19</v>
      </c>
      <c r="B8" s="114">
        <f>_xlfn.COMPOUNDVALUE(421)</f>
        <v>2016</v>
      </c>
      <c r="C8" s="115">
        <v>10885844</v>
      </c>
      <c r="D8" s="114">
        <f>_xlfn.COMPOUNDVALUE(422)</f>
        <v>1889</v>
      </c>
      <c r="E8" s="115">
        <v>830772</v>
      </c>
      <c r="F8" s="114">
        <f>_xlfn.COMPOUNDVALUE(423)</f>
        <v>3905</v>
      </c>
      <c r="G8" s="115">
        <v>11716616</v>
      </c>
      <c r="H8" s="114">
        <f>_xlfn.COMPOUNDVALUE(424)</f>
        <v>162</v>
      </c>
      <c r="I8" s="116">
        <v>931870</v>
      </c>
      <c r="J8" s="114">
        <v>284</v>
      </c>
      <c r="K8" s="116">
        <v>73300</v>
      </c>
      <c r="L8" s="114">
        <v>4183</v>
      </c>
      <c r="M8" s="116">
        <v>10858047</v>
      </c>
      <c r="N8" s="175">
        <v>4390</v>
      </c>
      <c r="O8" s="176">
        <v>82</v>
      </c>
      <c r="P8" s="176">
        <v>5</v>
      </c>
      <c r="Q8" s="177">
        <v>4477</v>
      </c>
      <c r="R8" s="14" t="s">
        <v>97</v>
      </c>
    </row>
    <row r="9" spans="1:18" ht="15.75" customHeight="1">
      <c r="A9" s="13" t="s">
        <v>20</v>
      </c>
      <c r="B9" s="114">
        <f>_xlfn.COMPOUNDVALUE(425)</f>
        <v>3490</v>
      </c>
      <c r="C9" s="115">
        <v>23919910</v>
      </c>
      <c r="D9" s="114">
        <f>_xlfn.COMPOUNDVALUE(426)</f>
        <v>2460</v>
      </c>
      <c r="E9" s="115">
        <v>1302248</v>
      </c>
      <c r="F9" s="114">
        <f>_xlfn.COMPOUNDVALUE(427)</f>
        <v>5950</v>
      </c>
      <c r="G9" s="115">
        <v>25222159</v>
      </c>
      <c r="H9" s="114">
        <f>_xlfn.COMPOUNDVALUE(428)</f>
        <v>295</v>
      </c>
      <c r="I9" s="116">
        <v>1841551</v>
      </c>
      <c r="J9" s="114">
        <v>326</v>
      </c>
      <c r="K9" s="116">
        <v>73637</v>
      </c>
      <c r="L9" s="114">
        <v>6304</v>
      </c>
      <c r="M9" s="116">
        <v>23454244</v>
      </c>
      <c r="N9" s="175">
        <v>6033</v>
      </c>
      <c r="O9" s="176">
        <v>170</v>
      </c>
      <c r="P9" s="176">
        <v>10</v>
      </c>
      <c r="Q9" s="177">
        <v>6213</v>
      </c>
      <c r="R9" s="14" t="s">
        <v>98</v>
      </c>
    </row>
    <row r="10" spans="1:18" ht="15.75" customHeight="1">
      <c r="A10" s="13" t="s">
        <v>21</v>
      </c>
      <c r="B10" s="114">
        <f>_xlfn.COMPOUNDVALUE(429)</f>
        <v>808</v>
      </c>
      <c r="C10" s="115">
        <v>3967343</v>
      </c>
      <c r="D10" s="114">
        <f>_xlfn.COMPOUNDVALUE(430)</f>
        <v>935</v>
      </c>
      <c r="E10" s="115">
        <v>371692</v>
      </c>
      <c r="F10" s="114">
        <f>_xlfn.COMPOUNDVALUE(431)</f>
        <v>1743</v>
      </c>
      <c r="G10" s="115">
        <v>4339035</v>
      </c>
      <c r="H10" s="114">
        <f>_xlfn.COMPOUNDVALUE(432)</f>
        <v>76</v>
      </c>
      <c r="I10" s="116">
        <v>113004</v>
      </c>
      <c r="J10" s="114">
        <v>83</v>
      </c>
      <c r="K10" s="116">
        <v>850</v>
      </c>
      <c r="L10" s="114">
        <v>1853</v>
      </c>
      <c r="M10" s="116">
        <v>4226880</v>
      </c>
      <c r="N10" s="175">
        <v>2241</v>
      </c>
      <c r="O10" s="176">
        <v>27</v>
      </c>
      <c r="P10" s="176">
        <v>2</v>
      </c>
      <c r="Q10" s="177">
        <v>2270</v>
      </c>
      <c r="R10" s="14" t="s">
        <v>99</v>
      </c>
    </row>
    <row r="11" spans="1:18" ht="15.75" customHeight="1">
      <c r="A11" s="13" t="s">
        <v>22</v>
      </c>
      <c r="B11" s="114">
        <f>_xlfn.COMPOUNDVALUE(433)</f>
        <v>1536</v>
      </c>
      <c r="C11" s="115">
        <v>5328408</v>
      </c>
      <c r="D11" s="114">
        <f>_xlfn.COMPOUNDVALUE(434)</f>
        <v>1896</v>
      </c>
      <c r="E11" s="115">
        <v>687172</v>
      </c>
      <c r="F11" s="114">
        <f>_xlfn.COMPOUNDVALUE(435)</f>
        <v>3432</v>
      </c>
      <c r="G11" s="115">
        <v>6015580</v>
      </c>
      <c r="H11" s="114">
        <f>_xlfn.COMPOUNDVALUE(436)</f>
        <v>193</v>
      </c>
      <c r="I11" s="116">
        <v>1354483</v>
      </c>
      <c r="J11" s="114">
        <v>146</v>
      </c>
      <c r="K11" s="116">
        <v>30189</v>
      </c>
      <c r="L11" s="114">
        <v>3663</v>
      </c>
      <c r="M11" s="116">
        <v>4691285</v>
      </c>
      <c r="N11" s="175">
        <v>3578</v>
      </c>
      <c r="O11" s="176">
        <v>74</v>
      </c>
      <c r="P11" s="176">
        <v>2</v>
      </c>
      <c r="Q11" s="177">
        <v>3654</v>
      </c>
      <c r="R11" s="14" t="s">
        <v>100</v>
      </c>
    </row>
    <row r="12" spans="1:18" ht="15.75" customHeight="1">
      <c r="A12" s="13" t="s">
        <v>23</v>
      </c>
      <c r="B12" s="114">
        <f>_xlfn.COMPOUNDVALUE(437)</f>
        <v>2504</v>
      </c>
      <c r="C12" s="115">
        <v>19990881</v>
      </c>
      <c r="D12" s="114">
        <f>_xlfn.COMPOUNDVALUE(438)</f>
        <v>2422</v>
      </c>
      <c r="E12" s="115">
        <v>1109038</v>
      </c>
      <c r="F12" s="114">
        <f>_xlfn.COMPOUNDVALUE(439)</f>
        <v>4926</v>
      </c>
      <c r="G12" s="115">
        <v>21099919</v>
      </c>
      <c r="H12" s="114">
        <f>_xlfn.COMPOUNDVALUE(440)</f>
        <v>364</v>
      </c>
      <c r="I12" s="116">
        <v>4456368</v>
      </c>
      <c r="J12" s="114">
        <v>208</v>
      </c>
      <c r="K12" s="116">
        <v>-34663</v>
      </c>
      <c r="L12" s="114">
        <v>5338</v>
      </c>
      <c r="M12" s="116">
        <v>16608888</v>
      </c>
      <c r="N12" s="175">
        <v>5216</v>
      </c>
      <c r="O12" s="176">
        <v>121</v>
      </c>
      <c r="P12" s="176">
        <v>9</v>
      </c>
      <c r="Q12" s="177">
        <v>5346</v>
      </c>
      <c r="R12" s="14" t="s">
        <v>101</v>
      </c>
    </row>
    <row r="13" spans="1:18" ht="15.75" customHeight="1">
      <c r="A13" s="13" t="s">
        <v>24</v>
      </c>
      <c r="B13" s="114">
        <f>_xlfn.COMPOUNDVALUE(441)</f>
        <v>776</v>
      </c>
      <c r="C13" s="115">
        <v>3658540</v>
      </c>
      <c r="D13" s="114">
        <f>_xlfn.COMPOUNDVALUE(442)</f>
        <v>673</v>
      </c>
      <c r="E13" s="115">
        <v>297943</v>
      </c>
      <c r="F13" s="114">
        <f>_xlfn.COMPOUNDVALUE(443)</f>
        <v>1449</v>
      </c>
      <c r="G13" s="115">
        <v>3956483</v>
      </c>
      <c r="H13" s="114">
        <f>_xlfn.COMPOUNDVALUE(444)</f>
        <v>59</v>
      </c>
      <c r="I13" s="116">
        <v>75922</v>
      </c>
      <c r="J13" s="114">
        <v>40</v>
      </c>
      <c r="K13" s="116">
        <v>36752</v>
      </c>
      <c r="L13" s="114">
        <v>1527</v>
      </c>
      <c r="M13" s="116">
        <v>3917314</v>
      </c>
      <c r="N13" s="175">
        <v>1465</v>
      </c>
      <c r="O13" s="176">
        <v>30</v>
      </c>
      <c r="P13" s="200">
        <v>3</v>
      </c>
      <c r="Q13" s="177">
        <v>1498</v>
      </c>
      <c r="R13" s="14" t="s">
        <v>24</v>
      </c>
    </row>
    <row r="14" spans="1:18" ht="15.75" customHeight="1">
      <c r="A14" s="81" t="s">
        <v>25</v>
      </c>
      <c r="B14" s="129">
        <v>14547</v>
      </c>
      <c r="C14" s="130">
        <v>89342894</v>
      </c>
      <c r="D14" s="129">
        <v>12821</v>
      </c>
      <c r="E14" s="130">
        <v>5929766</v>
      </c>
      <c r="F14" s="129">
        <v>27368</v>
      </c>
      <c r="G14" s="130">
        <v>95272660</v>
      </c>
      <c r="H14" s="129">
        <v>1401</v>
      </c>
      <c r="I14" s="131">
        <v>9361176</v>
      </c>
      <c r="J14" s="129">
        <v>1470</v>
      </c>
      <c r="K14" s="131">
        <v>241694</v>
      </c>
      <c r="L14" s="129">
        <v>29172</v>
      </c>
      <c r="M14" s="131">
        <v>86153178</v>
      </c>
      <c r="N14" s="178">
        <v>28968</v>
      </c>
      <c r="O14" s="179">
        <v>682</v>
      </c>
      <c r="P14" s="179">
        <v>52</v>
      </c>
      <c r="Q14" s="180">
        <v>29702</v>
      </c>
      <c r="R14" s="83" t="s">
        <v>95</v>
      </c>
    </row>
    <row r="15" spans="1:18" ht="15.75" customHeight="1">
      <c r="A15" s="85"/>
      <c r="B15" s="132"/>
      <c r="C15" s="133"/>
      <c r="D15" s="132"/>
      <c r="E15" s="133"/>
      <c r="F15" s="134"/>
      <c r="G15" s="133"/>
      <c r="H15" s="134"/>
      <c r="I15" s="133"/>
      <c r="J15" s="134"/>
      <c r="K15" s="133"/>
      <c r="L15" s="134"/>
      <c r="M15" s="133"/>
      <c r="N15" s="181"/>
      <c r="O15" s="182"/>
      <c r="P15" s="182"/>
      <c r="Q15" s="183"/>
      <c r="R15" s="86"/>
    </row>
    <row r="16" spans="1:18" ht="15.75" customHeight="1">
      <c r="A16" s="87" t="s">
        <v>26</v>
      </c>
      <c r="B16" s="135">
        <f>_xlfn.COMPOUNDVALUE(445)</f>
        <v>5294</v>
      </c>
      <c r="C16" s="136">
        <v>36319971</v>
      </c>
      <c r="D16" s="135">
        <f>_xlfn.COMPOUNDVALUE(446)</f>
        <v>3682</v>
      </c>
      <c r="E16" s="136">
        <v>2117932</v>
      </c>
      <c r="F16" s="135">
        <f>_xlfn.COMPOUNDVALUE(447)</f>
        <v>8976</v>
      </c>
      <c r="G16" s="136">
        <v>38437902</v>
      </c>
      <c r="H16" s="135">
        <f>_xlfn.COMPOUNDVALUE(448)</f>
        <v>630</v>
      </c>
      <c r="I16" s="137">
        <v>2526669</v>
      </c>
      <c r="J16" s="135">
        <v>611</v>
      </c>
      <c r="K16" s="137">
        <v>178026</v>
      </c>
      <c r="L16" s="135">
        <v>9842</v>
      </c>
      <c r="M16" s="137">
        <v>36089259</v>
      </c>
      <c r="N16" s="184">
        <v>9190</v>
      </c>
      <c r="O16" s="185">
        <v>299</v>
      </c>
      <c r="P16" s="185">
        <v>23</v>
      </c>
      <c r="Q16" s="186">
        <v>9512</v>
      </c>
      <c r="R16" s="88" t="s">
        <v>102</v>
      </c>
    </row>
    <row r="17" spans="1:18" ht="15.75" customHeight="1">
      <c r="A17" s="13" t="s">
        <v>27</v>
      </c>
      <c r="B17" s="114">
        <f>_xlfn.COMPOUNDVALUE(449)</f>
        <v>861</v>
      </c>
      <c r="C17" s="115">
        <v>4461861</v>
      </c>
      <c r="D17" s="114">
        <f>_xlfn.COMPOUNDVALUE(450)</f>
        <v>770</v>
      </c>
      <c r="E17" s="115">
        <v>340950</v>
      </c>
      <c r="F17" s="114">
        <f>_xlfn.COMPOUNDVALUE(451)</f>
        <v>1631</v>
      </c>
      <c r="G17" s="115">
        <v>4802811</v>
      </c>
      <c r="H17" s="114">
        <f>_xlfn.COMPOUNDVALUE(452)</f>
        <v>81</v>
      </c>
      <c r="I17" s="116">
        <v>206809</v>
      </c>
      <c r="J17" s="114">
        <v>82</v>
      </c>
      <c r="K17" s="116">
        <v>20621</v>
      </c>
      <c r="L17" s="114">
        <v>1738</v>
      </c>
      <c r="M17" s="116">
        <v>4616624</v>
      </c>
      <c r="N17" s="175">
        <v>1585</v>
      </c>
      <c r="O17" s="176">
        <v>35</v>
      </c>
      <c r="P17" s="200">
        <v>1</v>
      </c>
      <c r="Q17" s="177">
        <v>1621</v>
      </c>
      <c r="R17" s="14" t="s">
        <v>103</v>
      </c>
    </row>
    <row r="18" spans="1:18" ht="15.75" customHeight="1">
      <c r="A18" s="13" t="s">
        <v>28</v>
      </c>
      <c r="B18" s="114">
        <f>_xlfn.COMPOUNDVALUE(453)</f>
        <v>794</v>
      </c>
      <c r="C18" s="115">
        <v>4182939</v>
      </c>
      <c r="D18" s="114">
        <f>_xlfn.COMPOUNDVALUE(454)</f>
        <v>644</v>
      </c>
      <c r="E18" s="115">
        <v>263005</v>
      </c>
      <c r="F18" s="114">
        <f>_xlfn.COMPOUNDVALUE(455)</f>
        <v>1438</v>
      </c>
      <c r="G18" s="115">
        <v>4445944</v>
      </c>
      <c r="H18" s="114">
        <f>_xlfn.COMPOUNDVALUE(456)</f>
        <v>105</v>
      </c>
      <c r="I18" s="116">
        <v>286254</v>
      </c>
      <c r="J18" s="114">
        <v>68</v>
      </c>
      <c r="K18" s="116">
        <v>-17734</v>
      </c>
      <c r="L18" s="114">
        <v>1550</v>
      </c>
      <c r="M18" s="116">
        <v>4141955</v>
      </c>
      <c r="N18" s="175">
        <v>1337</v>
      </c>
      <c r="O18" s="176">
        <v>68</v>
      </c>
      <c r="P18" s="176">
        <v>5</v>
      </c>
      <c r="Q18" s="177">
        <v>1410</v>
      </c>
      <c r="R18" s="14" t="s">
        <v>104</v>
      </c>
    </row>
    <row r="19" spans="1:18" ht="15.75" customHeight="1">
      <c r="A19" s="13" t="s">
        <v>29</v>
      </c>
      <c r="B19" s="114">
        <f>_xlfn.COMPOUNDVALUE(457)</f>
        <v>1367</v>
      </c>
      <c r="C19" s="115">
        <v>9036587</v>
      </c>
      <c r="D19" s="114">
        <f>_xlfn.COMPOUNDVALUE(458)</f>
        <v>1057</v>
      </c>
      <c r="E19" s="115">
        <v>545807</v>
      </c>
      <c r="F19" s="114">
        <f>_xlfn.COMPOUNDVALUE(459)</f>
        <v>2424</v>
      </c>
      <c r="G19" s="115">
        <v>9582394</v>
      </c>
      <c r="H19" s="114">
        <f>_xlfn.COMPOUNDVALUE(460)</f>
        <v>297</v>
      </c>
      <c r="I19" s="116">
        <v>480473</v>
      </c>
      <c r="J19" s="114">
        <v>184</v>
      </c>
      <c r="K19" s="116">
        <v>13419</v>
      </c>
      <c r="L19" s="114">
        <v>2779</v>
      </c>
      <c r="M19" s="116">
        <v>9115340</v>
      </c>
      <c r="N19" s="175">
        <v>2613</v>
      </c>
      <c r="O19" s="176">
        <v>81</v>
      </c>
      <c r="P19" s="176">
        <v>4</v>
      </c>
      <c r="Q19" s="177">
        <v>2698</v>
      </c>
      <c r="R19" s="14" t="s">
        <v>105</v>
      </c>
    </row>
    <row r="20" spans="1:18" ht="15.75" customHeight="1">
      <c r="A20" s="13" t="s">
        <v>30</v>
      </c>
      <c r="B20" s="114">
        <f>_xlfn.COMPOUNDVALUE(461)</f>
        <v>2013</v>
      </c>
      <c r="C20" s="115">
        <v>15943729</v>
      </c>
      <c r="D20" s="114">
        <f>_xlfn.COMPOUNDVALUE(462)</f>
        <v>1311</v>
      </c>
      <c r="E20" s="115">
        <v>699431</v>
      </c>
      <c r="F20" s="114">
        <f>_xlfn.COMPOUNDVALUE(463)</f>
        <v>3324</v>
      </c>
      <c r="G20" s="115">
        <v>16643160</v>
      </c>
      <c r="H20" s="114">
        <f>_xlfn.COMPOUNDVALUE(464)</f>
        <v>269</v>
      </c>
      <c r="I20" s="116">
        <v>886779</v>
      </c>
      <c r="J20" s="114">
        <v>179</v>
      </c>
      <c r="K20" s="116">
        <v>124759</v>
      </c>
      <c r="L20" s="114">
        <v>3649</v>
      </c>
      <c r="M20" s="116">
        <v>15881140</v>
      </c>
      <c r="N20" s="175">
        <v>3370</v>
      </c>
      <c r="O20" s="176">
        <v>127</v>
      </c>
      <c r="P20" s="176">
        <v>5</v>
      </c>
      <c r="Q20" s="177">
        <v>3502</v>
      </c>
      <c r="R20" s="14" t="s">
        <v>106</v>
      </c>
    </row>
    <row r="21" spans="1:18" ht="15.75" customHeight="1">
      <c r="A21" s="13" t="s">
        <v>31</v>
      </c>
      <c r="B21" s="114">
        <f>_xlfn.COMPOUNDVALUE(465)</f>
        <v>734</v>
      </c>
      <c r="C21" s="115">
        <v>3270064</v>
      </c>
      <c r="D21" s="114">
        <f>_xlfn.COMPOUNDVALUE(466)</f>
        <v>473</v>
      </c>
      <c r="E21" s="115">
        <v>246580</v>
      </c>
      <c r="F21" s="114">
        <f>_xlfn.COMPOUNDVALUE(467)</f>
        <v>1207</v>
      </c>
      <c r="G21" s="115">
        <v>3516644</v>
      </c>
      <c r="H21" s="114">
        <f>_xlfn.COMPOUNDVALUE(468)</f>
        <v>121</v>
      </c>
      <c r="I21" s="116">
        <v>315698</v>
      </c>
      <c r="J21" s="114">
        <v>38</v>
      </c>
      <c r="K21" s="116">
        <v>4869</v>
      </c>
      <c r="L21" s="114">
        <v>1347</v>
      </c>
      <c r="M21" s="116">
        <v>3205815</v>
      </c>
      <c r="N21" s="175">
        <v>1216</v>
      </c>
      <c r="O21" s="176">
        <v>46</v>
      </c>
      <c r="P21" s="176">
        <v>0</v>
      </c>
      <c r="Q21" s="177">
        <v>1262</v>
      </c>
      <c r="R21" s="14" t="s">
        <v>107</v>
      </c>
    </row>
    <row r="22" spans="1:18" ht="15.75" customHeight="1">
      <c r="A22" s="13" t="s">
        <v>32</v>
      </c>
      <c r="B22" s="114">
        <f>_xlfn.COMPOUNDVALUE(469)</f>
        <v>1251</v>
      </c>
      <c r="C22" s="115">
        <v>7193245</v>
      </c>
      <c r="D22" s="114">
        <f>_xlfn.COMPOUNDVALUE(470)</f>
        <v>900</v>
      </c>
      <c r="E22" s="115">
        <v>463618</v>
      </c>
      <c r="F22" s="114">
        <f>_xlfn.COMPOUNDVALUE(471)</f>
        <v>2151</v>
      </c>
      <c r="G22" s="115">
        <v>7656863</v>
      </c>
      <c r="H22" s="114">
        <f>_xlfn.COMPOUNDVALUE(472)</f>
        <v>174</v>
      </c>
      <c r="I22" s="116">
        <v>263970</v>
      </c>
      <c r="J22" s="114">
        <v>131</v>
      </c>
      <c r="K22" s="116">
        <v>21101</v>
      </c>
      <c r="L22" s="114">
        <v>2378</v>
      </c>
      <c r="M22" s="116">
        <v>7413995</v>
      </c>
      <c r="N22" s="175">
        <v>2217</v>
      </c>
      <c r="O22" s="176">
        <v>49</v>
      </c>
      <c r="P22" s="176">
        <v>5</v>
      </c>
      <c r="Q22" s="177">
        <v>2271</v>
      </c>
      <c r="R22" s="14" t="s">
        <v>108</v>
      </c>
    </row>
    <row r="23" spans="1:18" ht="15.75" customHeight="1">
      <c r="A23" s="13" t="s">
        <v>33</v>
      </c>
      <c r="B23" s="114">
        <f>_xlfn.COMPOUNDVALUE(473)</f>
        <v>818</v>
      </c>
      <c r="C23" s="115">
        <v>3965074</v>
      </c>
      <c r="D23" s="114">
        <f>_xlfn.COMPOUNDVALUE(474)</f>
        <v>554</v>
      </c>
      <c r="E23" s="115">
        <v>260514</v>
      </c>
      <c r="F23" s="114">
        <f>_xlfn.COMPOUNDVALUE(475)</f>
        <v>1372</v>
      </c>
      <c r="G23" s="115">
        <v>4225587</v>
      </c>
      <c r="H23" s="114">
        <f>_xlfn.COMPOUNDVALUE(476)</f>
        <v>111</v>
      </c>
      <c r="I23" s="116">
        <v>207055</v>
      </c>
      <c r="J23" s="114">
        <v>78</v>
      </c>
      <c r="K23" s="116">
        <v>24977</v>
      </c>
      <c r="L23" s="114">
        <v>1517</v>
      </c>
      <c r="M23" s="116">
        <v>4043509</v>
      </c>
      <c r="N23" s="175">
        <v>1334</v>
      </c>
      <c r="O23" s="176">
        <v>58</v>
      </c>
      <c r="P23" s="176">
        <v>2</v>
      </c>
      <c r="Q23" s="177">
        <v>1394</v>
      </c>
      <c r="R23" s="14" t="s">
        <v>109</v>
      </c>
    </row>
    <row r="24" spans="1:18" ht="15.75" customHeight="1">
      <c r="A24" s="13" t="s">
        <v>34</v>
      </c>
      <c r="B24" s="114">
        <f>_xlfn.COMPOUNDVALUE(477)</f>
        <v>727</v>
      </c>
      <c r="C24" s="115">
        <v>3596248</v>
      </c>
      <c r="D24" s="114">
        <f>_xlfn.COMPOUNDVALUE(478)</f>
        <v>534</v>
      </c>
      <c r="E24" s="115">
        <v>251260</v>
      </c>
      <c r="F24" s="114">
        <f>_xlfn.COMPOUNDVALUE(479)</f>
        <v>1261</v>
      </c>
      <c r="G24" s="115">
        <v>3847508</v>
      </c>
      <c r="H24" s="114">
        <f>_xlfn.COMPOUNDVALUE(480)</f>
        <v>120</v>
      </c>
      <c r="I24" s="116">
        <v>906882</v>
      </c>
      <c r="J24" s="114">
        <v>60</v>
      </c>
      <c r="K24" s="116">
        <v>29898</v>
      </c>
      <c r="L24" s="114">
        <v>1415</v>
      </c>
      <c r="M24" s="116">
        <v>2970524</v>
      </c>
      <c r="N24" s="175">
        <v>1378</v>
      </c>
      <c r="O24" s="176">
        <v>68</v>
      </c>
      <c r="P24" s="176">
        <v>1</v>
      </c>
      <c r="Q24" s="177">
        <v>1447</v>
      </c>
      <c r="R24" s="14" t="s">
        <v>110</v>
      </c>
    </row>
    <row r="25" spans="1:18" ht="15.75" customHeight="1">
      <c r="A25" s="84" t="s">
        <v>90</v>
      </c>
      <c r="B25" s="129">
        <v>13859</v>
      </c>
      <c r="C25" s="130">
        <v>87969719</v>
      </c>
      <c r="D25" s="129">
        <v>9925</v>
      </c>
      <c r="E25" s="130">
        <v>5189097</v>
      </c>
      <c r="F25" s="129">
        <v>23784</v>
      </c>
      <c r="G25" s="130">
        <v>93158815</v>
      </c>
      <c r="H25" s="129">
        <v>1908</v>
      </c>
      <c r="I25" s="131">
        <v>6080589</v>
      </c>
      <c r="J25" s="129">
        <v>1431</v>
      </c>
      <c r="K25" s="131">
        <v>399936</v>
      </c>
      <c r="L25" s="129">
        <v>26215</v>
      </c>
      <c r="M25" s="131">
        <v>87478162</v>
      </c>
      <c r="N25" s="178">
        <v>24240</v>
      </c>
      <c r="O25" s="179">
        <v>831</v>
      </c>
      <c r="P25" s="179">
        <v>46</v>
      </c>
      <c r="Q25" s="180">
        <v>25117</v>
      </c>
      <c r="R25" s="83" t="s">
        <v>111</v>
      </c>
    </row>
    <row r="26" spans="1:18" ht="15.75" customHeight="1">
      <c r="A26" s="85"/>
      <c r="B26" s="132"/>
      <c r="C26" s="133"/>
      <c r="D26" s="132"/>
      <c r="E26" s="133"/>
      <c r="F26" s="134"/>
      <c r="G26" s="133"/>
      <c r="H26" s="134"/>
      <c r="I26" s="133"/>
      <c r="J26" s="134"/>
      <c r="K26" s="133"/>
      <c r="L26" s="134"/>
      <c r="M26" s="133"/>
      <c r="N26" s="181"/>
      <c r="O26" s="182"/>
      <c r="P26" s="182"/>
      <c r="Q26" s="183"/>
      <c r="R26" s="86"/>
    </row>
    <row r="27" spans="1:18" ht="15.75" customHeight="1">
      <c r="A27" s="87" t="s">
        <v>36</v>
      </c>
      <c r="B27" s="135">
        <f>_xlfn.COMPOUNDVALUE(481)</f>
        <v>6834</v>
      </c>
      <c r="C27" s="136">
        <v>67643112</v>
      </c>
      <c r="D27" s="135">
        <f>_xlfn.COMPOUNDVALUE(482)</f>
        <v>4265</v>
      </c>
      <c r="E27" s="136">
        <v>2854630</v>
      </c>
      <c r="F27" s="135">
        <f>_xlfn.COMPOUNDVALUE(483)</f>
        <v>11099</v>
      </c>
      <c r="G27" s="136">
        <v>70497741</v>
      </c>
      <c r="H27" s="135">
        <f>_xlfn.COMPOUNDVALUE(484)</f>
        <v>770</v>
      </c>
      <c r="I27" s="137">
        <v>2815638</v>
      </c>
      <c r="J27" s="135">
        <v>736</v>
      </c>
      <c r="K27" s="137">
        <v>277922</v>
      </c>
      <c r="L27" s="135">
        <v>12093</v>
      </c>
      <c r="M27" s="137">
        <v>67960025</v>
      </c>
      <c r="N27" s="184">
        <v>11966</v>
      </c>
      <c r="O27" s="185">
        <v>455</v>
      </c>
      <c r="P27" s="185">
        <v>49</v>
      </c>
      <c r="Q27" s="186">
        <v>12470</v>
      </c>
      <c r="R27" s="88" t="s">
        <v>112</v>
      </c>
    </row>
    <row r="28" spans="1:18" ht="15.75" customHeight="1">
      <c r="A28" s="13" t="s">
        <v>37</v>
      </c>
      <c r="B28" s="114">
        <f>_xlfn.COMPOUNDVALUE(485)</f>
        <v>5810</v>
      </c>
      <c r="C28" s="115">
        <v>75848219</v>
      </c>
      <c r="D28" s="114">
        <f>_xlfn.COMPOUNDVALUE(486)</f>
        <v>2759</v>
      </c>
      <c r="E28" s="115">
        <v>1974872</v>
      </c>
      <c r="F28" s="114">
        <f>_xlfn.COMPOUNDVALUE(487)</f>
        <v>8569</v>
      </c>
      <c r="G28" s="115">
        <v>77823090</v>
      </c>
      <c r="H28" s="114">
        <f>_xlfn.COMPOUNDVALUE(488)</f>
        <v>581</v>
      </c>
      <c r="I28" s="116">
        <v>3147640</v>
      </c>
      <c r="J28" s="114">
        <v>486</v>
      </c>
      <c r="K28" s="116">
        <v>554440</v>
      </c>
      <c r="L28" s="114">
        <v>9331</v>
      </c>
      <c r="M28" s="116">
        <v>75229890</v>
      </c>
      <c r="N28" s="175">
        <v>9341</v>
      </c>
      <c r="O28" s="176">
        <v>334</v>
      </c>
      <c r="P28" s="176">
        <v>45</v>
      </c>
      <c r="Q28" s="177">
        <v>9720</v>
      </c>
      <c r="R28" s="14" t="s">
        <v>113</v>
      </c>
    </row>
    <row r="29" spans="1:18" ht="15.75" customHeight="1">
      <c r="A29" s="13" t="s">
        <v>38</v>
      </c>
      <c r="B29" s="114">
        <f>_xlfn.COMPOUNDVALUE(489)</f>
        <v>3483</v>
      </c>
      <c r="C29" s="115">
        <v>23516609</v>
      </c>
      <c r="D29" s="114">
        <f>_xlfn.COMPOUNDVALUE(490)</f>
        <v>2597</v>
      </c>
      <c r="E29" s="115">
        <v>1600701</v>
      </c>
      <c r="F29" s="114">
        <f>_xlfn.COMPOUNDVALUE(491)</f>
        <v>6080</v>
      </c>
      <c r="G29" s="115">
        <v>25117311</v>
      </c>
      <c r="H29" s="114">
        <f>_xlfn.COMPOUNDVALUE(492)</f>
        <v>322</v>
      </c>
      <c r="I29" s="116">
        <v>1190271</v>
      </c>
      <c r="J29" s="114">
        <v>505</v>
      </c>
      <c r="K29" s="116">
        <v>198372</v>
      </c>
      <c r="L29" s="114">
        <v>6591</v>
      </c>
      <c r="M29" s="116">
        <v>24125412</v>
      </c>
      <c r="N29" s="175">
        <v>6588</v>
      </c>
      <c r="O29" s="176">
        <v>214</v>
      </c>
      <c r="P29" s="176">
        <v>11</v>
      </c>
      <c r="Q29" s="177">
        <v>6813</v>
      </c>
      <c r="R29" s="14" t="s">
        <v>114</v>
      </c>
    </row>
    <row r="30" spans="1:18" ht="15.75" customHeight="1">
      <c r="A30" s="13" t="s">
        <v>39</v>
      </c>
      <c r="B30" s="114">
        <f>_xlfn.COMPOUNDVALUE(493)</f>
        <v>2732</v>
      </c>
      <c r="C30" s="115">
        <v>13760275</v>
      </c>
      <c r="D30" s="114">
        <f>_xlfn.COMPOUNDVALUE(494)</f>
        <v>2056</v>
      </c>
      <c r="E30" s="115">
        <v>1031259</v>
      </c>
      <c r="F30" s="114">
        <f>_xlfn.COMPOUNDVALUE(495)</f>
        <v>4788</v>
      </c>
      <c r="G30" s="115">
        <v>14791534</v>
      </c>
      <c r="H30" s="114">
        <f>_xlfn.COMPOUNDVALUE(496)</f>
        <v>363</v>
      </c>
      <c r="I30" s="116">
        <v>2053866</v>
      </c>
      <c r="J30" s="114">
        <v>213</v>
      </c>
      <c r="K30" s="116">
        <v>59926</v>
      </c>
      <c r="L30" s="114">
        <v>5241</v>
      </c>
      <c r="M30" s="116">
        <v>12797594</v>
      </c>
      <c r="N30" s="175">
        <v>4971</v>
      </c>
      <c r="O30" s="176">
        <v>151</v>
      </c>
      <c r="P30" s="176">
        <v>8</v>
      </c>
      <c r="Q30" s="177">
        <v>5130</v>
      </c>
      <c r="R30" s="14" t="s">
        <v>115</v>
      </c>
    </row>
    <row r="31" spans="1:18" ht="15.75" customHeight="1">
      <c r="A31" s="13" t="s">
        <v>40</v>
      </c>
      <c r="B31" s="114">
        <f>_xlfn.COMPOUNDVALUE(497)</f>
        <v>1881</v>
      </c>
      <c r="C31" s="115">
        <v>8107103</v>
      </c>
      <c r="D31" s="114">
        <f>_xlfn.COMPOUNDVALUE(498)</f>
        <v>1267</v>
      </c>
      <c r="E31" s="115">
        <v>691631</v>
      </c>
      <c r="F31" s="114">
        <f>_xlfn.COMPOUNDVALUE(499)</f>
        <v>3148</v>
      </c>
      <c r="G31" s="115">
        <v>8798734</v>
      </c>
      <c r="H31" s="114">
        <f>_xlfn.COMPOUNDVALUE(500)</f>
        <v>207</v>
      </c>
      <c r="I31" s="116">
        <v>735681</v>
      </c>
      <c r="J31" s="114">
        <v>231</v>
      </c>
      <c r="K31" s="116">
        <v>43006</v>
      </c>
      <c r="L31" s="114">
        <v>3422</v>
      </c>
      <c r="M31" s="116">
        <v>8106060</v>
      </c>
      <c r="N31" s="175">
        <v>3473</v>
      </c>
      <c r="O31" s="176">
        <v>98</v>
      </c>
      <c r="P31" s="176">
        <v>6</v>
      </c>
      <c r="Q31" s="177">
        <v>3577</v>
      </c>
      <c r="R31" s="14" t="s">
        <v>116</v>
      </c>
    </row>
    <row r="32" spans="1:18" ht="15.75" customHeight="1">
      <c r="A32" s="13" t="s">
        <v>41</v>
      </c>
      <c r="B32" s="114">
        <f>_xlfn.COMPOUNDVALUE(501)</f>
        <v>2188</v>
      </c>
      <c r="C32" s="115">
        <v>10175725</v>
      </c>
      <c r="D32" s="114">
        <f>_xlfn.COMPOUNDVALUE(502)</f>
        <v>1860</v>
      </c>
      <c r="E32" s="115">
        <v>935533</v>
      </c>
      <c r="F32" s="114">
        <f>_xlfn.COMPOUNDVALUE(503)</f>
        <v>4048</v>
      </c>
      <c r="G32" s="115">
        <v>11111258</v>
      </c>
      <c r="H32" s="114">
        <f>_xlfn.COMPOUNDVALUE(504)</f>
        <v>376</v>
      </c>
      <c r="I32" s="116">
        <v>686209</v>
      </c>
      <c r="J32" s="114">
        <v>217</v>
      </c>
      <c r="K32" s="116">
        <v>64312</v>
      </c>
      <c r="L32" s="114">
        <v>4487</v>
      </c>
      <c r="M32" s="116">
        <v>10489361</v>
      </c>
      <c r="N32" s="175">
        <v>4290</v>
      </c>
      <c r="O32" s="176">
        <v>145</v>
      </c>
      <c r="P32" s="176">
        <v>8</v>
      </c>
      <c r="Q32" s="177">
        <v>4443</v>
      </c>
      <c r="R32" s="14" t="s">
        <v>117</v>
      </c>
    </row>
    <row r="33" spans="1:18" ht="15.75" customHeight="1">
      <c r="A33" s="13" t="s">
        <v>42</v>
      </c>
      <c r="B33" s="114">
        <f>_xlfn.COMPOUNDVALUE(505)</f>
        <v>1079</v>
      </c>
      <c r="C33" s="115">
        <v>5069307</v>
      </c>
      <c r="D33" s="114">
        <f>_xlfn.COMPOUNDVALUE(506)</f>
        <v>813</v>
      </c>
      <c r="E33" s="115">
        <v>338684</v>
      </c>
      <c r="F33" s="114">
        <f>_xlfn.COMPOUNDVALUE(507)</f>
        <v>1892</v>
      </c>
      <c r="G33" s="115">
        <v>5407991</v>
      </c>
      <c r="H33" s="114">
        <f>_xlfn.COMPOUNDVALUE(508)</f>
        <v>131</v>
      </c>
      <c r="I33" s="116">
        <v>425465</v>
      </c>
      <c r="J33" s="114">
        <v>92</v>
      </c>
      <c r="K33" s="116">
        <v>18896</v>
      </c>
      <c r="L33" s="114">
        <v>2055</v>
      </c>
      <c r="M33" s="116">
        <v>5001422</v>
      </c>
      <c r="N33" s="175">
        <v>1876</v>
      </c>
      <c r="O33" s="176">
        <v>69</v>
      </c>
      <c r="P33" s="176">
        <v>1</v>
      </c>
      <c r="Q33" s="177">
        <v>1946</v>
      </c>
      <c r="R33" s="14" t="s">
        <v>118</v>
      </c>
    </row>
    <row r="34" spans="1:18" ht="15.75" customHeight="1">
      <c r="A34" s="13" t="s">
        <v>43</v>
      </c>
      <c r="B34" s="114">
        <f>_xlfn.COMPOUNDVALUE(509)</f>
        <v>1664</v>
      </c>
      <c r="C34" s="115">
        <v>6437480</v>
      </c>
      <c r="D34" s="114">
        <f>_xlfn.COMPOUNDVALUE(510)</f>
        <v>1240</v>
      </c>
      <c r="E34" s="115">
        <v>683659</v>
      </c>
      <c r="F34" s="114">
        <f>_xlfn.COMPOUNDVALUE(511)</f>
        <v>2904</v>
      </c>
      <c r="G34" s="115">
        <v>7121138</v>
      </c>
      <c r="H34" s="114">
        <f>_xlfn.COMPOUNDVALUE(512)</f>
        <v>277</v>
      </c>
      <c r="I34" s="116">
        <v>1647168</v>
      </c>
      <c r="J34" s="114">
        <v>248</v>
      </c>
      <c r="K34" s="116">
        <v>45510</v>
      </c>
      <c r="L34" s="114">
        <v>3290</v>
      </c>
      <c r="M34" s="116">
        <v>5519480</v>
      </c>
      <c r="N34" s="175">
        <v>3079</v>
      </c>
      <c r="O34" s="176">
        <v>95</v>
      </c>
      <c r="P34" s="176">
        <v>7</v>
      </c>
      <c r="Q34" s="177">
        <v>3181</v>
      </c>
      <c r="R34" s="14" t="s">
        <v>119</v>
      </c>
    </row>
    <row r="35" spans="1:18" ht="15.75" customHeight="1">
      <c r="A35" s="13" t="s">
        <v>44</v>
      </c>
      <c r="B35" s="114">
        <f>_xlfn.COMPOUNDVALUE(513)</f>
        <v>825</v>
      </c>
      <c r="C35" s="115">
        <v>4014135</v>
      </c>
      <c r="D35" s="114">
        <f>_xlfn.COMPOUNDVALUE(514)</f>
        <v>625</v>
      </c>
      <c r="E35" s="115">
        <v>321131</v>
      </c>
      <c r="F35" s="114">
        <f>_xlfn.COMPOUNDVALUE(515)</f>
        <v>1450</v>
      </c>
      <c r="G35" s="115">
        <v>4335266</v>
      </c>
      <c r="H35" s="114">
        <f>_xlfn.COMPOUNDVALUE(516)</f>
        <v>180</v>
      </c>
      <c r="I35" s="116">
        <v>1029204</v>
      </c>
      <c r="J35" s="114">
        <v>103</v>
      </c>
      <c r="K35" s="116">
        <v>13156</v>
      </c>
      <c r="L35" s="114">
        <v>1664</v>
      </c>
      <c r="M35" s="116">
        <v>3319218</v>
      </c>
      <c r="N35" s="175">
        <v>1470</v>
      </c>
      <c r="O35" s="176">
        <v>68</v>
      </c>
      <c r="P35" s="176">
        <v>1</v>
      </c>
      <c r="Q35" s="177">
        <v>1539</v>
      </c>
      <c r="R35" s="14" t="s">
        <v>120</v>
      </c>
    </row>
    <row r="36" spans="1:18" ht="15.75" customHeight="1">
      <c r="A36" s="13" t="s">
        <v>45</v>
      </c>
      <c r="B36" s="114">
        <f>_xlfn.COMPOUNDVALUE(517)</f>
        <v>995</v>
      </c>
      <c r="C36" s="115">
        <v>5177292</v>
      </c>
      <c r="D36" s="114">
        <f>_xlfn.COMPOUNDVALUE(518)</f>
        <v>892</v>
      </c>
      <c r="E36" s="115">
        <v>458154</v>
      </c>
      <c r="F36" s="114">
        <f>_xlfn.COMPOUNDVALUE(519)</f>
        <v>1887</v>
      </c>
      <c r="G36" s="115">
        <v>5635446</v>
      </c>
      <c r="H36" s="114">
        <f>_xlfn.COMPOUNDVALUE(520)</f>
        <v>222</v>
      </c>
      <c r="I36" s="116">
        <v>290674</v>
      </c>
      <c r="J36" s="114">
        <v>113</v>
      </c>
      <c r="K36" s="116">
        <v>-24438</v>
      </c>
      <c r="L36" s="114">
        <v>2140</v>
      </c>
      <c r="M36" s="116">
        <v>5320334</v>
      </c>
      <c r="N36" s="175">
        <v>1967</v>
      </c>
      <c r="O36" s="176">
        <v>61</v>
      </c>
      <c r="P36" s="176">
        <v>2</v>
      </c>
      <c r="Q36" s="177">
        <v>2030</v>
      </c>
      <c r="R36" s="14" t="s">
        <v>121</v>
      </c>
    </row>
    <row r="37" spans="1:18" ht="15.75" customHeight="1">
      <c r="A37" s="84" t="s">
        <v>46</v>
      </c>
      <c r="B37" s="129">
        <v>27491</v>
      </c>
      <c r="C37" s="130">
        <v>219749256</v>
      </c>
      <c r="D37" s="129">
        <v>18374</v>
      </c>
      <c r="E37" s="130">
        <v>10890253</v>
      </c>
      <c r="F37" s="129">
        <v>45865</v>
      </c>
      <c r="G37" s="130">
        <v>230639509</v>
      </c>
      <c r="H37" s="129">
        <v>3429</v>
      </c>
      <c r="I37" s="131">
        <v>14021815</v>
      </c>
      <c r="J37" s="129">
        <v>2944</v>
      </c>
      <c r="K37" s="131">
        <v>1251103</v>
      </c>
      <c r="L37" s="129">
        <v>50314</v>
      </c>
      <c r="M37" s="131">
        <v>217868797</v>
      </c>
      <c r="N37" s="178">
        <v>49021</v>
      </c>
      <c r="O37" s="179">
        <v>1690</v>
      </c>
      <c r="P37" s="179">
        <v>138</v>
      </c>
      <c r="Q37" s="180">
        <v>50849</v>
      </c>
      <c r="R37" s="83" t="s">
        <v>122</v>
      </c>
    </row>
    <row r="38" spans="1:18" ht="15.75" customHeight="1">
      <c r="A38" s="89"/>
      <c r="B38" s="138"/>
      <c r="C38" s="139"/>
      <c r="D38" s="138"/>
      <c r="E38" s="139"/>
      <c r="F38" s="140"/>
      <c r="G38" s="139"/>
      <c r="H38" s="140"/>
      <c r="I38" s="139"/>
      <c r="J38" s="140"/>
      <c r="K38" s="139"/>
      <c r="L38" s="140"/>
      <c r="M38" s="139"/>
      <c r="N38" s="187"/>
      <c r="O38" s="188"/>
      <c r="P38" s="188"/>
      <c r="Q38" s="189"/>
      <c r="R38" s="90"/>
    </row>
    <row r="39" spans="1:18" ht="15.75" customHeight="1">
      <c r="A39" s="11" t="s">
        <v>47</v>
      </c>
      <c r="B39" s="111">
        <f>_xlfn.COMPOUNDVALUE(521)</f>
        <v>2823</v>
      </c>
      <c r="C39" s="112">
        <v>20758479</v>
      </c>
      <c r="D39" s="111">
        <f>_xlfn.COMPOUNDVALUE(522)</f>
        <v>1741</v>
      </c>
      <c r="E39" s="112">
        <v>1111734</v>
      </c>
      <c r="F39" s="111">
        <f>_xlfn.COMPOUNDVALUE(523)</f>
        <v>4564</v>
      </c>
      <c r="G39" s="112">
        <v>21870213</v>
      </c>
      <c r="H39" s="111">
        <f>_xlfn.COMPOUNDVALUE(524)</f>
        <v>194</v>
      </c>
      <c r="I39" s="113">
        <v>782474</v>
      </c>
      <c r="J39" s="111">
        <v>448</v>
      </c>
      <c r="K39" s="113">
        <v>48237</v>
      </c>
      <c r="L39" s="111">
        <v>4869</v>
      </c>
      <c r="M39" s="113">
        <v>21135975</v>
      </c>
      <c r="N39" s="175">
        <v>4745</v>
      </c>
      <c r="O39" s="176">
        <v>131</v>
      </c>
      <c r="P39" s="176">
        <v>18</v>
      </c>
      <c r="Q39" s="177">
        <v>4894</v>
      </c>
      <c r="R39" s="12" t="s">
        <v>123</v>
      </c>
    </row>
    <row r="40" spans="1:18" ht="15.75" customHeight="1">
      <c r="A40" s="13" t="s">
        <v>48</v>
      </c>
      <c r="B40" s="114">
        <f>_xlfn.COMPOUNDVALUE(525)</f>
        <v>1473</v>
      </c>
      <c r="C40" s="115">
        <v>9305779</v>
      </c>
      <c r="D40" s="114">
        <f>_xlfn.COMPOUNDVALUE(526)</f>
        <v>1620</v>
      </c>
      <c r="E40" s="115">
        <v>705362</v>
      </c>
      <c r="F40" s="114">
        <f>_xlfn.COMPOUNDVALUE(527)</f>
        <v>3093</v>
      </c>
      <c r="G40" s="115">
        <v>10011141</v>
      </c>
      <c r="H40" s="114">
        <f>_xlfn.COMPOUNDVALUE(528)</f>
        <v>135</v>
      </c>
      <c r="I40" s="116">
        <v>485044</v>
      </c>
      <c r="J40" s="114">
        <v>224</v>
      </c>
      <c r="K40" s="116">
        <v>37401</v>
      </c>
      <c r="L40" s="114">
        <v>3302</v>
      </c>
      <c r="M40" s="116">
        <v>9563498</v>
      </c>
      <c r="N40" s="175">
        <v>3092</v>
      </c>
      <c r="O40" s="176">
        <v>81</v>
      </c>
      <c r="P40" s="176">
        <v>4</v>
      </c>
      <c r="Q40" s="177">
        <v>3177</v>
      </c>
      <c r="R40" s="14" t="s">
        <v>124</v>
      </c>
    </row>
    <row r="41" spans="1:18" ht="15.75" customHeight="1">
      <c r="A41" s="13" t="s">
        <v>49</v>
      </c>
      <c r="B41" s="114">
        <f>_xlfn.COMPOUNDVALUE(529)</f>
        <v>899</v>
      </c>
      <c r="C41" s="115">
        <v>4080959</v>
      </c>
      <c r="D41" s="114">
        <f>_xlfn.COMPOUNDVALUE(530)</f>
        <v>918</v>
      </c>
      <c r="E41" s="115">
        <v>381685</v>
      </c>
      <c r="F41" s="114">
        <f>_xlfn.COMPOUNDVALUE(531)</f>
        <v>1817</v>
      </c>
      <c r="G41" s="115">
        <v>4462644</v>
      </c>
      <c r="H41" s="114">
        <f>_xlfn.COMPOUNDVALUE(532)</f>
        <v>95</v>
      </c>
      <c r="I41" s="116">
        <v>304324</v>
      </c>
      <c r="J41" s="114">
        <v>118</v>
      </c>
      <c r="K41" s="116">
        <v>14663</v>
      </c>
      <c r="L41" s="114">
        <v>1947</v>
      </c>
      <c r="M41" s="116">
        <v>4172984</v>
      </c>
      <c r="N41" s="175">
        <v>1737</v>
      </c>
      <c r="O41" s="176">
        <v>77</v>
      </c>
      <c r="P41" s="176">
        <v>4</v>
      </c>
      <c r="Q41" s="177">
        <v>1818</v>
      </c>
      <c r="R41" s="14" t="s">
        <v>125</v>
      </c>
    </row>
    <row r="42" spans="1:18" ht="15.75" customHeight="1">
      <c r="A42" s="13" t="s">
        <v>50</v>
      </c>
      <c r="B42" s="114">
        <f>_xlfn.COMPOUNDVALUE(533)</f>
        <v>942</v>
      </c>
      <c r="C42" s="115">
        <v>4042434</v>
      </c>
      <c r="D42" s="114">
        <f>_xlfn.COMPOUNDVALUE(534)</f>
        <v>929</v>
      </c>
      <c r="E42" s="115">
        <v>427255</v>
      </c>
      <c r="F42" s="114">
        <f>_xlfn.COMPOUNDVALUE(535)</f>
        <v>1871</v>
      </c>
      <c r="G42" s="115">
        <v>4469689</v>
      </c>
      <c r="H42" s="114">
        <f>_xlfn.COMPOUNDVALUE(536)</f>
        <v>166</v>
      </c>
      <c r="I42" s="116">
        <v>481974</v>
      </c>
      <c r="J42" s="114">
        <v>85</v>
      </c>
      <c r="K42" s="116">
        <v>541</v>
      </c>
      <c r="L42" s="114">
        <v>2053</v>
      </c>
      <c r="M42" s="116">
        <v>3988256</v>
      </c>
      <c r="N42" s="175">
        <v>1960</v>
      </c>
      <c r="O42" s="176">
        <v>61</v>
      </c>
      <c r="P42" s="176">
        <v>5</v>
      </c>
      <c r="Q42" s="177">
        <v>2026</v>
      </c>
      <c r="R42" s="14" t="s">
        <v>126</v>
      </c>
    </row>
    <row r="43" spans="1:18" ht="15.75" customHeight="1">
      <c r="A43" s="13" t="s">
        <v>51</v>
      </c>
      <c r="B43" s="114">
        <f>_xlfn.COMPOUNDVALUE(537)</f>
        <v>1452</v>
      </c>
      <c r="C43" s="115">
        <v>8748075</v>
      </c>
      <c r="D43" s="114">
        <f>_xlfn.COMPOUNDVALUE(538)</f>
        <v>1088</v>
      </c>
      <c r="E43" s="115">
        <v>540523</v>
      </c>
      <c r="F43" s="114">
        <f>_xlfn.COMPOUNDVALUE(539)</f>
        <v>2540</v>
      </c>
      <c r="G43" s="115">
        <v>9288598</v>
      </c>
      <c r="H43" s="114">
        <f>_xlfn.COMPOUNDVALUE(540)</f>
        <v>215</v>
      </c>
      <c r="I43" s="116">
        <v>1063265</v>
      </c>
      <c r="J43" s="114">
        <v>127</v>
      </c>
      <c r="K43" s="116">
        <v>37569</v>
      </c>
      <c r="L43" s="114">
        <v>2796</v>
      </c>
      <c r="M43" s="116">
        <v>8262901</v>
      </c>
      <c r="N43" s="175">
        <v>2619</v>
      </c>
      <c r="O43" s="176">
        <v>101</v>
      </c>
      <c r="P43" s="176">
        <v>4</v>
      </c>
      <c r="Q43" s="177">
        <v>2724</v>
      </c>
      <c r="R43" s="14" t="s">
        <v>127</v>
      </c>
    </row>
    <row r="44" spans="1:18" ht="15.75" customHeight="1">
      <c r="A44" s="13" t="s">
        <v>52</v>
      </c>
      <c r="B44" s="114">
        <f>_xlfn.COMPOUNDVALUE(541)</f>
        <v>1004</v>
      </c>
      <c r="C44" s="115">
        <v>8151880</v>
      </c>
      <c r="D44" s="114">
        <f>_xlfn.COMPOUNDVALUE(542)</f>
        <v>926</v>
      </c>
      <c r="E44" s="115">
        <v>438655</v>
      </c>
      <c r="F44" s="114">
        <f>_xlfn.COMPOUNDVALUE(543)</f>
        <v>1930</v>
      </c>
      <c r="G44" s="115">
        <v>8590536</v>
      </c>
      <c r="H44" s="114">
        <f>_xlfn.COMPOUNDVALUE(544)</f>
        <v>143</v>
      </c>
      <c r="I44" s="116">
        <v>331376</v>
      </c>
      <c r="J44" s="114">
        <v>116</v>
      </c>
      <c r="K44" s="116">
        <v>-112304</v>
      </c>
      <c r="L44" s="114">
        <v>2107</v>
      </c>
      <c r="M44" s="116">
        <v>8146856</v>
      </c>
      <c r="N44" s="175">
        <v>1869</v>
      </c>
      <c r="O44" s="176">
        <v>68</v>
      </c>
      <c r="P44" s="176">
        <v>1</v>
      </c>
      <c r="Q44" s="177">
        <v>1938</v>
      </c>
      <c r="R44" s="14" t="s">
        <v>128</v>
      </c>
    </row>
    <row r="45" spans="1:18" ht="15.75" customHeight="1">
      <c r="A45" s="13" t="s">
        <v>53</v>
      </c>
      <c r="B45" s="114">
        <f>_xlfn.COMPOUNDVALUE(545)</f>
        <v>682</v>
      </c>
      <c r="C45" s="115">
        <v>3907613</v>
      </c>
      <c r="D45" s="114">
        <f>_xlfn.COMPOUNDVALUE(546)</f>
        <v>574</v>
      </c>
      <c r="E45" s="115">
        <v>263439</v>
      </c>
      <c r="F45" s="114">
        <f>_xlfn.COMPOUNDVALUE(547)</f>
        <v>1256</v>
      </c>
      <c r="G45" s="115">
        <v>4171052</v>
      </c>
      <c r="H45" s="114">
        <f>_xlfn.COMPOUNDVALUE(548)</f>
        <v>126</v>
      </c>
      <c r="I45" s="116">
        <v>212297</v>
      </c>
      <c r="J45" s="114">
        <v>48</v>
      </c>
      <c r="K45" s="116">
        <v>11073</v>
      </c>
      <c r="L45" s="114">
        <v>1394</v>
      </c>
      <c r="M45" s="116">
        <v>3969827</v>
      </c>
      <c r="N45" s="175">
        <v>1275</v>
      </c>
      <c r="O45" s="176">
        <v>40</v>
      </c>
      <c r="P45" s="176">
        <v>2</v>
      </c>
      <c r="Q45" s="177">
        <v>1317</v>
      </c>
      <c r="R45" s="14" t="s">
        <v>129</v>
      </c>
    </row>
    <row r="46" spans="1:18" ht="15.75" customHeight="1">
      <c r="A46" s="13" t="s">
        <v>54</v>
      </c>
      <c r="B46" s="114">
        <f>_xlfn.COMPOUNDVALUE(549)</f>
        <v>1370</v>
      </c>
      <c r="C46" s="115">
        <v>6882088</v>
      </c>
      <c r="D46" s="114">
        <f>_xlfn.COMPOUNDVALUE(550)</f>
        <v>1353</v>
      </c>
      <c r="E46" s="115">
        <v>633228</v>
      </c>
      <c r="F46" s="114">
        <f>_xlfn.COMPOUNDVALUE(551)</f>
        <v>2723</v>
      </c>
      <c r="G46" s="115">
        <v>7515316</v>
      </c>
      <c r="H46" s="114">
        <f>_xlfn.COMPOUNDVALUE(552)</f>
        <v>197</v>
      </c>
      <c r="I46" s="116">
        <v>331224</v>
      </c>
      <c r="J46" s="114">
        <v>112</v>
      </c>
      <c r="K46" s="116">
        <v>14301</v>
      </c>
      <c r="L46" s="114">
        <v>2967</v>
      </c>
      <c r="M46" s="116">
        <v>7198393</v>
      </c>
      <c r="N46" s="175">
        <v>2734</v>
      </c>
      <c r="O46" s="176">
        <v>87</v>
      </c>
      <c r="P46" s="176">
        <v>2</v>
      </c>
      <c r="Q46" s="177">
        <v>2823</v>
      </c>
      <c r="R46" s="14" t="s">
        <v>130</v>
      </c>
    </row>
    <row r="47" spans="1:18" ht="15.75" customHeight="1">
      <c r="A47" s="84" t="s">
        <v>55</v>
      </c>
      <c r="B47" s="129">
        <v>10645</v>
      </c>
      <c r="C47" s="130">
        <v>65877308</v>
      </c>
      <c r="D47" s="129">
        <v>9149</v>
      </c>
      <c r="E47" s="130">
        <v>4501881</v>
      </c>
      <c r="F47" s="129">
        <v>19794</v>
      </c>
      <c r="G47" s="130">
        <v>70379188</v>
      </c>
      <c r="H47" s="129">
        <v>1271</v>
      </c>
      <c r="I47" s="131">
        <v>3991980</v>
      </c>
      <c r="J47" s="129">
        <v>1278</v>
      </c>
      <c r="K47" s="131">
        <v>51481</v>
      </c>
      <c r="L47" s="129">
        <v>21435</v>
      </c>
      <c r="M47" s="131">
        <v>66438690</v>
      </c>
      <c r="N47" s="178">
        <v>20031</v>
      </c>
      <c r="O47" s="179">
        <v>646</v>
      </c>
      <c r="P47" s="179">
        <v>40</v>
      </c>
      <c r="Q47" s="180">
        <v>20717</v>
      </c>
      <c r="R47" s="83" t="s">
        <v>131</v>
      </c>
    </row>
    <row r="48" spans="1:18" ht="15.75" customHeight="1">
      <c r="A48" s="85"/>
      <c r="B48" s="132"/>
      <c r="C48" s="133"/>
      <c r="D48" s="132"/>
      <c r="E48" s="133"/>
      <c r="F48" s="134"/>
      <c r="G48" s="133"/>
      <c r="H48" s="134"/>
      <c r="I48" s="133"/>
      <c r="J48" s="134"/>
      <c r="K48" s="133"/>
      <c r="L48" s="134"/>
      <c r="M48" s="133"/>
      <c r="N48" s="181"/>
      <c r="O48" s="182"/>
      <c r="P48" s="182"/>
      <c r="Q48" s="183"/>
      <c r="R48" s="86"/>
    </row>
    <row r="49" spans="1:18" ht="15.75" customHeight="1">
      <c r="A49" s="87" t="s">
        <v>56</v>
      </c>
      <c r="B49" s="135">
        <f>_xlfn.COMPOUNDVALUE(553)</f>
        <v>4338</v>
      </c>
      <c r="C49" s="136">
        <v>32984780</v>
      </c>
      <c r="D49" s="135">
        <f>_xlfn.COMPOUNDVALUE(554)</f>
        <v>3570</v>
      </c>
      <c r="E49" s="136">
        <v>1876150</v>
      </c>
      <c r="F49" s="135">
        <f>_xlfn.COMPOUNDVALUE(555)</f>
        <v>7908</v>
      </c>
      <c r="G49" s="136">
        <v>34860929</v>
      </c>
      <c r="H49" s="135">
        <f>_xlfn.COMPOUNDVALUE(556)</f>
        <v>383</v>
      </c>
      <c r="I49" s="137">
        <v>800980</v>
      </c>
      <c r="J49" s="135">
        <v>472</v>
      </c>
      <c r="K49" s="137">
        <v>76731</v>
      </c>
      <c r="L49" s="135">
        <v>8410</v>
      </c>
      <c r="M49" s="137">
        <v>34136680</v>
      </c>
      <c r="N49" s="184">
        <v>7954</v>
      </c>
      <c r="O49" s="185">
        <v>172</v>
      </c>
      <c r="P49" s="185">
        <v>15</v>
      </c>
      <c r="Q49" s="186">
        <v>8141</v>
      </c>
      <c r="R49" s="88" t="s">
        <v>132</v>
      </c>
    </row>
    <row r="50" spans="1:18" ht="15.75" customHeight="1">
      <c r="A50" s="13" t="s">
        <v>57</v>
      </c>
      <c r="B50" s="114">
        <f>_xlfn.COMPOUNDVALUE(557)</f>
        <v>1939</v>
      </c>
      <c r="C50" s="115">
        <v>10380626</v>
      </c>
      <c r="D50" s="114">
        <f>_xlfn.COMPOUNDVALUE(558)</f>
        <v>1682</v>
      </c>
      <c r="E50" s="115">
        <v>760325</v>
      </c>
      <c r="F50" s="114">
        <f>_xlfn.COMPOUNDVALUE(559)</f>
        <v>3621</v>
      </c>
      <c r="G50" s="115">
        <v>11140951</v>
      </c>
      <c r="H50" s="114">
        <f>_xlfn.COMPOUNDVALUE(560)</f>
        <v>209</v>
      </c>
      <c r="I50" s="116">
        <v>1604843</v>
      </c>
      <c r="J50" s="114">
        <v>192</v>
      </c>
      <c r="K50" s="116">
        <v>21263</v>
      </c>
      <c r="L50" s="114">
        <v>3874</v>
      </c>
      <c r="M50" s="116">
        <v>9557371</v>
      </c>
      <c r="N50" s="175">
        <v>3472</v>
      </c>
      <c r="O50" s="176">
        <v>112</v>
      </c>
      <c r="P50" s="176">
        <v>5</v>
      </c>
      <c r="Q50" s="177">
        <v>3589</v>
      </c>
      <c r="R50" s="14" t="s">
        <v>133</v>
      </c>
    </row>
    <row r="51" spans="1:18" ht="15.75" customHeight="1">
      <c r="A51" s="13" t="s">
        <v>58</v>
      </c>
      <c r="B51" s="114">
        <f>_xlfn.COMPOUNDVALUE(561)</f>
        <v>1740</v>
      </c>
      <c r="C51" s="115">
        <v>9029659</v>
      </c>
      <c r="D51" s="114">
        <f>_xlfn.COMPOUNDVALUE(562)</f>
        <v>1950</v>
      </c>
      <c r="E51" s="115">
        <v>817065</v>
      </c>
      <c r="F51" s="114">
        <f>_xlfn.COMPOUNDVALUE(563)</f>
        <v>3690</v>
      </c>
      <c r="G51" s="115">
        <v>9846724</v>
      </c>
      <c r="H51" s="114">
        <f>_xlfn.COMPOUNDVALUE(564)</f>
        <v>198</v>
      </c>
      <c r="I51" s="116">
        <v>614506</v>
      </c>
      <c r="J51" s="114">
        <v>137</v>
      </c>
      <c r="K51" s="116">
        <v>73176</v>
      </c>
      <c r="L51" s="114">
        <v>3930</v>
      </c>
      <c r="M51" s="116">
        <v>9305394</v>
      </c>
      <c r="N51" s="175">
        <v>3689</v>
      </c>
      <c r="O51" s="176">
        <v>77</v>
      </c>
      <c r="P51" s="176">
        <v>5</v>
      </c>
      <c r="Q51" s="177">
        <v>3771</v>
      </c>
      <c r="R51" s="14" t="s">
        <v>134</v>
      </c>
    </row>
    <row r="52" spans="1:18" ht="15.75" customHeight="1">
      <c r="A52" s="13" t="s">
        <v>59</v>
      </c>
      <c r="B52" s="114">
        <f>_xlfn.COMPOUNDVALUE(565)</f>
        <v>1329</v>
      </c>
      <c r="C52" s="115">
        <v>8540081</v>
      </c>
      <c r="D52" s="114">
        <f>_xlfn.COMPOUNDVALUE(566)</f>
        <v>1315</v>
      </c>
      <c r="E52" s="115">
        <v>585016</v>
      </c>
      <c r="F52" s="114">
        <f>_xlfn.COMPOUNDVALUE(567)</f>
        <v>2644</v>
      </c>
      <c r="G52" s="115">
        <v>9125097</v>
      </c>
      <c r="H52" s="114">
        <f>_xlfn.COMPOUNDVALUE(568)</f>
        <v>152</v>
      </c>
      <c r="I52" s="116">
        <v>604313</v>
      </c>
      <c r="J52" s="114">
        <v>134</v>
      </c>
      <c r="K52" s="116">
        <v>20804</v>
      </c>
      <c r="L52" s="114">
        <v>2829</v>
      </c>
      <c r="M52" s="116">
        <v>8541587</v>
      </c>
      <c r="N52" s="175">
        <v>2645</v>
      </c>
      <c r="O52" s="176">
        <v>61</v>
      </c>
      <c r="P52" s="176">
        <v>3</v>
      </c>
      <c r="Q52" s="177">
        <v>2709</v>
      </c>
      <c r="R52" s="14" t="s">
        <v>135</v>
      </c>
    </row>
    <row r="53" spans="1:18" ht="15.75" customHeight="1">
      <c r="A53" s="13" t="s">
        <v>60</v>
      </c>
      <c r="B53" s="114">
        <f>_xlfn.COMPOUNDVALUE(569)</f>
        <v>919</v>
      </c>
      <c r="C53" s="115">
        <v>4424656</v>
      </c>
      <c r="D53" s="114">
        <f>_xlfn.COMPOUNDVALUE(570)</f>
        <v>963</v>
      </c>
      <c r="E53" s="115">
        <v>438871</v>
      </c>
      <c r="F53" s="114">
        <f>_xlfn.COMPOUNDVALUE(571)</f>
        <v>1882</v>
      </c>
      <c r="G53" s="115">
        <v>4863527</v>
      </c>
      <c r="H53" s="114">
        <f>_xlfn.COMPOUNDVALUE(572)</f>
        <v>98</v>
      </c>
      <c r="I53" s="116">
        <v>203117</v>
      </c>
      <c r="J53" s="114">
        <v>118</v>
      </c>
      <c r="K53" s="116">
        <v>9479</v>
      </c>
      <c r="L53" s="114">
        <v>2017</v>
      </c>
      <c r="M53" s="116">
        <v>4669890</v>
      </c>
      <c r="N53" s="175">
        <v>1892</v>
      </c>
      <c r="O53" s="176">
        <v>52</v>
      </c>
      <c r="P53" s="176">
        <v>2</v>
      </c>
      <c r="Q53" s="177">
        <v>1946</v>
      </c>
      <c r="R53" s="14" t="s">
        <v>136</v>
      </c>
    </row>
    <row r="54" spans="1:18" ht="15.75" customHeight="1">
      <c r="A54" s="13" t="s">
        <v>61</v>
      </c>
      <c r="B54" s="114">
        <f>_xlfn.COMPOUNDVALUE(573)</f>
        <v>893</v>
      </c>
      <c r="C54" s="115">
        <v>5099253</v>
      </c>
      <c r="D54" s="114">
        <f>_xlfn.COMPOUNDVALUE(574)</f>
        <v>912</v>
      </c>
      <c r="E54" s="115">
        <v>401318</v>
      </c>
      <c r="F54" s="114">
        <f>_xlfn.COMPOUNDVALUE(575)</f>
        <v>1805</v>
      </c>
      <c r="G54" s="115">
        <v>5500571</v>
      </c>
      <c r="H54" s="114">
        <f>_xlfn.COMPOUNDVALUE(576)</f>
        <v>93</v>
      </c>
      <c r="I54" s="116">
        <v>110421</v>
      </c>
      <c r="J54" s="114">
        <v>103</v>
      </c>
      <c r="K54" s="116">
        <v>12822</v>
      </c>
      <c r="L54" s="114">
        <v>1947</v>
      </c>
      <c r="M54" s="116">
        <v>5402971</v>
      </c>
      <c r="N54" s="175">
        <v>1787</v>
      </c>
      <c r="O54" s="176">
        <v>47</v>
      </c>
      <c r="P54" s="176">
        <v>0</v>
      </c>
      <c r="Q54" s="177">
        <v>1834</v>
      </c>
      <c r="R54" s="14" t="s">
        <v>137</v>
      </c>
    </row>
    <row r="55" spans="1:18" ht="15.75" customHeight="1">
      <c r="A55" s="13" t="s">
        <v>62</v>
      </c>
      <c r="B55" s="114">
        <f>_xlfn.COMPOUNDVALUE(577)</f>
        <v>1140</v>
      </c>
      <c r="C55" s="115">
        <v>6083196</v>
      </c>
      <c r="D55" s="114">
        <f>_xlfn.COMPOUNDVALUE(578)</f>
        <v>1075</v>
      </c>
      <c r="E55" s="115">
        <v>467626</v>
      </c>
      <c r="F55" s="114">
        <f>_xlfn.COMPOUNDVALUE(579)</f>
        <v>2215</v>
      </c>
      <c r="G55" s="115">
        <v>6550822</v>
      </c>
      <c r="H55" s="114">
        <f>_xlfn.COMPOUNDVALUE(580)</f>
        <v>127</v>
      </c>
      <c r="I55" s="116">
        <v>3409631</v>
      </c>
      <c r="J55" s="114">
        <v>167</v>
      </c>
      <c r="K55" s="116">
        <v>50424</v>
      </c>
      <c r="L55" s="114">
        <v>2419</v>
      </c>
      <c r="M55" s="116">
        <v>3191614</v>
      </c>
      <c r="N55" s="175">
        <v>2319</v>
      </c>
      <c r="O55" s="176">
        <v>56</v>
      </c>
      <c r="P55" s="176">
        <v>3</v>
      </c>
      <c r="Q55" s="177">
        <v>2378</v>
      </c>
      <c r="R55" s="14" t="s">
        <v>138</v>
      </c>
    </row>
    <row r="56" spans="1:18" ht="15.75" customHeight="1">
      <c r="A56" s="13" t="s">
        <v>63</v>
      </c>
      <c r="B56" s="114">
        <f>_xlfn.COMPOUNDVALUE(581)</f>
        <v>711</v>
      </c>
      <c r="C56" s="115">
        <v>4276386</v>
      </c>
      <c r="D56" s="114">
        <f>_xlfn.COMPOUNDVALUE(582)</f>
        <v>580</v>
      </c>
      <c r="E56" s="115">
        <v>278291</v>
      </c>
      <c r="F56" s="114">
        <f>_xlfn.COMPOUNDVALUE(583)</f>
        <v>1291</v>
      </c>
      <c r="G56" s="115">
        <v>4554676</v>
      </c>
      <c r="H56" s="114">
        <f>_xlfn.COMPOUNDVALUE(584)</f>
        <v>131</v>
      </c>
      <c r="I56" s="116">
        <v>169195</v>
      </c>
      <c r="J56" s="114">
        <v>62</v>
      </c>
      <c r="K56" s="116">
        <v>33937</v>
      </c>
      <c r="L56" s="114">
        <v>1442</v>
      </c>
      <c r="M56" s="116">
        <v>4419418</v>
      </c>
      <c r="N56" s="175">
        <v>1340</v>
      </c>
      <c r="O56" s="176">
        <v>38</v>
      </c>
      <c r="P56" s="176">
        <v>1</v>
      </c>
      <c r="Q56" s="177">
        <v>1379</v>
      </c>
      <c r="R56" s="14" t="s">
        <v>139</v>
      </c>
    </row>
    <row r="57" spans="1:18" ht="15.75" customHeight="1">
      <c r="A57" s="84" t="s">
        <v>64</v>
      </c>
      <c r="B57" s="129">
        <v>13009</v>
      </c>
      <c r="C57" s="130">
        <v>80818635</v>
      </c>
      <c r="D57" s="129">
        <v>12047</v>
      </c>
      <c r="E57" s="130">
        <v>5624661</v>
      </c>
      <c r="F57" s="129">
        <v>25056</v>
      </c>
      <c r="G57" s="130">
        <v>86443297</v>
      </c>
      <c r="H57" s="129">
        <v>1391</v>
      </c>
      <c r="I57" s="131">
        <v>7517006</v>
      </c>
      <c r="J57" s="129">
        <v>1385</v>
      </c>
      <c r="K57" s="131">
        <v>298635</v>
      </c>
      <c r="L57" s="129">
        <v>26868</v>
      </c>
      <c r="M57" s="131">
        <v>79224926</v>
      </c>
      <c r="N57" s="178">
        <v>25098</v>
      </c>
      <c r="O57" s="179">
        <v>615</v>
      </c>
      <c r="P57" s="179">
        <v>34</v>
      </c>
      <c r="Q57" s="180">
        <v>25747</v>
      </c>
      <c r="R57" s="83" t="s">
        <v>140</v>
      </c>
    </row>
    <row r="58" spans="1:18" ht="15.75" customHeight="1">
      <c r="A58" s="85"/>
      <c r="B58" s="132"/>
      <c r="C58" s="133"/>
      <c r="D58" s="132"/>
      <c r="E58" s="133"/>
      <c r="F58" s="134"/>
      <c r="G58" s="133"/>
      <c r="H58" s="134"/>
      <c r="I58" s="133"/>
      <c r="J58" s="134"/>
      <c r="K58" s="133"/>
      <c r="L58" s="134"/>
      <c r="M58" s="133"/>
      <c r="N58" s="181"/>
      <c r="O58" s="182"/>
      <c r="P58" s="182"/>
      <c r="Q58" s="183"/>
      <c r="R58" s="86" t="s">
        <v>141</v>
      </c>
    </row>
    <row r="59" spans="1:18" ht="15.75" customHeight="1">
      <c r="A59" s="87" t="s">
        <v>65</v>
      </c>
      <c r="B59" s="135">
        <f>_xlfn.COMPOUNDVALUE(585)</f>
        <v>4189</v>
      </c>
      <c r="C59" s="136">
        <v>30693587</v>
      </c>
      <c r="D59" s="135">
        <f>_xlfn.COMPOUNDVALUE(586)</f>
        <v>3098</v>
      </c>
      <c r="E59" s="136">
        <v>1687002</v>
      </c>
      <c r="F59" s="135">
        <f>_xlfn.COMPOUNDVALUE(587)</f>
        <v>7287</v>
      </c>
      <c r="G59" s="136">
        <v>32380589</v>
      </c>
      <c r="H59" s="135">
        <f>_xlfn.COMPOUNDVALUE(588)</f>
        <v>354</v>
      </c>
      <c r="I59" s="137">
        <v>2076474</v>
      </c>
      <c r="J59" s="135">
        <v>503</v>
      </c>
      <c r="K59" s="137">
        <v>-15967</v>
      </c>
      <c r="L59" s="135">
        <v>7793</v>
      </c>
      <c r="M59" s="137">
        <v>30288148</v>
      </c>
      <c r="N59" s="184">
        <v>7605</v>
      </c>
      <c r="O59" s="185">
        <v>204</v>
      </c>
      <c r="P59" s="185">
        <v>17</v>
      </c>
      <c r="Q59" s="186">
        <v>7826</v>
      </c>
      <c r="R59" s="88" t="s">
        <v>142</v>
      </c>
    </row>
    <row r="60" spans="1:18" ht="15.75" customHeight="1">
      <c r="A60" s="11" t="s">
        <v>66</v>
      </c>
      <c r="B60" s="111">
        <f>_xlfn.COMPOUNDVALUE(589)</f>
        <v>2114</v>
      </c>
      <c r="C60" s="112">
        <v>11834947</v>
      </c>
      <c r="D60" s="111">
        <f>_xlfn.COMPOUNDVALUE(590)</f>
        <v>1955</v>
      </c>
      <c r="E60" s="112">
        <v>929292</v>
      </c>
      <c r="F60" s="111">
        <f>_xlfn.COMPOUNDVALUE(591)</f>
        <v>4069</v>
      </c>
      <c r="G60" s="112">
        <v>12764238</v>
      </c>
      <c r="H60" s="111">
        <f>_xlfn.COMPOUNDVALUE(592)</f>
        <v>205</v>
      </c>
      <c r="I60" s="113">
        <v>1534489</v>
      </c>
      <c r="J60" s="111">
        <v>227</v>
      </c>
      <c r="K60" s="113">
        <v>-15088</v>
      </c>
      <c r="L60" s="111">
        <v>4350</v>
      </c>
      <c r="M60" s="113">
        <v>11214661</v>
      </c>
      <c r="N60" s="175">
        <v>4105</v>
      </c>
      <c r="O60" s="176">
        <v>90</v>
      </c>
      <c r="P60" s="176">
        <v>9</v>
      </c>
      <c r="Q60" s="177">
        <v>4204</v>
      </c>
      <c r="R60" s="14" t="s">
        <v>143</v>
      </c>
    </row>
    <row r="61" spans="1:18" ht="15.75" customHeight="1">
      <c r="A61" s="11" t="s">
        <v>67</v>
      </c>
      <c r="B61" s="111">
        <f>_xlfn.COMPOUNDVALUE(593)</f>
        <v>5326</v>
      </c>
      <c r="C61" s="112">
        <v>40655589</v>
      </c>
      <c r="D61" s="111">
        <f>_xlfn.COMPOUNDVALUE(594)</f>
        <v>3485</v>
      </c>
      <c r="E61" s="112">
        <v>2100425</v>
      </c>
      <c r="F61" s="111">
        <f>_xlfn.COMPOUNDVALUE(595)</f>
        <v>8811</v>
      </c>
      <c r="G61" s="112">
        <v>42756015</v>
      </c>
      <c r="H61" s="111">
        <f>_xlfn.COMPOUNDVALUE(596)</f>
        <v>489</v>
      </c>
      <c r="I61" s="113">
        <v>2212261</v>
      </c>
      <c r="J61" s="111">
        <v>610</v>
      </c>
      <c r="K61" s="113">
        <v>223300</v>
      </c>
      <c r="L61" s="111">
        <v>9512</v>
      </c>
      <c r="M61" s="113">
        <v>40767054</v>
      </c>
      <c r="N61" s="175">
        <v>9386</v>
      </c>
      <c r="O61" s="176">
        <v>253</v>
      </c>
      <c r="P61" s="176">
        <v>25</v>
      </c>
      <c r="Q61" s="177">
        <v>9664</v>
      </c>
      <c r="R61" s="14" t="s">
        <v>144</v>
      </c>
    </row>
    <row r="62" spans="1:18" ht="15.75" customHeight="1">
      <c r="A62" s="13" t="s">
        <v>68</v>
      </c>
      <c r="B62" s="114">
        <f>_xlfn.COMPOUNDVALUE(597)</f>
        <v>4333</v>
      </c>
      <c r="C62" s="115">
        <v>28366991</v>
      </c>
      <c r="D62" s="114">
        <f>_xlfn.COMPOUNDVALUE(598)</f>
        <v>2737</v>
      </c>
      <c r="E62" s="115">
        <v>1706395</v>
      </c>
      <c r="F62" s="114">
        <f>_xlfn.COMPOUNDVALUE(599)</f>
        <v>7070</v>
      </c>
      <c r="G62" s="115">
        <v>30073385</v>
      </c>
      <c r="H62" s="114">
        <f>_xlfn.COMPOUNDVALUE(600)</f>
        <v>336</v>
      </c>
      <c r="I62" s="116">
        <v>9974898</v>
      </c>
      <c r="J62" s="114">
        <v>335</v>
      </c>
      <c r="K62" s="116">
        <v>74713</v>
      </c>
      <c r="L62" s="114">
        <v>7524</v>
      </c>
      <c r="M62" s="116">
        <v>20173200</v>
      </c>
      <c r="N62" s="175">
        <v>7512</v>
      </c>
      <c r="O62" s="176">
        <v>206</v>
      </c>
      <c r="P62" s="176">
        <v>10</v>
      </c>
      <c r="Q62" s="177">
        <v>7728</v>
      </c>
      <c r="R62" s="14" t="s">
        <v>68</v>
      </c>
    </row>
    <row r="63" spans="1:18" ht="15.75" customHeight="1">
      <c r="A63" s="13" t="s">
        <v>69</v>
      </c>
      <c r="B63" s="114">
        <f>_xlfn.COMPOUNDVALUE(601)</f>
        <v>1617</v>
      </c>
      <c r="C63" s="115">
        <v>9294144</v>
      </c>
      <c r="D63" s="114">
        <f>_xlfn.COMPOUNDVALUE(602)</f>
        <v>1352</v>
      </c>
      <c r="E63" s="115">
        <v>680433</v>
      </c>
      <c r="F63" s="114">
        <f>_xlfn.COMPOUNDVALUE(603)</f>
        <v>2969</v>
      </c>
      <c r="G63" s="115">
        <v>9974577</v>
      </c>
      <c r="H63" s="114">
        <f>_xlfn.COMPOUNDVALUE(604)</f>
        <v>215</v>
      </c>
      <c r="I63" s="116">
        <v>389656</v>
      </c>
      <c r="J63" s="114">
        <v>185</v>
      </c>
      <c r="K63" s="116">
        <v>22775</v>
      </c>
      <c r="L63" s="114">
        <v>3243</v>
      </c>
      <c r="M63" s="116">
        <v>9607695</v>
      </c>
      <c r="N63" s="175">
        <v>3047</v>
      </c>
      <c r="O63" s="176">
        <v>97</v>
      </c>
      <c r="P63" s="176">
        <v>2</v>
      </c>
      <c r="Q63" s="177">
        <v>3146</v>
      </c>
      <c r="R63" s="14" t="s">
        <v>145</v>
      </c>
    </row>
    <row r="64" spans="1:18" ht="15.75" customHeight="1">
      <c r="A64" s="13" t="s">
        <v>70</v>
      </c>
      <c r="B64" s="114">
        <f>_xlfn.COMPOUNDVALUE(605)</f>
        <v>1575</v>
      </c>
      <c r="C64" s="115">
        <v>8673568</v>
      </c>
      <c r="D64" s="114">
        <f>_xlfn.COMPOUNDVALUE(606)</f>
        <v>1342</v>
      </c>
      <c r="E64" s="115">
        <v>653822</v>
      </c>
      <c r="F64" s="114">
        <f>_xlfn.COMPOUNDVALUE(607)</f>
        <v>2917</v>
      </c>
      <c r="G64" s="115">
        <v>9327390</v>
      </c>
      <c r="H64" s="114">
        <f>_xlfn.COMPOUNDVALUE(608)</f>
        <v>175</v>
      </c>
      <c r="I64" s="116">
        <v>919794</v>
      </c>
      <c r="J64" s="114">
        <v>90</v>
      </c>
      <c r="K64" s="116">
        <v>9709</v>
      </c>
      <c r="L64" s="114">
        <v>3133</v>
      </c>
      <c r="M64" s="116">
        <v>8417306</v>
      </c>
      <c r="N64" s="175">
        <v>3049</v>
      </c>
      <c r="O64" s="176">
        <v>89</v>
      </c>
      <c r="P64" s="176">
        <v>1</v>
      </c>
      <c r="Q64" s="177">
        <v>3139</v>
      </c>
      <c r="R64" s="14" t="s">
        <v>146</v>
      </c>
    </row>
    <row r="65" spans="1:18" ht="15.75" customHeight="1">
      <c r="A65" s="13" t="s">
        <v>71</v>
      </c>
      <c r="B65" s="114">
        <f>_xlfn.COMPOUNDVALUE(609)</f>
        <v>570</v>
      </c>
      <c r="C65" s="115">
        <v>3114264</v>
      </c>
      <c r="D65" s="114">
        <f>_xlfn.COMPOUNDVALUE(610)</f>
        <v>616</v>
      </c>
      <c r="E65" s="115">
        <v>285464</v>
      </c>
      <c r="F65" s="114">
        <f>_xlfn.COMPOUNDVALUE(611)</f>
        <v>1186</v>
      </c>
      <c r="G65" s="115">
        <v>3399728</v>
      </c>
      <c r="H65" s="114">
        <f>_xlfn.COMPOUNDVALUE(612)</f>
        <v>84</v>
      </c>
      <c r="I65" s="116">
        <v>120865</v>
      </c>
      <c r="J65" s="114">
        <v>86</v>
      </c>
      <c r="K65" s="116">
        <v>11130</v>
      </c>
      <c r="L65" s="114">
        <v>1299</v>
      </c>
      <c r="M65" s="116">
        <v>3289992</v>
      </c>
      <c r="N65" s="175">
        <v>1150</v>
      </c>
      <c r="O65" s="176">
        <v>37</v>
      </c>
      <c r="P65" s="176">
        <v>5</v>
      </c>
      <c r="Q65" s="177">
        <v>1192</v>
      </c>
      <c r="R65" s="14" t="s">
        <v>147</v>
      </c>
    </row>
    <row r="66" spans="1:18" ht="15.75" customHeight="1">
      <c r="A66" s="13" t="s">
        <v>72</v>
      </c>
      <c r="B66" s="114">
        <f>_xlfn.COMPOUNDVALUE(613)</f>
        <v>2205</v>
      </c>
      <c r="C66" s="115">
        <v>17800634</v>
      </c>
      <c r="D66" s="114">
        <f>_xlfn.COMPOUNDVALUE(614)</f>
        <v>1184</v>
      </c>
      <c r="E66" s="115">
        <v>673481</v>
      </c>
      <c r="F66" s="114">
        <f>_xlfn.COMPOUNDVALUE(615)</f>
        <v>3389</v>
      </c>
      <c r="G66" s="115">
        <v>18474115</v>
      </c>
      <c r="H66" s="114">
        <f>_xlfn.COMPOUNDVALUE(616)</f>
        <v>326</v>
      </c>
      <c r="I66" s="116">
        <v>12711576</v>
      </c>
      <c r="J66" s="114">
        <v>253</v>
      </c>
      <c r="K66" s="116">
        <v>148199</v>
      </c>
      <c r="L66" s="114">
        <v>3805</v>
      </c>
      <c r="M66" s="116">
        <v>5910738</v>
      </c>
      <c r="N66" s="175">
        <v>3667</v>
      </c>
      <c r="O66" s="176">
        <v>227</v>
      </c>
      <c r="P66" s="176">
        <v>13</v>
      </c>
      <c r="Q66" s="177">
        <v>3907</v>
      </c>
      <c r="R66" s="14" t="s">
        <v>148</v>
      </c>
    </row>
    <row r="67" spans="1:18" ht="15.75" customHeight="1">
      <c r="A67" s="13" t="s">
        <v>73</v>
      </c>
      <c r="B67" s="114">
        <f>_xlfn.COMPOUNDVALUE(617)</f>
        <v>1120</v>
      </c>
      <c r="C67" s="115">
        <v>6750382</v>
      </c>
      <c r="D67" s="114">
        <f>_xlfn.COMPOUNDVALUE(618)</f>
        <v>745</v>
      </c>
      <c r="E67" s="115">
        <v>379759</v>
      </c>
      <c r="F67" s="114">
        <f>_xlfn.COMPOUNDVALUE(619)</f>
        <v>1865</v>
      </c>
      <c r="G67" s="115">
        <v>7130141</v>
      </c>
      <c r="H67" s="114">
        <f>_xlfn.COMPOUNDVALUE(620)</f>
        <v>143</v>
      </c>
      <c r="I67" s="116">
        <v>316267</v>
      </c>
      <c r="J67" s="114">
        <v>114</v>
      </c>
      <c r="K67" s="116">
        <v>23875</v>
      </c>
      <c r="L67" s="114">
        <v>2058</v>
      </c>
      <c r="M67" s="116">
        <v>6837749</v>
      </c>
      <c r="N67" s="175">
        <v>1938</v>
      </c>
      <c r="O67" s="176">
        <v>59</v>
      </c>
      <c r="P67" s="176">
        <v>3</v>
      </c>
      <c r="Q67" s="177">
        <v>2000</v>
      </c>
      <c r="R67" s="14" t="s">
        <v>149</v>
      </c>
    </row>
    <row r="68" spans="1:18" ht="15.75" customHeight="1">
      <c r="A68" s="13" t="s">
        <v>74</v>
      </c>
      <c r="B68" s="114">
        <f>_xlfn.COMPOUNDVALUE(621)</f>
        <v>360</v>
      </c>
      <c r="C68" s="115">
        <v>1512666</v>
      </c>
      <c r="D68" s="114">
        <f>_xlfn.COMPOUNDVALUE(622)</f>
        <v>308</v>
      </c>
      <c r="E68" s="115">
        <v>163197</v>
      </c>
      <c r="F68" s="114">
        <f>_xlfn.COMPOUNDVALUE(623)</f>
        <v>668</v>
      </c>
      <c r="G68" s="115">
        <v>1675863</v>
      </c>
      <c r="H68" s="114">
        <f>_xlfn.COMPOUNDVALUE(624)</f>
        <v>45</v>
      </c>
      <c r="I68" s="116">
        <v>44886</v>
      </c>
      <c r="J68" s="114">
        <v>39</v>
      </c>
      <c r="K68" s="116">
        <v>4884</v>
      </c>
      <c r="L68" s="114">
        <v>726</v>
      </c>
      <c r="M68" s="116">
        <v>1635861</v>
      </c>
      <c r="N68" s="175">
        <v>682</v>
      </c>
      <c r="O68" s="176">
        <v>14</v>
      </c>
      <c r="P68" s="200">
        <v>1</v>
      </c>
      <c r="Q68" s="177">
        <v>697</v>
      </c>
      <c r="R68" s="14" t="s">
        <v>150</v>
      </c>
    </row>
    <row r="69" spans="1:18" ht="15.75" customHeight="1">
      <c r="A69" s="84" t="s">
        <v>75</v>
      </c>
      <c r="B69" s="129">
        <v>23409</v>
      </c>
      <c r="C69" s="130">
        <v>158696772</v>
      </c>
      <c r="D69" s="129">
        <v>16822</v>
      </c>
      <c r="E69" s="130">
        <v>9259269</v>
      </c>
      <c r="F69" s="129">
        <v>40231</v>
      </c>
      <c r="G69" s="130">
        <v>167956041</v>
      </c>
      <c r="H69" s="129">
        <v>2372</v>
      </c>
      <c r="I69" s="131">
        <v>30301165</v>
      </c>
      <c r="J69" s="129">
        <v>2442</v>
      </c>
      <c r="K69" s="131">
        <v>487529</v>
      </c>
      <c r="L69" s="129">
        <v>43443</v>
      </c>
      <c r="M69" s="131">
        <v>138142405</v>
      </c>
      <c r="N69" s="178">
        <v>42141</v>
      </c>
      <c r="O69" s="179">
        <v>1276</v>
      </c>
      <c r="P69" s="179">
        <v>86</v>
      </c>
      <c r="Q69" s="180">
        <v>43503</v>
      </c>
      <c r="R69" s="83" t="s">
        <v>151</v>
      </c>
    </row>
    <row r="70" spans="1:18" ht="15.75" customHeight="1" thickBot="1">
      <c r="A70" s="18"/>
      <c r="B70" s="141"/>
      <c r="C70" s="142"/>
      <c r="D70" s="141"/>
      <c r="E70" s="142"/>
      <c r="F70" s="143"/>
      <c r="G70" s="142"/>
      <c r="H70" s="143"/>
      <c r="I70" s="142"/>
      <c r="J70" s="143"/>
      <c r="K70" s="142"/>
      <c r="L70" s="143"/>
      <c r="M70" s="142"/>
      <c r="N70" s="190"/>
      <c r="O70" s="191"/>
      <c r="P70" s="191"/>
      <c r="Q70" s="192"/>
      <c r="R70" s="82"/>
    </row>
    <row r="71" spans="1:18" ht="15.75" customHeight="1" thickBot="1" thickTop="1">
      <c r="A71" s="21" t="s">
        <v>94</v>
      </c>
      <c r="B71" s="126">
        <v>102960</v>
      </c>
      <c r="C71" s="127">
        <v>702454583</v>
      </c>
      <c r="D71" s="126">
        <v>79138</v>
      </c>
      <c r="E71" s="127">
        <v>41394927</v>
      </c>
      <c r="F71" s="126">
        <v>182098</v>
      </c>
      <c r="G71" s="127">
        <v>743849510</v>
      </c>
      <c r="H71" s="126">
        <v>11772</v>
      </c>
      <c r="I71" s="128">
        <v>71273731</v>
      </c>
      <c r="J71" s="126">
        <v>10950</v>
      </c>
      <c r="K71" s="128">
        <v>2730378</v>
      </c>
      <c r="L71" s="126">
        <v>197447</v>
      </c>
      <c r="M71" s="128">
        <v>675306157</v>
      </c>
      <c r="N71" s="193">
        <v>189499</v>
      </c>
      <c r="O71" s="194">
        <v>5740</v>
      </c>
      <c r="P71" s="194">
        <v>396</v>
      </c>
      <c r="Q71" s="195">
        <v>195635</v>
      </c>
      <c r="R71" s="32" t="s">
        <v>94</v>
      </c>
    </row>
    <row r="72" spans="1:10" ht="19.5" customHeight="1">
      <c r="A72" s="224" t="s">
        <v>234</v>
      </c>
      <c r="B72" s="224"/>
      <c r="C72" s="224"/>
      <c r="D72" s="224"/>
      <c r="E72" s="224"/>
      <c r="F72" s="224"/>
      <c r="G72" s="224"/>
      <c r="H72" s="224"/>
      <c r="I72" s="224"/>
      <c r="J72" s="224"/>
    </row>
  </sheetData>
  <sheetProtection/>
  <mergeCells count="16">
    <mergeCell ref="A2:I2"/>
    <mergeCell ref="A3:A5"/>
    <mergeCell ref="B3:G3"/>
    <mergeCell ref="H3:I4"/>
    <mergeCell ref="R3:R5"/>
    <mergeCell ref="B4:C4"/>
    <mergeCell ref="D4:E4"/>
    <mergeCell ref="F4:G4"/>
    <mergeCell ref="N4:N5"/>
    <mergeCell ref="A72:J72"/>
    <mergeCell ref="O4:O5"/>
    <mergeCell ref="P4:P5"/>
    <mergeCell ref="Q4:Q5"/>
    <mergeCell ref="J3:K4"/>
    <mergeCell ref="L3:M4"/>
    <mergeCell ref="N3:Q3"/>
  </mergeCells>
  <printOptions horizontalCentered="1"/>
  <pageMargins left="0.5905511811023623" right="0.5905511811023623" top="0.7874015748031497" bottom="0.7874015748031497" header="0.5118110236220472" footer="0.35433070866141736"/>
  <pageSetup fitToHeight="0" fitToWidth="1" horizontalDpi="600" verticalDpi="600" orientation="landscape" paperSize="9" scale="67" r:id="rId1"/>
  <headerFooter alignWithMargins="0">
    <oddFooter>&amp;R仙台国税局
消費税
(R03)</oddFooter>
  </headerFooter>
  <rowBreaks count="1" manualBreakCount="1">
    <brk id="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2023-01-27T07:19:36Z</dcterms:created>
  <dcterms:modified xsi:type="dcterms:W3CDTF">2023-05-18T10:38:50Z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ies>
</file>