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5" tabRatio="83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<sst xmlns="http://schemas.openxmlformats.org/spreadsheetml/2006/main" count="546" uniqueCount="250">
  <si>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</si>
  <si>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</si>
  <si>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</si>
  <si>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</si>
  <si>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</si>
  <si>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</si>
  <si>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</si>
  <si>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</si>
  <si>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</si>
  <si>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</si>
  <si>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</si>
  <si>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</si>
  <si>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</si>
  <si>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</si>
  <si>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</si>
  <si>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</si>
  <si>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</si>
  <si>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</si>
  <si>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</si>
  <si>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</si>
  <si>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</si>
  <si>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</si>
  <si>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</si>
  <si>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</si>
  <si>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</si>
  <si>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</si>
  <si>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</si>
  <si>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</si>
  <si>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</si>
  <si>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</si>
  <si>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</si>
  <si>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</si>
  <si>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</si>
  <si>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</si>
  <si>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</si>
  <si>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</si>
  <si>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</si>
  <si>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</si>
  <si>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</si>
  <si>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</si>
  <si>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</si>
  <si>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</si>
  <si>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</si>
  <si>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</si>
  <si>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</si>
  <si>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</si>
  <si>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</si>
  <si>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</si>
  <si>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</si>
  <si>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</si>
  <si>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</si>
  <si>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</si>
  <si>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</si>
  <si>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</si>
  <si>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</si>
  <si>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</si>
  <si>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</si>
  <si>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</si>
  <si>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</si>
  <si>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</si>
  <si>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</si>
  <si>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</si>
  <si>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</si>
  <si>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</si>
  <si>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</si>
  <si>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</si>
  <si>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</si>
  <si>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</si>
  <si>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</si>
  <si>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</si>
  <si>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</si>
  <si>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</si>
  <si>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</si>
  <si>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</si>
  <si>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</si>
  <si>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</si>
  <si>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</si>
  <si>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</si>
  <si>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</si>
  <si>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</si>
  <si>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</si>
  <si>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</si>
  <si>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</si>
  <si>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</si>
  <si>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</si>
  <si>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</si>
  <si>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</si>
  <si>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</si>
  <si>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</si>
  <si>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</si>
  <si>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</si>
  <si>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</si>
  <si>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</si>
  <si>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</si>
  <si>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</si>
  <si>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</si>
  <si>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</si>
  <si>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</si>
  <si>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</si>
  <si>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</si>
  <si>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</si>
  <si>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</si>
  <si>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</si>
  <si>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</si>
  <si>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</si>
  <si>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</si>
  <si>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</si>
  <si>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</si>
  <si>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</si>
  <si>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</si>
  <si>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</si>
  <si>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</si>
  <si>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</si>
  <si>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</si>
  <si>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</si>
  <si>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</si>
  <si>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</si>
  <si>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</si>
  <si>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</si>
  <si>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</si>
  <si>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</si>
  <si>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</si>
  <si>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</si>
  <si>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</si>
  <si>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</si>
  <si>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</si>
  <si>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</si>
  <si>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</si>
  <si>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</si>
  <si>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</si>
  <si>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</si>
  <si>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</si>
  <si>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</si>
  <si>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</si>
  <si>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</si>
  <si>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</si>
  <si>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</si>
  <si>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</si>
  <si>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</si>
  <si>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</si>
  <si>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</si>
  <si>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</si>
  <si>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</si>
  <si>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</si>
  <si>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</si>
  <si>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</si>
  <si>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</si>
  <si>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</si>
  <si>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</si>
  <si>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</si>
  <si>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</si>
  <si>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</si>
  <si>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区　　　分</t>
  </si>
  <si>
    <t>件　　　数</t>
  </si>
  <si>
    <t>税　　　額</t>
  </si>
  <si>
    <t>件</t>
  </si>
  <si>
    <t>千円</t>
  </si>
  <si>
    <t>加算税</t>
  </si>
  <si>
    <t>(2)　課税状況の累年比較</t>
  </si>
  <si>
    <t>納税申告計</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</si>
  <si>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</si>
  <si>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</si>
  <si>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</si>
  <si>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</si>
  <si>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</si>
  <si>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</si>
  <si>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調査対象等：</t>
  </si>
  <si>
    <t>(1)　課税状況</t>
  </si>
  <si>
    <t>個　人　事　業　者</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</si>
  <si>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</si>
  <si>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</si>
  <si>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</si>
  <si>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</si>
  <si>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</si>
  <si>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</si>
  <si>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</si>
  <si>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</si>
  <si>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</si>
  <si>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</si>
  <si>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</si>
  <si>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</si>
  <si>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</si>
  <si>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</si>
  <si>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</si>
  <si>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</si>
  <si>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</si>
  <si>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</si>
  <si>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</si>
  <si>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</si>
  <si>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</si>
  <si>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</si>
  <si>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</si>
  <si>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</si>
  <si>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</si>
  <si>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</si>
  <si>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</si>
  <si>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</si>
  <si>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</si>
  <si>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</si>
  <si>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</si>
  <si>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</si>
  <si>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</si>
  <si>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</si>
  <si>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</si>
  <si>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</si>
  <si>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</si>
  <si>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</si>
  <si>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</si>
  <si>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</si>
  <si>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</si>
  <si>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</si>
  <si>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</si>
  <si>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</si>
  <si>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</si>
  <si>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</si>
  <si>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</si>
  <si>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</si>
  <si>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</si>
  <si>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</si>
  <si>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</si>
  <si>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</si>
  <si>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</si>
  <si>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</si>
  <si>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</si>
  <si>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</si>
  <si>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</si>
  <si>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</si>
  <si>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</si>
  <si>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</si>
  <si>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</si>
  <si>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</si>
  <si>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</si>
  <si>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７　消　費　税</t>
  </si>
  <si>
    <t>（注）　この表は、「(1)　課税状況」の現年分及び既往年分を税務署別に示したものである（加算税を除く。）。</t>
  </si>
  <si>
    <t>（注）　この表は、「(1)　課税状況」の現年分及び既往年分並びに「(3)　課税事業者等届出件数」を税務署別に示したものである（加算税を除く。）。</t>
  </si>
  <si>
    <t>平成28年度</t>
  </si>
  <si>
    <t>実件</t>
  </si>
  <si>
    <t>(4)　税務署別課税状況等</t>
  </si>
  <si>
    <t>(4)　税務署別課税状況等（続）</t>
  </si>
  <si>
    <t>平成29年度</t>
  </si>
  <si>
    <t>平成30年度</t>
  </si>
  <si>
    <t>令和元年度</t>
  </si>
  <si>
    <t>（注）　税関分は含まない。</t>
  </si>
  <si>
    <t>個　人　事　業　者</t>
  </si>
  <si>
    <t>法　　　　　人</t>
  </si>
  <si>
    <t>合　　　　　計</t>
  </si>
  <si>
    <t>令和２年度</t>
  </si>
  <si>
    <t>調査対象等：令和２年度末（令和３年３月31日現在）の届出件数を示している。</t>
  </si>
  <si>
    <t xml:space="preserve"> 「現年分」は、令和２年４月１日から令和３年３月31日までに終了した課税期間に係る消費税の申告及び処理（更正、決定等）による課税事績(令和３年６月30日までのもの。国・地方公共団体等及び消費税申告期限延長届出書を提出した法人については令和３年９月30日までのもの。)に基づいて作成した。</t>
  </si>
  <si>
    <t xml:space="preserve"> 「既往年分」は、令和２年３月31日以前に終了した課税期間に係る消費税の申告及び処理（更正、決定等）による課税事績（令和２年７月１日から令和３年６月30日までのもの。国・地方公共団体等及び消費税申告期限延長届出書を提出した法人については令和２年10月１日から令和３年６月30日までのもの。）に基づいて作成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</si>
</sst>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0">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bottom style="medium"/>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thin"/>
      <right/>
      <top/>
      <bottom/>
    </border>
    <border>
      <left style="hair"/>
      <right style="thin"/>
      <top/>
      <bottom/>
    </border>
    <border>
      <left style="thin"/>
      <right style="hair"/>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right/>
      <top style="medium"/>
      <bottom/>
    </border>
    <border>
      <left>
        <color indexed="63"/>
      </left>
      <right/>
      <top style="thin">
        <color indexed="55"/>
      </top>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hair"/>
      <right style="thin"/>
      <top style="thin">
        <color indexed="55"/>
      </top>
      <bottom style="thin">
        <color indexed="55"/>
      </bottom>
    </border>
    <border>
      <left>
        <color indexed="63"/>
      </left>
      <right style="thin"/>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color indexed="63"/>
      </left>
      <right style="hair"/>
      <top style="thin">
        <color indexed="55"/>
      </top>
      <bottom style="thin">
        <color indexed="55"/>
      </bottom>
    </border>
    <border>
      <left style="medium"/>
      <right style="thin"/>
      <top/>
      <bottom style="medium"/>
    </border>
    <border>
      <left style="thin"/>
      <right style="thin"/>
      <top/>
      <bottom style="medium"/>
    </border>
    <border>
      <left style="thin"/>
      <right/>
      <top/>
      <bottom style="medium"/>
    </border>
    <border>
      <left style="hair"/>
      <right style="hair"/>
      <top style="hair">
        <color indexed="55"/>
      </top>
      <bottom style="thin">
        <color theme="0" tint="-0.3499799966812134"/>
      </bottom>
    </border>
    <border>
      <left style="hair"/>
      <right style="hair"/>
      <top/>
      <bottom/>
    </border>
    <border>
      <left style="hair"/>
      <right/>
      <top/>
      <bottom/>
    </border>
    <border>
      <left style="hair"/>
      <right style="hair"/>
      <top style="thin">
        <color theme="0" tint="-0.3499799966812134"/>
      </top>
      <bottom style="hair">
        <color indexed="55"/>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right style="thin"/>
      <top/>
      <bottom style="medium"/>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style="thin"/>
      <top style="medium"/>
      <bottom/>
    </border>
    <border>
      <left/>
      <right style="thin"/>
      <top/>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thin"/>
    </border>
    <border>
      <left style="thin"/>
      <right style="thin"/>
      <top style="medium"/>
      <bottom style="thin"/>
    </border>
    <border>
      <left/>
      <right style="medium"/>
      <top style="medium"/>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252">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3" fillId="36" borderId="26"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7" xfId="60" applyFont="1" applyBorder="1" applyAlignment="1">
      <alignment horizontal="center" vertical="center" wrapText="1"/>
      <protection/>
    </xf>
    <xf numFmtId="0" fontId="5" fillId="34" borderId="28"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29" xfId="60" applyFont="1" applyBorder="1" applyAlignment="1">
      <alignment horizontal="center" vertical="center"/>
      <protection/>
    </xf>
    <xf numFmtId="0" fontId="3" fillId="0" borderId="30" xfId="60" applyFont="1" applyBorder="1" applyAlignment="1">
      <alignment horizontal="distributed" vertical="center" indent="1"/>
      <protection/>
    </xf>
    <xf numFmtId="0" fontId="3" fillId="0" borderId="27" xfId="60" applyFont="1" applyBorder="1" applyAlignment="1">
      <alignment horizontal="distributed" vertical="center" indent="1"/>
      <protection/>
    </xf>
    <xf numFmtId="0" fontId="3" fillId="0" borderId="31" xfId="60" applyFont="1" applyBorder="1" applyAlignment="1">
      <alignment horizontal="centerContinuous" vertical="center" wrapText="1"/>
      <protection/>
    </xf>
    <xf numFmtId="0" fontId="12" fillId="0" borderId="0" xfId="60" applyFont="1">
      <alignment/>
      <protection/>
    </xf>
    <xf numFmtId="0" fontId="3" fillId="0" borderId="31" xfId="60" applyFont="1" applyBorder="1" applyAlignment="1">
      <alignment horizontal="center" vertical="center"/>
      <protection/>
    </xf>
    <xf numFmtId="0" fontId="3" fillId="0" borderId="27"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2"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35" borderId="32" xfId="60" applyFont="1" applyFill="1" applyBorder="1" applyAlignment="1">
      <alignment horizontal="right" vertical="top"/>
      <protection/>
    </xf>
    <xf numFmtId="0" fontId="3" fillId="0" borderId="33" xfId="60" applyFont="1" applyBorder="1" applyAlignment="1">
      <alignment horizontal="distributed" vertical="center"/>
      <protection/>
    </xf>
    <xf numFmtId="3" fontId="3" fillId="35" borderId="33" xfId="60" applyNumberFormat="1" applyFont="1" applyFill="1" applyBorder="1" applyAlignment="1">
      <alignment horizontal="right" vertical="center"/>
      <protection/>
    </xf>
    <xf numFmtId="3" fontId="3" fillId="35" borderId="34" xfId="60" applyNumberFormat="1" applyFont="1" applyFill="1" applyBorder="1" applyAlignment="1">
      <alignment horizontal="right" vertical="center"/>
      <protection/>
    </xf>
    <xf numFmtId="0" fontId="3" fillId="0" borderId="35" xfId="60" applyFont="1" applyBorder="1" applyAlignment="1">
      <alignment horizontal="distributed" vertical="center"/>
      <protection/>
    </xf>
    <xf numFmtId="0" fontId="8" fillId="0" borderId="35" xfId="60" applyFont="1" applyBorder="1" applyAlignment="1">
      <alignment horizontal="distributed" vertical="center"/>
      <protection/>
    </xf>
    <xf numFmtId="0" fontId="8" fillId="0" borderId="0" xfId="60" applyFont="1" applyAlignment="1">
      <alignment horizontal="left" vertical="top"/>
      <protection/>
    </xf>
    <xf numFmtId="0" fontId="3" fillId="0" borderId="36" xfId="60" applyFont="1" applyBorder="1" applyAlignment="1">
      <alignment horizontal="distributed" vertical="center"/>
      <protection/>
    </xf>
    <xf numFmtId="0" fontId="3" fillId="0" borderId="37"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7" xfId="60" applyNumberFormat="1" applyFont="1" applyFill="1" applyBorder="1" applyAlignment="1">
      <alignment horizontal="right" vertical="center"/>
      <protection/>
    </xf>
    <xf numFmtId="3" fontId="3" fillId="35" borderId="38" xfId="60" applyNumberFormat="1" applyFont="1" applyFill="1" applyBorder="1" applyAlignment="1">
      <alignment horizontal="right" vertical="center"/>
      <protection/>
    </xf>
    <xf numFmtId="0" fontId="3" fillId="0" borderId="39" xfId="60" applyFont="1" applyBorder="1" applyAlignment="1">
      <alignment horizontal="center" vertical="center"/>
      <protection/>
    </xf>
    <xf numFmtId="0" fontId="3" fillId="0" borderId="40"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2" xfId="60" applyFont="1" applyFill="1" applyBorder="1" applyAlignment="1">
      <alignment horizontal="right"/>
      <protection/>
    </xf>
    <xf numFmtId="0" fontId="3" fillId="0" borderId="0" xfId="60" applyFont="1" applyAlignment="1">
      <alignment horizontal="left"/>
      <protection/>
    </xf>
    <xf numFmtId="3" fontId="3" fillId="34" borderId="41"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2"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43" xfId="60" applyNumberFormat="1" applyFont="1" applyFill="1" applyBorder="1" applyAlignment="1">
      <alignment horizontal="right" vertical="center"/>
      <protection/>
    </xf>
    <xf numFmtId="0" fontId="3" fillId="0" borderId="37" xfId="60" applyFont="1" applyBorder="1" applyAlignment="1">
      <alignment horizontal="distributed" vertical="center"/>
      <protection/>
    </xf>
    <xf numFmtId="3" fontId="3" fillId="34" borderId="44" xfId="60" applyNumberFormat="1" applyFont="1" applyFill="1" applyBorder="1" applyAlignment="1">
      <alignment horizontal="right" vertical="center"/>
      <protection/>
    </xf>
    <xf numFmtId="0" fontId="3" fillId="0" borderId="45"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6" xfId="60" applyFont="1" applyBorder="1" applyAlignment="1">
      <alignment horizontal="distributed" vertical="center"/>
      <protection/>
    </xf>
    <xf numFmtId="0" fontId="3" fillId="0" borderId="47" xfId="60" applyFont="1" applyBorder="1" applyAlignment="1">
      <alignment horizontal="distributed" vertical="center"/>
      <protection/>
    </xf>
    <xf numFmtId="0" fontId="3" fillId="0" borderId="48" xfId="60" applyFont="1" applyBorder="1" applyAlignment="1">
      <alignment horizontal="center" vertical="center"/>
      <protection/>
    </xf>
    <xf numFmtId="0" fontId="3" fillId="0" borderId="49" xfId="60" applyFont="1" applyBorder="1" applyAlignment="1">
      <alignment horizontal="distributed" vertical="center" indent="1"/>
      <protection/>
    </xf>
    <xf numFmtId="0" fontId="5" fillId="34" borderId="50" xfId="60" applyFont="1" applyFill="1" applyBorder="1" applyAlignment="1">
      <alignment horizontal="right"/>
      <protection/>
    </xf>
    <xf numFmtId="0" fontId="5" fillId="34" borderId="51" xfId="60" applyFont="1" applyFill="1" applyBorder="1" applyAlignment="1">
      <alignment horizontal="right"/>
      <protection/>
    </xf>
    <xf numFmtId="0" fontId="5" fillId="34" borderId="52"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3" xfId="60" applyFont="1" applyFill="1" applyBorder="1" applyAlignment="1">
      <alignment horizontal="distributed" vertical="center"/>
      <protection/>
    </xf>
    <xf numFmtId="0" fontId="10" fillId="0" borderId="54" xfId="60" applyFont="1" applyFill="1" applyBorder="1" applyAlignment="1">
      <alignment horizontal="center" vertical="center"/>
      <protection/>
    </xf>
    <xf numFmtId="0" fontId="8" fillId="36" borderId="55" xfId="60" applyFont="1" applyFill="1" applyBorder="1" applyAlignment="1">
      <alignment horizontal="distributed" vertical="center"/>
      <protection/>
    </xf>
    <xf numFmtId="0" fontId="8" fillId="36" borderId="56" xfId="60" applyFont="1" applyFill="1" applyBorder="1" applyAlignment="1">
      <alignment horizontal="distributed" vertical="center"/>
      <protection/>
    </xf>
    <xf numFmtId="0" fontId="10" fillId="0" borderId="57" xfId="60" applyFont="1" applyFill="1" applyBorder="1" applyAlignment="1">
      <alignment horizontal="distributed" vertical="center"/>
      <protection/>
    </xf>
    <xf numFmtId="0" fontId="10" fillId="0" borderId="58" xfId="60" applyFont="1" applyFill="1" applyBorder="1" applyAlignment="1">
      <alignment horizontal="center" vertical="center"/>
      <protection/>
    </xf>
    <xf numFmtId="0" fontId="3" fillId="36" borderId="59" xfId="60" applyFont="1" applyFill="1" applyBorder="1" applyAlignment="1">
      <alignment horizontal="distributed" vertical="center"/>
      <protection/>
    </xf>
    <xf numFmtId="0" fontId="3" fillId="36" borderId="60" xfId="60" applyFont="1" applyFill="1" applyBorder="1" applyAlignment="1">
      <alignment horizontal="distributed" vertical="center"/>
      <protection/>
    </xf>
    <xf numFmtId="0" fontId="10" fillId="0" borderId="61" xfId="60" applyFont="1" applyFill="1" applyBorder="1" applyAlignment="1">
      <alignment horizontal="distributed" vertical="center"/>
      <protection/>
    </xf>
    <xf numFmtId="0" fontId="10" fillId="0" borderId="62" xfId="60" applyFont="1" applyFill="1" applyBorder="1" applyAlignment="1">
      <alignment horizontal="center" vertical="center"/>
      <protection/>
    </xf>
    <xf numFmtId="0" fontId="10" fillId="0" borderId="63" xfId="60" applyFont="1" applyFill="1" applyBorder="1" applyAlignment="1">
      <alignment horizontal="distributed" vertical="center"/>
      <protection/>
    </xf>
    <xf numFmtId="0" fontId="10" fillId="0" borderId="64" xfId="60" applyFont="1" applyFill="1" applyBorder="1" applyAlignment="1">
      <alignment horizontal="center" vertical="center"/>
      <protection/>
    </xf>
    <xf numFmtId="3" fontId="3" fillId="34" borderId="65" xfId="60" applyNumberFormat="1" applyFont="1" applyFill="1" applyBorder="1" applyAlignment="1">
      <alignment horizontal="right" vertical="center"/>
      <protection/>
    </xf>
    <xf numFmtId="3" fontId="3" fillId="34" borderId="66" xfId="60" applyNumberFormat="1" applyFont="1" applyFill="1" applyBorder="1" applyAlignment="1">
      <alignment horizontal="right" vertical="center"/>
      <protection/>
    </xf>
    <xf numFmtId="3" fontId="3" fillId="35" borderId="35" xfId="60" applyNumberFormat="1" applyFont="1" applyFill="1" applyBorder="1" applyAlignment="1">
      <alignment horizontal="right" vertical="center"/>
      <protection/>
    </xf>
    <xf numFmtId="3" fontId="3" fillId="35" borderId="67" xfId="60" applyNumberFormat="1" applyFont="1" applyFill="1" applyBorder="1" applyAlignment="1">
      <alignment horizontal="right" vertical="center"/>
      <protection/>
    </xf>
    <xf numFmtId="3" fontId="8" fillId="34" borderId="66" xfId="60" applyNumberFormat="1" applyFont="1" applyFill="1" applyBorder="1" applyAlignment="1">
      <alignment horizontal="right" vertical="center"/>
      <protection/>
    </xf>
    <xf numFmtId="3" fontId="8" fillId="35" borderId="35" xfId="60" applyNumberFormat="1" applyFont="1" applyFill="1" applyBorder="1" applyAlignment="1">
      <alignment horizontal="right" vertical="center"/>
      <protection/>
    </xf>
    <xf numFmtId="3" fontId="8" fillId="35" borderId="67" xfId="60" applyNumberFormat="1" applyFont="1" applyFill="1" applyBorder="1" applyAlignment="1">
      <alignment horizontal="right" vertical="center"/>
      <protection/>
    </xf>
    <xf numFmtId="3" fontId="3" fillId="34" borderId="68" xfId="60" applyNumberFormat="1" applyFont="1" applyFill="1" applyBorder="1" applyAlignment="1">
      <alignment horizontal="right" vertical="center"/>
      <protection/>
    </xf>
    <xf numFmtId="3" fontId="3" fillId="35" borderId="69"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3" fillId="34" borderId="71" xfId="60" applyNumberFormat="1" applyFont="1" applyFill="1" applyBorder="1" applyAlignment="1">
      <alignment horizontal="right" vertical="center"/>
      <protection/>
    </xf>
    <xf numFmtId="3" fontId="3" fillId="34" borderId="71" xfId="60" applyNumberFormat="1" applyFont="1" applyFill="1" applyBorder="1" applyAlignment="1">
      <alignment vertical="center"/>
      <protection/>
    </xf>
    <xf numFmtId="3" fontId="3" fillId="34"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5" borderId="74" xfId="60" applyNumberFormat="1" applyFont="1" applyFill="1" applyBorder="1" applyAlignment="1">
      <alignment horizontal="right" vertical="center"/>
      <protection/>
    </xf>
    <xf numFmtId="3" fontId="3" fillId="34" borderId="75" xfId="60" applyNumberFormat="1" applyFont="1" applyFill="1" applyBorder="1" applyAlignment="1">
      <alignment horizontal="right" vertical="center"/>
      <protection/>
    </xf>
    <xf numFmtId="3" fontId="3" fillId="35" borderId="45" xfId="60" applyNumberFormat="1" applyFont="1" applyFill="1" applyBorder="1" applyAlignment="1">
      <alignment horizontal="right" vertical="center"/>
      <protection/>
    </xf>
    <xf numFmtId="3" fontId="3" fillId="35" borderId="76" xfId="60" applyNumberFormat="1" applyFont="1" applyFill="1" applyBorder="1" applyAlignment="1">
      <alignment horizontal="right" vertical="center"/>
      <protection/>
    </xf>
    <xf numFmtId="176" fontId="3" fillId="34" borderId="41" xfId="60" applyNumberFormat="1" applyFont="1" applyFill="1" applyBorder="1" applyAlignment="1">
      <alignment horizontal="right" vertical="center"/>
      <protection/>
    </xf>
    <xf numFmtId="176" fontId="3" fillId="35" borderId="33" xfId="60" applyNumberFormat="1" applyFont="1" applyFill="1" applyBorder="1" applyAlignment="1">
      <alignment horizontal="right" vertical="center"/>
      <protection/>
    </xf>
    <xf numFmtId="176" fontId="3" fillId="35" borderId="77" xfId="60" applyNumberFormat="1" applyFont="1" applyFill="1" applyBorder="1" applyAlignment="1">
      <alignment horizontal="right" vertical="center"/>
      <protection/>
    </xf>
    <xf numFmtId="176" fontId="3" fillId="34" borderId="78" xfId="60" applyNumberFormat="1" applyFont="1" applyFill="1" applyBorder="1" applyAlignment="1">
      <alignment horizontal="right" vertical="center"/>
      <protection/>
    </xf>
    <xf numFmtId="176" fontId="3" fillId="35" borderId="35" xfId="60" applyNumberFormat="1" applyFont="1" applyFill="1" applyBorder="1" applyAlignment="1">
      <alignment horizontal="right" vertical="center"/>
      <protection/>
    </xf>
    <xf numFmtId="176" fontId="3" fillId="35" borderId="79" xfId="60" applyNumberFormat="1" applyFont="1" applyFill="1" applyBorder="1" applyAlignment="1">
      <alignment horizontal="right" vertical="center"/>
      <protection/>
    </xf>
    <xf numFmtId="176" fontId="8" fillId="34" borderId="80" xfId="60" applyNumberFormat="1" applyFont="1" applyFill="1" applyBorder="1" applyAlignment="1">
      <alignment horizontal="right" vertical="center"/>
      <protection/>
    </xf>
    <xf numFmtId="176" fontId="8" fillId="35" borderId="81" xfId="60" applyNumberFormat="1" applyFont="1" applyFill="1" applyBorder="1" applyAlignment="1">
      <alignment horizontal="right" vertical="center"/>
      <protection/>
    </xf>
    <xf numFmtId="176" fontId="8" fillId="35" borderId="82" xfId="60" applyNumberFormat="1" applyFont="1" applyFill="1" applyBorder="1" applyAlignment="1">
      <alignment horizontal="right" vertical="center"/>
      <protection/>
    </xf>
    <xf numFmtId="176" fontId="10" fillId="0" borderId="83" xfId="60" applyNumberFormat="1" applyFont="1" applyFill="1" applyBorder="1" applyAlignment="1">
      <alignment horizontal="right" vertical="center"/>
      <protection/>
    </xf>
    <xf numFmtId="176" fontId="10" fillId="0" borderId="84" xfId="60" applyNumberFormat="1" applyFont="1" applyFill="1" applyBorder="1" applyAlignment="1">
      <alignment horizontal="right" vertical="center"/>
      <protection/>
    </xf>
    <xf numFmtId="176" fontId="10" fillId="0" borderId="85" xfId="60" applyNumberFormat="1" applyFont="1" applyFill="1" applyBorder="1" applyAlignment="1">
      <alignment horizontal="right" vertical="center"/>
      <protection/>
    </xf>
    <xf numFmtId="176" fontId="3" fillId="0" borderId="86" xfId="60" applyNumberFormat="1" applyFont="1" applyFill="1" applyBorder="1" applyAlignment="1">
      <alignment horizontal="right" vertical="center"/>
      <protection/>
    </xf>
    <xf numFmtId="176" fontId="3" fillId="0" borderId="87" xfId="60" applyNumberFormat="1" applyFont="1" applyFill="1" applyBorder="1" applyAlignment="1">
      <alignment horizontal="right" vertical="center"/>
      <protection/>
    </xf>
    <xf numFmtId="176" fontId="3" fillId="0" borderId="88" xfId="60" applyNumberFormat="1" applyFont="1" applyFill="1" applyBorder="1" applyAlignment="1">
      <alignment horizontal="right" vertical="center"/>
      <protection/>
    </xf>
    <xf numFmtId="176" fontId="8" fillId="34" borderId="89" xfId="60" applyNumberFormat="1" applyFont="1" applyFill="1" applyBorder="1" applyAlignment="1">
      <alignment horizontal="right" vertical="center"/>
      <protection/>
    </xf>
    <xf numFmtId="176" fontId="8" fillId="35" borderId="73" xfId="60" applyNumberFormat="1" applyFont="1" applyFill="1" applyBorder="1" applyAlignment="1">
      <alignment horizontal="right" vertical="center"/>
      <protection/>
    </xf>
    <xf numFmtId="176" fontId="8" fillId="35" borderId="90" xfId="60" applyNumberFormat="1" applyFont="1" applyFill="1" applyBorder="1" applyAlignment="1">
      <alignment horizontal="right" vertical="center"/>
      <protection/>
    </xf>
    <xf numFmtId="176" fontId="8" fillId="34" borderId="91" xfId="60" applyNumberFormat="1" applyFont="1" applyFill="1" applyBorder="1" applyAlignment="1">
      <alignment horizontal="right" vertical="center"/>
      <protection/>
    </xf>
    <xf numFmtId="176" fontId="8" fillId="35" borderId="92" xfId="60" applyNumberFormat="1" applyFont="1" applyFill="1" applyBorder="1" applyAlignment="1">
      <alignment horizontal="right" vertical="center"/>
      <protection/>
    </xf>
    <xf numFmtId="176" fontId="8" fillId="35" borderId="93" xfId="60" applyNumberFormat="1" applyFont="1" applyFill="1" applyBorder="1" applyAlignment="1">
      <alignment horizontal="right" vertical="center"/>
      <protection/>
    </xf>
    <xf numFmtId="176" fontId="10" fillId="0" borderId="94" xfId="60" applyNumberFormat="1" applyFont="1" applyFill="1" applyBorder="1" applyAlignment="1">
      <alignment horizontal="right" vertical="center"/>
      <protection/>
    </xf>
    <xf numFmtId="176" fontId="10" fillId="0" borderId="95" xfId="60" applyNumberFormat="1" applyFont="1" applyFill="1" applyBorder="1" applyAlignment="1">
      <alignment horizontal="right" vertical="center"/>
      <protection/>
    </xf>
    <xf numFmtId="176" fontId="10" fillId="0" borderId="96" xfId="60" applyNumberFormat="1" applyFont="1" applyFill="1" applyBorder="1" applyAlignment="1">
      <alignment horizontal="right" vertical="center"/>
      <protection/>
    </xf>
    <xf numFmtId="176" fontId="3" fillId="34" borderId="97" xfId="60" applyNumberFormat="1" applyFont="1" applyFill="1" applyBorder="1" applyAlignment="1">
      <alignment horizontal="right" vertical="center"/>
      <protection/>
    </xf>
    <xf numFmtId="176" fontId="3" fillId="35" borderId="98" xfId="60" applyNumberFormat="1" applyFont="1" applyFill="1" applyBorder="1" applyAlignment="1">
      <alignment horizontal="right" vertical="center"/>
      <protection/>
    </xf>
    <xf numFmtId="176" fontId="3" fillId="35" borderId="99" xfId="60" applyNumberFormat="1" applyFont="1" applyFill="1" applyBorder="1" applyAlignment="1">
      <alignment horizontal="right" vertical="center"/>
      <protection/>
    </xf>
    <xf numFmtId="176" fontId="10" fillId="0" borderId="100" xfId="60" applyNumberFormat="1" applyFont="1" applyFill="1" applyBorder="1" applyAlignment="1">
      <alignment horizontal="right" vertical="center"/>
      <protection/>
    </xf>
    <xf numFmtId="176" fontId="10" fillId="0" borderId="101" xfId="60" applyNumberFormat="1" applyFont="1" applyFill="1" applyBorder="1" applyAlignment="1">
      <alignment horizontal="right" vertical="center"/>
      <protection/>
    </xf>
    <xf numFmtId="176" fontId="10" fillId="0" borderId="102" xfId="60" applyNumberFormat="1" applyFont="1" applyFill="1" applyBorder="1" applyAlignment="1">
      <alignment horizontal="right" vertical="center"/>
      <protection/>
    </xf>
    <xf numFmtId="176" fontId="3" fillId="0" borderId="103" xfId="60" applyNumberFormat="1" applyFont="1" applyFill="1" applyBorder="1" applyAlignment="1">
      <alignment horizontal="right" vertical="center"/>
      <protection/>
    </xf>
    <xf numFmtId="176" fontId="3" fillId="0" borderId="104" xfId="60" applyNumberFormat="1" applyFont="1" applyFill="1" applyBorder="1" applyAlignment="1">
      <alignment horizontal="right" vertical="center"/>
      <protection/>
    </xf>
    <xf numFmtId="176" fontId="3" fillId="0" borderId="105" xfId="60" applyNumberFormat="1" applyFont="1" applyFill="1" applyBorder="1" applyAlignment="1">
      <alignment horizontal="right" vertical="center"/>
      <protection/>
    </xf>
    <xf numFmtId="0" fontId="3" fillId="0" borderId="106" xfId="60" applyFont="1" applyFill="1" applyBorder="1" applyAlignment="1">
      <alignment horizontal="distributed" vertical="center"/>
      <protection/>
    </xf>
    <xf numFmtId="3" fontId="3" fillId="0" borderId="106" xfId="60" applyNumberFormat="1" applyFont="1" applyFill="1" applyBorder="1" applyAlignment="1">
      <alignment horizontal="right" vertical="center"/>
      <protection/>
    </xf>
    <xf numFmtId="0" fontId="10" fillId="0" borderId="107" xfId="60" applyFont="1" applyFill="1" applyBorder="1" applyAlignment="1">
      <alignment horizontal="distributed" vertical="center"/>
      <protection/>
    </xf>
    <xf numFmtId="0" fontId="10" fillId="0" borderId="108" xfId="60" applyFont="1" applyFill="1" applyBorder="1" applyAlignment="1">
      <alignment horizontal="distributed" vertical="center"/>
      <protection/>
    </xf>
    <xf numFmtId="0" fontId="10" fillId="0" borderId="109" xfId="60" applyFont="1" applyFill="1" applyBorder="1" applyAlignment="1">
      <alignment horizontal="distributed" vertical="center"/>
      <protection/>
    </xf>
    <xf numFmtId="0" fontId="11" fillId="0" borderId="57" xfId="60" applyFont="1" applyFill="1" applyBorder="1">
      <alignment/>
      <protection/>
    </xf>
    <xf numFmtId="0" fontId="10" fillId="0" borderId="110" xfId="60" applyFont="1" applyFill="1" applyBorder="1" applyAlignment="1">
      <alignment horizontal="distributed" vertical="center"/>
      <protection/>
    </xf>
    <xf numFmtId="0" fontId="10" fillId="0" borderId="111" xfId="60" applyFont="1" applyFill="1" applyBorder="1" applyAlignment="1">
      <alignment horizontal="distributed" vertical="center"/>
      <protection/>
    </xf>
    <xf numFmtId="0" fontId="10" fillId="0" borderId="112" xfId="60" applyFont="1" applyFill="1" applyBorder="1" applyAlignment="1">
      <alignment horizontal="distributed" vertical="center"/>
      <protection/>
    </xf>
    <xf numFmtId="0" fontId="9" fillId="0" borderId="57" xfId="60" applyFont="1" applyBorder="1">
      <alignment/>
      <protection/>
    </xf>
    <xf numFmtId="0" fontId="10" fillId="0" borderId="113" xfId="60" applyFont="1" applyFill="1" applyBorder="1" applyAlignment="1">
      <alignment horizontal="distributed" vertical="center"/>
      <protection/>
    </xf>
    <xf numFmtId="0" fontId="10" fillId="0" borderId="114" xfId="60" applyFont="1" applyFill="1" applyBorder="1" applyAlignment="1">
      <alignment horizontal="distributed" vertical="center"/>
      <protection/>
    </xf>
    <xf numFmtId="3" fontId="3" fillId="34" borderId="115" xfId="60" applyNumberFormat="1" applyFont="1" applyFill="1" applyBorder="1" applyAlignment="1">
      <alignment vertical="center"/>
      <protection/>
    </xf>
    <xf numFmtId="3" fontId="3" fillId="34" borderId="116" xfId="60" applyNumberFormat="1" applyFont="1" applyFill="1" applyBorder="1" applyAlignment="1">
      <alignment vertical="center"/>
      <protection/>
    </xf>
    <xf numFmtId="3" fontId="3" fillId="34" borderId="117" xfId="60" applyNumberFormat="1" applyFont="1" applyFill="1" applyBorder="1" applyAlignment="1">
      <alignment vertical="center"/>
      <protection/>
    </xf>
    <xf numFmtId="3" fontId="3" fillId="34" borderId="24" xfId="60" applyNumberFormat="1" applyFont="1" applyFill="1" applyBorder="1" applyAlignment="1">
      <alignment vertical="center"/>
      <protection/>
    </xf>
    <xf numFmtId="0" fontId="3" fillId="0" borderId="0" xfId="0" applyFont="1" applyAlignment="1">
      <alignment horizontal="left" vertical="top"/>
    </xf>
    <xf numFmtId="0" fontId="3" fillId="0" borderId="106" xfId="60" applyFont="1" applyBorder="1" applyAlignment="1">
      <alignment horizontal="left" vertical="top"/>
      <protection/>
    </xf>
    <xf numFmtId="0" fontId="3" fillId="0" borderId="0" xfId="0" applyFont="1" applyBorder="1" applyAlignment="1">
      <alignment horizontal="left" vertical="top" wrapText="1"/>
    </xf>
    <xf numFmtId="3" fontId="48" fillId="34" borderId="65" xfId="60" applyNumberFormat="1" applyFont="1" applyFill="1" applyBorder="1" applyAlignment="1">
      <alignment horizontal="right" vertical="center"/>
      <protection/>
    </xf>
    <xf numFmtId="3" fontId="49" fillId="34" borderId="66" xfId="60" applyNumberFormat="1" applyFont="1" applyFill="1" applyBorder="1" applyAlignment="1">
      <alignment horizontal="right" vertical="center"/>
      <protection/>
    </xf>
    <xf numFmtId="3" fontId="48" fillId="34" borderId="68" xfId="60" applyNumberFormat="1" applyFont="1" applyFill="1" applyBorder="1" applyAlignment="1">
      <alignment horizontal="right" vertical="center"/>
      <protection/>
    </xf>
    <xf numFmtId="3" fontId="48" fillId="34" borderId="44" xfId="60" applyNumberFormat="1" applyFont="1" applyFill="1" applyBorder="1" applyAlignment="1">
      <alignment horizontal="right" vertical="center"/>
      <protection/>
    </xf>
    <xf numFmtId="3" fontId="48" fillId="34" borderId="75" xfId="60" applyNumberFormat="1" applyFont="1" applyFill="1" applyBorder="1" applyAlignment="1">
      <alignment horizontal="right" vertical="center"/>
      <protection/>
    </xf>
    <xf numFmtId="176" fontId="48" fillId="35" borderId="33" xfId="60" applyNumberFormat="1" applyFont="1" applyFill="1" applyBorder="1" applyAlignment="1">
      <alignment horizontal="right" vertical="center"/>
      <protection/>
    </xf>
    <xf numFmtId="176" fontId="48" fillId="35" borderId="35" xfId="60" applyNumberFormat="1" applyFont="1" applyFill="1" applyBorder="1" applyAlignment="1">
      <alignment horizontal="right" vertical="center"/>
      <protection/>
    </xf>
    <xf numFmtId="176" fontId="48" fillId="35" borderId="77" xfId="60" applyNumberFormat="1" applyFont="1" applyFill="1" applyBorder="1" applyAlignment="1">
      <alignment horizontal="right" vertical="center"/>
      <protection/>
    </xf>
    <xf numFmtId="176" fontId="48" fillId="35" borderId="79" xfId="60" applyNumberFormat="1" applyFont="1" applyFill="1" applyBorder="1" applyAlignment="1">
      <alignment horizontal="right" vertical="center"/>
      <protection/>
    </xf>
    <xf numFmtId="176" fontId="48" fillId="34" borderId="78" xfId="60" applyNumberFormat="1" applyFont="1" applyFill="1" applyBorder="1" applyAlignment="1">
      <alignment horizontal="right" vertical="center"/>
      <protection/>
    </xf>
    <xf numFmtId="176" fontId="49" fillId="34" borderId="80" xfId="60" applyNumberFormat="1" applyFont="1" applyFill="1" applyBorder="1" applyAlignment="1">
      <alignment horizontal="right" vertical="center"/>
      <protection/>
    </xf>
    <xf numFmtId="176" fontId="49" fillId="34" borderId="89" xfId="60" applyNumberFormat="1" applyFont="1" applyFill="1" applyBorder="1" applyAlignment="1">
      <alignment horizontal="right" vertical="center"/>
      <protection/>
    </xf>
    <xf numFmtId="41" fontId="3" fillId="34" borderId="41" xfId="60" applyNumberFormat="1" applyFont="1" applyFill="1" applyBorder="1" applyAlignment="1">
      <alignment horizontal="right" vertical="center"/>
      <protection/>
    </xf>
    <xf numFmtId="41" fontId="3" fillId="34" borderId="65" xfId="60" applyNumberFormat="1" applyFont="1" applyFill="1" applyBorder="1" applyAlignment="1">
      <alignment horizontal="right" vertical="center"/>
      <protection/>
    </xf>
    <xf numFmtId="41" fontId="3" fillId="34" borderId="77" xfId="60" applyNumberFormat="1" applyFont="1" applyFill="1" applyBorder="1" applyAlignment="1">
      <alignment horizontal="right" vertical="center"/>
      <protection/>
    </xf>
    <xf numFmtId="41" fontId="8" fillId="34" borderId="91" xfId="60" applyNumberFormat="1" applyFont="1" applyFill="1" applyBorder="1" applyAlignment="1">
      <alignment horizontal="right" vertical="center"/>
      <protection/>
    </xf>
    <xf numFmtId="41" fontId="8" fillId="34" borderId="118" xfId="60" applyNumberFormat="1" applyFont="1" applyFill="1" applyBorder="1" applyAlignment="1">
      <alignment horizontal="right" vertical="center"/>
      <protection/>
    </xf>
    <xf numFmtId="41" fontId="8" fillId="34" borderId="93" xfId="60" applyNumberFormat="1" applyFont="1" applyFill="1" applyBorder="1" applyAlignment="1">
      <alignment horizontal="right" vertical="center"/>
      <protection/>
    </xf>
    <xf numFmtId="41" fontId="3" fillId="0" borderId="96" xfId="60" applyNumberFormat="1" applyFont="1" applyFill="1" applyBorder="1" applyAlignment="1">
      <alignment horizontal="right" vertical="center"/>
      <protection/>
    </xf>
    <xf numFmtId="41" fontId="3" fillId="0" borderId="119" xfId="60" applyNumberFormat="1" applyFont="1" applyFill="1" applyBorder="1" applyAlignment="1">
      <alignment horizontal="right" vertical="center"/>
      <protection/>
    </xf>
    <xf numFmtId="41" fontId="3" fillId="0" borderId="120" xfId="60" applyNumberFormat="1" applyFont="1" applyFill="1" applyBorder="1" applyAlignment="1">
      <alignment horizontal="right" vertical="center"/>
      <protection/>
    </xf>
    <xf numFmtId="41" fontId="3" fillId="34" borderId="97" xfId="60" applyNumberFormat="1" applyFont="1" applyFill="1" applyBorder="1" applyAlignment="1">
      <alignment horizontal="right" vertical="center"/>
      <protection/>
    </xf>
    <xf numFmtId="41" fontId="3" fillId="34" borderId="121" xfId="60" applyNumberFormat="1" applyFont="1" applyFill="1" applyBorder="1" applyAlignment="1">
      <alignment horizontal="right" vertical="center"/>
      <protection/>
    </xf>
    <xf numFmtId="41" fontId="3" fillId="34" borderId="99" xfId="60" applyNumberFormat="1" applyFont="1" applyFill="1" applyBorder="1" applyAlignment="1">
      <alignment horizontal="right" vertical="center"/>
      <protection/>
    </xf>
    <xf numFmtId="41" fontId="3" fillId="0" borderId="102" xfId="60" applyNumberFormat="1" applyFont="1" applyFill="1" applyBorder="1" applyAlignment="1">
      <alignment horizontal="right" vertical="center"/>
      <protection/>
    </xf>
    <xf numFmtId="41" fontId="3" fillId="0" borderId="122" xfId="60" applyNumberFormat="1" applyFont="1" applyFill="1" applyBorder="1" applyAlignment="1">
      <alignment horizontal="right" vertical="center"/>
      <protection/>
    </xf>
    <xf numFmtId="41" fontId="3" fillId="0" borderId="123" xfId="60" applyNumberFormat="1" applyFont="1" applyFill="1" applyBorder="1" applyAlignment="1">
      <alignment horizontal="right" vertical="center"/>
      <protection/>
    </xf>
    <xf numFmtId="41" fontId="3" fillId="0" borderId="124" xfId="60" applyNumberFormat="1" applyFont="1" applyFill="1" applyBorder="1" applyAlignment="1">
      <alignment horizontal="right" vertical="center"/>
      <protection/>
    </xf>
    <xf numFmtId="41" fontId="3" fillId="0" borderId="125" xfId="60" applyNumberFormat="1" applyFont="1" applyFill="1" applyBorder="1" applyAlignment="1">
      <alignment horizontal="right" vertical="center"/>
      <protection/>
    </xf>
    <xf numFmtId="41" fontId="3" fillId="0" borderId="126" xfId="60" applyNumberFormat="1" applyFont="1" applyFill="1" applyBorder="1" applyAlignment="1">
      <alignment horizontal="right" vertical="center"/>
      <protection/>
    </xf>
    <xf numFmtId="41" fontId="8" fillId="34" borderId="127" xfId="60" applyNumberFormat="1" applyFont="1" applyFill="1" applyBorder="1" applyAlignment="1">
      <alignment horizontal="right" vertical="center"/>
      <protection/>
    </xf>
    <xf numFmtId="41" fontId="8" fillId="34" borderId="128" xfId="60" applyNumberFormat="1" applyFont="1" applyFill="1" applyBorder="1" applyAlignment="1">
      <alignment horizontal="right" vertical="center"/>
      <protection/>
    </xf>
    <xf numFmtId="41" fontId="8" fillId="34" borderId="129" xfId="60" applyNumberFormat="1" applyFont="1" applyFill="1" applyBorder="1" applyAlignment="1">
      <alignment horizontal="right" vertical="center"/>
      <protection/>
    </xf>
    <xf numFmtId="0" fontId="3" fillId="0" borderId="28" xfId="60" applyFont="1" applyBorder="1" applyAlignment="1">
      <alignment horizontal="center" vertical="center"/>
      <protection/>
    </xf>
    <xf numFmtId="0" fontId="3" fillId="0" borderId="36" xfId="60" applyFont="1" applyBorder="1" applyAlignment="1">
      <alignment horizontal="distributed" vertical="center" wrapText="1"/>
      <protection/>
    </xf>
    <xf numFmtId="3" fontId="3" fillId="34" borderId="130" xfId="60" applyNumberFormat="1" applyFont="1" applyFill="1" applyBorder="1" applyAlignment="1">
      <alignment horizontal="right" vertical="center"/>
      <protection/>
    </xf>
    <xf numFmtId="3" fontId="3" fillId="34" borderId="130" xfId="60" applyNumberFormat="1" applyFont="1" applyFill="1" applyBorder="1" applyAlignment="1">
      <alignment vertical="center"/>
      <protection/>
    </xf>
    <xf numFmtId="41" fontId="48" fillId="34" borderId="65" xfId="60" applyNumberFormat="1" applyFont="1" applyFill="1" applyBorder="1" applyAlignment="1">
      <alignment horizontal="right" vertical="center"/>
      <protection/>
    </xf>
    <xf numFmtId="0" fontId="3" fillId="0" borderId="23" xfId="60" applyFont="1" applyBorder="1" applyAlignment="1">
      <alignment horizontal="distributed" vertical="center"/>
      <protection/>
    </xf>
    <xf numFmtId="0" fontId="3" fillId="0" borderId="131" xfId="60" applyFont="1" applyBorder="1" applyAlignment="1">
      <alignment horizontal="distributed" vertical="center"/>
      <protection/>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132" xfId="60" applyFont="1" applyBorder="1" applyAlignment="1">
      <alignment horizontal="center"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35"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57" xfId="60" applyFont="1" applyBorder="1" applyAlignment="1">
      <alignment horizontal="center" vertical="center"/>
      <protection/>
    </xf>
    <xf numFmtId="0" fontId="3" fillId="0" borderId="137" xfId="60" applyFont="1" applyBorder="1" applyAlignment="1">
      <alignment horizontal="center" vertical="center"/>
      <protection/>
    </xf>
    <xf numFmtId="0" fontId="3" fillId="0" borderId="138" xfId="60" applyFont="1" applyBorder="1" applyAlignment="1">
      <alignment horizontal="distributed" vertical="center" wrapText="1"/>
      <protection/>
    </xf>
    <xf numFmtId="0" fontId="3" fillId="0" borderId="138" xfId="60" applyFont="1" applyBorder="1" applyAlignment="1">
      <alignment horizontal="distributed" vertical="center"/>
      <protection/>
    </xf>
    <xf numFmtId="0" fontId="3" fillId="0" borderId="139" xfId="60" applyFont="1" applyBorder="1" applyAlignment="1">
      <alignment horizontal="distributed" vertical="center"/>
      <protection/>
    </xf>
    <xf numFmtId="0" fontId="3" fillId="0" borderId="140" xfId="60" applyFont="1" applyBorder="1" applyAlignment="1">
      <alignment horizontal="distributed" vertical="center" wrapText="1"/>
      <protection/>
    </xf>
    <xf numFmtId="0" fontId="3" fillId="0" borderId="141" xfId="60" applyFont="1" applyBorder="1" applyAlignment="1">
      <alignment horizontal="distributed" vertical="center"/>
      <protection/>
    </xf>
    <xf numFmtId="0" fontId="3" fillId="0" borderId="138" xfId="60" applyFont="1" applyBorder="1" applyAlignment="1">
      <alignment horizontal="center" vertical="center"/>
      <protection/>
    </xf>
    <xf numFmtId="0" fontId="3" fillId="0" borderId="139"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106" xfId="60" applyFont="1" applyBorder="1" applyAlignment="1">
      <alignment horizontal="center" vertical="center"/>
      <protection/>
    </xf>
    <xf numFmtId="0" fontId="3" fillId="0" borderId="143" xfId="60" applyFont="1" applyBorder="1" applyAlignment="1">
      <alignment horizontal="center" vertical="center"/>
      <protection/>
    </xf>
    <xf numFmtId="0" fontId="3" fillId="0" borderId="106" xfId="60" applyFont="1" applyBorder="1" applyAlignment="1">
      <alignment horizontal="left" vertical="center"/>
      <protection/>
    </xf>
    <xf numFmtId="0" fontId="3" fillId="0" borderId="0" xfId="60" applyFont="1" applyAlignment="1">
      <alignment horizontal="left" vertical="center"/>
      <protection/>
    </xf>
    <xf numFmtId="0" fontId="3" fillId="0" borderId="144" xfId="60" applyFont="1" applyBorder="1" applyAlignment="1">
      <alignment horizontal="center"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06" xfId="60" applyFont="1" applyBorder="1" applyAlignment="1">
      <alignment horizontal="left"/>
      <protection/>
    </xf>
    <xf numFmtId="0" fontId="3" fillId="0" borderId="135" xfId="60" applyFont="1" applyBorder="1" applyAlignment="1">
      <alignment horizontal="distributed" vertical="center"/>
      <protection/>
    </xf>
    <xf numFmtId="0" fontId="3" fillId="0" borderId="57" xfId="60" applyFont="1" applyBorder="1" applyAlignment="1">
      <alignment horizontal="distributed" vertical="center"/>
      <protection/>
    </xf>
    <xf numFmtId="0" fontId="3" fillId="0" borderId="148" xfId="60" applyFont="1" applyBorder="1" applyAlignment="1">
      <alignment horizontal="distributed" vertical="center"/>
      <protection/>
    </xf>
    <xf numFmtId="0" fontId="3" fillId="0" borderId="149" xfId="60" applyFont="1" applyBorder="1" applyAlignment="1">
      <alignment horizontal="center" vertical="center"/>
      <protection/>
    </xf>
    <xf numFmtId="0" fontId="3" fillId="0" borderId="49" xfId="60" applyFont="1" applyBorder="1" applyAlignment="1">
      <alignment horizontal="distributed" vertical="center" wrapText="1"/>
      <protection/>
    </xf>
    <xf numFmtId="0" fontId="3" fillId="0" borderId="58" xfId="60" applyFont="1" applyBorder="1" applyAlignment="1">
      <alignment horizontal="distributed" vertical="center" wrapText="1"/>
      <protection/>
    </xf>
    <xf numFmtId="0" fontId="3" fillId="0" borderId="150" xfId="60" applyFont="1" applyBorder="1" applyAlignment="1">
      <alignment horizontal="distributed" vertical="center" wrapText="1"/>
      <protection/>
    </xf>
    <xf numFmtId="0" fontId="3" fillId="0" borderId="151" xfId="60" applyFont="1" applyBorder="1" applyAlignment="1">
      <alignment horizontal="center" vertical="center"/>
      <protection/>
    </xf>
    <xf numFmtId="0" fontId="3" fillId="0" borderId="152" xfId="60" applyFont="1" applyBorder="1" applyAlignment="1">
      <alignment horizontal="center" vertical="center"/>
      <protection/>
    </xf>
    <xf numFmtId="0" fontId="3" fillId="0" borderId="144" xfId="60" applyFont="1" applyBorder="1" applyAlignment="1">
      <alignment horizontal="center" vertical="center" wrapText="1"/>
      <protection/>
    </xf>
    <xf numFmtId="0" fontId="3" fillId="0" borderId="153" xfId="60" applyFont="1" applyBorder="1" applyAlignment="1">
      <alignment horizontal="left" vertical="center"/>
      <protection/>
    </xf>
    <xf numFmtId="0" fontId="3" fillId="0" borderId="154" xfId="60" applyFont="1" applyBorder="1" applyAlignment="1">
      <alignment horizontal="distributed" vertical="center" wrapText="1"/>
      <protection/>
    </xf>
    <xf numFmtId="0" fontId="3" fillId="0" borderId="155" xfId="60" applyFont="1" applyBorder="1" applyAlignment="1">
      <alignment horizontal="distributed" vertical="center"/>
      <protection/>
    </xf>
    <xf numFmtId="0" fontId="3" fillId="0" borderId="156" xfId="60" applyFont="1" applyBorder="1" applyAlignment="1">
      <alignment horizontal="distributed" vertical="center" wrapText="1"/>
      <protection/>
    </xf>
    <xf numFmtId="0" fontId="3" fillId="0" borderId="157" xfId="60" applyFont="1" applyBorder="1" applyAlignment="1">
      <alignment horizontal="distributed" vertical="center" wrapText="1"/>
      <protection/>
    </xf>
    <xf numFmtId="0" fontId="3" fillId="0" borderId="31" xfId="60" applyFont="1" applyBorder="1" applyAlignment="1">
      <alignment horizontal="center" vertical="center"/>
      <protection/>
    </xf>
    <xf numFmtId="0" fontId="3" fillId="0" borderId="149" xfId="60" applyFont="1" applyBorder="1" applyAlignment="1">
      <alignment horizontal="center" vertical="center" wrapText="1"/>
      <protection/>
    </xf>
    <xf numFmtId="0" fontId="3" fillId="0" borderId="158" xfId="60" applyFont="1" applyBorder="1" applyAlignment="1">
      <alignment horizontal="center" vertical="center"/>
      <protection/>
    </xf>
    <xf numFmtId="0" fontId="3" fillId="0" borderId="159" xfId="60" applyFont="1" applyBorder="1" applyAlignment="1">
      <alignment horizontal="center" vertical="center"/>
      <protection/>
    </xf>
    <xf numFmtId="0" fontId="3" fillId="0" borderId="160" xfId="60" applyFont="1" applyBorder="1" applyAlignment="1">
      <alignment horizontal="distributed" vertical="center" wrapText="1"/>
      <protection/>
    </xf>
    <xf numFmtId="0" fontId="3" fillId="0" borderId="161"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showGridLines="0" tabSelected="1" workbookViewId="0" topLeftCell="A1">
      <selection activeCell="A4" sqref="A4:B5"/>
    </sheetView>
  </sheetViews>
  <sheetFormatPr defaultColWidth="5.8515625" defaultRowHeight="15"/>
  <cols>
    <col min="1" max="1" width="10.57421875" style="2" customWidth="1"/>
    <col min="2" max="2" width="16.00390625" style="2" customWidth="1"/>
    <col min="3" max="3" width="9.140625" style="2" customWidth="1"/>
    <col min="4" max="4" width="9.7109375" style="2" customWidth="1"/>
    <col min="5" max="5" width="9.140625" style="2" customWidth="1"/>
    <col min="6" max="6" width="11.421875" style="2" bestFit="1" customWidth="1"/>
    <col min="7" max="7" width="9.140625" style="2" customWidth="1"/>
    <col min="8" max="8" width="11.421875" style="2" bestFit="1" customWidth="1"/>
    <col min="9" max="16384" width="5.8515625" style="2" customWidth="1"/>
  </cols>
  <sheetData>
    <row r="1" spans="1:8" ht="15">
      <c r="A1" s="208" t="s">
        <v>232</v>
      </c>
      <c r="B1" s="208"/>
      <c r="C1" s="208"/>
      <c r="D1" s="208"/>
      <c r="E1" s="208"/>
      <c r="F1" s="208"/>
      <c r="G1" s="208"/>
      <c r="H1" s="208"/>
    </row>
    <row r="2" spans="1:8" ht="15">
      <c r="A2" s="39"/>
      <c r="B2" s="39"/>
      <c r="C2" s="39"/>
      <c r="D2" s="39"/>
      <c r="E2" s="39"/>
      <c r="F2" s="39"/>
      <c r="G2" s="39"/>
      <c r="H2" s="39"/>
    </row>
    <row r="3" spans="1:8" ht="12" thickBot="1">
      <c r="A3" s="209" t="s">
        <v>167</v>
      </c>
      <c r="B3" s="209"/>
      <c r="C3" s="209"/>
      <c r="D3" s="209"/>
      <c r="E3" s="209"/>
      <c r="F3" s="209"/>
      <c r="G3" s="209"/>
      <c r="H3" s="209"/>
    </row>
    <row r="4" spans="1:8" ht="24" customHeight="1">
      <c r="A4" s="210" t="s">
        <v>152</v>
      </c>
      <c r="B4" s="211"/>
      <c r="C4" s="205" t="s">
        <v>243</v>
      </c>
      <c r="D4" s="206"/>
      <c r="E4" s="205" t="s">
        <v>244</v>
      </c>
      <c r="F4" s="206"/>
      <c r="G4" s="205" t="s">
        <v>245</v>
      </c>
      <c r="H4" s="207"/>
    </row>
    <row r="5" spans="1:8" ht="24" customHeight="1">
      <c r="A5" s="212"/>
      <c r="B5" s="213"/>
      <c r="C5" s="196" t="s">
        <v>153</v>
      </c>
      <c r="D5" s="40" t="s">
        <v>154</v>
      </c>
      <c r="E5" s="196" t="s">
        <v>153</v>
      </c>
      <c r="F5" s="40" t="s">
        <v>154</v>
      </c>
      <c r="G5" s="196" t="s">
        <v>153</v>
      </c>
      <c r="H5" s="41" t="s">
        <v>154</v>
      </c>
    </row>
    <row r="6" spans="1:8" ht="12" customHeight="1">
      <c r="A6" s="42"/>
      <c r="B6" s="43"/>
      <c r="C6" s="30" t="s">
        <v>155</v>
      </c>
      <c r="D6" s="7" t="s">
        <v>156</v>
      </c>
      <c r="E6" s="30" t="s">
        <v>155</v>
      </c>
      <c r="F6" s="7" t="s">
        <v>156</v>
      </c>
      <c r="G6" s="30" t="s">
        <v>155</v>
      </c>
      <c r="H6" s="44" t="s">
        <v>156</v>
      </c>
    </row>
    <row r="7" spans="1:8" ht="30" customHeight="1">
      <c r="A7" s="214" t="s">
        <v>169</v>
      </c>
      <c r="B7" s="45" t="s">
        <v>170</v>
      </c>
      <c r="C7" s="163">
        <v>25679</v>
      </c>
      <c r="D7" s="46">
        <v>16501528</v>
      </c>
      <c r="E7" s="93">
        <v>77944</v>
      </c>
      <c r="F7" s="46">
        <v>698674835</v>
      </c>
      <c r="G7" s="93">
        <v>103623</v>
      </c>
      <c r="H7" s="47">
        <v>715176364</v>
      </c>
    </row>
    <row r="8" spans="1:8" ht="30" customHeight="1">
      <c r="A8" s="215"/>
      <c r="B8" s="48" t="s">
        <v>171</v>
      </c>
      <c r="C8" s="94">
        <v>47682</v>
      </c>
      <c r="D8" s="95">
        <v>18816534</v>
      </c>
      <c r="E8" s="94">
        <v>31764</v>
      </c>
      <c r="F8" s="95">
        <v>21969355</v>
      </c>
      <c r="G8" s="94">
        <v>79446</v>
      </c>
      <c r="H8" s="96">
        <v>40785888</v>
      </c>
    </row>
    <row r="9" spans="1:8" s="50" customFormat="1" ht="30" customHeight="1">
      <c r="A9" s="215"/>
      <c r="B9" s="49" t="s">
        <v>172</v>
      </c>
      <c r="C9" s="164">
        <v>73361</v>
      </c>
      <c r="D9" s="98">
        <v>35318062</v>
      </c>
      <c r="E9" s="97">
        <v>109708</v>
      </c>
      <c r="F9" s="98">
        <v>720644190</v>
      </c>
      <c r="G9" s="97">
        <v>183069</v>
      </c>
      <c r="H9" s="99">
        <v>755962252</v>
      </c>
    </row>
    <row r="10" spans="1:8" ht="30" customHeight="1">
      <c r="A10" s="216"/>
      <c r="B10" s="51" t="s">
        <v>173</v>
      </c>
      <c r="C10" s="165">
        <v>4089</v>
      </c>
      <c r="D10" s="101">
        <v>2411955</v>
      </c>
      <c r="E10" s="100">
        <v>6626</v>
      </c>
      <c r="F10" s="101">
        <v>51879895</v>
      </c>
      <c r="G10" s="100">
        <v>10715</v>
      </c>
      <c r="H10" s="102">
        <v>54291850</v>
      </c>
    </row>
    <row r="11" spans="1:8" ht="30" customHeight="1">
      <c r="A11" s="217" t="s">
        <v>174</v>
      </c>
      <c r="B11" s="52" t="s">
        <v>175</v>
      </c>
      <c r="C11" s="103">
        <v>3478</v>
      </c>
      <c r="D11" s="54">
        <v>848796</v>
      </c>
      <c r="E11" s="104">
        <v>3241</v>
      </c>
      <c r="F11" s="54">
        <v>2182616</v>
      </c>
      <c r="G11" s="104">
        <v>6719</v>
      </c>
      <c r="H11" s="55">
        <v>3031412</v>
      </c>
    </row>
    <row r="12" spans="1:8" ht="30" customHeight="1">
      <c r="A12" s="218"/>
      <c r="B12" s="197" t="s">
        <v>176</v>
      </c>
      <c r="C12" s="198">
        <v>2209</v>
      </c>
      <c r="D12" s="66">
        <v>301409</v>
      </c>
      <c r="E12" s="199">
        <v>926</v>
      </c>
      <c r="F12" s="66">
        <v>1329609</v>
      </c>
      <c r="G12" s="199">
        <v>3135</v>
      </c>
      <c r="H12" s="67">
        <v>1631017</v>
      </c>
    </row>
    <row r="13" spans="1:8" ht="30" customHeight="1" thickBot="1">
      <c r="A13" s="201" t="s">
        <v>157</v>
      </c>
      <c r="B13" s="202"/>
      <c r="C13" s="105">
        <v>2748</v>
      </c>
      <c r="D13" s="106">
        <v>118538</v>
      </c>
      <c r="E13" s="105">
        <v>2408</v>
      </c>
      <c r="F13" s="106">
        <v>217839</v>
      </c>
      <c r="G13" s="105">
        <v>5156</v>
      </c>
      <c r="H13" s="107">
        <v>336377</v>
      </c>
    </row>
    <row r="14" spans="1:8" ht="2.25" customHeight="1">
      <c r="A14" s="144"/>
      <c r="B14" s="144"/>
      <c r="C14" s="145"/>
      <c r="D14" s="145"/>
      <c r="E14" s="145"/>
      <c r="F14" s="145"/>
      <c r="G14" s="145"/>
      <c r="H14" s="145"/>
    </row>
    <row r="15" spans="1:8" s="1" customFormat="1" ht="48.75" customHeight="1">
      <c r="A15" s="162" t="s">
        <v>166</v>
      </c>
      <c r="B15" s="203" t="s">
        <v>248</v>
      </c>
      <c r="C15" s="203"/>
      <c r="D15" s="203"/>
      <c r="E15" s="203"/>
      <c r="F15" s="203"/>
      <c r="G15" s="203"/>
      <c r="H15" s="203"/>
    </row>
    <row r="16" spans="1:8" ht="45.75" customHeight="1">
      <c r="A16" s="160"/>
      <c r="B16" s="204" t="s">
        <v>249</v>
      </c>
      <c r="C16" s="204"/>
      <c r="D16" s="204"/>
      <c r="E16" s="204"/>
      <c r="F16" s="204"/>
      <c r="G16" s="204"/>
      <c r="H16" s="204"/>
    </row>
    <row r="17" ht="14.25" customHeight="1">
      <c r="A17" s="2" t="s">
        <v>242</v>
      </c>
    </row>
  </sheetData>
  <sheetProtection/>
  <mergeCells count="11">
    <mergeCell ref="A1:H1"/>
    <mergeCell ref="A3:H3"/>
    <mergeCell ref="A4:B5"/>
    <mergeCell ref="A7:A10"/>
    <mergeCell ref="A11:A12"/>
    <mergeCell ref="A13:B13"/>
    <mergeCell ref="B15:H15"/>
    <mergeCell ref="B16:H16"/>
    <mergeCell ref="C4:D4"/>
    <mergeCell ref="E4:F4"/>
    <mergeCell ref="G4:H4"/>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r:id="rId1"/>
  <headerFooter alignWithMargins="0">
    <oddFooter>&amp;R仙台国税局
消費税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2" sqref="A2:B3"/>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158</v>
      </c>
    </row>
    <row r="2" spans="1:8" s="2" customFormat="1" ht="15" customHeight="1">
      <c r="A2" s="210" t="s">
        <v>152</v>
      </c>
      <c r="B2" s="211"/>
      <c r="C2" s="221" t="s">
        <v>168</v>
      </c>
      <c r="D2" s="221"/>
      <c r="E2" s="221" t="s">
        <v>177</v>
      </c>
      <c r="F2" s="221"/>
      <c r="G2" s="222" t="s">
        <v>178</v>
      </c>
      <c r="H2" s="223"/>
    </row>
    <row r="3" spans="1:8" s="2" customFormat="1" ht="15" customHeight="1">
      <c r="A3" s="212"/>
      <c r="B3" s="213"/>
      <c r="C3" s="53" t="s">
        <v>179</v>
      </c>
      <c r="D3" s="40" t="s">
        <v>180</v>
      </c>
      <c r="E3" s="53" t="s">
        <v>179</v>
      </c>
      <c r="F3" s="56" t="s">
        <v>180</v>
      </c>
      <c r="G3" s="53" t="s">
        <v>179</v>
      </c>
      <c r="H3" s="57" t="s">
        <v>180</v>
      </c>
    </row>
    <row r="4" spans="1:8" s="62" customFormat="1" ht="15" customHeight="1">
      <c r="A4" s="58"/>
      <c r="B4" s="40"/>
      <c r="C4" s="59" t="s">
        <v>15</v>
      </c>
      <c r="D4" s="60" t="s">
        <v>16</v>
      </c>
      <c r="E4" s="59" t="s">
        <v>15</v>
      </c>
      <c r="F4" s="60" t="s">
        <v>16</v>
      </c>
      <c r="G4" s="59" t="s">
        <v>15</v>
      </c>
      <c r="H4" s="61" t="s">
        <v>16</v>
      </c>
    </row>
    <row r="5" spans="1:8" s="64" customFormat="1" ht="30" customHeight="1">
      <c r="A5" s="219" t="s">
        <v>235</v>
      </c>
      <c r="B5" s="45" t="s">
        <v>159</v>
      </c>
      <c r="C5" s="63">
        <v>78757</v>
      </c>
      <c r="D5" s="46">
        <v>37027560</v>
      </c>
      <c r="E5" s="63">
        <v>111210</v>
      </c>
      <c r="F5" s="46">
        <v>752341535</v>
      </c>
      <c r="G5" s="63">
        <v>189967</v>
      </c>
      <c r="H5" s="47">
        <v>789369096</v>
      </c>
    </row>
    <row r="6" spans="1:8" s="64" customFormat="1" ht="30" customHeight="1">
      <c r="A6" s="220"/>
      <c r="B6" s="51" t="s">
        <v>3</v>
      </c>
      <c r="C6" s="65">
        <v>2062</v>
      </c>
      <c r="D6" s="66">
        <v>1567811</v>
      </c>
      <c r="E6" s="65">
        <v>4826</v>
      </c>
      <c r="F6" s="66">
        <v>38306237</v>
      </c>
      <c r="G6" s="65">
        <v>6888</v>
      </c>
      <c r="H6" s="67">
        <v>39874048</v>
      </c>
    </row>
    <row r="7" spans="1:8" s="64" customFormat="1" ht="30" customHeight="1">
      <c r="A7" s="219" t="s">
        <v>239</v>
      </c>
      <c r="B7" s="68" t="s">
        <v>159</v>
      </c>
      <c r="C7" s="69">
        <v>79322</v>
      </c>
      <c r="D7" s="54">
        <v>36467855</v>
      </c>
      <c r="E7" s="69">
        <v>111402</v>
      </c>
      <c r="F7" s="54">
        <v>624518675</v>
      </c>
      <c r="G7" s="69">
        <v>190724</v>
      </c>
      <c r="H7" s="55">
        <v>660986530</v>
      </c>
    </row>
    <row r="8" spans="1:8" s="64" customFormat="1" ht="30" customHeight="1">
      <c r="A8" s="220"/>
      <c r="B8" s="51" t="s">
        <v>3</v>
      </c>
      <c r="C8" s="65">
        <v>2311</v>
      </c>
      <c r="D8" s="66">
        <v>1609742</v>
      </c>
      <c r="E8" s="65">
        <v>5054</v>
      </c>
      <c r="F8" s="66">
        <v>44818077</v>
      </c>
      <c r="G8" s="65">
        <v>7365</v>
      </c>
      <c r="H8" s="67">
        <v>46427819</v>
      </c>
    </row>
    <row r="9" spans="1:8" s="64" customFormat="1" ht="30" customHeight="1">
      <c r="A9" s="219" t="s">
        <v>240</v>
      </c>
      <c r="B9" s="68" t="s">
        <v>159</v>
      </c>
      <c r="C9" s="69">
        <v>79585</v>
      </c>
      <c r="D9" s="54">
        <v>36089002</v>
      </c>
      <c r="E9" s="69">
        <v>111813</v>
      </c>
      <c r="F9" s="54">
        <v>623500762</v>
      </c>
      <c r="G9" s="69">
        <v>191398</v>
      </c>
      <c r="H9" s="55">
        <v>659589764</v>
      </c>
    </row>
    <row r="10" spans="1:8" s="64" customFormat="1" ht="30" customHeight="1">
      <c r="A10" s="220"/>
      <c r="B10" s="51" t="s">
        <v>3</v>
      </c>
      <c r="C10" s="65">
        <v>2400</v>
      </c>
      <c r="D10" s="66">
        <v>1512638</v>
      </c>
      <c r="E10" s="65">
        <v>5138</v>
      </c>
      <c r="F10" s="66">
        <v>42311402</v>
      </c>
      <c r="G10" s="65">
        <v>7538</v>
      </c>
      <c r="H10" s="67">
        <v>43824040</v>
      </c>
    </row>
    <row r="11" spans="1:8" s="64" customFormat="1" ht="30" customHeight="1">
      <c r="A11" s="219" t="s">
        <v>241</v>
      </c>
      <c r="B11" s="68" t="s">
        <v>159</v>
      </c>
      <c r="C11" s="69">
        <v>75298</v>
      </c>
      <c r="D11" s="54">
        <v>35438010</v>
      </c>
      <c r="E11" s="69">
        <v>110990</v>
      </c>
      <c r="F11" s="54">
        <v>647328311</v>
      </c>
      <c r="G11" s="69">
        <v>186288</v>
      </c>
      <c r="H11" s="55">
        <v>682766321</v>
      </c>
    </row>
    <row r="12" spans="1:8" s="64" customFormat="1" ht="30" customHeight="1">
      <c r="A12" s="220"/>
      <c r="B12" s="51" t="s">
        <v>3</v>
      </c>
      <c r="C12" s="65">
        <v>2460</v>
      </c>
      <c r="D12" s="66">
        <v>1700088</v>
      </c>
      <c r="E12" s="65">
        <v>5270</v>
      </c>
      <c r="F12" s="66">
        <v>44238954</v>
      </c>
      <c r="G12" s="65">
        <v>7730</v>
      </c>
      <c r="H12" s="67">
        <v>45939042</v>
      </c>
    </row>
    <row r="13" spans="1:8" s="2" customFormat="1" ht="30" customHeight="1">
      <c r="A13" s="219" t="s">
        <v>246</v>
      </c>
      <c r="B13" s="68" t="s">
        <v>159</v>
      </c>
      <c r="C13" s="166">
        <v>73361</v>
      </c>
      <c r="D13" s="54">
        <v>35318062</v>
      </c>
      <c r="E13" s="69">
        <v>109708</v>
      </c>
      <c r="F13" s="54">
        <v>720644190</v>
      </c>
      <c r="G13" s="69">
        <v>183069</v>
      </c>
      <c r="H13" s="55">
        <v>755962252</v>
      </c>
    </row>
    <row r="14" spans="1:8" s="2" customFormat="1" ht="30" customHeight="1" thickBot="1">
      <c r="A14" s="219"/>
      <c r="B14" s="70" t="s">
        <v>3</v>
      </c>
      <c r="C14" s="167">
        <v>4089</v>
      </c>
      <c r="D14" s="109">
        <v>2411955</v>
      </c>
      <c r="E14" s="108">
        <v>6626</v>
      </c>
      <c r="F14" s="109">
        <v>51879895</v>
      </c>
      <c r="G14" s="108">
        <v>10715</v>
      </c>
      <c r="H14" s="110">
        <v>54291850</v>
      </c>
    </row>
    <row r="15" spans="1:7" s="2" customFormat="1" ht="11.25">
      <c r="A15" s="161"/>
      <c r="E15" s="71"/>
      <c r="G15" s="71"/>
    </row>
    <row r="16" spans="5:7" s="2" customFormat="1" ht="11.25">
      <c r="E16" s="71"/>
      <c r="G16" s="71"/>
    </row>
    <row r="17" spans="5:7" s="2" customFormat="1" ht="11.25">
      <c r="E17" s="71"/>
      <c r="G17" s="71"/>
    </row>
    <row r="18" spans="5:7" s="2" customFormat="1" ht="11.25">
      <c r="E18" s="71"/>
      <c r="G18" s="71"/>
    </row>
    <row r="19" spans="5:7" s="2" customFormat="1" ht="11.25">
      <c r="E19" s="71"/>
      <c r="G19" s="71"/>
    </row>
    <row r="20" spans="5:7" s="2" customFormat="1" ht="11.25">
      <c r="E20" s="71"/>
      <c r="G20" s="71"/>
    </row>
    <row r="21" spans="5:7" s="2" customFormat="1" ht="11.25">
      <c r="E21" s="71"/>
      <c r="G21" s="71"/>
    </row>
    <row r="22" spans="5:7" s="2" customFormat="1" ht="11.25">
      <c r="E22" s="71"/>
      <c r="G22" s="71"/>
    </row>
  </sheetData>
  <sheetProtection/>
  <mergeCells count="9">
    <mergeCell ref="A11:A12"/>
    <mergeCell ref="A13:A14"/>
    <mergeCell ref="A2:B3"/>
    <mergeCell ref="C2:D2"/>
    <mergeCell ref="E2:F2"/>
    <mergeCell ref="G2:H2"/>
    <mergeCell ref="A5:A6"/>
    <mergeCell ref="A7:A8"/>
    <mergeCell ref="A9:A10"/>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r:id="rId1"/>
  <headerFooter alignWithMargins="0">
    <oddFooter>&amp;R仙台国税局
消費税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2" sqref="A2"/>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160</v>
      </c>
    </row>
    <row r="2" spans="1:4" s="1" customFormat="1" ht="19.5" customHeight="1">
      <c r="A2" s="72" t="s">
        <v>161</v>
      </c>
      <c r="B2" s="73" t="s">
        <v>162</v>
      </c>
      <c r="C2" s="74" t="s">
        <v>163</v>
      </c>
      <c r="D2" s="75" t="s">
        <v>164</v>
      </c>
    </row>
    <row r="3" spans="1:4" s="62" customFormat="1" ht="15" customHeight="1">
      <c r="A3" s="76" t="s">
        <v>15</v>
      </c>
      <c r="B3" s="77" t="s">
        <v>15</v>
      </c>
      <c r="C3" s="78" t="s">
        <v>15</v>
      </c>
      <c r="D3" s="79" t="s">
        <v>15</v>
      </c>
    </row>
    <row r="4" spans="1:9" s="1" customFormat="1" ht="30" customHeight="1" thickBot="1">
      <c r="A4" s="156">
        <v>193058</v>
      </c>
      <c r="B4" s="157">
        <v>5687</v>
      </c>
      <c r="C4" s="158">
        <v>416</v>
      </c>
      <c r="D4" s="159">
        <v>199161</v>
      </c>
      <c r="E4" s="80"/>
      <c r="G4" s="80"/>
      <c r="I4" s="80"/>
    </row>
    <row r="5" spans="1:4" s="1" customFormat="1" ht="15" customHeight="1">
      <c r="A5" s="224" t="s">
        <v>247</v>
      </c>
      <c r="B5" s="224"/>
      <c r="C5" s="224"/>
      <c r="D5" s="224"/>
    </row>
    <row r="6" spans="1:4" s="1" customFormat="1" ht="15" customHeight="1">
      <c r="A6" s="225" t="s">
        <v>165</v>
      </c>
      <c r="B6" s="225"/>
      <c r="C6" s="225"/>
      <c r="D6" s="225"/>
    </row>
  </sheetData>
  <sheetProtection/>
  <mergeCells count="2">
    <mergeCell ref="A5:D5"/>
    <mergeCell ref="A6:D6"/>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r:id="rId1"/>
  <headerFooter alignWithMargins="0">
    <oddFooter>&amp;R仙台国税局
消費税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86"/>
  <sheetViews>
    <sheetView showGridLines="0" workbookViewId="0" topLeftCell="A1">
      <selection activeCell="A3" sqref="A3:A5"/>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237</v>
      </c>
      <c r="B1" s="1"/>
      <c r="C1" s="1"/>
      <c r="D1" s="1"/>
      <c r="E1" s="1"/>
      <c r="F1" s="1"/>
      <c r="G1" s="1"/>
      <c r="H1" s="2"/>
      <c r="I1" s="2"/>
      <c r="J1" s="2"/>
      <c r="K1" s="2"/>
      <c r="L1" s="2"/>
      <c r="M1" s="2"/>
      <c r="N1" s="2"/>
    </row>
    <row r="2" spans="1:14" ht="14.25" thickBot="1">
      <c r="A2" s="225" t="s">
        <v>0</v>
      </c>
      <c r="B2" s="225"/>
      <c r="C2" s="225"/>
      <c r="D2" s="225"/>
      <c r="E2" s="225"/>
      <c r="F2" s="225"/>
      <c r="G2" s="225"/>
      <c r="H2" s="2"/>
      <c r="I2" s="2"/>
      <c r="J2" s="2"/>
      <c r="K2" s="2"/>
      <c r="L2" s="2"/>
      <c r="M2" s="2"/>
      <c r="N2" s="2"/>
    </row>
    <row r="3" spans="1:14" ht="19.5" customHeight="1">
      <c r="A3" s="231" t="s">
        <v>1</v>
      </c>
      <c r="B3" s="234" t="s">
        <v>2</v>
      </c>
      <c r="C3" s="234"/>
      <c r="D3" s="234"/>
      <c r="E3" s="234"/>
      <c r="F3" s="234"/>
      <c r="G3" s="234"/>
      <c r="H3" s="226" t="s">
        <v>3</v>
      </c>
      <c r="I3" s="227"/>
      <c r="J3" s="240" t="s">
        <v>4</v>
      </c>
      <c r="K3" s="227"/>
      <c r="L3" s="226" t="s">
        <v>5</v>
      </c>
      <c r="M3" s="227"/>
      <c r="N3" s="235" t="s">
        <v>6</v>
      </c>
    </row>
    <row r="4" spans="1:14" ht="17.25" customHeight="1">
      <c r="A4" s="232"/>
      <c r="B4" s="238" t="s">
        <v>7</v>
      </c>
      <c r="C4" s="238"/>
      <c r="D4" s="228" t="s">
        <v>8</v>
      </c>
      <c r="E4" s="239"/>
      <c r="F4" s="228" t="s">
        <v>9</v>
      </c>
      <c r="G4" s="239"/>
      <c r="H4" s="228"/>
      <c r="I4" s="229"/>
      <c r="J4" s="228"/>
      <c r="K4" s="229"/>
      <c r="L4" s="228"/>
      <c r="M4" s="229"/>
      <c r="N4" s="236"/>
    </row>
    <row r="5" spans="1:14" s="4" customFormat="1" ht="28.5" customHeight="1">
      <c r="A5" s="233"/>
      <c r="B5" s="33" t="s">
        <v>10</v>
      </c>
      <c r="C5" s="34" t="s">
        <v>11</v>
      </c>
      <c r="D5" s="33" t="s">
        <v>10</v>
      </c>
      <c r="E5" s="34" t="s">
        <v>11</v>
      </c>
      <c r="F5" s="33" t="s">
        <v>10</v>
      </c>
      <c r="G5" s="38" t="s">
        <v>12</v>
      </c>
      <c r="H5" s="33" t="s">
        <v>91</v>
      </c>
      <c r="I5" s="37" t="s">
        <v>13</v>
      </c>
      <c r="J5" s="33" t="s">
        <v>91</v>
      </c>
      <c r="K5" s="37" t="s">
        <v>14</v>
      </c>
      <c r="L5" s="33" t="s">
        <v>91</v>
      </c>
      <c r="M5" s="35" t="s">
        <v>92</v>
      </c>
      <c r="N5" s="237"/>
    </row>
    <row r="6" spans="1:14" s="10" customFormat="1" ht="10.5">
      <c r="A6" s="5"/>
      <c r="B6" s="6" t="s">
        <v>15</v>
      </c>
      <c r="C6" s="7" t="s">
        <v>16</v>
      </c>
      <c r="D6" s="6" t="s">
        <v>15</v>
      </c>
      <c r="E6" s="7" t="s">
        <v>16</v>
      </c>
      <c r="F6" s="6" t="s">
        <v>15</v>
      </c>
      <c r="G6" s="7" t="s">
        <v>16</v>
      </c>
      <c r="H6" s="6" t="s">
        <v>15</v>
      </c>
      <c r="I6" s="8" t="s">
        <v>16</v>
      </c>
      <c r="J6" s="6" t="s">
        <v>15</v>
      </c>
      <c r="K6" s="8" t="s">
        <v>16</v>
      </c>
      <c r="L6" s="6" t="s">
        <v>236</v>
      </c>
      <c r="M6" s="8" t="s">
        <v>16</v>
      </c>
      <c r="N6" s="9"/>
    </row>
    <row r="7" spans="1:14" ht="15.75" customHeight="1">
      <c r="A7" s="11" t="s">
        <v>18</v>
      </c>
      <c r="B7" s="111">
        <f>_xlfn.COMPOUNDVALUE(1)</f>
        <v>913</v>
      </c>
      <c r="C7" s="168">
        <v>600904</v>
      </c>
      <c r="D7" s="111">
        <f>_xlfn.COMPOUNDVALUE(2)</f>
        <v>1649</v>
      </c>
      <c r="E7" s="168">
        <v>628150</v>
      </c>
      <c r="F7" s="111">
        <f>_xlfn.COMPOUNDVALUE(3)</f>
        <v>2562</v>
      </c>
      <c r="G7" s="168">
        <v>1229054</v>
      </c>
      <c r="H7" s="111">
        <f>_xlfn.COMPOUNDVALUE(4)</f>
        <v>65</v>
      </c>
      <c r="I7" s="170">
        <v>27450</v>
      </c>
      <c r="J7" s="111">
        <v>175</v>
      </c>
      <c r="K7" s="113">
        <v>17466</v>
      </c>
      <c r="L7" s="111">
        <v>2680</v>
      </c>
      <c r="M7" s="113">
        <v>1219069</v>
      </c>
      <c r="N7" s="12" t="s">
        <v>96</v>
      </c>
    </row>
    <row r="8" spans="1:14" ht="15.75" customHeight="1">
      <c r="A8" s="13" t="s">
        <v>19</v>
      </c>
      <c r="B8" s="114">
        <f>_xlfn.COMPOUNDVALUE(5)</f>
        <v>541</v>
      </c>
      <c r="C8" s="169">
        <v>326548</v>
      </c>
      <c r="D8" s="114">
        <f>_xlfn.COMPOUNDVALUE(6)</f>
        <v>1236</v>
      </c>
      <c r="E8" s="169">
        <v>440513</v>
      </c>
      <c r="F8" s="114">
        <f>_xlfn.COMPOUNDVALUE(7)</f>
        <v>1777</v>
      </c>
      <c r="G8" s="169">
        <v>767061</v>
      </c>
      <c r="H8" s="114">
        <f>_xlfn.COMPOUNDVALUE(8)</f>
        <v>49</v>
      </c>
      <c r="I8" s="171">
        <v>18121</v>
      </c>
      <c r="J8" s="114">
        <v>100</v>
      </c>
      <c r="K8" s="116">
        <v>2089</v>
      </c>
      <c r="L8" s="114">
        <v>1848</v>
      </c>
      <c r="M8" s="116">
        <v>751029</v>
      </c>
      <c r="N8" s="14" t="s">
        <v>97</v>
      </c>
    </row>
    <row r="9" spans="1:14" ht="15.75" customHeight="1">
      <c r="A9" s="13" t="s">
        <v>20</v>
      </c>
      <c r="B9" s="114">
        <f>_xlfn.COMPOUNDVALUE(9)</f>
        <v>823</v>
      </c>
      <c r="C9" s="169">
        <v>558442</v>
      </c>
      <c r="D9" s="114">
        <f>_xlfn.COMPOUNDVALUE(10)</f>
        <v>1478</v>
      </c>
      <c r="E9" s="169">
        <v>579865</v>
      </c>
      <c r="F9" s="114">
        <f>_xlfn.COMPOUNDVALUE(11)</f>
        <v>2301</v>
      </c>
      <c r="G9" s="169">
        <v>1138307</v>
      </c>
      <c r="H9" s="114">
        <f>_xlfn.COMPOUNDVALUE(12)</f>
        <v>91</v>
      </c>
      <c r="I9" s="171">
        <v>69140</v>
      </c>
      <c r="J9" s="114">
        <v>149</v>
      </c>
      <c r="K9" s="116">
        <v>-3927</v>
      </c>
      <c r="L9" s="114">
        <v>2430</v>
      </c>
      <c r="M9" s="116">
        <v>1065240</v>
      </c>
      <c r="N9" s="14" t="s">
        <v>98</v>
      </c>
    </row>
    <row r="10" spans="1:14" ht="15.75" customHeight="1">
      <c r="A10" s="13" t="s">
        <v>21</v>
      </c>
      <c r="B10" s="114">
        <f>_xlfn.COMPOUNDVALUE(13)</f>
        <v>269</v>
      </c>
      <c r="C10" s="169">
        <v>170523</v>
      </c>
      <c r="D10" s="114">
        <f>_xlfn.COMPOUNDVALUE(14)</f>
        <v>742</v>
      </c>
      <c r="E10" s="169">
        <v>237753</v>
      </c>
      <c r="F10" s="114">
        <f>_xlfn.COMPOUNDVALUE(15)</f>
        <v>1011</v>
      </c>
      <c r="G10" s="169">
        <v>408277</v>
      </c>
      <c r="H10" s="114">
        <f>_xlfn.COMPOUNDVALUE(16)</f>
        <v>16</v>
      </c>
      <c r="I10" s="171">
        <v>3997</v>
      </c>
      <c r="J10" s="114">
        <v>86</v>
      </c>
      <c r="K10" s="116">
        <v>17054</v>
      </c>
      <c r="L10" s="114">
        <v>1066</v>
      </c>
      <c r="M10" s="116">
        <v>421333</v>
      </c>
      <c r="N10" s="14" t="s">
        <v>99</v>
      </c>
    </row>
    <row r="11" spans="1:14" ht="15.75" customHeight="1">
      <c r="A11" s="13" t="s">
        <v>22</v>
      </c>
      <c r="B11" s="114">
        <f>_xlfn.COMPOUNDVALUE(17)</f>
        <v>535</v>
      </c>
      <c r="C11" s="169">
        <v>325455</v>
      </c>
      <c r="D11" s="114">
        <f>_xlfn.COMPOUNDVALUE(18)</f>
        <v>1443</v>
      </c>
      <c r="E11" s="169">
        <v>443766</v>
      </c>
      <c r="F11" s="114">
        <f>_xlfn.COMPOUNDVALUE(19)</f>
        <v>1978</v>
      </c>
      <c r="G11" s="169">
        <v>769220</v>
      </c>
      <c r="H11" s="114">
        <f>_xlfn.COMPOUNDVALUE(20)</f>
        <v>68</v>
      </c>
      <c r="I11" s="171">
        <v>29869</v>
      </c>
      <c r="J11" s="114">
        <v>154</v>
      </c>
      <c r="K11" s="116">
        <v>12273</v>
      </c>
      <c r="L11" s="114">
        <v>2086</v>
      </c>
      <c r="M11" s="116">
        <v>751624</v>
      </c>
      <c r="N11" s="14" t="s">
        <v>100</v>
      </c>
    </row>
    <row r="12" spans="1:14" ht="15.75" customHeight="1">
      <c r="A12" s="13" t="s">
        <v>23</v>
      </c>
      <c r="B12" s="114">
        <f>_xlfn.COMPOUNDVALUE(21)</f>
        <v>771</v>
      </c>
      <c r="C12" s="169">
        <v>518834</v>
      </c>
      <c r="D12" s="114">
        <f>_xlfn.COMPOUNDVALUE(22)</f>
        <v>1937</v>
      </c>
      <c r="E12" s="169">
        <v>676571</v>
      </c>
      <c r="F12" s="114">
        <f>_xlfn.COMPOUNDVALUE(23)</f>
        <v>2708</v>
      </c>
      <c r="G12" s="169">
        <v>1195405</v>
      </c>
      <c r="H12" s="114">
        <f>_xlfn.COMPOUNDVALUE(24)</f>
        <v>168</v>
      </c>
      <c r="I12" s="171">
        <v>86862</v>
      </c>
      <c r="J12" s="114">
        <v>98</v>
      </c>
      <c r="K12" s="116">
        <v>9209</v>
      </c>
      <c r="L12" s="114">
        <v>2912</v>
      </c>
      <c r="M12" s="116">
        <v>1117751</v>
      </c>
      <c r="N12" s="14" t="s">
        <v>101</v>
      </c>
    </row>
    <row r="13" spans="1:14" ht="15.75" customHeight="1">
      <c r="A13" s="13" t="s">
        <v>24</v>
      </c>
      <c r="B13" s="114">
        <f>_xlfn.COMPOUNDVALUE(25)</f>
        <v>227</v>
      </c>
      <c r="C13" s="169">
        <v>142582</v>
      </c>
      <c r="D13" s="114">
        <f>_xlfn.COMPOUNDVALUE(26)</f>
        <v>498</v>
      </c>
      <c r="E13" s="169">
        <v>169995</v>
      </c>
      <c r="F13" s="114">
        <f>_xlfn.COMPOUNDVALUE(27)</f>
        <v>725</v>
      </c>
      <c r="G13" s="169">
        <v>312578</v>
      </c>
      <c r="H13" s="114">
        <f>_xlfn.COMPOUNDVALUE(28)</f>
        <v>38</v>
      </c>
      <c r="I13" s="171">
        <v>10395</v>
      </c>
      <c r="J13" s="114">
        <v>55</v>
      </c>
      <c r="K13" s="116">
        <v>8341</v>
      </c>
      <c r="L13" s="114">
        <v>772</v>
      </c>
      <c r="M13" s="116">
        <v>310524</v>
      </c>
      <c r="N13" s="14" t="s">
        <v>24</v>
      </c>
    </row>
    <row r="14" spans="1:14" s="17" customFormat="1" ht="15.75" customHeight="1">
      <c r="A14" s="15" t="s">
        <v>25</v>
      </c>
      <c r="B14" s="117">
        <v>4079</v>
      </c>
      <c r="C14" s="118">
        <v>2643288</v>
      </c>
      <c r="D14" s="117">
        <v>8983</v>
      </c>
      <c r="E14" s="118">
        <v>3176613</v>
      </c>
      <c r="F14" s="117">
        <v>13062</v>
      </c>
      <c r="G14" s="118">
        <v>5819901</v>
      </c>
      <c r="H14" s="117">
        <v>495</v>
      </c>
      <c r="I14" s="119">
        <v>245834</v>
      </c>
      <c r="J14" s="117">
        <v>817</v>
      </c>
      <c r="K14" s="119">
        <v>62504</v>
      </c>
      <c r="L14" s="117">
        <v>13794</v>
      </c>
      <c r="M14" s="119">
        <v>5636571</v>
      </c>
      <c r="N14" s="16" t="s">
        <v>95</v>
      </c>
    </row>
    <row r="15" spans="1:15" s="20" customFormat="1" ht="15.75" customHeight="1">
      <c r="A15" s="147"/>
      <c r="B15" s="146"/>
      <c r="C15" s="150"/>
      <c r="D15" s="146"/>
      <c r="E15" s="150"/>
      <c r="F15" s="146"/>
      <c r="G15" s="150"/>
      <c r="H15" s="152"/>
      <c r="I15" s="151"/>
      <c r="J15" s="146"/>
      <c r="K15" s="150"/>
      <c r="L15" s="152"/>
      <c r="M15" s="151"/>
      <c r="N15" s="148"/>
      <c r="O15" s="149"/>
    </row>
    <row r="16" spans="1:14" ht="15.75" customHeight="1">
      <c r="A16" s="11" t="s">
        <v>26</v>
      </c>
      <c r="B16" s="111">
        <f>_xlfn.COMPOUNDVALUE(29)</f>
        <v>1455</v>
      </c>
      <c r="C16" s="168">
        <v>967863</v>
      </c>
      <c r="D16" s="111">
        <f>_xlfn.COMPOUNDVALUE(30)</f>
        <v>2058</v>
      </c>
      <c r="E16" s="168">
        <v>945154</v>
      </c>
      <c r="F16" s="111">
        <f>_xlfn.COMPOUNDVALUE(31)</f>
        <v>3513</v>
      </c>
      <c r="G16" s="168">
        <v>1913016</v>
      </c>
      <c r="H16" s="111">
        <f>_xlfn.COMPOUNDVALUE(32)</f>
        <v>287</v>
      </c>
      <c r="I16" s="170">
        <v>135222</v>
      </c>
      <c r="J16" s="111">
        <v>264</v>
      </c>
      <c r="K16" s="113">
        <v>17839</v>
      </c>
      <c r="L16" s="111">
        <v>3899</v>
      </c>
      <c r="M16" s="113">
        <v>1795634</v>
      </c>
      <c r="N16" s="24" t="s">
        <v>102</v>
      </c>
    </row>
    <row r="17" spans="1:14" ht="15.75" customHeight="1">
      <c r="A17" s="13" t="s">
        <v>27</v>
      </c>
      <c r="B17" s="114">
        <f>_xlfn.COMPOUNDVALUE(33)</f>
        <v>248</v>
      </c>
      <c r="C17" s="169">
        <v>180843</v>
      </c>
      <c r="D17" s="114">
        <f>_xlfn.COMPOUNDVALUE(34)</f>
        <v>596</v>
      </c>
      <c r="E17" s="169">
        <v>195880</v>
      </c>
      <c r="F17" s="114">
        <f>_xlfn.COMPOUNDVALUE(35)</f>
        <v>844</v>
      </c>
      <c r="G17" s="169">
        <v>376723</v>
      </c>
      <c r="H17" s="114">
        <f>_xlfn.COMPOUNDVALUE(36)</f>
        <v>42</v>
      </c>
      <c r="I17" s="171">
        <v>18620</v>
      </c>
      <c r="J17" s="114">
        <v>55</v>
      </c>
      <c r="K17" s="116">
        <v>4448</v>
      </c>
      <c r="L17" s="114">
        <v>901</v>
      </c>
      <c r="M17" s="116">
        <v>362551</v>
      </c>
      <c r="N17" s="14" t="s">
        <v>103</v>
      </c>
    </row>
    <row r="18" spans="1:14" ht="15.75" customHeight="1">
      <c r="A18" s="13" t="s">
        <v>28</v>
      </c>
      <c r="B18" s="114">
        <f>_xlfn.COMPOUNDVALUE(37)</f>
        <v>291</v>
      </c>
      <c r="C18" s="169">
        <v>211623</v>
      </c>
      <c r="D18" s="114">
        <f>_xlfn.COMPOUNDVALUE(38)</f>
        <v>461</v>
      </c>
      <c r="E18" s="169">
        <v>142989</v>
      </c>
      <c r="F18" s="114">
        <f>_xlfn.COMPOUNDVALUE(39)</f>
        <v>752</v>
      </c>
      <c r="G18" s="169">
        <v>354612</v>
      </c>
      <c r="H18" s="114">
        <f>_xlfn.COMPOUNDVALUE(40)</f>
        <v>43</v>
      </c>
      <c r="I18" s="171">
        <v>28973</v>
      </c>
      <c r="J18" s="114">
        <v>40</v>
      </c>
      <c r="K18" s="116">
        <v>3787</v>
      </c>
      <c r="L18" s="114">
        <v>811</v>
      </c>
      <c r="M18" s="116">
        <v>329425</v>
      </c>
      <c r="N18" s="14" t="s">
        <v>104</v>
      </c>
    </row>
    <row r="19" spans="1:14" ht="15.75" customHeight="1">
      <c r="A19" s="13" t="s">
        <v>29</v>
      </c>
      <c r="B19" s="114">
        <f>_xlfn.COMPOUNDVALUE(41)</f>
        <v>418</v>
      </c>
      <c r="C19" s="169">
        <v>270189</v>
      </c>
      <c r="D19" s="114">
        <f>_xlfn.COMPOUNDVALUE(42)</f>
        <v>628</v>
      </c>
      <c r="E19" s="169">
        <v>267205</v>
      </c>
      <c r="F19" s="114">
        <f>_xlfn.COMPOUNDVALUE(43)</f>
        <v>1046</v>
      </c>
      <c r="G19" s="169">
        <v>537394</v>
      </c>
      <c r="H19" s="114">
        <f>_xlfn.COMPOUNDVALUE(44)</f>
        <v>116</v>
      </c>
      <c r="I19" s="171">
        <v>57371</v>
      </c>
      <c r="J19" s="114">
        <v>57</v>
      </c>
      <c r="K19" s="116">
        <v>-2602</v>
      </c>
      <c r="L19" s="114">
        <v>1181</v>
      </c>
      <c r="M19" s="116">
        <v>477421</v>
      </c>
      <c r="N19" s="14" t="s">
        <v>105</v>
      </c>
    </row>
    <row r="20" spans="1:14" ht="15.75" customHeight="1">
      <c r="A20" s="13" t="s">
        <v>30</v>
      </c>
      <c r="B20" s="114">
        <f>_xlfn.COMPOUNDVALUE(45)</f>
        <v>564</v>
      </c>
      <c r="C20" s="169">
        <v>363424</v>
      </c>
      <c r="D20" s="114">
        <f>_xlfn.COMPOUNDVALUE(46)</f>
        <v>764</v>
      </c>
      <c r="E20" s="169">
        <v>321720</v>
      </c>
      <c r="F20" s="114">
        <f>_xlfn.COMPOUNDVALUE(47)</f>
        <v>1328</v>
      </c>
      <c r="G20" s="169">
        <v>685144</v>
      </c>
      <c r="H20" s="114">
        <f>_xlfn.COMPOUNDVALUE(48)</f>
        <v>92</v>
      </c>
      <c r="I20" s="171">
        <v>52408</v>
      </c>
      <c r="J20" s="114">
        <v>104</v>
      </c>
      <c r="K20" s="116">
        <v>18985</v>
      </c>
      <c r="L20" s="114">
        <v>1454</v>
      </c>
      <c r="M20" s="116">
        <v>651721</v>
      </c>
      <c r="N20" s="14" t="s">
        <v>106</v>
      </c>
    </row>
    <row r="21" spans="1:14" ht="15.75" customHeight="1">
      <c r="A21" s="13" t="s">
        <v>31</v>
      </c>
      <c r="B21" s="114">
        <f>_xlfn.COMPOUNDVALUE(49)</f>
        <v>300</v>
      </c>
      <c r="C21" s="169">
        <v>184170</v>
      </c>
      <c r="D21" s="114">
        <f>_xlfn.COMPOUNDVALUE(50)</f>
        <v>362</v>
      </c>
      <c r="E21" s="169">
        <v>128721</v>
      </c>
      <c r="F21" s="114">
        <f>_xlfn.COMPOUNDVALUE(51)</f>
        <v>662</v>
      </c>
      <c r="G21" s="169">
        <v>312890</v>
      </c>
      <c r="H21" s="114">
        <f>_xlfn.COMPOUNDVALUE(52)</f>
        <v>56</v>
      </c>
      <c r="I21" s="171">
        <v>31775</v>
      </c>
      <c r="J21" s="114">
        <v>21</v>
      </c>
      <c r="K21" s="116">
        <v>669</v>
      </c>
      <c r="L21" s="114">
        <v>725</v>
      </c>
      <c r="M21" s="116">
        <v>281784</v>
      </c>
      <c r="N21" s="14" t="s">
        <v>107</v>
      </c>
    </row>
    <row r="22" spans="1:14" ht="15.75" customHeight="1">
      <c r="A22" s="13" t="s">
        <v>32</v>
      </c>
      <c r="B22" s="114">
        <f>_xlfn.COMPOUNDVALUE(53)</f>
        <v>377</v>
      </c>
      <c r="C22" s="169">
        <v>215436</v>
      </c>
      <c r="D22" s="114">
        <f>_xlfn.COMPOUNDVALUE(54)</f>
        <v>538</v>
      </c>
      <c r="E22" s="169">
        <v>220847</v>
      </c>
      <c r="F22" s="114">
        <f>_xlfn.COMPOUNDVALUE(55)</f>
        <v>915</v>
      </c>
      <c r="G22" s="169">
        <v>436283</v>
      </c>
      <c r="H22" s="114">
        <f>_xlfn.COMPOUNDVALUE(56)</f>
        <v>89</v>
      </c>
      <c r="I22" s="171">
        <v>32651</v>
      </c>
      <c r="J22" s="114">
        <v>82</v>
      </c>
      <c r="K22" s="116">
        <v>-1945</v>
      </c>
      <c r="L22" s="114">
        <v>1010</v>
      </c>
      <c r="M22" s="116">
        <v>401687</v>
      </c>
      <c r="N22" s="14" t="s">
        <v>108</v>
      </c>
    </row>
    <row r="23" spans="1:14" ht="15.75" customHeight="1">
      <c r="A23" s="13" t="s">
        <v>33</v>
      </c>
      <c r="B23" s="114">
        <f>_xlfn.COMPOUNDVALUE(57)</f>
        <v>240</v>
      </c>
      <c r="C23" s="169">
        <v>195933</v>
      </c>
      <c r="D23" s="114">
        <f>_xlfn.COMPOUNDVALUE(58)</f>
        <v>347</v>
      </c>
      <c r="E23" s="169">
        <v>131472</v>
      </c>
      <c r="F23" s="114">
        <f>_xlfn.COMPOUNDVALUE(59)</f>
        <v>587</v>
      </c>
      <c r="G23" s="169">
        <v>327406</v>
      </c>
      <c r="H23" s="114">
        <f>_xlfn.COMPOUNDVALUE(60)</f>
        <v>37</v>
      </c>
      <c r="I23" s="171">
        <v>28143</v>
      </c>
      <c r="J23" s="114">
        <v>46</v>
      </c>
      <c r="K23" s="116">
        <v>2005</v>
      </c>
      <c r="L23" s="114">
        <v>645</v>
      </c>
      <c r="M23" s="116">
        <v>301267</v>
      </c>
      <c r="N23" s="14" t="s">
        <v>109</v>
      </c>
    </row>
    <row r="24" spans="1:14" ht="15.75" customHeight="1">
      <c r="A24" s="13" t="s">
        <v>34</v>
      </c>
      <c r="B24" s="114">
        <f>_xlfn.COMPOUNDVALUE(61)</f>
        <v>274</v>
      </c>
      <c r="C24" s="169">
        <v>221438</v>
      </c>
      <c r="D24" s="114">
        <f>_xlfn.COMPOUNDVALUE(62)</f>
        <v>389</v>
      </c>
      <c r="E24" s="169">
        <v>155543</v>
      </c>
      <c r="F24" s="114">
        <f>_xlfn.COMPOUNDVALUE(63)</f>
        <v>663</v>
      </c>
      <c r="G24" s="169">
        <v>376981</v>
      </c>
      <c r="H24" s="114">
        <f>_xlfn.COMPOUNDVALUE(64)</f>
        <v>64</v>
      </c>
      <c r="I24" s="171">
        <v>69417</v>
      </c>
      <c r="J24" s="114">
        <v>49</v>
      </c>
      <c r="K24" s="116">
        <v>3996</v>
      </c>
      <c r="L24" s="114">
        <v>739</v>
      </c>
      <c r="M24" s="116">
        <v>311560</v>
      </c>
      <c r="N24" s="14" t="s">
        <v>110</v>
      </c>
    </row>
    <row r="25" spans="1:14" s="17" customFormat="1" ht="15.75" customHeight="1">
      <c r="A25" s="15" t="s">
        <v>35</v>
      </c>
      <c r="B25" s="117">
        <v>4167</v>
      </c>
      <c r="C25" s="118">
        <v>2810918</v>
      </c>
      <c r="D25" s="117">
        <v>6143</v>
      </c>
      <c r="E25" s="118">
        <v>2509529</v>
      </c>
      <c r="F25" s="117">
        <v>10310</v>
      </c>
      <c r="G25" s="118">
        <v>5320448</v>
      </c>
      <c r="H25" s="117">
        <v>826</v>
      </c>
      <c r="I25" s="119">
        <v>454581</v>
      </c>
      <c r="J25" s="117">
        <v>718</v>
      </c>
      <c r="K25" s="119">
        <v>47182</v>
      </c>
      <c r="L25" s="117">
        <v>11365</v>
      </c>
      <c r="M25" s="119">
        <v>4913049</v>
      </c>
      <c r="N25" s="16" t="s">
        <v>111</v>
      </c>
    </row>
    <row r="26" spans="1:15" s="20" customFormat="1" ht="15.75" customHeight="1">
      <c r="A26" s="23"/>
      <c r="B26" s="152"/>
      <c r="C26" s="150"/>
      <c r="D26" s="146"/>
      <c r="E26" s="154"/>
      <c r="F26" s="152"/>
      <c r="G26" s="146"/>
      <c r="H26" s="152"/>
      <c r="I26" s="146"/>
      <c r="J26" s="152"/>
      <c r="K26" s="150"/>
      <c r="L26" s="146"/>
      <c r="M26" s="150"/>
      <c r="N26" s="148"/>
      <c r="O26" s="149"/>
    </row>
    <row r="27" spans="1:14" s="17" customFormat="1" ht="15.75" customHeight="1">
      <c r="A27" s="11" t="s">
        <v>36</v>
      </c>
      <c r="B27" s="111">
        <f>_xlfn.COMPOUNDVALUE(65)</f>
        <v>1689</v>
      </c>
      <c r="C27" s="168">
        <v>1116048</v>
      </c>
      <c r="D27" s="111">
        <f>_xlfn.COMPOUNDVALUE(66)</f>
        <v>2036</v>
      </c>
      <c r="E27" s="168">
        <v>1066512</v>
      </c>
      <c r="F27" s="111">
        <f>_xlfn.COMPOUNDVALUE(67)</f>
        <v>3725</v>
      </c>
      <c r="G27" s="168">
        <v>2182560</v>
      </c>
      <c r="H27" s="111">
        <f>_xlfn.COMPOUNDVALUE(68)</f>
        <v>224</v>
      </c>
      <c r="I27" s="170">
        <v>165831</v>
      </c>
      <c r="J27" s="111">
        <v>236</v>
      </c>
      <c r="K27" s="113">
        <v>39534</v>
      </c>
      <c r="L27" s="111">
        <v>4065</v>
      </c>
      <c r="M27" s="113">
        <v>2056263</v>
      </c>
      <c r="N27" s="24" t="s">
        <v>112</v>
      </c>
    </row>
    <row r="28" spans="1:14" s="17" customFormat="1" ht="15.75" customHeight="1">
      <c r="A28" s="13" t="s">
        <v>37</v>
      </c>
      <c r="B28" s="114">
        <f>_xlfn.COMPOUNDVALUE(69)</f>
        <v>809</v>
      </c>
      <c r="C28" s="169">
        <v>681482</v>
      </c>
      <c r="D28" s="114">
        <f>_xlfn.COMPOUNDVALUE(70)</f>
        <v>1125</v>
      </c>
      <c r="E28" s="169">
        <v>656400</v>
      </c>
      <c r="F28" s="114">
        <f>_xlfn.COMPOUNDVALUE(71)</f>
        <v>1934</v>
      </c>
      <c r="G28" s="169">
        <v>1337882</v>
      </c>
      <c r="H28" s="114">
        <f>_xlfn.COMPOUNDVALUE(72)</f>
        <v>103</v>
      </c>
      <c r="I28" s="171">
        <v>44240</v>
      </c>
      <c r="J28" s="114">
        <v>110</v>
      </c>
      <c r="K28" s="116">
        <v>20019</v>
      </c>
      <c r="L28" s="114">
        <v>2083</v>
      </c>
      <c r="M28" s="116">
        <v>1313662</v>
      </c>
      <c r="N28" s="14" t="s">
        <v>113</v>
      </c>
    </row>
    <row r="29" spans="1:14" s="17" customFormat="1" ht="15.75" customHeight="1">
      <c r="A29" s="13" t="s">
        <v>38</v>
      </c>
      <c r="B29" s="114">
        <f>_xlfn.COMPOUNDVALUE(73)</f>
        <v>850</v>
      </c>
      <c r="C29" s="169">
        <v>542346</v>
      </c>
      <c r="D29" s="114">
        <f>_xlfn.COMPOUNDVALUE(74)</f>
        <v>1477</v>
      </c>
      <c r="E29" s="169">
        <v>637920</v>
      </c>
      <c r="F29" s="114">
        <f>_xlfn.COMPOUNDVALUE(75)</f>
        <v>2327</v>
      </c>
      <c r="G29" s="169">
        <v>1180267</v>
      </c>
      <c r="H29" s="114">
        <f>_xlfn.COMPOUNDVALUE(76)</f>
        <v>91</v>
      </c>
      <c r="I29" s="171">
        <v>68011</v>
      </c>
      <c r="J29" s="114">
        <v>288</v>
      </c>
      <c r="K29" s="116">
        <v>10689</v>
      </c>
      <c r="L29" s="114">
        <v>2493</v>
      </c>
      <c r="M29" s="116">
        <v>1122944</v>
      </c>
      <c r="N29" s="14" t="s">
        <v>114</v>
      </c>
    </row>
    <row r="30" spans="1:14" s="17" customFormat="1" ht="15.75" customHeight="1">
      <c r="A30" s="13" t="s">
        <v>39</v>
      </c>
      <c r="B30" s="114">
        <f>_xlfn.COMPOUNDVALUE(77)</f>
        <v>649</v>
      </c>
      <c r="C30" s="169">
        <v>456960</v>
      </c>
      <c r="D30" s="114">
        <f>_xlfn.COMPOUNDVALUE(78)</f>
        <v>1364</v>
      </c>
      <c r="E30" s="169">
        <v>526954</v>
      </c>
      <c r="F30" s="114">
        <f>_xlfn.COMPOUNDVALUE(79)</f>
        <v>2013</v>
      </c>
      <c r="G30" s="169">
        <v>983914</v>
      </c>
      <c r="H30" s="114">
        <f>_xlfn.COMPOUNDVALUE(80)</f>
        <v>143</v>
      </c>
      <c r="I30" s="171">
        <v>140844</v>
      </c>
      <c r="J30" s="114">
        <v>203</v>
      </c>
      <c r="K30" s="116">
        <v>12099</v>
      </c>
      <c r="L30" s="114">
        <v>2202</v>
      </c>
      <c r="M30" s="116">
        <v>855169</v>
      </c>
      <c r="N30" s="14" t="s">
        <v>115</v>
      </c>
    </row>
    <row r="31" spans="1:14" s="17" customFormat="1" ht="15.75" customHeight="1">
      <c r="A31" s="13" t="s">
        <v>40</v>
      </c>
      <c r="B31" s="114">
        <f>_xlfn.COMPOUNDVALUE(81)</f>
        <v>428</v>
      </c>
      <c r="C31" s="169">
        <v>263959</v>
      </c>
      <c r="D31" s="114">
        <f>_xlfn.COMPOUNDVALUE(82)</f>
        <v>708</v>
      </c>
      <c r="E31" s="169">
        <v>278906</v>
      </c>
      <c r="F31" s="114">
        <f>_xlfn.COMPOUNDVALUE(83)</f>
        <v>1136</v>
      </c>
      <c r="G31" s="169">
        <v>542865</v>
      </c>
      <c r="H31" s="114">
        <f>_xlfn.COMPOUNDVALUE(84)</f>
        <v>57</v>
      </c>
      <c r="I31" s="171">
        <v>50107</v>
      </c>
      <c r="J31" s="114">
        <v>86</v>
      </c>
      <c r="K31" s="116">
        <v>9935</v>
      </c>
      <c r="L31" s="114">
        <v>1222</v>
      </c>
      <c r="M31" s="116">
        <v>502694</v>
      </c>
      <c r="N31" s="14" t="s">
        <v>116</v>
      </c>
    </row>
    <row r="32" spans="1:14" s="17" customFormat="1" ht="15.75" customHeight="1">
      <c r="A32" s="13" t="s">
        <v>41</v>
      </c>
      <c r="B32" s="114">
        <f>_xlfn.COMPOUNDVALUE(85)</f>
        <v>671</v>
      </c>
      <c r="C32" s="169">
        <v>379558</v>
      </c>
      <c r="D32" s="114">
        <f>_xlfn.COMPOUNDVALUE(86)</f>
        <v>1214</v>
      </c>
      <c r="E32" s="169">
        <v>466366</v>
      </c>
      <c r="F32" s="114">
        <f>_xlfn.COMPOUNDVALUE(87)</f>
        <v>1885</v>
      </c>
      <c r="G32" s="169">
        <v>845923</v>
      </c>
      <c r="H32" s="114">
        <f>_xlfn.COMPOUNDVALUE(88)</f>
        <v>161</v>
      </c>
      <c r="I32" s="171">
        <v>56977</v>
      </c>
      <c r="J32" s="114">
        <v>278</v>
      </c>
      <c r="K32" s="116">
        <v>19716</v>
      </c>
      <c r="L32" s="114">
        <v>2139</v>
      </c>
      <c r="M32" s="116">
        <v>808661</v>
      </c>
      <c r="N32" s="14" t="s">
        <v>117</v>
      </c>
    </row>
    <row r="33" spans="1:14" s="17" customFormat="1" ht="15.75" customHeight="1">
      <c r="A33" s="13" t="s">
        <v>42</v>
      </c>
      <c r="B33" s="172">
        <f>_xlfn.COMPOUNDVALUE(89)</f>
        <v>288</v>
      </c>
      <c r="C33" s="169">
        <v>199131</v>
      </c>
      <c r="D33" s="114">
        <f>_xlfn.COMPOUNDVALUE(90)</f>
        <v>504</v>
      </c>
      <c r="E33" s="169">
        <v>164826</v>
      </c>
      <c r="F33" s="172">
        <f>_xlfn.COMPOUNDVALUE(91)</f>
        <v>792</v>
      </c>
      <c r="G33" s="169">
        <v>363957</v>
      </c>
      <c r="H33" s="172">
        <f>_xlfn.COMPOUNDVALUE(92)</f>
        <v>47</v>
      </c>
      <c r="I33" s="171">
        <v>45807</v>
      </c>
      <c r="J33" s="114">
        <v>32</v>
      </c>
      <c r="K33" s="116">
        <v>3081</v>
      </c>
      <c r="L33" s="114">
        <v>854</v>
      </c>
      <c r="M33" s="116">
        <v>321231</v>
      </c>
      <c r="N33" s="14" t="s">
        <v>118</v>
      </c>
    </row>
    <row r="34" spans="1:14" s="17" customFormat="1" ht="15.75" customHeight="1">
      <c r="A34" s="13" t="s">
        <v>43</v>
      </c>
      <c r="B34" s="172">
        <f>_xlfn.COMPOUNDVALUE(93)</f>
        <v>474</v>
      </c>
      <c r="C34" s="169">
        <v>275000</v>
      </c>
      <c r="D34" s="114">
        <f>_xlfn.COMPOUNDVALUE(94)</f>
        <v>701</v>
      </c>
      <c r="E34" s="169">
        <v>283805</v>
      </c>
      <c r="F34" s="172">
        <f>_xlfn.COMPOUNDVALUE(95)</f>
        <v>1175</v>
      </c>
      <c r="G34" s="169">
        <v>558805</v>
      </c>
      <c r="H34" s="172">
        <f>_xlfn.COMPOUNDVALUE(96)</f>
        <v>117</v>
      </c>
      <c r="I34" s="171">
        <v>76121</v>
      </c>
      <c r="J34" s="114">
        <v>111</v>
      </c>
      <c r="K34" s="116">
        <v>8022</v>
      </c>
      <c r="L34" s="114">
        <v>1322</v>
      </c>
      <c r="M34" s="116">
        <v>490706</v>
      </c>
      <c r="N34" s="14" t="s">
        <v>119</v>
      </c>
    </row>
    <row r="35" spans="1:14" s="17" customFormat="1" ht="15.75" customHeight="1">
      <c r="A35" s="13" t="s">
        <v>44</v>
      </c>
      <c r="B35" s="172">
        <f>_xlfn.COMPOUNDVALUE(97)</f>
        <v>252</v>
      </c>
      <c r="C35" s="169">
        <v>134019</v>
      </c>
      <c r="D35" s="114">
        <f>_xlfn.COMPOUNDVALUE(98)</f>
        <v>392</v>
      </c>
      <c r="E35" s="169">
        <v>156422</v>
      </c>
      <c r="F35" s="172">
        <f>_xlfn.COMPOUNDVALUE(99)</f>
        <v>644</v>
      </c>
      <c r="G35" s="169">
        <v>290441</v>
      </c>
      <c r="H35" s="172">
        <f>_xlfn.COMPOUNDVALUE(100)</f>
        <v>77</v>
      </c>
      <c r="I35" s="171">
        <v>48871</v>
      </c>
      <c r="J35" s="114">
        <v>78</v>
      </c>
      <c r="K35" s="116">
        <v>2544</v>
      </c>
      <c r="L35" s="114">
        <v>750</v>
      </c>
      <c r="M35" s="116">
        <v>244115</v>
      </c>
      <c r="N35" s="14" t="s">
        <v>120</v>
      </c>
    </row>
    <row r="36" spans="1:14" s="17" customFormat="1" ht="15.75" customHeight="1">
      <c r="A36" s="13" t="s">
        <v>45</v>
      </c>
      <c r="B36" s="172">
        <f>_xlfn.COMPOUNDVALUE(101)</f>
        <v>341</v>
      </c>
      <c r="C36" s="169">
        <v>277317</v>
      </c>
      <c r="D36" s="114">
        <f>_xlfn.COMPOUNDVALUE(102)</f>
        <v>593</v>
      </c>
      <c r="E36" s="169">
        <v>224614</v>
      </c>
      <c r="F36" s="172">
        <f>_xlfn.COMPOUNDVALUE(103)</f>
        <v>934</v>
      </c>
      <c r="G36" s="169">
        <v>501931</v>
      </c>
      <c r="H36" s="172">
        <f>_xlfn.COMPOUNDVALUE(104)</f>
        <v>116</v>
      </c>
      <c r="I36" s="171">
        <v>94137</v>
      </c>
      <c r="J36" s="114">
        <v>88</v>
      </c>
      <c r="K36" s="116">
        <v>3836</v>
      </c>
      <c r="L36" s="114">
        <v>1061</v>
      </c>
      <c r="M36" s="116">
        <v>411630</v>
      </c>
      <c r="N36" s="14" t="s">
        <v>121</v>
      </c>
    </row>
    <row r="37" spans="1:14" s="17" customFormat="1" ht="15.75" customHeight="1">
      <c r="A37" s="15" t="s">
        <v>46</v>
      </c>
      <c r="B37" s="173">
        <v>6451</v>
      </c>
      <c r="C37" s="118">
        <v>4325819</v>
      </c>
      <c r="D37" s="117">
        <v>10114</v>
      </c>
      <c r="E37" s="118">
        <v>4462725</v>
      </c>
      <c r="F37" s="173">
        <v>16565</v>
      </c>
      <c r="G37" s="118">
        <v>8788545</v>
      </c>
      <c r="H37" s="173">
        <v>1136</v>
      </c>
      <c r="I37" s="119">
        <v>790945</v>
      </c>
      <c r="J37" s="117">
        <v>1510</v>
      </c>
      <c r="K37" s="119">
        <v>129474</v>
      </c>
      <c r="L37" s="117">
        <v>18191</v>
      </c>
      <c r="M37" s="119">
        <v>8127074</v>
      </c>
      <c r="N37" s="16" t="s">
        <v>122</v>
      </c>
    </row>
    <row r="38" spans="1:14" s="17" customFormat="1" ht="15.75" customHeight="1">
      <c r="A38" s="91"/>
      <c r="B38" s="120"/>
      <c r="C38" s="121"/>
      <c r="D38" s="120"/>
      <c r="E38" s="121"/>
      <c r="F38" s="122"/>
      <c r="G38" s="121"/>
      <c r="H38" s="122"/>
      <c r="I38" s="121"/>
      <c r="J38" s="122"/>
      <c r="K38" s="121"/>
      <c r="L38" s="122"/>
      <c r="M38" s="121"/>
      <c r="N38" s="92"/>
    </row>
    <row r="39" spans="1:14" s="17" customFormat="1" ht="15.75" customHeight="1">
      <c r="A39" s="11" t="s">
        <v>47</v>
      </c>
      <c r="B39" s="111">
        <f>_xlfn.COMPOUNDVALUE(105)</f>
        <v>618</v>
      </c>
      <c r="C39" s="168">
        <v>367938</v>
      </c>
      <c r="D39" s="111">
        <f>_xlfn.COMPOUNDVALUE(106)</f>
        <v>882</v>
      </c>
      <c r="E39" s="168">
        <v>440969</v>
      </c>
      <c r="F39" s="111">
        <f>_xlfn.COMPOUNDVALUE(107)</f>
        <v>1500</v>
      </c>
      <c r="G39" s="168">
        <v>808907</v>
      </c>
      <c r="H39" s="111">
        <f>_xlfn.COMPOUNDVALUE(108)</f>
        <v>52</v>
      </c>
      <c r="I39" s="170">
        <v>15089</v>
      </c>
      <c r="J39" s="111">
        <v>93</v>
      </c>
      <c r="K39" s="113">
        <v>14779</v>
      </c>
      <c r="L39" s="111">
        <v>1586</v>
      </c>
      <c r="M39" s="113">
        <v>808598</v>
      </c>
      <c r="N39" s="12" t="s">
        <v>123</v>
      </c>
    </row>
    <row r="40" spans="1:14" s="17" customFormat="1" ht="15.75" customHeight="1">
      <c r="A40" s="13" t="s">
        <v>48</v>
      </c>
      <c r="B40" s="114">
        <f>_xlfn.COMPOUNDVALUE(109)</f>
        <v>391</v>
      </c>
      <c r="C40" s="169">
        <v>221384</v>
      </c>
      <c r="D40" s="114">
        <f>_xlfn.COMPOUNDVALUE(110)</f>
        <v>1150</v>
      </c>
      <c r="E40" s="169">
        <v>412253</v>
      </c>
      <c r="F40" s="114">
        <f>_xlfn.COMPOUNDVALUE(111)</f>
        <v>1541</v>
      </c>
      <c r="G40" s="169">
        <v>633637</v>
      </c>
      <c r="H40" s="114">
        <f>_xlfn.COMPOUNDVALUE(112)</f>
        <v>47</v>
      </c>
      <c r="I40" s="171">
        <v>20455</v>
      </c>
      <c r="J40" s="114">
        <v>126</v>
      </c>
      <c r="K40" s="116">
        <v>14459</v>
      </c>
      <c r="L40" s="114">
        <v>1641</v>
      </c>
      <c r="M40" s="116">
        <v>627641</v>
      </c>
      <c r="N40" s="14" t="s">
        <v>124</v>
      </c>
    </row>
    <row r="41" spans="1:14" s="17" customFormat="1" ht="15.75" customHeight="1">
      <c r="A41" s="13" t="s">
        <v>49</v>
      </c>
      <c r="B41" s="114">
        <f>_xlfn.COMPOUNDVALUE(113)</f>
        <v>273</v>
      </c>
      <c r="C41" s="169">
        <v>221837</v>
      </c>
      <c r="D41" s="114">
        <f>_xlfn.COMPOUNDVALUE(114)</f>
        <v>648</v>
      </c>
      <c r="E41" s="169">
        <v>219619</v>
      </c>
      <c r="F41" s="114">
        <f>_xlfn.COMPOUNDVALUE(115)</f>
        <v>921</v>
      </c>
      <c r="G41" s="169">
        <v>441455</v>
      </c>
      <c r="H41" s="114">
        <f>_xlfn.COMPOUNDVALUE(116)</f>
        <v>44</v>
      </c>
      <c r="I41" s="171">
        <v>34003</v>
      </c>
      <c r="J41" s="114">
        <v>73</v>
      </c>
      <c r="K41" s="116">
        <v>14891</v>
      </c>
      <c r="L41" s="114">
        <v>1008</v>
      </c>
      <c r="M41" s="116">
        <v>422343</v>
      </c>
      <c r="N41" s="14" t="s">
        <v>125</v>
      </c>
    </row>
    <row r="42" spans="1:14" s="17" customFormat="1" ht="15.75" customHeight="1">
      <c r="A42" s="13" t="s">
        <v>50</v>
      </c>
      <c r="B42" s="114">
        <f>_xlfn.COMPOUNDVALUE(117)</f>
        <v>274</v>
      </c>
      <c r="C42" s="169">
        <v>139896</v>
      </c>
      <c r="D42" s="114">
        <f>_xlfn.COMPOUNDVALUE(118)</f>
        <v>635</v>
      </c>
      <c r="E42" s="169">
        <v>218447</v>
      </c>
      <c r="F42" s="114">
        <f>_xlfn.COMPOUNDVALUE(119)</f>
        <v>909</v>
      </c>
      <c r="G42" s="169">
        <v>358343</v>
      </c>
      <c r="H42" s="114">
        <f>_xlfn.COMPOUNDVALUE(120)</f>
        <v>40</v>
      </c>
      <c r="I42" s="171">
        <v>48975</v>
      </c>
      <c r="J42" s="114">
        <v>106</v>
      </c>
      <c r="K42" s="116">
        <v>6767</v>
      </c>
      <c r="L42" s="114">
        <v>990</v>
      </c>
      <c r="M42" s="116">
        <v>316136</v>
      </c>
      <c r="N42" s="14" t="s">
        <v>126</v>
      </c>
    </row>
    <row r="43" spans="1:14" s="17" customFormat="1" ht="15.75" customHeight="1">
      <c r="A43" s="13" t="s">
        <v>51</v>
      </c>
      <c r="B43" s="114">
        <f>_xlfn.COMPOUNDVALUE(121)</f>
        <v>375</v>
      </c>
      <c r="C43" s="169">
        <v>216090</v>
      </c>
      <c r="D43" s="114">
        <f>_xlfn.COMPOUNDVALUE(122)</f>
        <v>670</v>
      </c>
      <c r="E43" s="169">
        <v>260595</v>
      </c>
      <c r="F43" s="114">
        <f>_xlfn.COMPOUNDVALUE(123)</f>
        <v>1045</v>
      </c>
      <c r="G43" s="169">
        <v>476685</v>
      </c>
      <c r="H43" s="114">
        <f>_xlfn.COMPOUNDVALUE(124)</f>
        <v>37</v>
      </c>
      <c r="I43" s="171">
        <v>15308</v>
      </c>
      <c r="J43" s="114">
        <v>102</v>
      </c>
      <c r="K43" s="116">
        <v>12333</v>
      </c>
      <c r="L43" s="114">
        <v>1131</v>
      </c>
      <c r="M43" s="116">
        <v>473710</v>
      </c>
      <c r="N43" s="14" t="s">
        <v>127</v>
      </c>
    </row>
    <row r="44" spans="1:14" s="17" customFormat="1" ht="15.75" customHeight="1">
      <c r="A44" s="13" t="s">
        <v>52</v>
      </c>
      <c r="B44" s="114">
        <f>_xlfn.COMPOUNDVALUE(125)</f>
        <v>314</v>
      </c>
      <c r="C44" s="169">
        <v>214324</v>
      </c>
      <c r="D44" s="114">
        <f>_xlfn.COMPOUNDVALUE(126)</f>
        <v>607</v>
      </c>
      <c r="E44" s="169">
        <v>212911</v>
      </c>
      <c r="F44" s="114">
        <f>_xlfn.COMPOUNDVALUE(127)</f>
        <v>921</v>
      </c>
      <c r="G44" s="169">
        <v>427235</v>
      </c>
      <c r="H44" s="114">
        <f>_xlfn.COMPOUNDVALUE(128)</f>
        <v>33</v>
      </c>
      <c r="I44" s="171">
        <v>14149</v>
      </c>
      <c r="J44" s="114">
        <v>64</v>
      </c>
      <c r="K44" s="116">
        <v>1151</v>
      </c>
      <c r="L44" s="114">
        <v>969</v>
      </c>
      <c r="M44" s="116">
        <v>414237</v>
      </c>
      <c r="N44" s="14" t="s">
        <v>128</v>
      </c>
    </row>
    <row r="45" spans="1:14" s="17" customFormat="1" ht="15.75" customHeight="1">
      <c r="A45" s="13" t="s">
        <v>53</v>
      </c>
      <c r="B45" s="114">
        <f>_xlfn.COMPOUNDVALUE(129)</f>
        <v>222</v>
      </c>
      <c r="C45" s="169">
        <v>128026</v>
      </c>
      <c r="D45" s="114">
        <f>_xlfn.COMPOUNDVALUE(130)</f>
        <v>394</v>
      </c>
      <c r="E45" s="169">
        <v>150462</v>
      </c>
      <c r="F45" s="114">
        <f>_xlfn.COMPOUNDVALUE(131)</f>
        <v>616</v>
      </c>
      <c r="G45" s="169">
        <v>278488</v>
      </c>
      <c r="H45" s="114">
        <f>_xlfn.COMPOUNDVALUE(132)</f>
        <v>40</v>
      </c>
      <c r="I45" s="171">
        <v>21294</v>
      </c>
      <c r="J45" s="114">
        <v>16</v>
      </c>
      <c r="K45" s="116">
        <v>-502</v>
      </c>
      <c r="L45" s="114">
        <v>665</v>
      </c>
      <c r="M45" s="116">
        <v>256691</v>
      </c>
      <c r="N45" s="14" t="s">
        <v>129</v>
      </c>
    </row>
    <row r="46" spans="1:14" s="17" customFormat="1" ht="15.75" customHeight="1">
      <c r="A46" s="13" t="s">
        <v>54</v>
      </c>
      <c r="B46" s="114">
        <f>_xlfn.COMPOUNDVALUE(133)</f>
        <v>349</v>
      </c>
      <c r="C46" s="169">
        <v>218547</v>
      </c>
      <c r="D46" s="114">
        <f>_xlfn.COMPOUNDVALUE(134)</f>
        <v>858</v>
      </c>
      <c r="E46" s="169">
        <v>318990</v>
      </c>
      <c r="F46" s="114">
        <f>_xlfn.COMPOUNDVALUE(135)</f>
        <v>1207</v>
      </c>
      <c r="G46" s="169">
        <v>537537</v>
      </c>
      <c r="H46" s="114">
        <f>_xlfn.COMPOUNDVALUE(136)</f>
        <v>43</v>
      </c>
      <c r="I46" s="171">
        <v>13986</v>
      </c>
      <c r="J46" s="114">
        <v>68</v>
      </c>
      <c r="K46" s="116">
        <v>7053</v>
      </c>
      <c r="L46" s="114">
        <v>1273</v>
      </c>
      <c r="M46" s="116">
        <v>530604</v>
      </c>
      <c r="N46" s="14" t="s">
        <v>130</v>
      </c>
    </row>
    <row r="47" spans="1:14" s="17" customFormat="1" ht="15.75" customHeight="1">
      <c r="A47" s="15" t="s">
        <v>55</v>
      </c>
      <c r="B47" s="117">
        <v>2816</v>
      </c>
      <c r="C47" s="118">
        <v>1728042</v>
      </c>
      <c r="D47" s="117">
        <v>5844</v>
      </c>
      <c r="E47" s="118">
        <v>2234246</v>
      </c>
      <c r="F47" s="117">
        <v>8660</v>
      </c>
      <c r="G47" s="118">
        <v>3962287</v>
      </c>
      <c r="H47" s="117">
        <v>336</v>
      </c>
      <c r="I47" s="119">
        <v>183259</v>
      </c>
      <c r="J47" s="117">
        <v>648</v>
      </c>
      <c r="K47" s="119">
        <v>70931</v>
      </c>
      <c r="L47" s="117">
        <v>9263</v>
      </c>
      <c r="M47" s="119">
        <v>3849960</v>
      </c>
      <c r="N47" s="16" t="s">
        <v>131</v>
      </c>
    </row>
    <row r="48" spans="1:15" s="17" customFormat="1" ht="15.75" customHeight="1">
      <c r="A48" s="23"/>
      <c r="B48" s="152"/>
      <c r="C48" s="150"/>
      <c r="D48" s="146"/>
      <c r="E48" s="150"/>
      <c r="F48" s="155"/>
      <c r="G48" s="146"/>
      <c r="H48" s="152"/>
      <c r="I48" s="154"/>
      <c r="J48" s="152"/>
      <c r="K48" s="150"/>
      <c r="L48" s="146"/>
      <c r="M48" s="150"/>
      <c r="N48" s="148"/>
      <c r="O48" s="153"/>
    </row>
    <row r="49" spans="1:14" s="17" customFormat="1" ht="15.75" customHeight="1">
      <c r="A49" s="11" t="s">
        <v>56</v>
      </c>
      <c r="B49" s="111">
        <f>_xlfn.COMPOUNDVALUE(137)</f>
        <v>912</v>
      </c>
      <c r="C49" s="168">
        <v>562138</v>
      </c>
      <c r="D49" s="111">
        <f>_xlfn.COMPOUNDVALUE(138)</f>
        <v>2029</v>
      </c>
      <c r="E49" s="168">
        <v>834878</v>
      </c>
      <c r="F49" s="111">
        <f>_xlfn.COMPOUNDVALUE(139)</f>
        <v>2941</v>
      </c>
      <c r="G49" s="168">
        <v>1397016</v>
      </c>
      <c r="H49" s="111">
        <f>_xlfn.COMPOUNDVALUE(140)</f>
        <v>89</v>
      </c>
      <c r="I49" s="170">
        <v>28573</v>
      </c>
      <c r="J49" s="111">
        <v>225</v>
      </c>
      <c r="K49" s="113">
        <v>20548</v>
      </c>
      <c r="L49" s="111">
        <v>3107</v>
      </c>
      <c r="M49" s="113">
        <v>1388990</v>
      </c>
      <c r="N49" s="24" t="s">
        <v>132</v>
      </c>
    </row>
    <row r="50" spans="1:14" s="17" customFormat="1" ht="15.75" customHeight="1">
      <c r="A50" s="13" t="s">
        <v>57</v>
      </c>
      <c r="B50" s="114">
        <f>_xlfn.COMPOUNDVALUE(141)</f>
        <v>485</v>
      </c>
      <c r="C50" s="169">
        <v>287543</v>
      </c>
      <c r="D50" s="114">
        <f>_xlfn.COMPOUNDVALUE(142)</f>
        <v>1032</v>
      </c>
      <c r="E50" s="169">
        <v>371305</v>
      </c>
      <c r="F50" s="114">
        <f>_xlfn.COMPOUNDVALUE(143)</f>
        <v>1517</v>
      </c>
      <c r="G50" s="169">
        <v>658849</v>
      </c>
      <c r="H50" s="114">
        <f>_xlfn.COMPOUNDVALUE(144)</f>
        <v>83</v>
      </c>
      <c r="I50" s="171">
        <v>26365</v>
      </c>
      <c r="J50" s="114">
        <v>56</v>
      </c>
      <c r="K50" s="116">
        <v>9688</v>
      </c>
      <c r="L50" s="114">
        <v>1632</v>
      </c>
      <c r="M50" s="116">
        <v>642172</v>
      </c>
      <c r="N50" s="14" t="s">
        <v>133</v>
      </c>
    </row>
    <row r="51" spans="1:14" s="17" customFormat="1" ht="15.75" customHeight="1">
      <c r="A51" s="13" t="s">
        <v>58</v>
      </c>
      <c r="B51" s="114">
        <f>_xlfn.COMPOUNDVALUE(145)</f>
        <v>451</v>
      </c>
      <c r="C51" s="169">
        <v>296600</v>
      </c>
      <c r="D51" s="114">
        <f>_xlfn.COMPOUNDVALUE(146)</f>
        <v>1333</v>
      </c>
      <c r="E51" s="169">
        <v>454390</v>
      </c>
      <c r="F51" s="114">
        <f>_xlfn.COMPOUNDVALUE(147)</f>
        <v>1784</v>
      </c>
      <c r="G51" s="169">
        <v>750989</v>
      </c>
      <c r="H51" s="114">
        <f>_xlfn.COMPOUNDVALUE(148)</f>
        <v>59</v>
      </c>
      <c r="I51" s="171">
        <v>24459</v>
      </c>
      <c r="J51" s="114">
        <v>192</v>
      </c>
      <c r="K51" s="116">
        <v>-527</v>
      </c>
      <c r="L51" s="114">
        <v>1868</v>
      </c>
      <c r="M51" s="116">
        <v>726004</v>
      </c>
      <c r="N51" s="14" t="s">
        <v>134</v>
      </c>
    </row>
    <row r="52" spans="1:14" s="17" customFormat="1" ht="15.75" customHeight="1">
      <c r="A52" s="13" t="s">
        <v>59</v>
      </c>
      <c r="B52" s="114">
        <f>_xlfn.COMPOUNDVALUE(149)</f>
        <v>313</v>
      </c>
      <c r="C52" s="169">
        <v>172270</v>
      </c>
      <c r="D52" s="114">
        <f>_xlfn.COMPOUNDVALUE(150)</f>
        <v>766</v>
      </c>
      <c r="E52" s="169">
        <v>263293</v>
      </c>
      <c r="F52" s="114">
        <f>_xlfn.COMPOUNDVALUE(151)</f>
        <v>1079</v>
      </c>
      <c r="G52" s="169">
        <v>435563</v>
      </c>
      <c r="H52" s="114">
        <f>_xlfn.COMPOUNDVALUE(152)</f>
        <v>53</v>
      </c>
      <c r="I52" s="171">
        <v>11722</v>
      </c>
      <c r="J52" s="114">
        <v>102</v>
      </c>
      <c r="K52" s="116">
        <v>-3331</v>
      </c>
      <c r="L52" s="114">
        <v>1148</v>
      </c>
      <c r="M52" s="116">
        <v>420510</v>
      </c>
      <c r="N52" s="14" t="s">
        <v>135</v>
      </c>
    </row>
    <row r="53" spans="1:14" s="17" customFormat="1" ht="15.75" customHeight="1">
      <c r="A53" s="13" t="s">
        <v>60</v>
      </c>
      <c r="B53" s="114">
        <f>_xlfn.COMPOUNDVALUE(153)</f>
        <v>310</v>
      </c>
      <c r="C53" s="169">
        <v>199773</v>
      </c>
      <c r="D53" s="114">
        <f>_xlfn.COMPOUNDVALUE(154)</f>
        <v>707</v>
      </c>
      <c r="E53" s="169">
        <v>271393</v>
      </c>
      <c r="F53" s="114">
        <f>_xlfn.COMPOUNDVALUE(155)</f>
        <v>1017</v>
      </c>
      <c r="G53" s="169">
        <v>471167</v>
      </c>
      <c r="H53" s="114">
        <f>_xlfn.COMPOUNDVALUE(156)</f>
        <v>44</v>
      </c>
      <c r="I53" s="171">
        <v>13179</v>
      </c>
      <c r="J53" s="114">
        <v>84</v>
      </c>
      <c r="K53" s="116">
        <v>1603</v>
      </c>
      <c r="L53" s="114">
        <v>1080</v>
      </c>
      <c r="M53" s="116">
        <v>459591</v>
      </c>
      <c r="N53" s="14" t="s">
        <v>136</v>
      </c>
    </row>
    <row r="54" spans="1:14" s="17" customFormat="1" ht="15.75" customHeight="1">
      <c r="A54" s="13" t="s">
        <v>61</v>
      </c>
      <c r="B54" s="114">
        <f>_xlfn.COMPOUNDVALUE(157)</f>
        <v>237</v>
      </c>
      <c r="C54" s="169">
        <v>159187</v>
      </c>
      <c r="D54" s="114">
        <f>_xlfn.COMPOUNDVALUE(158)</f>
        <v>649</v>
      </c>
      <c r="E54" s="169">
        <v>229523</v>
      </c>
      <c r="F54" s="114">
        <f>_xlfn.COMPOUNDVALUE(159)</f>
        <v>886</v>
      </c>
      <c r="G54" s="169">
        <v>388710</v>
      </c>
      <c r="H54" s="114">
        <f>_xlfn.COMPOUNDVALUE(160)</f>
        <v>32</v>
      </c>
      <c r="I54" s="171">
        <v>8919</v>
      </c>
      <c r="J54" s="114">
        <v>73</v>
      </c>
      <c r="K54" s="116">
        <v>3787</v>
      </c>
      <c r="L54" s="114">
        <v>940</v>
      </c>
      <c r="M54" s="116">
        <v>383578</v>
      </c>
      <c r="N54" s="14" t="s">
        <v>137</v>
      </c>
    </row>
    <row r="55" spans="1:14" s="17" customFormat="1" ht="15.75" customHeight="1">
      <c r="A55" s="13" t="s">
        <v>62</v>
      </c>
      <c r="B55" s="114">
        <f>_xlfn.COMPOUNDVALUE(161)</f>
        <v>408</v>
      </c>
      <c r="C55" s="169">
        <v>252699</v>
      </c>
      <c r="D55" s="114">
        <f>_xlfn.COMPOUNDVALUE(162)</f>
        <v>843</v>
      </c>
      <c r="E55" s="169">
        <v>284351</v>
      </c>
      <c r="F55" s="114">
        <f>_xlfn.COMPOUNDVALUE(163)</f>
        <v>1251</v>
      </c>
      <c r="G55" s="169">
        <v>537051</v>
      </c>
      <c r="H55" s="114">
        <f>_xlfn.COMPOUNDVALUE(164)</f>
        <v>49</v>
      </c>
      <c r="I55" s="171">
        <v>22386</v>
      </c>
      <c r="J55" s="114">
        <v>161</v>
      </c>
      <c r="K55" s="116">
        <v>21144</v>
      </c>
      <c r="L55" s="114">
        <v>1361</v>
      </c>
      <c r="M55" s="116">
        <v>535808</v>
      </c>
      <c r="N55" s="14" t="s">
        <v>138</v>
      </c>
    </row>
    <row r="56" spans="1:14" s="17" customFormat="1" ht="15.75" customHeight="1">
      <c r="A56" s="13" t="s">
        <v>63</v>
      </c>
      <c r="B56" s="114">
        <f>_xlfn.COMPOUNDVALUE(165)</f>
        <v>207</v>
      </c>
      <c r="C56" s="169">
        <v>113798</v>
      </c>
      <c r="D56" s="114">
        <f>_xlfn.COMPOUNDVALUE(166)</f>
        <v>365</v>
      </c>
      <c r="E56" s="169">
        <v>126564</v>
      </c>
      <c r="F56" s="114">
        <f>_xlfn.COMPOUNDVALUE(167)</f>
        <v>572</v>
      </c>
      <c r="G56" s="169">
        <v>240362</v>
      </c>
      <c r="H56" s="114">
        <f>_xlfn.COMPOUNDVALUE(168)</f>
        <v>59</v>
      </c>
      <c r="I56" s="171">
        <v>24783</v>
      </c>
      <c r="J56" s="114">
        <v>47</v>
      </c>
      <c r="K56" s="116">
        <v>1709</v>
      </c>
      <c r="L56" s="114">
        <v>648</v>
      </c>
      <c r="M56" s="116">
        <v>217288</v>
      </c>
      <c r="N56" s="14" t="s">
        <v>139</v>
      </c>
    </row>
    <row r="57" spans="1:14" s="17" customFormat="1" ht="15.75" customHeight="1">
      <c r="A57" s="15" t="s">
        <v>64</v>
      </c>
      <c r="B57" s="117">
        <v>3323</v>
      </c>
      <c r="C57" s="118">
        <v>2044008</v>
      </c>
      <c r="D57" s="117">
        <v>7724</v>
      </c>
      <c r="E57" s="118">
        <v>2835697</v>
      </c>
      <c r="F57" s="117">
        <v>11047</v>
      </c>
      <c r="G57" s="118">
        <v>4879705</v>
      </c>
      <c r="H57" s="117">
        <v>468</v>
      </c>
      <c r="I57" s="119">
        <v>160386</v>
      </c>
      <c r="J57" s="117">
        <v>940</v>
      </c>
      <c r="K57" s="119">
        <v>54621</v>
      </c>
      <c r="L57" s="117">
        <v>11784</v>
      </c>
      <c r="M57" s="119">
        <v>4773940</v>
      </c>
      <c r="N57" s="16" t="s">
        <v>140</v>
      </c>
    </row>
    <row r="58" spans="1:14" s="17" customFormat="1" ht="15.75" customHeight="1">
      <c r="A58" s="147"/>
      <c r="B58" s="146"/>
      <c r="C58" s="150"/>
      <c r="D58" s="146"/>
      <c r="E58" s="154"/>
      <c r="F58" s="152"/>
      <c r="G58" s="154"/>
      <c r="H58" s="152"/>
      <c r="I58" s="146"/>
      <c r="J58" s="152"/>
      <c r="K58" s="150"/>
      <c r="L58" s="146"/>
      <c r="M58" s="150"/>
      <c r="N58" s="148"/>
    </row>
    <row r="59" spans="1:14" s="17" customFormat="1" ht="15.75" customHeight="1">
      <c r="A59" s="11" t="s">
        <v>65</v>
      </c>
      <c r="B59" s="111">
        <f>_xlfn.COMPOUNDVALUE(169)</f>
        <v>784</v>
      </c>
      <c r="C59" s="168">
        <v>451697</v>
      </c>
      <c r="D59" s="111">
        <f>_xlfn.COMPOUNDVALUE(170)</f>
        <v>1657</v>
      </c>
      <c r="E59" s="168">
        <v>668225</v>
      </c>
      <c r="F59" s="111">
        <f>_xlfn.COMPOUNDVALUE(171)</f>
        <v>2441</v>
      </c>
      <c r="G59" s="168">
        <v>1119922</v>
      </c>
      <c r="H59" s="111">
        <f>_xlfn.COMPOUNDVALUE(172)</f>
        <v>118</v>
      </c>
      <c r="I59" s="170">
        <v>79073</v>
      </c>
      <c r="J59" s="111">
        <v>234</v>
      </c>
      <c r="K59" s="113">
        <v>35540</v>
      </c>
      <c r="L59" s="111">
        <v>2600</v>
      </c>
      <c r="M59" s="113">
        <v>1076389</v>
      </c>
      <c r="N59" s="24" t="s">
        <v>142</v>
      </c>
    </row>
    <row r="60" spans="1:14" s="17" customFormat="1" ht="15.75" customHeight="1">
      <c r="A60" s="11" t="s">
        <v>66</v>
      </c>
      <c r="B60" s="111">
        <f>_xlfn.COMPOUNDVALUE(173)</f>
        <v>471</v>
      </c>
      <c r="C60" s="168">
        <v>298367</v>
      </c>
      <c r="D60" s="111">
        <f>_xlfn.COMPOUNDVALUE(174)</f>
        <v>1077</v>
      </c>
      <c r="E60" s="168">
        <v>397260</v>
      </c>
      <c r="F60" s="111">
        <f>_xlfn.COMPOUNDVALUE(175)</f>
        <v>1548</v>
      </c>
      <c r="G60" s="168">
        <v>695626</v>
      </c>
      <c r="H60" s="111">
        <f>_xlfn.COMPOUNDVALUE(176)</f>
        <v>58</v>
      </c>
      <c r="I60" s="170">
        <v>23103</v>
      </c>
      <c r="J60" s="111">
        <v>130</v>
      </c>
      <c r="K60" s="113">
        <v>5042</v>
      </c>
      <c r="L60" s="111">
        <v>1638</v>
      </c>
      <c r="M60" s="113">
        <v>677566</v>
      </c>
      <c r="N60" s="12" t="s">
        <v>143</v>
      </c>
    </row>
    <row r="61" spans="1:14" s="17" customFormat="1" ht="15.75" customHeight="1">
      <c r="A61" s="11" t="s">
        <v>67</v>
      </c>
      <c r="B61" s="111">
        <f>_xlfn.COMPOUNDVALUE(177)</f>
        <v>931</v>
      </c>
      <c r="C61" s="168">
        <v>526754</v>
      </c>
      <c r="D61" s="111">
        <f>_xlfn.COMPOUNDVALUE(178)</f>
        <v>1637</v>
      </c>
      <c r="E61" s="168">
        <v>717105</v>
      </c>
      <c r="F61" s="111">
        <f>_xlfn.COMPOUNDVALUE(179)</f>
        <v>2568</v>
      </c>
      <c r="G61" s="168">
        <v>1243859</v>
      </c>
      <c r="H61" s="111">
        <f>_xlfn.COMPOUNDVALUE(180)</f>
        <v>160</v>
      </c>
      <c r="I61" s="170">
        <v>87338</v>
      </c>
      <c r="J61" s="111">
        <v>187</v>
      </c>
      <c r="K61" s="113">
        <v>72105</v>
      </c>
      <c r="L61" s="111">
        <v>2805</v>
      </c>
      <c r="M61" s="113">
        <v>1228625</v>
      </c>
      <c r="N61" s="12" t="s">
        <v>144</v>
      </c>
    </row>
    <row r="62" spans="1:14" s="17" customFormat="1" ht="15.75" customHeight="1">
      <c r="A62" s="13" t="s">
        <v>68</v>
      </c>
      <c r="B62" s="114">
        <f>_xlfn.COMPOUNDVALUE(181)</f>
        <v>830</v>
      </c>
      <c r="C62" s="169">
        <v>540736</v>
      </c>
      <c r="D62" s="114">
        <f>_xlfn.COMPOUNDVALUE(182)</f>
        <v>1155</v>
      </c>
      <c r="E62" s="169">
        <v>562796</v>
      </c>
      <c r="F62" s="114">
        <f>_xlfn.COMPOUNDVALUE(183)</f>
        <v>1985</v>
      </c>
      <c r="G62" s="169">
        <v>1103533</v>
      </c>
      <c r="H62" s="114">
        <f>_xlfn.COMPOUNDVALUE(184)</f>
        <v>82</v>
      </c>
      <c r="I62" s="171">
        <v>48128</v>
      </c>
      <c r="J62" s="114">
        <v>143</v>
      </c>
      <c r="K62" s="116">
        <v>34669</v>
      </c>
      <c r="L62" s="114">
        <v>2149</v>
      </c>
      <c r="M62" s="116">
        <v>1090074</v>
      </c>
      <c r="N62" s="14" t="s">
        <v>68</v>
      </c>
    </row>
    <row r="63" spans="1:14" s="17" customFormat="1" ht="15.75" customHeight="1">
      <c r="A63" s="13" t="s">
        <v>69</v>
      </c>
      <c r="B63" s="114">
        <f>_xlfn.COMPOUNDVALUE(185)</f>
        <v>433</v>
      </c>
      <c r="C63" s="169">
        <v>259794</v>
      </c>
      <c r="D63" s="114">
        <f>_xlfn.COMPOUNDVALUE(186)</f>
        <v>844</v>
      </c>
      <c r="E63" s="169">
        <v>332563</v>
      </c>
      <c r="F63" s="114">
        <f>_xlfn.COMPOUNDVALUE(187)</f>
        <v>1277</v>
      </c>
      <c r="G63" s="169">
        <v>592358</v>
      </c>
      <c r="H63" s="114">
        <f>_xlfn.COMPOUNDVALUE(188)</f>
        <v>103</v>
      </c>
      <c r="I63" s="171">
        <v>60477</v>
      </c>
      <c r="J63" s="114">
        <v>59</v>
      </c>
      <c r="K63" s="116">
        <v>1786</v>
      </c>
      <c r="L63" s="114">
        <v>1395</v>
      </c>
      <c r="M63" s="116">
        <v>533667</v>
      </c>
      <c r="N63" s="14" t="s">
        <v>145</v>
      </c>
    </row>
    <row r="64" spans="1:14" s="17" customFormat="1" ht="15.75" customHeight="1">
      <c r="A64" s="13" t="s">
        <v>70</v>
      </c>
      <c r="B64" s="114">
        <f>_xlfn.COMPOUNDVALUE(189)</f>
        <v>358</v>
      </c>
      <c r="C64" s="169">
        <v>188806</v>
      </c>
      <c r="D64" s="114">
        <f>_xlfn.COMPOUNDVALUE(190)</f>
        <v>817</v>
      </c>
      <c r="E64" s="169">
        <v>282307</v>
      </c>
      <c r="F64" s="114">
        <f>_xlfn.COMPOUNDVALUE(191)</f>
        <v>1175</v>
      </c>
      <c r="G64" s="169">
        <v>471113</v>
      </c>
      <c r="H64" s="114">
        <f>_xlfn.COMPOUNDVALUE(192)</f>
        <v>86</v>
      </c>
      <c r="I64" s="171">
        <v>55532</v>
      </c>
      <c r="J64" s="114">
        <v>104</v>
      </c>
      <c r="K64" s="116">
        <v>18087</v>
      </c>
      <c r="L64" s="114">
        <v>1293</v>
      </c>
      <c r="M64" s="116">
        <v>433667</v>
      </c>
      <c r="N64" s="14" t="s">
        <v>146</v>
      </c>
    </row>
    <row r="65" spans="1:14" s="17" customFormat="1" ht="15.75" customHeight="1">
      <c r="A65" s="13" t="s">
        <v>71</v>
      </c>
      <c r="B65" s="114">
        <f>_xlfn.COMPOUNDVALUE(193)</f>
        <v>172</v>
      </c>
      <c r="C65" s="169">
        <v>77577</v>
      </c>
      <c r="D65" s="114">
        <f>_xlfn.COMPOUNDVALUE(194)</f>
        <v>359</v>
      </c>
      <c r="E65" s="169">
        <v>113954</v>
      </c>
      <c r="F65" s="114">
        <f>_xlfn.COMPOUNDVALUE(195)</f>
        <v>531</v>
      </c>
      <c r="G65" s="169">
        <v>191531</v>
      </c>
      <c r="H65" s="114">
        <f>_xlfn.COMPOUNDVALUE(196)</f>
        <v>31</v>
      </c>
      <c r="I65" s="171">
        <v>10676</v>
      </c>
      <c r="J65" s="114">
        <v>45</v>
      </c>
      <c r="K65" s="116">
        <v>4715</v>
      </c>
      <c r="L65" s="114">
        <v>585</v>
      </c>
      <c r="M65" s="116">
        <v>185571</v>
      </c>
      <c r="N65" s="14" t="s">
        <v>147</v>
      </c>
    </row>
    <row r="66" spans="1:14" s="17" customFormat="1" ht="15.75" customHeight="1">
      <c r="A66" s="13" t="s">
        <v>72</v>
      </c>
      <c r="B66" s="114">
        <f>_xlfn.COMPOUNDVALUE(197)</f>
        <v>509</v>
      </c>
      <c r="C66" s="169">
        <v>404752</v>
      </c>
      <c r="D66" s="114">
        <f>_xlfn.COMPOUNDVALUE(198)</f>
        <v>718</v>
      </c>
      <c r="E66" s="169">
        <v>286173</v>
      </c>
      <c r="F66" s="114">
        <f>_xlfn.COMPOUNDVALUE(199)</f>
        <v>1227</v>
      </c>
      <c r="G66" s="169">
        <v>690924</v>
      </c>
      <c r="H66" s="114">
        <f>_xlfn.COMPOUNDVALUE(200)</f>
        <v>114</v>
      </c>
      <c r="I66" s="171">
        <v>172273</v>
      </c>
      <c r="J66" s="114">
        <v>92</v>
      </c>
      <c r="K66" s="116">
        <v>5318</v>
      </c>
      <c r="L66" s="114">
        <v>1367</v>
      </c>
      <c r="M66" s="116">
        <v>523969</v>
      </c>
      <c r="N66" s="14" t="s">
        <v>148</v>
      </c>
    </row>
    <row r="67" spans="1:14" s="17" customFormat="1" ht="15.75" customHeight="1">
      <c r="A67" s="13" t="s">
        <v>73</v>
      </c>
      <c r="B67" s="114">
        <f>_xlfn.COMPOUNDVALUE(201)</f>
        <v>262</v>
      </c>
      <c r="C67" s="169">
        <v>131805</v>
      </c>
      <c r="D67" s="114">
        <f>_xlfn.COMPOUNDVALUE(202)</f>
        <v>436</v>
      </c>
      <c r="E67" s="169">
        <v>171193</v>
      </c>
      <c r="F67" s="114">
        <f>_xlfn.COMPOUNDVALUE(203)</f>
        <v>698</v>
      </c>
      <c r="G67" s="169">
        <v>302998</v>
      </c>
      <c r="H67" s="114">
        <f>_xlfn.COMPOUNDVALUE(204)</f>
        <v>66</v>
      </c>
      <c r="I67" s="171">
        <v>37913</v>
      </c>
      <c r="J67" s="114">
        <v>41</v>
      </c>
      <c r="K67" s="116">
        <v>4423</v>
      </c>
      <c r="L67" s="114">
        <v>778</v>
      </c>
      <c r="M67" s="116">
        <v>269508</v>
      </c>
      <c r="N67" s="14" t="s">
        <v>149</v>
      </c>
    </row>
    <row r="68" spans="1:14" s="17" customFormat="1" ht="15.75" customHeight="1">
      <c r="A68" s="13" t="s">
        <v>74</v>
      </c>
      <c r="B68" s="114">
        <f>_xlfn.COMPOUNDVALUE(205)</f>
        <v>93</v>
      </c>
      <c r="C68" s="169">
        <v>69166</v>
      </c>
      <c r="D68" s="114">
        <f>_xlfn.COMPOUNDVALUE(206)</f>
        <v>174</v>
      </c>
      <c r="E68" s="169">
        <v>66147</v>
      </c>
      <c r="F68" s="114">
        <f>_xlfn.COMPOUNDVALUE(207)</f>
        <v>267</v>
      </c>
      <c r="G68" s="169">
        <v>135314</v>
      </c>
      <c r="H68" s="114">
        <f>_xlfn.COMPOUNDVALUE(208)</f>
        <v>10</v>
      </c>
      <c r="I68" s="171">
        <v>2438</v>
      </c>
      <c r="J68" s="114">
        <v>19</v>
      </c>
      <c r="K68" s="116">
        <v>989</v>
      </c>
      <c r="L68" s="114">
        <v>286</v>
      </c>
      <c r="M68" s="116">
        <v>133864</v>
      </c>
      <c r="N68" s="14" t="s">
        <v>150</v>
      </c>
    </row>
    <row r="69" spans="1:14" s="17" customFormat="1" ht="15.75" customHeight="1">
      <c r="A69" s="15" t="s">
        <v>75</v>
      </c>
      <c r="B69" s="117">
        <v>4843</v>
      </c>
      <c r="C69" s="118">
        <v>2949454</v>
      </c>
      <c r="D69" s="117">
        <v>8874</v>
      </c>
      <c r="E69" s="118">
        <v>3597723</v>
      </c>
      <c r="F69" s="117">
        <v>13717</v>
      </c>
      <c r="G69" s="118">
        <v>6547176</v>
      </c>
      <c r="H69" s="117">
        <v>828</v>
      </c>
      <c r="I69" s="119">
        <v>576950</v>
      </c>
      <c r="J69" s="117">
        <v>1054</v>
      </c>
      <c r="K69" s="119">
        <v>182674</v>
      </c>
      <c r="L69" s="117">
        <v>14896</v>
      </c>
      <c r="M69" s="119">
        <v>6152900</v>
      </c>
      <c r="N69" s="16" t="s">
        <v>151</v>
      </c>
    </row>
    <row r="70" spans="1:15" s="17" customFormat="1" ht="15.75" customHeight="1" thickBot="1">
      <c r="A70" s="18"/>
      <c r="B70" s="123"/>
      <c r="C70" s="124"/>
      <c r="D70" s="123"/>
      <c r="E70" s="124"/>
      <c r="F70" s="125"/>
      <c r="G70" s="124"/>
      <c r="H70" s="125"/>
      <c r="I70" s="124"/>
      <c r="J70" s="125"/>
      <c r="K70" s="124"/>
      <c r="L70" s="125"/>
      <c r="M70" s="124"/>
      <c r="N70" s="19"/>
      <c r="O70" s="36"/>
    </row>
    <row r="71" spans="1:14" s="17" customFormat="1" ht="15.75" customHeight="1" thickBot="1" thickTop="1">
      <c r="A71" s="21" t="s">
        <v>17</v>
      </c>
      <c r="B71" s="174">
        <v>25679</v>
      </c>
      <c r="C71" s="127">
        <v>16501528</v>
      </c>
      <c r="D71" s="126">
        <v>47682</v>
      </c>
      <c r="E71" s="127">
        <v>18816534</v>
      </c>
      <c r="F71" s="174">
        <v>73361</v>
      </c>
      <c r="G71" s="127">
        <v>35318062</v>
      </c>
      <c r="H71" s="174">
        <v>4089</v>
      </c>
      <c r="I71" s="128">
        <v>2411955</v>
      </c>
      <c r="J71" s="126">
        <v>5687</v>
      </c>
      <c r="K71" s="128">
        <v>547387</v>
      </c>
      <c r="L71" s="126">
        <v>79293</v>
      </c>
      <c r="M71" s="128">
        <v>33453494</v>
      </c>
      <c r="N71" s="22" t="s">
        <v>94</v>
      </c>
    </row>
    <row r="72" spans="1:14" ht="13.5">
      <c r="A72" s="230" t="s">
        <v>233</v>
      </c>
      <c r="B72" s="230"/>
      <c r="C72" s="230"/>
      <c r="D72" s="230"/>
      <c r="E72" s="230"/>
      <c r="F72" s="230"/>
      <c r="G72" s="230"/>
      <c r="H72" s="230"/>
      <c r="I72" s="230"/>
      <c r="J72" s="25"/>
      <c r="K72" s="25"/>
      <c r="L72" s="2"/>
      <c r="M72" s="2"/>
      <c r="N72" s="2"/>
    </row>
    <row r="74" spans="2:10" ht="13.5">
      <c r="B74" s="26"/>
      <c r="C74" s="26"/>
      <c r="D74" s="26"/>
      <c r="E74" s="26"/>
      <c r="F74" s="26"/>
      <c r="G74" s="26"/>
      <c r="H74" s="26"/>
      <c r="J74" s="26"/>
    </row>
    <row r="75" spans="2:10" ht="13.5">
      <c r="B75" s="26"/>
      <c r="C75" s="26"/>
      <c r="D75" s="26"/>
      <c r="E75" s="26"/>
      <c r="F75" s="26"/>
      <c r="G75" s="26"/>
      <c r="H75" s="26"/>
      <c r="J75" s="26"/>
    </row>
    <row r="76" spans="2:10" ht="13.5">
      <c r="B76" s="26"/>
      <c r="C76" s="26"/>
      <c r="D76" s="26"/>
      <c r="E76" s="26"/>
      <c r="F76" s="26"/>
      <c r="G76" s="26"/>
      <c r="H76" s="26"/>
      <c r="J76" s="26"/>
    </row>
    <row r="77" spans="2:10" ht="13.5">
      <c r="B77" s="26"/>
      <c r="C77" s="26"/>
      <c r="D77" s="26"/>
      <c r="E77" s="26"/>
      <c r="F77" s="26"/>
      <c r="G77" s="26"/>
      <c r="H77" s="26"/>
      <c r="J77" s="26"/>
    </row>
    <row r="78" spans="2:10" ht="13.5">
      <c r="B78" s="26"/>
      <c r="C78" s="26"/>
      <c r="D78" s="26"/>
      <c r="E78" s="26"/>
      <c r="F78" s="26"/>
      <c r="G78" s="26"/>
      <c r="H78" s="26"/>
      <c r="J78" s="26"/>
    </row>
    <row r="79" spans="2:10" ht="13.5">
      <c r="B79" s="26"/>
      <c r="C79" s="26"/>
      <c r="D79" s="26"/>
      <c r="E79" s="26"/>
      <c r="F79" s="26"/>
      <c r="G79" s="26"/>
      <c r="H79" s="26"/>
      <c r="J79" s="26"/>
    </row>
    <row r="80" spans="2:10" ht="13.5">
      <c r="B80" s="26"/>
      <c r="C80" s="26"/>
      <c r="D80" s="26"/>
      <c r="E80" s="26"/>
      <c r="F80" s="26"/>
      <c r="G80" s="26"/>
      <c r="H80" s="26"/>
      <c r="J80" s="26"/>
    </row>
    <row r="81" spans="2:10" ht="13.5">
      <c r="B81" s="26"/>
      <c r="C81" s="26"/>
      <c r="D81" s="26"/>
      <c r="E81" s="26"/>
      <c r="F81" s="26"/>
      <c r="G81" s="26"/>
      <c r="H81" s="26"/>
      <c r="J81" s="26"/>
    </row>
    <row r="82" spans="2:10" ht="13.5">
      <c r="B82" s="26"/>
      <c r="C82" s="26"/>
      <c r="D82" s="26"/>
      <c r="E82" s="26"/>
      <c r="F82" s="26"/>
      <c r="G82" s="26"/>
      <c r="H82" s="26"/>
      <c r="J82" s="26"/>
    </row>
    <row r="83" spans="2:10" ht="13.5">
      <c r="B83" s="26"/>
      <c r="C83" s="26"/>
      <c r="D83" s="26"/>
      <c r="E83" s="26"/>
      <c r="F83" s="26"/>
      <c r="G83" s="26"/>
      <c r="H83" s="26"/>
      <c r="J83" s="26"/>
    </row>
    <row r="84" spans="2:10" ht="13.5">
      <c r="B84" s="26"/>
      <c r="C84" s="26"/>
      <c r="D84" s="26"/>
      <c r="E84" s="26"/>
      <c r="F84" s="26"/>
      <c r="G84" s="26"/>
      <c r="H84" s="26"/>
      <c r="J84" s="26"/>
    </row>
    <row r="85" spans="2:10" ht="13.5">
      <c r="B85" s="26"/>
      <c r="C85" s="26"/>
      <c r="D85" s="26"/>
      <c r="E85" s="26"/>
      <c r="F85" s="26"/>
      <c r="G85" s="26"/>
      <c r="H85" s="26"/>
      <c r="J85" s="26"/>
    </row>
    <row r="86" spans="2:10" ht="13.5">
      <c r="B86" s="26"/>
      <c r="C86" s="26"/>
      <c r="D86" s="26"/>
      <c r="E86" s="26"/>
      <c r="F86" s="26"/>
      <c r="G86" s="26"/>
      <c r="H86" s="26"/>
      <c r="J86" s="26"/>
    </row>
  </sheetData>
  <sheetProtection/>
  <mergeCells count="11">
    <mergeCell ref="N3:N5"/>
    <mergeCell ref="B4:C4"/>
    <mergeCell ref="D4:E4"/>
    <mergeCell ref="F4:G4"/>
    <mergeCell ref="J3:K4"/>
    <mergeCell ref="L3:M4"/>
    <mergeCell ref="A72:I72"/>
    <mergeCell ref="A2:G2"/>
    <mergeCell ref="A3:A5"/>
    <mergeCell ref="B3:G3"/>
    <mergeCell ref="H3:I4"/>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84" r:id="rId1"/>
  <headerFooter alignWithMargins="0">
    <oddFooter>&amp;R仙台国税局
消費税
(R02)</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72"/>
  <sheetViews>
    <sheetView showGridLines="0" workbookViewId="0" topLeftCell="A1">
      <selection activeCell="A3" sqref="A3:A5"/>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238</v>
      </c>
      <c r="B1" s="1"/>
      <c r="C1" s="1"/>
      <c r="D1" s="1"/>
      <c r="E1" s="1"/>
      <c r="F1" s="1"/>
      <c r="G1" s="1"/>
      <c r="H1" s="1"/>
      <c r="I1" s="1"/>
      <c r="J1" s="1"/>
      <c r="K1" s="1"/>
      <c r="L1" s="2"/>
      <c r="M1" s="2"/>
    </row>
    <row r="2" spans="1:13" ht="14.25" thickBot="1">
      <c r="A2" s="241" t="s">
        <v>76</v>
      </c>
      <c r="B2" s="241"/>
      <c r="C2" s="241"/>
      <c r="D2" s="241"/>
      <c r="E2" s="241"/>
      <c r="F2" s="241"/>
      <c r="G2" s="241"/>
      <c r="H2" s="241"/>
      <c r="I2" s="241"/>
      <c r="J2" s="25"/>
      <c r="K2" s="25"/>
      <c r="L2" s="2"/>
      <c r="M2" s="2"/>
    </row>
    <row r="3" spans="1:14" ht="19.5" customHeight="1">
      <c r="A3" s="231" t="s">
        <v>1</v>
      </c>
      <c r="B3" s="234" t="s">
        <v>2</v>
      </c>
      <c r="C3" s="234"/>
      <c r="D3" s="234"/>
      <c r="E3" s="234"/>
      <c r="F3" s="234"/>
      <c r="G3" s="234"/>
      <c r="H3" s="226" t="s">
        <v>3</v>
      </c>
      <c r="I3" s="227"/>
      <c r="J3" s="240" t="s">
        <v>4</v>
      </c>
      <c r="K3" s="227"/>
      <c r="L3" s="226" t="s">
        <v>5</v>
      </c>
      <c r="M3" s="227"/>
      <c r="N3" s="235" t="s">
        <v>77</v>
      </c>
    </row>
    <row r="4" spans="1:14" ht="17.25" customHeight="1">
      <c r="A4" s="232"/>
      <c r="B4" s="228" t="s">
        <v>7</v>
      </c>
      <c r="C4" s="239"/>
      <c r="D4" s="228" t="s">
        <v>8</v>
      </c>
      <c r="E4" s="239"/>
      <c r="F4" s="228" t="s">
        <v>9</v>
      </c>
      <c r="G4" s="239"/>
      <c r="H4" s="228"/>
      <c r="I4" s="229"/>
      <c r="J4" s="228"/>
      <c r="K4" s="229"/>
      <c r="L4" s="228"/>
      <c r="M4" s="229"/>
      <c r="N4" s="236"/>
    </row>
    <row r="5" spans="1:14" ht="28.5" customHeight="1">
      <c r="A5" s="233"/>
      <c r="B5" s="33" t="s">
        <v>10</v>
      </c>
      <c r="C5" s="34" t="s">
        <v>11</v>
      </c>
      <c r="D5" s="33" t="s">
        <v>10</v>
      </c>
      <c r="E5" s="34" t="s">
        <v>11</v>
      </c>
      <c r="F5" s="33" t="s">
        <v>10</v>
      </c>
      <c r="G5" s="38" t="s">
        <v>12</v>
      </c>
      <c r="H5" s="33" t="s">
        <v>91</v>
      </c>
      <c r="I5" s="37" t="s">
        <v>13</v>
      </c>
      <c r="J5" s="33" t="s">
        <v>91</v>
      </c>
      <c r="K5" s="37" t="s">
        <v>14</v>
      </c>
      <c r="L5" s="33" t="s">
        <v>91</v>
      </c>
      <c r="M5" s="35" t="s">
        <v>92</v>
      </c>
      <c r="N5" s="237"/>
    </row>
    <row r="6" spans="1:14" s="27" customFormat="1" ht="10.5">
      <c r="A6" s="5"/>
      <c r="B6" s="6" t="s">
        <v>15</v>
      </c>
      <c r="C6" s="7" t="s">
        <v>16</v>
      </c>
      <c r="D6" s="6" t="s">
        <v>15</v>
      </c>
      <c r="E6" s="7" t="s">
        <v>16</v>
      </c>
      <c r="F6" s="6" t="s">
        <v>15</v>
      </c>
      <c r="G6" s="7" t="s">
        <v>16</v>
      </c>
      <c r="H6" s="6" t="s">
        <v>15</v>
      </c>
      <c r="I6" s="8" t="s">
        <v>16</v>
      </c>
      <c r="J6" s="6" t="s">
        <v>15</v>
      </c>
      <c r="K6" s="8" t="s">
        <v>16</v>
      </c>
      <c r="L6" s="6" t="s">
        <v>236</v>
      </c>
      <c r="M6" s="8" t="s">
        <v>16</v>
      </c>
      <c r="N6" s="9"/>
    </row>
    <row r="7" spans="1:14" ht="15.75" customHeight="1">
      <c r="A7" s="11" t="s">
        <v>78</v>
      </c>
      <c r="B7" s="111">
        <f>_xlfn.COMPOUNDVALUE(209)</f>
        <v>2508</v>
      </c>
      <c r="C7" s="112">
        <v>34256243</v>
      </c>
      <c r="D7" s="111">
        <f>_xlfn.COMPOUNDVALUE(210)</f>
        <v>926</v>
      </c>
      <c r="E7" s="112">
        <v>664832</v>
      </c>
      <c r="F7" s="111">
        <f>_xlfn.COMPOUNDVALUE(211)</f>
        <v>3434</v>
      </c>
      <c r="G7" s="112">
        <v>34921075</v>
      </c>
      <c r="H7" s="111">
        <f>_xlfn.COMPOUNDVALUE(212)</f>
        <v>192</v>
      </c>
      <c r="I7" s="113">
        <v>1178555</v>
      </c>
      <c r="J7" s="111">
        <v>159</v>
      </c>
      <c r="K7" s="113">
        <v>-23717</v>
      </c>
      <c r="L7" s="111">
        <v>3654</v>
      </c>
      <c r="M7" s="113">
        <v>33718803</v>
      </c>
      <c r="N7" s="12" t="s">
        <v>96</v>
      </c>
    </row>
    <row r="8" spans="1:14" ht="15.75" customHeight="1">
      <c r="A8" s="13" t="s">
        <v>79</v>
      </c>
      <c r="B8" s="114">
        <f>_xlfn.COMPOUNDVALUE(213)</f>
        <v>1425</v>
      </c>
      <c r="C8" s="115">
        <v>10335048</v>
      </c>
      <c r="D8" s="114">
        <f>_xlfn.COMPOUNDVALUE(214)</f>
        <v>577</v>
      </c>
      <c r="E8" s="115">
        <v>379787</v>
      </c>
      <c r="F8" s="114">
        <f>_xlfn.COMPOUNDVALUE(215)</f>
        <v>2002</v>
      </c>
      <c r="G8" s="115">
        <v>10714835</v>
      </c>
      <c r="H8" s="114">
        <f>_xlfn.COMPOUNDVALUE(216)</f>
        <v>102</v>
      </c>
      <c r="I8" s="116">
        <v>578814</v>
      </c>
      <c r="J8" s="114">
        <v>76</v>
      </c>
      <c r="K8" s="116">
        <v>46680</v>
      </c>
      <c r="L8" s="114">
        <v>2121</v>
      </c>
      <c r="M8" s="116">
        <v>10182701</v>
      </c>
      <c r="N8" s="14" t="s">
        <v>97</v>
      </c>
    </row>
    <row r="9" spans="1:14" ht="15.75" customHeight="1">
      <c r="A9" s="13" t="s">
        <v>80</v>
      </c>
      <c r="B9" s="114">
        <f>_xlfn.COMPOUNDVALUE(217)</f>
        <v>2694</v>
      </c>
      <c r="C9" s="115">
        <v>23989441</v>
      </c>
      <c r="D9" s="114">
        <f>_xlfn.COMPOUNDVALUE(218)</f>
        <v>1038</v>
      </c>
      <c r="E9" s="115">
        <v>748012</v>
      </c>
      <c r="F9" s="114">
        <f>_xlfn.COMPOUNDVALUE(219)</f>
        <v>3732</v>
      </c>
      <c r="G9" s="115">
        <v>24737452</v>
      </c>
      <c r="H9" s="114">
        <f>_xlfn.COMPOUNDVALUE(220)</f>
        <v>171</v>
      </c>
      <c r="I9" s="116">
        <v>2212970</v>
      </c>
      <c r="J9" s="114">
        <v>119</v>
      </c>
      <c r="K9" s="116">
        <v>13607</v>
      </c>
      <c r="L9" s="114">
        <v>3926</v>
      </c>
      <c r="M9" s="116">
        <v>22538089</v>
      </c>
      <c r="N9" s="14" t="s">
        <v>98</v>
      </c>
    </row>
    <row r="10" spans="1:14" ht="15.75" customHeight="1">
      <c r="A10" s="13" t="s">
        <v>81</v>
      </c>
      <c r="B10" s="114">
        <f>_xlfn.COMPOUNDVALUE(221)</f>
        <v>557</v>
      </c>
      <c r="C10" s="115">
        <v>3900507</v>
      </c>
      <c r="D10" s="114">
        <f>_xlfn.COMPOUNDVALUE(222)</f>
        <v>189</v>
      </c>
      <c r="E10" s="115">
        <v>135822</v>
      </c>
      <c r="F10" s="114">
        <f>_xlfn.COMPOUNDVALUE(223)</f>
        <v>746</v>
      </c>
      <c r="G10" s="115">
        <v>4036329</v>
      </c>
      <c r="H10" s="114">
        <f>_xlfn.COMPOUNDVALUE(224)</f>
        <v>37</v>
      </c>
      <c r="I10" s="116">
        <v>82013</v>
      </c>
      <c r="J10" s="114">
        <v>15</v>
      </c>
      <c r="K10" s="116">
        <v>1254</v>
      </c>
      <c r="L10" s="114">
        <v>787</v>
      </c>
      <c r="M10" s="116">
        <v>3955569</v>
      </c>
      <c r="N10" s="14" t="s">
        <v>99</v>
      </c>
    </row>
    <row r="11" spans="1:14" ht="15.75" customHeight="1">
      <c r="A11" s="13" t="s">
        <v>82</v>
      </c>
      <c r="B11" s="114">
        <f>_xlfn.COMPOUNDVALUE(225)</f>
        <v>1081</v>
      </c>
      <c r="C11" s="115">
        <v>5815582</v>
      </c>
      <c r="D11" s="114">
        <f>_xlfn.COMPOUNDVALUE(226)</f>
        <v>389</v>
      </c>
      <c r="E11" s="115">
        <v>237950</v>
      </c>
      <c r="F11" s="114">
        <f>_xlfn.COMPOUNDVALUE(227)</f>
        <v>1470</v>
      </c>
      <c r="G11" s="115">
        <v>6053532</v>
      </c>
      <c r="H11" s="114">
        <f>_xlfn.COMPOUNDVALUE(228)</f>
        <v>75</v>
      </c>
      <c r="I11" s="116">
        <v>280805</v>
      </c>
      <c r="J11" s="114">
        <v>80</v>
      </c>
      <c r="K11" s="116">
        <v>38626</v>
      </c>
      <c r="L11" s="114">
        <v>1548</v>
      </c>
      <c r="M11" s="116">
        <v>5811353</v>
      </c>
      <c r="N11" s="14" t="s">
        <v>100</v>
      </c>
    </row>
    <row r="12" spans="1:14" ht="15.75" customHeight="1">
      <c r="A12" s="13" t="s">
        <v>83</v>
      </c>
      <c r="B12" s="114">
        <f>_xlfn.COMPOUNDVALUE(229)</f>
        <v>1770</v>
      </c>
      <c r="C12" s="115">
        <v>21217086</v>
      </c>
      <c r="D12" s="114">
        <f>_xlfn.COMPOUNDVALUE(230)</f>
        <v>625</v>
      </c>
      <c r="E12" s="115">
        <v>443944</v>
      </c>
      <c r="F12" s="114">
        <f>_xlfn.COMPOUNDVALUE(231)</f>
        <v>2395</v>
      </c>
      <c r="G12" s="115">
        <v>21661030</v>
      </c>
      <c r="H12" s="114">
        <f>_xlfn.COMPOUNDVALUE(232)</f>
        <v>160</v>
      </c>
      <c r="I12" s="116">
        <v>3907751</v>
      </c>
      <c r="J12" s="114">
        <v>75</v>
      </c>
      <c r="K12" s="116">
        <v>124903</v>
      </c>
      <c r="L12" s="114">
        <v>2576</v>
      </c>
      <c r="M12" s="116">
        <v>17878182</v>
      </c>
      <c r="N12" s="14" t="s">
        <v>101</v>
      </c>
    </row>
    <row r="13" spans="1:14" s="17" customFormat="1" ht="15.75" customHeight="1">
      <c r="A13" s="13" t="s">
        <v>24</v>
      </c>
      <c r="B13" s="114">
        <f>_xlfn.COMPOUNDVALUE(233)</f>
        <v>562</v>
      </c>
      <c r="C13" s="115">
        <v>3445068</v>
      </c>
      <c r="D13" s="114">
        <f>_xlfn.COMPOUNDVALUE(234)</f>
        <v>175</v>
      </c>
      <c r="E13" s="115">
        <v>125761</v>
      </c>
      <c r="F13" s="114">
        <f>_xlfn.COMPOUNDVALUE(235)</f>
        <v>737</v>
      </c>
      <c r="G13" s="115">
        <v>3570829</v>
      </c>
      <c r="H13" s="114">
        <f>_xlfn.COMPOUNDVALUE(236)</f>
        <v>31</v>
      </c>
      <c r="I13" s="116">
        <v>227484</v>
      </c>
      <c r="J13" s="114">
        <v>16</v>
      </c>
      <c r="K13" s="116">
        <v>3594</v>
      </c>
      <c r="L13" s="114">
        <v>775</v>
      </c>
      <c r="M13" s="116">
        <v>3346938</v>
      </c>
      <c r="N13" s="14" t="s">
        <v>24</v>
      </c>
    </row>
    <row r="14" spans="1:14" s="28" customFormat="1" ht="15.75" customHeight="1">
      <c r="A14" s="15" t="s">
        <v>181</v>
      </c>
      <c r="B14" s="117">
        <v>10597</v>
      </c>
      <c r="C14" s="118">
        <v>102958973</v>
      </c>
      <c r="D14" s="117">
        <v>3919</v>
      </c>
      <c r="E14" s="118">
        <v>2736108</v>
      </c>
      <c r="F14" s="117">
        <v>14516</v>
      </c>
      <c r="G14" s="118">
        <v>105695081</v>
      </c>
      <c r="H14" s="117">
        <v>768</v>
      </c>
      <c r="I14" s="119">
        <v>8468393</v>
      </c>
      <c r="J14" s="117">
        <v>540</v>
      </c>
      <c r="K14" s="119">
        <v>204946</v>
      </c>
      <c r="L14" s="117">
        <v>15387</v>
      </c>
      <c r="M14" s="119">
        <v>97431634</v>
      </c>
      <c r="N14" s="16" t="s">
        <v>95</v>
      </c>
    </row>
    <row r="15" spans="1:14" s="17" customFormat="1" ht="15.75" customHeight="1">
      <c r="A15" s="147"/>
      <c r="B15" s="155"/>
      <c r="C15" s="146"/>
      <c r="D15" s="152"/>
      <c r="E15" s="154"/>
      <c r="F15" s="152"/>
      <c r="G15" s="154"/>
      <c r="H15" s="152"/>
      <c r="I15" s="154"/>
      <c r="J15" s="152"/>
      <c r="K15" s="150"/>
      <c r="L15" s="155"/>
      <c r="M15" s="146"/>
      <c r="N15" s="148"/>
    </row>
    <row r="16" spans="1:14" ht="15.75" customHeight="1">
      <c r="A16" s="11" t="s">
        <v>182</v>
      </c>
      <c r="B16" s="111">
        <f>_xlfn.COMPOUNDVALUE(237)</f>
        <v>3830</v>
      </c>
      <c r="C16" s="112">
        <v>35131543</v>
      </c>
      <c r="D16" s="111">
        <f>_xlfn.COMPOUNDVALUE(238)</f>
        <v>1586</v>
      </c>
      <c r="E16" s="112">
        <v>1117299</v>
      </c>
      <c r="F16" s="111">
        <f>_xlfn.COMPOUNDVALUE(239)</f>
        <v>5416</v>
      </c>
      <c r="G16" s="112">
        <v>36248843</v>
      </c>
      <c r="H16" s="111">
        <f>_xlfn.COMPOUNDVALUE(240)</f>
        <v>281</v>
      </c>
      <c r="I16" s="113">
        <v>1227918</v>
      </c>
      <c r="J16" s="111">
        <v>180</v>
      </c>
      <c r="K16" s="113">
        <v>-1364</v>
      </c>
      <c r="L16" s="111">
        <v>5757</v>
      </c>
      <c r="M16" s="113">
        <v>35019560</v>
      </c>
      <c r="N16" s="24" t="s">
        <v>102</v>
      </c>
    </row>
    <row r="17" spans="1:14" ht="15.75" customHeight="1">
      <c r="A17" s="13" t="s">
        <v>183</v>
      </c>
      <c r="B17" s="114">
        <f>_xlfn.COMPOUNDVALUE(241)</f>
        <v>620</v>
      </c>
      <c r="C17" s="115">
        <v>4206737</v>
      </c>
      <c r="D17" s="114">
        <f>_xlfn.COMPOUNDVALUE(242)</f>
        <v>205</v>
      </c>
      <c r="E17" s="115">
        <v>171380</v>
      </c>
      <c r="F17" s="114">
        <f>_xlfn.COMPOUNDVALUE(243)</f>
        <v>825</v>
      </c>
      <c r="G17" s="115">
        <v>4378116</v>
      </c>
      <c r="H17" s="114">
        <f>_xlfn.COMPOUNDVALUE(244)</f>
        <v>41</v>
      </c>
      <c r="I17" s="116">
        <v>265317</v>
      </c>
      <c r="J17" s="114">
        <v>48</v>
      </c>
      <c r="K17" s="116">
        <v>15835</v>
      </c>
      <c r="L17" s="114">
        <v>875</v>
      </c>
      <c r="M17" s="116">
        <v>4128634</v>
      </c>
      <c r="N17" s="14" t="s">
        <v>103</v>
      </c>
    </row>
    <row r="18" spans="1:14" ht="15.75" customHeight="1">
      <c r="A18" s="13" t="s">
        <v>184</v>
      </c>
      <c r="B18" s="114">
        <f>_xlfn.COMPOUNDVALUE(245)</f>
        <v>536</v>
      </c>
      <c r="C18" s="115">
        <v>4334125</v>
      </c>
      <c r="D18" s="114">
        <f>_xlfn.COMPOUNDVALUE(246)</f>
        <v>183</v>
      </c>
      <c r="E18" s="115">
        <v>117679</v>
      </c>
      <c r="F18" s="114">
        <f>_xlfn.COMPOUNDVALUE(247)</f>
        <v>719</v>
      </c>
      <c r="G18" s="115">
        <v>4451804</v>
      </c>
      <c r="H18" s="114">
        <f>_xlfn.COMPOUNDVALUE(248)</f>
        <v>53</v>
      </c>
      <c r="I18" s="116">
        <v>159757</v>
      </c>
      <c r="J18" s="114">
        <v>25</v>
      </c>
      <c r="K18" s="116">
        <v>18200</v>
      </c>
      <c r="L18" s="114">
        <v>778</v>
      </c>
      <c r="M18" s="116">
        <v>4310247</v>
      </c>
      <c r="N18" s="14" t="s">
        <v>104</v>
      </c>
    </row>
    <row r="19" spans="1:14" ht="15.75" customHeight="1">
      <c r="A19" s="13" t="s">
        <v>185</v>
      </c>
      <c r="B19" s="114">
        <f>_xlfn.COMPOUNDVALUE(249)</f>
        <v>985</v>
      </c>
      <c r="C19" s="115">
        <v>8773549</v>
      </c>
      <c r="D19" s="114">
        <f>_xlfn.COMPOUNDVALUE(250)</f>
        <v>396</v>
      </c>
      <c r="E19" s="115">
        <v>259728</v>
      </c>
      <c r="F19" s="114">
        <f>_xlfn.COMPOUNDVALUE(251)</f>
        <v>1381</v>
      </c>
      <c r="G19" s="115">
        <v>9033278</v>
      </c>
      <c r="H19" s="114">
        <f>_xlfn.COMPOUNDVALUE(252)</f>
        <v>110</v>
      </c>
      <c r="I19" s="116">
        <v>178003</v>
      </c>
      <c r="J19" s="114">
        <v>55</v>
      </c>
      <c r="K19" s="116">
        <v>19169</v>
      </c>
      <c r="L19" s="114">
        <v>1503</v>
      </c>
      <c r="M19" s="116">
        <v>8874443</v>
      </c>
      <c r="N19" s="14" t="s">
        <v>105</v>
      </c>
    </row>
    <row r="20" spans="1:14" ht="15.75" customHeight="1">
      <c r="A20" s="13" t="s">
        <v>186</v>
      </c>
      <c r="B20" s="114">
        <f>_xlfn.COMPOUNDVALUE(253)</f>
        <v>1453</v>
      </c>
      <c r="C20" s="115">
        <v>14361205</v>
      </c>
      <c r="D20" s="114">
        <f>_xlfn.COMPOUNDVALUE(254)</f>
        <v>548</v>
      </c>
      <c r="E20" s="115">
        <v>351917</v>
      </c>
      <c r="F20" s="114">
        <f>_xlfn.COMPOUNDVALUE(255)</f>
        <v>2001</v>
      </c>
      <c r="G20" s="115">
        <v>14713122</v>
      </c>
      <c r="H20" s="114">
        <f>_xlfn.COMPOUNDVALUE(256)</f>
        <v>154</v>
      </c>
      <c r="I20" s="116">
        <v>598412</v>
      </c>
      <c r="J20" s="114">
        <v>88</v>
      </c>
      <c r="K20" s="116">
        <v>34902</v>
      </c>
      <c r="L20" s="114">
        <v>2185</v>
      </c>
      <c r="M20" s="116">
        <v>14149613</v>
      </c>
      <c r="N20" s="14" t="s">
        <v>106</v>
      </c>
    </row>
    <row r="21" spans="1:14" ht="15.75" customHeight="1">
      <c r="A21" s="13" t="s">
        <v>187</v>
      </c>
      <c r="B21" s="114">
        <f>_xlfn.COMPOUNDVALUE(257)</f>
        <v>485</v>
      </c>
      <c r="C21" s="115">
        <v>3079875</v>
      </c>
      <c r="D21" s="114">
        <f>_xlfn.COMPOUNDVALUE(258)</f>
        <v>165</v>
      </c>
      <c r="E21" s="115">
        <v>117092</v>
      </c>
      <c r="F21" s="114">
        <f>_xlfn.COMPOUNDVALUE(259)</f>
        <v>650</v>
      </c>
      <c r="G21" s="115">
        <v>3196967</v>
      </c>
      <c r="H21" s="114">
        <f>_xlfn.COMPOUNDVALUE(260)</f>
        <v>41</v>
      </c>
      <c r="I21" s="116">
        <v>364106</v>
      </c>
      <c r="J21" s="114">
        <v>25</v>
      </c>
      <c r="K21" s="116">
        <v>-933</v>
      </c>
      <c r="L21" s="114">
        <v>693</v>
      </c>
      <c r="M21" s="116">
        <v>2831928</v>
      </c>
      <c r="N21" s="14" t="s">
        <v>107</v>
      </c>
    </row>
    <row r="22" spans="1:14" ht="15.75" customHeight="1">
      <c r="A22" s="13" t="s">
        <v>188</v>
      </c>
      <c r="B22" s="114">
        <f>_xlfn.COMPOUNDVALUE(261)</f>
        <v>901</v>
      </c>
      <c r="C22" s="115">
        <v>7092969</v>
      </c>
      <c r="D22" s="114">
        <f>_xlfn.COMPOUNDVALUE(262)</f>
        <v>385</v>
      </c>
      <c r="E22" s="115">
        <v>230337</v>
      </c>
      <c r="F22" s="114">
        <f>_xlfn.COMPOUNDVALUE(263)</f>
        <v>1286</v>
      </c>
      <c r="G22" s="115">
        <v>7323306</v>
      </c>
      <c r="H22" s="114">
        <f>_xlfn.COMPOUNDVALUE(264)</f>
        <v>68</v>
      </c>
      <c r="I22" s="116">
        <v>574324</v>
      </c>
      <c r="J22" s="114">
        <v>57</v>
      </c>
      <c r="K22" s="116">
        <v>55310</v>
      </c>
      <c r="L22" s="114">
        <v>1376</v>
      </c>
      <c r="M22" s="116">
        <v>6804292</v>
      </c>
      <c r="N22" s="14" t="s">
        <v>108</v>
      </c>
    </row>
    <row r="23" spans="1:14" ht="15.75" customHeight="1">
      <c r="A23" s="13" t="s">
        <v>189</v>
      </c>
      <c r="B23" s="114">
        <f>_xlfn.COMPOUNDVALUE(265)</f>
        <v>614</v>
      </c>
      <c r="C23" s="115">
        <v>3558502</v>
      </c>
      <c r="D23" s="114">
        <f>_xlfn.COMPOUNDVALUE(266)</f>
        <v>220</v>
      </c>
      <c r="E23" s="115">
        <v>134256</v>
      </c>
      <c r="F23" s="114">
        <f>_xlfn.COMPOUNDVALUE(267)</f>
        <v>834</v>
      </c>
      <c r="G23" s="115">
        <v>3692758</v>
      </c>
      <c r="H23" s="114">
        <f>_xlfn.COMPOUNDVALUE(268)</f>
        <v>56</v>
      </c>
      <c r="I23" s="116">
        <v>256182</v>
      </c>
      <c r="J23" s="114">
        <v>42</v>
      </c>
      <c r="K23" s="116">
        <v>6826</v>
      </c>
      <c r="L23" s="114">
        <v>900</v>
      </c>
      <c r="M23" s="116">
        <v>3443402</v>
      </c>
      <c r="N23" s="14" t="s">
        <v>109</v>
      </c>
    </row>
    <row r="24" spans="1:14" ht="15.75" customHeight="1">
      <c r="A24" s="13" t="s">
        <v>190</v>
      </c>
      <c r="B24" s="114">
        <f>_xlfn.COMPOUNDVALUE(269)</f>
        <v>454</v>
      </c>
      <c r="C24" s="115">
        <v>3500215</v>
      </c>
      <c r="D24" s="114">
        <f>_xlfn.COMPOUNDVALUE(270)</f>
        <v>138</v>
      </c>
      <c r="E24" s="115">
        <v>99662</v>
      </c>
      <c r="F24" s="114">
        <f>_xlfn.COMPOUNDVALUE(271)</f>
        <v>592</v>
      </c>
      <c r="G24" s="115">
        <v>3599877</v>
      </c>
      <c r="H24" s="114">
        <f>_xlfn.COMPOUNDVALUE(272)</f>
        <v>50</v>
      </c>
      <c r="I24" s="116">
        <v>208846</v>
      </c>
      <c r="J24" s="114">
        <v>12</v>
      </c>
      <c r="K24" s="116">
        <v>1254</v>
      </c>
      <c r="L24" s="114">
        <v>644</v>
      </c>
      <c r="M24" s="116">
        <v>3392285</v>
      </c>
      <c r="N24" s="14" t="s">
        <v>110</v>
      </c>
    </row>
    <row r="25" spans="1:14" ht="15.75" customHeight="1">
      <c r="A25" s="15" t="s">
        <v>191</v>
      </c>
      <c r="B25" s="117">
        <v>9878</v>
      </c>
      <c r="C25" s="118">
        <v>84038719</v>
      </c>
      <c r="D25" s="117">
        <v>3826</v>
      </c>
      <c r="E25" s="118">
        <v>2599350</v>
      </c>
      <c r="F25" s="117">
        <v>13704</v>
      </c>
      <c r="G25" s="118">
        <v>86638069</v>
      </c>
      <c r="H25" s="117">
        <v>854</v>
      </c>
      <c r="I25" s="119">
        <v>3832864</v>
      </c>
      <c r="J25" s="117">
        <v>532</v>
      </c>
      <c r="K25" s="119">
        <v>149199</v>
      </c>
      <c r="L25" s="117">
        <v>14711</v>
      </c>
      <c r="M25" s="119">
        <v>82954404</v>
      </c>
      <c r="N25" s="16" t="s">
        <v>111</v>
      </c>
    </row>
    <row r="26" spans="1:14" ht="15.75" customHeight="1">
      <c r="A26" s="147"/>
      <c r="B26" s="155"/>
      <c r="C26" s="146"/>
      <c r="D26" s="152"/>
      <c r="E26" s="154"/>
      <c r="F26" s="152"/>
      <c r="G26" s="154"/>
      <c r="H26" s="152"/>
      <c r="I26" s="154"/>
      <c r="J26" s="152"/>
      <c r="K26" s="150"/>
      <c r="L26" s="155"/>
      <c r="M26" s="146"/>
      <c r="N26" s="148"/>
    </row>
    <row r="27" spans="1:14" ht="15.75" customHeight="1">
      <c r="A27" s="11" t="s">
        <v>192</v>
      </c>
      <c r="B27" s="111">
        <f>_xlfn.COMPOUNDVALUE(273)</f>
        <v>5224</v>
      </c>
      <c r="C27" s="112">
        <v>77854598</v>
      </c>
      <c r="D27" s="111">
        <f>_xlfn.COMPOUNDVALUE(274)</f>
        <v>2291</v>
      </c>
      <c r="E27" s="112">
        <v>1704444</v>
      </c>
      <c r="F27" s="111">
        <f>_xlfn.COMPOUNDVALUE(275)</f>
        <v>7515</v>
      </c>
      <c r="G27" s="112">
        <v>79559042</v>
      </c>
      <c r="H27" s="111">
        <f>_xlfn.COMPOUNDVALUE(276)</f>
        <v>523</v>
      </c>
      <c r="I27" s="113">
        <v>2334144</v>
      </c>
      <c r="J27" s="111">
        <v>472</v>
      </c>
      <c r="K27" s="113">
        <v>83130</v>
      </c>
      <c r="L27" s="111">
        <v>8245</v>
      </c>
      <c r="M27" s="113">
        <v>77308027</v>
      </c>
      <c r="N27" s="24" t="s">
        <v>112</v>
      </c>
    </row>
    <row r="28" spans="1:14" ht="15.75" customHeight="1">
      <c r="A28" s="13" t="s">
        <v>193</v>
      </c>
      <c r="B28" s="114">
        <f>_xlfn.COMPOUNDVALUE(277)</f>
        <v>4919</v>
      </c>
      <c r="C28" s="115">
        <v>72208662</v>
      </c>
      <c r="D28" s="114">
        <f>_xlfn.COMPOUNDVALUE(278)</f>
        <v>1652</v>
      </c>
      <c r="E28" s="115">
        <v>1292264</v>
      </c>
      <c r="F28" s="114">
        <f>_xlfn.COMPOUNDVALUE(279)</f>
        <v>6571</v>
      </c>
      <c r="G28" s="115">
        <v>73500925</v>
      </c>
      <c r="H28" s="114">
        <f>_xlfn.COMPOUNDVALUE(280)</f>
        <v>426</v>
      </c>
      <c r="I28" s="116">
        <v>2122298</v>
      </c>
      <c r="J28" s="114">
        <v>262</v>
      </c>
      <c r="K28" s="116">
        <v>96377</v>
      </c>
      <c r="L28" s="114">
        <v>7071</v>
      </c>
      <c r="M28" s="116">
        <v>71475005</v>
      </c>
      <c r="N28" s="14" t="s">
        <v>113</v>
      </c>
    </row>
    <row r="29" spans="1:14" ht="15.75" customHeight="1">
      <c r="A29" s="13" t="s">
        <v>194</v>
      </c>
      <c r="B29" s="114">
        <f>_xlfn.COMPOUNDVALUE(281)</f>
        <v>2605</v>
      </c>
      <c r="C29" s="115">
        <v>21219179</v>
      </c>
      <c r="D29" s="114">
        <f>_xlfn.COMPOUNDVALUE(282)</f>
        <v>1152</v>
      </c>
      <c r="E29" s="115">
        <v>920026</v>
      </c>
      <c r="F29" s="114">
        <f>_xlfn.COMPOUNDVALUE(283)</f>
        <v>3757</v>
      </c>
      <c r="G29" s="115">
        <v>22139205</v>
      </c>
      <c r="H29" s="114">
        <f>_xlfn.COMPOUNDVALUE(284)</f>
        <v>228</v>
      </c>
      <c r="I29" s="116">
        <v>693420</v>
      </c>
      <c r="J29" s="114">
        <v>179</v>
      </c>
      <c r="K29" s="116">
        <v>50674</v>
      </c>
      <c r="L29" s="114">
        <v>4058</v>
      </c>
      <c r="M29" s="116">
        <v>21496459</v>
      </c>
      <c r="N29" s="14" t="s">
        <v>114</v>
      </c>
    </row>
    <row r="30" spans="1:14" ht="15.75" customHeight="1">
      <c r="A30" s="13" t="s">
        <v>195</v>
      </c>
      <c r="B30" s="114">
        <f>_xlfn.COMPOUNDVALUE(285)</f>
        <v>2064</v>
      </c>
      <c r="C30" s="115">
        <v>12881597</v>
      </c>
      <c r="D30" s="114">
        <f>_xlfn.COMPOUNDVALUE(286)</f>
        <v>754</v>
      </c>
      <c r="E30" s="115">
        <v>530799</v>
      </c>
      <c r="F30" s="114">
        <f>_xlfn.COMPOUNDVALUE(287)</f>
        <v>2818</v>
      </c>
      <c r="G30" s="115">
        <v>13412396</v>
      </c>
      <c r="H30" s="114">
        <f>_xlfn.COMPOUNDVALUE(288)</f>
        <v>231</v>
      </c>
      <c r="I30" s="116">
        <v>1565505</v>
      </c>
      <c r="J30" s="114">
        <v>88</v>
      </c>
      <c r="K30" s="116">
        <v>31123</v>
      </c>
      <c r="L30" s="114">
        <v>3061</v>
      </c>
      <c r="M30" s="116">
        <v>11878013</v>
      </c>
      <c r="N30" s="14" t="s">
        <v>115</v>
      </c>
    </row>
    <row r="31" spans="1:14" ht="15.75" customHeight="1">
      <c r="A31" s="13" t="s">
        <v>196</v>
      </c>
      <c r="B31" s="114">
        <f>_xlfn.COMPOUNDVALUE(289)</f>
        <v>1447</v>
      </c>
      <c r="C31" s="115">
        <v>8209987</v>
      </c>
      <c r="D31" s="114">
        <f>_xlfn.COMPOUNDVALUE(290)</f>
        <v>623</v>
      </c>
      <c r="E31" s="115">
        <v>420884</v>
      </c>
      <c r="F31" s="114">
        <f>_xlfn.COMPOUNDVALUE(291)</f>
        <v>2070</v>
      </c>
      <c r="G31" s="115">
        <v>8630871</v>
      </c>
      <c r="H31" s="114">
        <f>_xlfn.COMPOUNDVALUE(292)</f>
        <v>119</v>
      </c>
      <c r="I31" s="116">
        <v>740566</v>
      </c>
      <c r="J31" s="114">
        <v>101</v>
      </c>
      <c r="K31" s="116">
        <v>31975</v>
      </c>
      <c r="L31" s="114">
        <v>2212</v>
      </c>
      <c r="M31" s="116">
        <v>7922280</v>
      </c>
      <c r="N31" s="14" t="s">
        <v>116</v>
      </c>
    </row>
    <row r="32" spans="1:14" ht="15.75" customHeight="1">
      <c r="A32" s="13" t="s">
        <v>197</v>
      </c>
      <c r="B32" s="114">
        <f>_xlfn.COMPOUNDVALUE(293)</f>
        <v>1582</v>
      </c>
      <c r="C32" s="115">
        <v>9643223</v>
      </c>
      <c r="D32" s="114">
        <f>_xlfn.COMPOUNDVALUE(294)</f>
        <v>690</v>
      </c>
      <c r="E32" s="115">
        <v>470414</v>
      </c>
      <c r="F32" s="114">
        <f>_xlfn.COMPOUNDVALUE(295)</f>
        <v>2272</v>
      </c>
      <c r="G32" s="115">
        <v>10113637</v>
      </c>
      <c r="H32" s="114">
        <f>_xlfn.COMPOUNDVALUE(296)</f>
        <v>156</v>
      </c>
      <c r="I32" s="116">
        <v>439044</v>
      </c>
      <c r="J32" s="114">
        <v>84</v>
      </c>
      <c r="K32" s="116">
        <v>18142</v>
      </c>
      <c r="L32" s="114">
        <v>2447</v>
      </c>
      <c r="M32" s="116">
        <v>9692735</v>
      </c>
      <c r="N32" s="14" t="s">
        <v>117</v>
      </c>
    </row>
    <row r="33" spans="1:14" ht="15.75" customHeight="1">
      <c r="A33" s="13" t="s">
        <v>198</v>
      </c>
      <c r="B33" s="114">
        <f>_xlfn.COMPOUNDVALUE(297)</f>
        <v>803</v>
      </c>
      <c r="C33" s="115">
        <v>4516268</v>
      </c>
      <c r="D33" s="114">
        <f>_xlfn.COMPOUNDVALUE(298)</f>
        <v>272</v>
      </c>
      <c r="E33" s="115">
        <v>171616</v>
      </c>
      <c r="F33" s="114">
        <f>_xlfn.COMPOUNDVALUE(299)</f>
        <v>1075</v>
      </c>
      <c r="G33" s="115">
        <v>4687884</v>
      </c>
      <c r="H33" s="114">
        <f>_xlfn.COMPOUNDVALUE(300)</f>
        <v>96</v>
      </c>
      <c r="I33" s="116">
        <v>519038</v>
      </c>
      <c r="J33" s="114">
        <v>31</v>
      </c>
      <c r="K33" s="116">
        <v>21303</v>
      </c>
      <c r="L33" s="114">
        <v>1186</v>
      </c>
      <c r="M33" s="116">
        <v>4190148</v>
      </c>
      <c r="N33" s="14" t="s">
        <v>118</v>
      </c>
    </row>
    <row r="34" spans="1:14" ht="15.75" customHeight="1">
      <c r="A34" s="13" t="s">
        <v>199</v>
      </c>
      <c r="B34" s="114">
        <f>_xlfn.COMPOUNDVALUE(301)</f>
        <v>1196</v>
      </c>
      <c r="C34" s="115">
        <v>6513801</v>
      </c>
      <c r="D34" s="114">
        <f>_xlfn.COMPOUNDVALUE(302)</f>
        <v>543</v>
      </c>
      <c r="E34" s="115">
        <v>388297</v>
      </c>
      <c r="F34" s="114">
        <f>_xlfn.COMPOUNDVALUE(303)</f>
        <v>1739</v>
      </c>
      <c r="G34" s="115">
        <v>6902099</v>
      </c>
      <c r="H34" s="114">
        <f>_xlfn.COMPOUNDVALUE(304)</f>
        <v>114</v>
      </c>
      <c r="I34" s="116">
        <v>490463</v>
      </c>
      <c r="J34" s="114">
        <v>110</v>
      </c>
      <c r="K34" s="116">
        <v>-87478</v>
      </c>
      <c r="L34" s="114">
        <v>1871</v>
      </c>
      <c r="M34" s="116">
        <v>6324157</v>
      </c>
      <c r="N34" s="14" t="s">
        <v>119</v>
      </c>
    </row>
    <row r="35" spans="1:14" ht="15.75" customHeight="1">
      <c r="A35" s="13" t="s">
        <v>200</v>
      </c>
      <c r="B35" s="114">
        <f>_xlfn.COMPOUNDVALUE(305)</f>
        <v>573</v>
      </c>
      <c r="C35" s="115">
        <v>3744029</v>
      </c>
      <c r="D35" s="114">
        <f>_xlfn.COMPOUNDVALUE(306)</f>
        <v>231</v>
      </c>
      <c r="E35" s="115">
        <v>168816</v>
      </c>
      <c r="F35" s="114">
        <f>_xlfn.COMPOUNDVALUE(307)</f>
        <v>804</v>
      </c>
      <c r="G35" s="115">
        <v>3912845</v>
      </c>
      <c r="H35" s="114">
        <f>_xlfn.COMPOUNDVALUE(308)</f>
        <v>58</v>
      </c>
      <c r="I35" s="116">
        <v>757717</v>
      </c>
      <c r="J35" s="114">
        <v>22</v>
      </c>
      <c r="K35" s="116">
        <v>620</v>
      </c>
      <c r="L35" s="114">
        <v>864</v>
      </c>
      <c r="M35" s="116">
        <v>3155747</v>
      </c>
      <c r="N35" s="14" t="s">
        <v>120</v>
      </c>
    </row>
    <row r="36" spans="1:14" ht="15.75" customHeight="1">
      <c r="A36" s="13" t="s">
        <v>201</v>
      </c>
      <c r="B36" s="114">
        <f>_xlfn.COMPOUNDVALUE(309)</f>
        <v>690</v>
      </c>
      <c r="C36" s="115">
        <v>5161272</v>
      </c>
      <c r="D36" s="114">
        <f>_xlfn.COMPOUNDVALUE(310)</f>
        <v>321</v>
      </c>
      <c r="E36" s="115">
        <v>224289</v>
      </c>
      <c r="F36" s="114">
        <f>_xlfn.COMPOUNDVALUE(311)</f>
        <v>1011</v>
      </c>
      <c r="G36" s="115">
        <v>5385561</v>
      </c>
      <c r="H36" s="114">
        <f>_xlfn.COMPOUNDVALUE(312)</f>
        <v>78</v>
      </c>
      <c r="I36" s="116">
        <v>297479</v>
      </c>
      <c r="J36" s="114">
        <v>32</v>
      </c>
      <c r="K36" s="116">
        <v>32830</v>
      </c>
      <c r="L36" s="114">
        <v>1094</v>
      </c>
      <c r="M36" s="116">
        <v>5120912</v>
      </c>
      <c r="N36" s="14" t="s">
        <v>121</v>
      </c>
    </row>
    <row r="37" spans="1:14" ht="15.75" customHeight="1">
      <c r="A37" s="15" t="s">
        <v>202</v>
      </c>
      <c r="B37" s="117">
        <v>21103</v>
      </c>
      <c r="C37" s="118">
        <v>221952615</v>
      </c>
      <c r="D37" s="117">
        <v>8529</v>
      </c>
      <c r="E37" s="118">
        <v>6291849</v>
      </c>
      <c r="F37" s="117">
        <v>29632</v>
      </c>
      <c r="G37" s="118">
        <v>228244463</v>
      </c>
      <c r="H37" s="117">
        <v>2029</v>
      </c>
      <c r="I37" s="119">
        <v>9959674</v>
      </c>
      <c r="J37" s="117">
        <v>1381</v>
      </c>
      <c r="K37" s="119">
        <v>278696</v>
      </c>
      <c r="L37" s="117">
        <v>32109</v>
      </c>
      <c r="M37" s="119">
        <v>218563485</v>
      </c>
      <c r="N37" s="16" t="s">
        <v>122</v>
      </c>
    </row>
    <row r="38" spans="1:14" ht="15.75" customHeight="1">
      <c r="A38" s="147"/>
      <c r="B38" s="155"/>
      <c r="C38" s="146"/>
      <c r="D38" s="152"/>
      <c r="E38" s="154"/>
      <c r="F38" s="152"/>
      <c r="G38" s="154"/>
      <c r="H38" s="152"/>
      <c r="I38" s="154"/>
      <c r="J38" s="152"/>
      <c r="K38" s="150"/>
      <c r="L38" s="155"/>
      <c r="M38" s="146"/>
      <c r="N38" s="148"/>
    </row>
    <row r="39" spans="1:14" ht="15.75" customHeight="1">
      <c r="A39" s="11" t="s">
        <v>203</v>
      </c>
      <c r="B39" s="111">
        <f>_xlfn.COMPOUNDVALUE(313)</f>
        <v>2231</v>
      </c>
      <c r="C39" s="112">
        <v>20177601</v>
      </c>
      <c r="D39" s="111">
        <f>_xlfn.COMPOUNDVALUE(314)</f>
        <v>880</v>
      </c>
      <c r="E39" s="112">
        <v>640288</v>
      </c>
      <c r="F39" s="111">
        <f>_xlfn.COMPOUNDVALUE(315)</f>
        <v>3111</v>
      </c>
      <c r="G39" s="112">
        <v>20817889</v>
      </c>
      <c r="H39" s="111">
        <f>_xlfn.COMPOUNDVALUE(316)</f>
        <v>147</v>
      </c>
      <c r="I39" s="113">
        <v>2025671</v>
      </c>
      <c r="J39" s="111">
        <v>142</v>
      </c>
      <c r="K39" s="113">
        <v>22355</v>
      </c>
      <c r="L39" s="111">
        <v>3286</v>
      </c>
      <c r="M39" s="113">
        <v>18814574</v>
      </c>
      <c r="N39" s="12" t="s">
        <v>123</v>
      </c>
    </row>
    <row r="40" spans="1:14" ht="15.75" customHeight="1">
      <c r="A40" s="13" t="s">
        <v>204</v>
      </c>
      <c r="B40" s="114">
        <f>_xlfn.COMPOUNDVALUE(317)</f>
        <v>1059</v>
      </c>
      <c r="C40" s="115">
        <v>8570887</v>
      </c>
      <c r="D40" s="114">
        <f>_xlfn.COMPOUNDVALUE(318)</f>
        <v>457</v>
      </c>
      <c r="E40" s="115">
        <v>294313</v>
      </c>
      <c r="F40" s="114">
        <f>_xlfn.COMPOUNDVALUE(319)</f>
        <v>1516</v>
      </c>
      <c r="G40" s="115">
        <v>8865200</v>
      </c>
      <c r="H40" s="114">
        <f>_xlfn.COMPOUNDVALUE(320)</f>
        <v>87</v>
      </c>
      <c r="I40" s="116">
        <v>1307714</v>
      </c>
      <c r="J40" s="114">
        <v>55</v>
      </c>
      <c r="K40" s="116">
        <v>445</v>
      </c>
      <c r="L40" s="114">
        <v>1625</v>
      </c>
      <c r="M40" s="116">
        <v>7557930</v>
      </c>
      <c r="N40" s="14" t="s">
        <v>124</v>
      </c>
    </row>
    <row r="41" spans="1:14" ht="15.75" customHeight="1">
      <c r="A41" s="13" t="s">
        <v>205</v>
      </c>
      <c r="B41" s="114">
        <f>_xlfn.COMPOUNDVALUE(321)</f>
        <v>620</v>
      </c>
      <c r="C41" s="115">
        <v>3604234</v>
      </c>
      <c r="D41" s="114">
        <f>_xlfn.COMPOUNDVALUE(322)</f>
        <v>278</v>
      </c>
      <c r="E41" s="115">
        <v>177984</v>
      </c>
      <c r="F41" s="114">
        <f>_xlfn.COMPOUNDVALUE(323)</f>
        <v>898</v>
      </c>
      <c r="G41" s="115">
        <v>3782218</v>
      </c>
      <c r="H41" s="114">
        <f>_xlfn.COMPOUNDVALUE(324)</f>
        <v>56</v>
      </c>
      <c r="I41" s="116">
        <v>316496</v>
      </c>
      <c r="J41" s="114">
        <v>19</v>
      </c>
      <c r="K41" s="116">
        <v>-388</v>
      </c>
      <c r="L41" s="114">
        <v>954</v>
      </c>
      <c r="M41" s="116">
        <v>3465334</v>
      </c>
      <c r="N41" s="14" t="s">
        <v>125</v>
      </c>
    </row>
    <row r="42" spans="1:14" ht="15.75" customHeight="1">
      <c r="A42" s="13" t="s">
        <v>206</v>
      </c>
      <c r="B42" s="114">
        <f>_xlfn.COMPOUNDVALUE(325)</f>
        <v>691</v>
      </c>
      <c r="C42" s="115">
        <v>3899301</v>
      </c>
      <c r="D42" s="114">
        <f>_xlfn.COMPOUNDVALUE(326)</f>
        <v>257</v>
      </c>
      <c r="E42" s="115">
        <v>167606</v>
      </c>
      <c r="F42" s="114">
        <f>_xlfn.COMPOUNDVALUE(327)</f>
        <v>948</v>
      </c>
      <c r="G42" s="115">
        <v>4066907</v>
      </c>
      <c r="H42" s="114">
        <f>_xlfn.COMPOUNDVALUE(328)</f>
        <v>74</v>
      </c>
      <c r="I42" s="116">
        <v>375334</v>
      </c>
      <c r="J42" s="114">
        <v>25</v>
      </c>
      <c r="K42" s="116">
        <v>3995</v>
      </c>
      <c r="L42" s="114">
        <v>1027</v>
      </c>
      <c r="M42" s="116">
        <v>3695568</v>
      </c>
      <c r="N42" s="14" t="s">
        <v>126</v>
      </c>
    </row>
    <row r="43" spans="1:14" ht="15.75" customHeight="1">
      <c r="A43" s="13" t="s">
        <v>207</v>
      </c>
      <c r="B43" s="114">
        <f>_xlfn.COMPOUNDVALUE(329)</f>
        <v>1161</v>
      </c>
      <c r="C43" s="115">
        <v>8395603</v>
      </c>
      <c r="D43" s="114">
        <f>_xlfn.COMPOUNDVALUE(330)</f>
        <v>426</v>
      </c>
      <c r="E43" s="115">
        <v>274419</v>
      </c>
      <c r="F43" s="114">
        <f>_xlfn.COMPOUNDVALUE(331)</f>
        <v>1587</v>
      </c>
      <c r="G43" s="115">
        <v>8670022</v>
      </c>
      <c r="H43" s="114">
        <f>_xlfn.COMPOUNDVALUE(332)</f>
        <v>106</v>
      </c>
      <c r="I43" s="116">
        <v>374443</v>
      </c>
      <c r="J43" s="114">
        <v>54</v>
      </c>
      <c r="K43" s="116">
        <v>-1901</v>
      </c>
      <c r="L43" s="114">
        <v>1714</v>
      </c>
      <c r="M43" s="116">
        <v>8293678</v>
      </c>
      <c r="N43" s="14" t="s">
        <v>127</v>
      </c>
    </row>
    <row r="44" spans="1:14" ht="15.75" customHeight="1">
      <c r="A44" s="13" t="s">
        <v>208</v>
      </c>
      <c r="B44" s="114">
        <f>_xlfn.COMPOUNDVALUE(333)</f>
        <v>719</v>
      </c>
      <c r="C44" s="115">
        <v>6653880</v>
      </c>
      <c r="D44" s="114">
        <f>_xlfn.COMPOUNDVALUE(334)</f>
        <v>297</v>
      </c>
      <c r="E44" s="115">
        <v>187429</v>
      </c>
      <c r="F44" s="114">
        <f>_xlfn.COMPOUNDVALUE(335)</f>
        <v>1016</v>
      </c>
      <c r="G44" s="115">
        <v>6841309</v>
      </c>
      <c r="H44" s="114">
        <f>_xlfn.COMPOUNDVALUE(336)</f>
        <v>83</v>
      </c>
      <c r="I44" s="116">
        <v>473785</v>
      </c>
      <c r="J44" s="114">
        <v>37</v>
      </c>
      <c r="K44" s="116">
        <v>4036</v>
      </c>
      <c r="L44" s="114">
        <v>1102</v>
      </c>
      <c r="M44" s="116">
        <v>6371560</v>
      </c>
      <c r="N44" s="14" t="s">
        <v>128</v>
      </c>
    </row>
    <row r="45" spans="1:14" ht="15.75" customHeight="1">
      <c r="A45" s="13" t="s">
        <v>209</v>
      </c>
      <c r="B45" s="114">
        <f>_xlfn.COMPOUNDVALUE(337)</f>
        <v>485</v>
      </c>
      <c r="C45" s="115">
        <v>3721965</v>
      </c>
      <c r="D45" s="114">
        <f>_xlfn.COMPOUNDVALUE(338)</f>
        <v>168</v>
      </c>
      <c r="E45" s="115">
        <v>111989</v>
      </c>
      <c r="F45" s="114">
        <f>_xlfn.COMPOUNDVALUE(339)</f>
        <v>653</v>
      </c>
      <c r="G45" s="115">
        <v>3833954</v>
      </c>
      <c r="H45" s="114">
        <f>_xlfn.COMPOUNDVALUE(340)</f>
        <v>42</v>
      </c>
      <c r="I45" s="116">
        <v>126743</v>
      </c>
      <c r="J45" s="114">
        <v>14</v>
      </c>
      <c r="K45" s="116">
        <v>4710</v>
      </c>
      <c r="L45" s="114">
        <v>697</v>
      </c>
      <c r="M45" s="116">
        <v>3711921</v>
      </c>
      <c r="N45" s="14" t="s">
        <v>129</v>
      </c>
    </row>
    <row r="46" spans="1:14" ht="15.75" customHeight="1">
      <c r="A46" s="13" t="s">
        <v>210</v>
      </c>
      <c r="B46" s="114">
        <f>_xlfn.COMPOUNDVALUE(341)</f>
        <v>1038</v>
      </c>
      <c r="C46" s="115">
        <v>6204693</v>
      </c>
      <c r="D46" s="114">
        <f>_xlfn.COMPOUNDVALUE(342)</f>
        <v>427</v>
      </c>
      <c r="E46" s="115">
        <v>286464</v>
      </c>
      <c r="F46" s="114">
        <f>_xlfn.COMPOUNDVALUE(343)</f>
        <v>1465</v>
      </c>
      <c r="G46" s="115">
        <v>6491157</v>
      </c>
      <c r="H46" s="114">
        <f>_xlfn.COMPOUNDVALUE(344)</f>
        <v>114</v>
      </c>
      <c r="I46" s="116">
        <v>262906</v>
      </c>
      <c r="J46" s="114">
        <v>62</v>
      </c>
      <c r="K46" s="116">
        <v>-104488</v>
      </c>
      <c r="L46" s="114">
        <v>1591</v>
      </c>
      <c r="M46" s="116">
        <v>6123763</v>
      </c>
      <c r="N46" s="14" t="s">
        <v>130</v>
      </c>
    </row>
    <row r="47" spans="1:14" ht="15.75" customHeight="1">
      <c r="A47" s="15" t="s">
        <v>211</v>
      </c>
      <c r="B47" s="117">
        <v>8004</v>
      </c>
      <c r="C47" s="118">
        <v>61228165</v>
      </c>
      <c r="D47" s="117">
        <v>3190</v>
      </c>
      <c r="E47" s="118">
        <v>2140491</v>
      </c>
      <c r="F47" s="117">
        <v>11194</v>
      </c>
      <c r="G47" s="118">
        <v>63368656</v>
      </c>
      <c r="H47" s="117">
        <v>709</v>
      </c>
      <c r="I47" s="119">
        <v>5263094</v>
      </c>
      <c r="J47" s="117">
        <v>408</v>
      </c>
      <c r="K47" s="119">
        <v>-71235</v>
      </c>
      <c r="L47" s="117">
        <v>11996</v>
      </c>
      <c r="M47" s="119">
        <v>58034327</v>
      </c>
      <c r="N47" s="16" t="s">
        <v>131</v>
      </c>
    </row>
    <row r="48" spans="1:14" ht="15.75" customHeight="1">
      <c r="A48" s="147"/>
      <c r="B48" s="155"/>
      <c r="C48" s="146"/>
      <c r="D48" s="152"/>
      <c r="E48" s="154"/>
      <c r="F48" s="152"/>
      <c r="G48" s="154"/>
      <c r="H48" s="152"/>
      <c r="I48" s="154"/>
      <c r="J48" s="152"/>
      <c r="K48" s="150"/>
      <c r="L48" s="155"/>
      <c r="M48" s="146"/>
      <c r="N48" s="148"/>
    </row>
    <row r="49" spans="1:14" ht="15.75" customHeight="1">
      <c r="A49" s="11" t="s">
        <v>212</v>
      </c>
      <c r="B49" s="111">
        <f>_xlfn.COMPOUNDVALUE(345)</f>
        <v>3458</v>
      </c>
      <c r="C49" s="112">
        <v>32273208</v>
      </c>
      <c r="D49" s="111">
        <f>_xlfn.COMPOUNDVALUE(346)</f>
        <v>1560</v>
      </c>
      <c r="E49" s="112">
        <v>981295</v>
      </c>
      <c r="F49" s="111">
        <f>_xlfn.COMPOUNDVALUE(347)</f>
        <v>5018</v>
      </c>
      <c r="G49" s="112">
        <v>33254502</v>
      </c>
      <c r="H49" s="111">
        <f>_xlfn.COMPOUNDVALUE(348)</f>
        <v>225</v>
      </c>
      <c r="I49" s="113">
        <v>767858</v>
      </c>
      <c r="J49" s="111">
        <v>186</v>
      </c>
      <c r="K49" s="113">
        <v>23729</v>
      </c>
      <c r="L49" s="111">
        <v>5290</v>
      </c>
      <c r="M49" s="113">
        <v>32510373</v>
      </c>
      <c r="N49" s="24" t="s">
        <v>132</v>
      </c>
    </row>
    <row r="50" spans="1:14" ht="15.75" customHeight="1">
      <c r="A50" s="13" t="s">
        <v>213</v>
      </c>
      <c r="B50" s="114">
        <f>_xlfn.COMPOUNDVALUE(349)</f>
        <v>1448</v>
      </c>
      <c r="C50" s="115">
        <v>10208803</v>
      </c>
      <c r="D50" s="114">
        <f>_xlfn.COMPOUNDVALUE(350)</f>
        <v>628</v>
      </c>
      <c r="E50" s="115">
        <v>385418</v>
      </c>
      <c r="F50" s="114">
        <f>_xlfn.COMPOUNDVALUE(351)</f>
        <v>2076</v>
      </c>
      <c r="G50" s="115">
        <v>10594221</v>
      </c>
      <c r="H50" s="114">
        <f>_xlfn.COMPOUNDVALUE(352)</f>
        <v>124</v>
      </c>
      <c r="I50" s="116">
        <v>1557331</v>
      </c>
      <c r="J50" s="114">
        <v>40</v>
      </c>
      <c r="K50" s="116">
        <v>11432</v>
      </c>
      <c r="L50" s="114">
        <v>2212</v>
      </c>
      <c r="M50" s="116">
        <v>9048322</v>
      </c>
      <c r="N50" s="14" t="s">
        <v>133</v>
      </c>
    </row>
    <row r="51" spans="1:14" ht="15.75" customHeight="1">
      <c r="A51" s="13" t="s">
        <v>214</v>
      </c>
      <c r="B51" s="114">
        <f>_xlfn.COMPOUNDVALUE(353)</f>
        <v>1273</v>
      </c>
      <c r="C51" s="115">
        <v>9236812</v>
      </c>
      <c r="D51" s="114">
        <f>_xlfn.COMPOUNDVALUE(354)</f>
        <v>543</v>
      </c>
      <c r="E51" s="115">
        <v>340084</v>
      </c>
      <c r="F51" s="114">
        <f>_xlfn.COMPOUNDVALUE(355)</f>
        <v>1816</v>
      </c>
      <c r="G51" s="115">
        <v>9576896</v>
      </c>
      <c r="H51" s="114">
        <f>_xlfn.COMPOUNDVALUE(356)</f>
        <v>119</v>
      </c>
      <c r="I51" s="116">
        <v>501652</v>
      </c>
      <c r="J51" s="114">
        <v>44</v>
      </c>
      <c r="K51" s="116">
        <v>-9871</v>
      </c>
      <c r="L51" s="114">
        <v>1953</v>
      </c>
      <c r="M51" s="116">
        <v>9065373</v>
      </c>
      <c r="N51" s="14" t="s">
        <v>134</v>
      </c>
    </row>
    <row r="52" spans="1:14" ht="15.75" customHeight="1">
      <c r="A52" s="13" t="s">
        <v>215</v>
      </c>
      <c r="B52" s="114">
        <f>_xlfn.COMPOUNDVALUE(357)</f>
        <v>1036</v>
      </c>
      <c r="C52" s="115">
        <v>8347750</v>
      </c>
      <c r="D52" s="114">
        <f>_xlfn.COMPOUNDVALUE(358)</f>
        <v>512</v>
      </c>
      <c r="E52" s="115">
        <v>300503</v>
      </c>
      <c r="F52" s="114">
        <f>_xlfn.COMPOUNDVALUE(359)</f>
        <v>1548</v>
      </c>
      <c r="G52" s="115">
        <v>8648253</v>
      </c>
      <c r="H52" s="114">
        <f>_xlfn.COMPOUNDVALUE(360)</f>
        <v>107</v>
      </c>
      <c r="I52" s="116">
        <v>829963</v>
      </c>
      <c r="J52" s="114">
        <v>35</v>
      </c>
      <c r="K52" s="116">
        <v>9107</v>
      </c>
      <c r="L52" s="114">
        <v>1662</v>
      </c>
      <c r="M52" s="116">
        <v>7827398</v>
      </c>
      <c r="N52" s="14" t="s">
        <v>135</v>
      </c>
    </row>
    <row r="53" spans="1:14" ht="15.75" customHeight="1">
      <c r="A53" s="13" t="s">
        <v>216</v>
      </c>
      <c r="B53" s="114">
        <f>_xlfn.COMPOUNDVALUE(361)</f>
        <v>624</v>
      </c>
      <c r="C53" s="115">
        <v>4190988</v>
      </c>
      <c r="D53" s="114">
        <f>_xlfn.COMPOUNDVALUE(362)</f>
        <v>260</v>
      </c>
      <c r="E53" s="115">
        <v>173952</v>
      </c>
      <c r="F53" s="114">
        <f>_xlfn.COMPOUNDVALUE(363)</f>
        <v>884</v>
      </c>
      <c r="G53" s="115">
        <v>4364939</v>
      </c>
      <c r="H53" s="114">
        <f>_xlfn.COMPOUNDVALUE(364)</f>
        <v>46</v>
      </c>
      <c r="I53" s="116">
        <v>388726</v>
      </c>
      <c r="J53" s="114">
        <v>30</v>
      </c>
      <c r="K53" s="116">
        <v>13557</v>
      </c>
      <c r="L53" s="114">
        <v>941</v>
      </c>
      <c r="M53" s="116">
        <v>3989771</v>
      </c>
      <c r="N53" s="14" t="s">
        <v>136</v>
      </c>
    </row>
    <row r="54" spans="1:14" ht="15.75" customHeight="1">
      <c r="A54" s="13" t="s">
        <v>217</v>
      </c>
      <c r="B54" s="114">
        <f>_xlfn.COMPOUNDVALUE(365)</f>
        <v>674</v>
      </c>
      <c r="C54" s="115">
        <v>5187647</v>
      </c>
      <c r="D54" s="114">
        <f>_xlfn.COMPOUNDVALUE(366)</f>
        <v>275</v>
      </c>
      <c r="E54" s="115">
        <v>166508</v>
      </c>
      <c r="F54" s="114">
        <f>_xlfn.COMPOUNDVALUE(367)</f>
        <v>949</v>
      </c>
      <c r="G54" s="115">
        <v>5354156</v>
      </c>
      <c r="H54" s="114">
        <f>_xlfn.COMPOUNDVALUE(368)</f>
        <v>46</v>
      </c>
      <c r="I54" s="116">
        <v>275262</v>
      </c>
      <c r="J54" s="114">
        <v>20</v>
      </c>
      <c r="K54" s="116">
        <v>4476</v>
      </c>
      <c r="L54" s="114">
        <v>996</v>
      </c>
      <c r="M54" s="116">
        <v>5083369</v>
      </c>
      <c r="N54" s="14" t="s">
        <v>137</v>
      </c>
    </row>
    <row r="55" spans="1:14" ht="15.75" customHeight="1">
      <c r="A55" s="13" t="s">
        <v>218</v>
      </c>
      <c r="B55" s="114">
        <f>_xlfn.COMPOUNDVALUE(369)</f>
        <v>707</v>
      </c>
      <c r="C55" s="115">
        <v>5605418</v>
      </c>
      <c r="D55" s="114">
        <f>_xlfn.COMPOUNDVALUE(370)</f>
        <v>228</v>
      </c>
      <c r="E55" s="115">
        <v>153849</v>
      </c>
      <c r="F55" s="114">
        <f>_xlfn.COMPOUNDVALUE(371)</f>
        <v>935</v>
      </c>
      <c r="G55" s="115">
        <v>5759268</v>
      </c>
      <c r="H55" s="114">
        <f>_xlfn.COMPOUNDVALUE(372)</f>
        <v>77</v>
      </c>
      <c r="I55" s="116">
        <v>2196606</v>
      </c>
      <c r="J55" s="114">
        <v>39</v>
      </c>
      <c r="K55" s="116">
        <v>6587</v>
      </c>
      <c r="L55" s="114">
        <v>1024</v>
      </c>
      <c r="M55" s="116">
        <v>3569249</v>
      </c>
      <c r="N55" s="14" t="s">
        <v>138</v>
      </c>
    </row>
    <row r="56" spans="1:14" ht="15.75" customHeight="1">
      <c r="A56" s="13" t="s">
        <v>219</v>
      </c>
      <c r="B56" s="114">
        <f>_xlfn.COMPOUNDVALUE(373)</f>
        <v>527</v>
      </c>
      <c r="C56" s="115">
        <v>4143922</v>
      </c>
      <c r="D56" s="114">
        <f>_xlfn.COMPOUNDVALUE(374)</f>
        <v>218</v>
      </c>
      <c r="E56" s="115">
        <v>139212</v>
      </c>
      <c r="F56" s="114">
        <f>_xlfn.COMPOUNDVALUE(375)</f>
        <v>745</v>
      </c>
      <c r="G56" s="115">
        <v>4283134</v>
      </c>
      <c r="H56" s="114">
        <f>_xlfn.COMPOUNDVALUE(376)</f>
        <v>45</v>
      </c>
      <c r="I56" s="116">
        <v>266875</v>
      </c>
      <c r="J56" s="114">
        <v>13</v>
      </c>
      <c r="K56" s="116">
        <v>-1131</v>
      </c>
      <c r="L56" s="114">
        <v>794</v>
      </c>
      <c r="M56" s="116">
        <v>4015128</v>
      </c>
      <c r="N56" s="14" t="s">
        <v>139</v>
      </c>
    </row>
    <row r="57" spans="1:14" ht="15.75" customHeight="1">
      <c r="A57" s="15" t="s">
        <v>220</v>
      </c>
      <c r="B57" s="117">
        <v>9747</v>
      </c>
      <c r="C57" s="118">
        <v>79194548</v>
      </c>
      <c r="D57" s="117">
        <v>4224</v>
      </c>
      <c r="E57" s="118">
        <v>2640820</v>
      </c>
      <c r="F57" s="117">
        <v>13971</v>
      </c>
      <c r="G57" s="118">
        <v>81835369</v>
      </c>
      <c r="H57" s="117">
        <v>789</v>
      </c>
      <c r="I57" s="119">
        <v>6784272</v>
      </c>
      <c r="J57" s="117">
        <v>407</v>
      </c>
      <c r="K57" s="119">
        <v>57886</v>
      </c>
      <c r="L57" s="117">
        <v>14872</v>
      </c>
      <c r="M57" s="119">
        <v>75108983</v>
      </c>
      <c r="N57" s="16" t="s">
        <v>140</v>
      </c>
    </row>
    <row r="58" spans="1:14" ht="15.75" customHeight="1">
      <c r="A58" s="147"/>
      <c r="B58" s="155"/>
      <c r="C58" s="146"/>
      <c r="D58" s="152"/>
      <c r="E58" s="154"/>
      <c r="F58" s="152"/>
      <c r="G58" s="154"/>
      <c r="H58" s="152"/>
      <c r="I58" s="154"/>
      <c r="J58" s="152"/>
      <c r="K58" s="150"/>
      <c r="L58" s="155"/>
      <c r="M58" s="146"/>
      <c r="N58" s="148"/>
    </row>
    <row r="59" spans="1:14" ht="15.75" customHeight="1">
      <c r="A59" s="11" t="s">
        <v>221</v>
      </c>
      <c r="B59" s="111">
        <f>_xlfn.COMPOUNDVALUE(377)</f>
        <v>3427</v>
      </c>
      <c r="C59" s="112">
        <v>29472408</v>
      </c>
      <c r="D59" s="111">
        <f>_xlfn.COMPOUNDVALUE(378)</f>
        <v>1450</v>
      </c>
      <c r="E59" s="112">
        <v>966423</v>
      </c>
      <c r="F59" s="111">
        <f>_xlfn.COMPOUNDVALUE(379)</f>
        <v>4877</v>
      </c>
      <c r="G59" s="112">
        <v>30438831</v>
      </c>
      <c r="H59" s="111">
        <f>_xlfn.COMPOUNDVALUE(380)</f>
        <v>238</v>
      </c>
      <c r="I59" s="113">
        <v>3772365</v>
      </c>
      <c r="J59" s="111">
        <v>195</v>
      </c>
      <c r="K59" s="113">
        <v>27711</v>
      </c>
      <c r="L59" s="111">
        <v>5162</v>
      </c>
      <c r="M59" s="113">
        <v>26694177</v>
      </c>
      <c r="N59" s="24" t="s">
        <v>142</v>
      </c>
    </row>
    <row r="60" spans="1:14" ht="15.75" customHeight="1">
      <c r="A60" s="11" t="s">
        <v>222</v>
      </c>
      <c r="B60" s="111">
        <f>_xlfn.COMPOUNDVALUE(381)</f>
        <v>1648</v>
      </c>
      <c r="C60" s="112">
        <v>10967624</v>
      </c>
      <c r="D60" s="111">
        <f>_xlfn.COMPOUNDVALUE(382)</f>
        <v>866</v>
      </c>
      <c r="E60" s="112">
        <v>533334</v>
      </c>
      <c r="F60" s="111">
        <f>_xlfn.COMPOUNDVALUE(383)</f>
        <v>2514</v>
      </c>
      <c r="G60" s="112">
        <v>11500959</v>
      </c>
      <c r="H60" s="111">
        <f>_xlfn.COMPOUNDVALUE(384)</f>
        <v>112</v>
      </c>
      <c r="I60" s="113">
        <v>1141782</v>
      </c>
      <c r="J60" s="111">
        <v>99</v>
      </c>
      <c r="K60" s="113">
        <v>20201</v>
      </c>
      <c r="L60" s="111">
        <v>2646</v>
      </c>
      <c r="M60" s="113">
        <v>10379377</v>
      </c>
      <c r="N60" s="12" t="s">
        <v>143</v>
      </c>
    </row>
    <row r="61" spans="1:14" ht="15.75" customHeight="1">
      <c r="A61" s="11" t="s">
        <v>223</v>
      </c>
      <c r="B61" s="111">
        <f>_xlfn.COMPOUNDVALUE(385)</f>
        <v>4351</v>
      </c>
      <c r="C61" s="112">
        <v>39621610</v>
      </c>
      <c r="D61" s="111">
        <f>_xlfn.COMPOUNDVALUE(386)</f>
        <v>1892</v>
      </c>
      <c r="E61" s="112">
        <v>1361230</v>
      </c>
      <c r="F61" s="111">
        <f>_xlfn.COMPOUNDVALUE(387)</f>
        <v>6243</v>
      </c>
      <c r="G61" s="112">
        <v>40982840</v>
      </c>
      <c r="H61" s="111">
        <f>_xlfn.COMPOUNDVALUE(388)</f>
        <v>357</v>
      </c>
      <c r="I61" s="113">
        <v>2946711</v>
      </c>
      <c r="J61" s="111">
        <v>176</v>
      </c>
      <c r="K61" s="113">
        <v>70421</v>
      </c>
      <c r="L61" s="111">
        <v>6652</v>
      </c>
      <c r="M61" s="113">
        <v>38106549</v>
      </c>
      <c r="N61" s="12" t="s">
        <v>144</v>
      </c>
    </row>
    <row r="62" spans="1:14" ht="15.75" customHeight="1">
      <c r="A62" s="13" t="s">
        <v>68</v>
      </c>
      <c r="B62" s="114">
        <f>_xlfn.COMPOUNDVALUE(389)</f>
        <v>3573</v>
      </c>
      <c r="C62" s="115">
        <v>26182580</v>
      </c>
      <c r="D62" s="114">
        <f>_xlfn.COMPOUNDVALUE(390)</f>
        <v>1575</v>
      </c>
      <c r="E62" s="115">
        <v>1134744</v>
      </c>
      <c r="F62" s="114">
        <f>_xlfn.COMPOUNDVALUE(391)</f>
        <v>5148</v>
      </c>
      <c r="G62" s="115">
        <v>27317324</v>
      </c>
      <c r="H62" s="114">
        <f>_xlfn.COMPOUNDVALUE(392)</f>
        <v>225</v>
      </c>
      <c r="I62" s="116">
        <v>3247216</v>
      </c>
      <c r="J62" s="114">
        <v>167</v>
      </c>
      <c r="K62" s="116">
        <v>41775</v>
      </c>
      <c r="L62" s="114">
        <v>5414</v>
      </c>
      <c r="M62" s="116">
        <v>24111883</v>
      </c>
      <c r="N62" s="14" t="s">
        <v>68</v>
      </c>
    </row>
    <row r="63" spans="1:14" ht="15.75" customHeight="1">
      <c r="A63" s="13" t="s">
        <v>224</v>
      </c>
      <c r="B63" s="114">
        <f>_xlfn.COMPOUNDVALUE(393)</f>
        <v>1167</v>
      </c>
      <c r="C63" s="115">
        <v>8469261</v>
      </c>
      <c r="D63" s="114">
        <f>_xlfn.COMPOUNDVALUE(394)</f>
        <v>501</v>
      </c>
      <c r="E63" s="115">
        <v>353156</v>
      </c>
      <c r="F63" s="114">
        <f>_xlfn.COMPOUNDVALUE(395)</f>
        <v>1668</v>
      </c>
      <c r="G63" s="115">
        <v>8822417</v>
      </c>
      <c r="H63" s="114">
        <f>_xlfn.COMPOUNDVALUE(396)</f>
        <v>107</v>
      </c>
      <c r="I63" s="116">
        <v>398733</v>
      </c>
      <c r="J63" s="114">
        <v>45</v>
      </c>
      <c r="K63" s="116">
        <v>37730</v>
      </c>
      <c r="L63" s="114">
        <v>1796</v>
      </c>
      <c r="M63" s="116">
        <v>8461414</v>
      </c>
      <c r="N63" s="14" t="s">
        <v>145</v>
      </c>
    </row>
    <row r="64" spans="1:14" ht="15.75" customHeight="1">
      <c r="A64" s="13" t="s">
        <v>225</v>
      </c>
      <c r="B64" s="114">
        <f>_xlfn.COMPOUNDVALUE(397)</f>
        <v>1198</v>
      </c>
      <c r="C64" s="115">
        <v>8194988</v>
      </c>
      <c r="D64" s="114">
        <f>_xlfn.COMPOUNDVALUE(398)</f>
        <v>542</v>
      </c>
      <c r="E64" s="115">
        <v>374697</v>
      </c>
      <c r="F64" s="114">
        <f>_xlfn.COMPOUNDVALUE(399)</f>
        <v>1740</v>
      </c>
      <c r="G64" s="115">
        <v>8569686</v>
      </c>
      <c r="H64" s="114">
        <f>_xlfn.COMPOUNDVALUE(400)</f>
        <v>111</v>
      </c>
      <c r="I64" s="116">
        <v>596868</v>
      </c>
      <c r="J64" s="114">
        <v>36</v>
      </c>
      <c r="K64" s="116">
        <v>-7907</v>
      </c>
      <c r="L64" s="114">
        <v>1859</v>
      </c>
      <c r="M64" s="116">
        <v>7964911</v>
      </c>
      <c r="N64" s="14" t="s">
        <v>146</v>
      </c>
    </row>
    <row r="65" spans="1:14" ht="15.75" customHeight="1">
      <c r="A65" s="13" t="s">
        <v>226</v>
      </c>
      <c r="B65" s="114">
        <f>_xlfn.COMPOUNDVALUE(401)</f>
        <v>431</v>
      </c>
      <c r="C65" s="115">
        <v>2876760</v>
      </c>
      <c r="D65" s="114">
        <f>_xlfn.COMPOUNDVALUE(402)</f>
        <v>260</v>
      </c>
      <c r="E65" s="115">
        <v>158244</v>
      </c>
      <c r="F65" s="114">
        <f>_xlfn.COMPOUNDVALUE(403)</f>
        <v>691</v>
      </c>
      <c r="G65" s="115">
        <v>3035005</v>
      </c>
      <c r="H65" s="114">
        <f>_xlfn.COMPOUNDVALUE(404)</f>
        <v>31</v>
      </c>
      <c r="I65" s="116">
        <v>48300</v>
      </c>
      <c r="J65" s="114">
        <v>34</v>
      </c>
      <c r="K65" s="116">
        <v>11135</v>
      </c>
      <c r="L65" s="114">
        <v>735</v>
      </c>
      <c r="M65" s="116">
        <v>2997839</v>
      </c>
      <c r="N65" s="14" t="s">
        <v>147</v>
      </c>
    </row>
    <row r="66" spans="1:14" ht="15.75" customHeight="1">
      <c r="A66" s="13" t="s">
        <v>227</v>
      </c>
      <c r="B66" s="114">
        <f>_xlfn.COMPOUNDVALUE(405)</f>
        <v>1698</v>
      </c>
      <c r="C66" s="115">
        <v>16080495</v>
      </c>
      <c r="D66" s="114">
        <f>_xlfn.COMPOUNDVALUE(406)</f>
        <v>532</v>
      </c>
      <c r="E66" s="115">
        <v>381255</v>
      </c>
      <c r="F66" s="114">
        <f>_xlfn.COMPOUNDVALUE(407)</f>
        <v>2230</v>
      </c>
      <c r="G66" s="115">
        <v>16461750</v>
      </c>
      <c r="H66" s="114">
        <f>_xlfn.COMPOUNDVALUE(408)</f>
        <v>195</v>
      </c>
      <c r="I66" s="116">
        <v>5151598</v>
      </c>
      <c r="J66" s="114">
        <v>111</v>
      </c>
      <c r="K66" s="116">
        <v>-1549</v>
      </c>
      <c r="L66" s="114">
        <v>2464</v>
      </c>
      <c r="M66" s="116">
        <v>11308604</v>
      </c>
      <c r="N66" s="14" t="s">
        <v>148</v>
      </c>
    </row>
    <row r="67" spans="1:14" ht="15.75" customHeight="1">
      <c r="A67" s="13" t="s">
        <v>228</v>
      </c>
      <c r="B67" s="114">
        <f>_xlfn.COMPOUNDVALUE(409)</f>
        <v>837</v>
      </c>
      <c r="C67" s="115">
        <v>6016825</v>
      </c>
      <c r="D67" s="114">
        <f>_xlfn.COMPOUNDVALUE(410)</f>
        <v>334</v>
      </c>
      <c r="E67" s="115">
        <v>216846</v>
      </c>
      <c r="F67" s="114">
        <f>_xlfn.COMPOUNDVALUE(411)</f>
        <v>1171</v>
      </c>
      <c r="G67" s="115">
        <v>6233670</v>
      </c>
      <c r="H67" s="114">
        <f>_xlfn.COMPOUNDVALUE(412)</f>
        <v>74</v>
      </c>
      <c r="I67" s="116">
        <v>217698</v>
      </c>
      <c r="J67" s="114">
        <v>25</v>
      </c>
      <c r="K67" s="116">
        <v>24878</v>
      </c>
      <c r="L67" s="114">
        <v>1251</v>
      </c>
      <c r="M67" s="116">
        <v>6040850</v>
      </c>
      <c r="N67" s="14" t="s">
        <v>149</v>
      </c>
    </row>
    <row r="68" spans="1:14" ht="15.75" customHeight="1">
      <c r="A68" s="13" t="s">
        <v>229</v>
      </c>
      <c r="B68" s="114">
        <f>_xlfn.COMPOUNDVALUE(413)</f>
        <v>285</v>
      </c>
      <c r="C68" s="115">
        <v>1419264</v>
      </c>
      <c r="D68" s="114">
        <f>_xlfn.COMPOUNDVALUE(414)</f>
        <v>124</v>
      </c>
      <c r="E68" s="115">
        <v>80808</v>
      </c>
      <c r="F68" s="114">
        <f>_xlfn.COMPOUNDVALUE(415)</f>
        <v>409</v>
      </c>
      <c r="G68" s="115">
        <v>1500072</v>
      </c>
      <c r="H68" s="114">
        <f>_xlfn.COMPOUNDVALUE(416)</f>
        <v>27</v>
      </c>
      <c r="I68" s="116">
        <v>50327</v>
      </c>
      <c r="J68" s="114">
        <v>11</v>
      </c>
      <c r="K68" s="116">
        <v>9119</v>
      </c>
      <c r="L68" s="114">
        <v>437</v>
      </c>
      <c r="M68" s="116">
        <v>1458864</v>
      </c>
      <c r="N68" s="14" t="s">
        <v>150</v>
      </c>
    </row>
    <row r="69" spans="1:14" ht="15.75" customHeight="1">
      <c r="A69" s="15" t="s">
        <v>230</v>
      </c>
      <c r="B69" s="117">
        <v>18615</v>
      </c>
      <c r="C69" s="118">
        <v>149301815</v>
      </c>
      <c r="D69" s="117">
        <v>8076</v>
      </c>
      <c r="E69" s="118">
        <v>5560738</v>
      </c>
      <c r="F69" s="117">
        <v>26691</v>
      </c>
      <c r="G69" s="118">
        <v>154862553</v>
      </c>
      <c r="H69" s="117">
        <v>1477</v>
      </c>
      <c r="I69" s="119">
        <v>17571598</v>
      </c>
      <c r="J69" s="117">
        <v>899</v>
      </c>
      <c r="K69" s="119">
        <v>233515</v>
      </c>
      <c r="L69" s="117">
        <v>28416</v>
      </c>
      <c r="M69" s="119">
        <v>137524469</v>
      </c>
      <c r="N69" s="16" t="s">
        <v>151</v>
      </c>
    </row>
    <row r="70" spans="1:14" ht="15.75" customHeight="1" thickBot="1">
      <c r="A70" s="18"/>
      <c r="B70" s="123"/>
      <c r="C70" s="124"/>
      <c r="D70" s="123"/>
      <c r="E70" s="124"/>
      <c r="F70" s="125"/>
      <c r="G70" s="124"/>
      <c r="H70" s="125"/>
      <c r="I70" s="124"/>
      <c r="J70" s="125"/>
      <c r="K70" s="124"/>
      <c r="L70" s="125"/>
      <c r="M70" s="124"/>
      <c r="N70" s="19"/>
    </row>
    <row r="71" spans="1:14" ht="15.75" customHeight="1" thickBot="1" thickTop="1">
      <c r="A71" s="21" t="s">
        <v>231</v>
      </c>
      <c r="B71" s="126">
        <v>77944</v>
      </c>
      <c r="C71" s="127">
        <v>698674835</v>
      </c>
      <c r="D71" s="126">
        <v>31764</v>
      </c>
      <c r="E71" s="127">
        <v>21969355</v>
      </c>
      <c r="F71" s="126">
        <v>109708</v>
      </c>
      <c r="G71" s="127">
        <v>720644190</v>
      </c>
      <c r="H71" s="126">
        <v>6626</v>
      </c>
      <c r="I71" s="128">
        <v>51879895</v>
      </c>
      <c r="J71" s="126">
        <v>4167</v>
      </c>
      <c r="K71" s="128">
        <v>853008</v>
      </c>
      <c r="L71" s="126">
        <v>117491</v>
      </c>
      <c r="M71" s="128">
        <v>669617302</v>
      </c>
      <c r="N71" s="22" t="s">
        <v>94</v>
      </c>
    </row>
    <row r="72" spans="1:14" ht="13.5">
      <c r="A72" s="230" t="s">
        <v>233</v>
      </c>
      <c r="B72" s="230"/>
      <c r="C72" s="230"/>
      <c r="D72" s="230"/>
      <c r="E72" s="230"/>
      <c r="F72" s="230"/>
      <c r="G72" s="230"/>
      <c r="H72" s="230"/>
      <c r="I72" s="230"/>
      <c r="J72" s="25"/>
      <c r="K72" s="25"/>
      <c r="L72" s="2"/>
      <c r="M72" s="2"/>
      <c r="N72" s="2"/>
    </row>
  </sheetData>
  <sheetProtection/>
  <mergeCells count="11">
    <mergeCell ref="N3:N5"/>
    <mergeCell ref="B4:C4"/>
    <mergeCell ref="D4:E4"/>
    <mergeCell ref="F4:G4"/>
    <mergeCell ref="J3:K4"/>
    <mergeCell ref="L3:M4"/>
    <mergeCell ref="A72:I72"/>
    <mergeCell ref="A2:I2"/>
    <mergeCell ref="A3:A5"/>
    <mergeCell ref="B3:G3"/>
    <mergeCell ref="H3:I4"/>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84" r:id="rId1"/>
  <headerFooter alignWithMargins="0">
    <oddFooter>&amp;R仙台国税局
消費税
(R02)</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showGridLines="0" zoomScaleSheetLayoutView="85" workbookViewId="0" topLeftCell="A1">
      <selection activeCell="A3" sqref="A3:A5"/>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238</v>
      </c>
      <c r="B1" s="1"/>
      <c r="C1" s="1"/>
      <c r="D1" s="1"/>
      <c r="E1" s="1"/>
      <c r="F1" s="1"/>
      <c r="G1" s="1"/>
      <c r="H1" s="1"/>
      <c r="I1" s="1"/>
      <c r="J1" s="1"/>
      <c r="K1" s="1"/>
      <c r="L1" s="2"/>
      <c r="M1" s="2"/>
      <c r="N1" s="2"/>
      <c r="O1" s="2"/>
      <c r="P1" s="2"/>
    </row>
    <row r="2" spans="1:16" ht="14.25" thickBot="1">
      <c r="A2" s="241" t="s">
        <v>84</v>
      </c>
      <c r="B2" s="241"/>
      <c r="C2" s="241"/>
      <c r="D2" s="241"/>
      <c r="E2" s="241"/>
      <c r="F2" s="241"/>
      <c r="G2" s="241"/>
      <c r="H2" s="241"/>
      <c r="I2" s="241"/>
      <c r="J2" s="25"/>
      <c r="K2" s="25"/>
      <c r="L2" s="2"/>
      <c r="M2" s="2"/>
      <c r="N2" s="2"/>
      <c r="O2" s="2"/>
      <c r="P2" s="2"/>
    </row>
    <row r="3" spans="1:18" ht="19.5" customHeight="1">
      <c r="A3" s="231" t="s">
        <v>1</v>
      </c>
      <c r="B3" s="234" t="s">
        <v>2</v>
      </c>
      <c r="C3" s="234"/>
      <c r="D3" s="234"/>
      <c r="E3" s="234"/>
      <c r="F3" s="234"/>
      <c r="G3" s="234"/>
      <c r="H3" s="234" t="s">
        <v>3</v>
      </c>
      <c r="I3" s="234"/>
      <c r="J3" s="247" t="s">
        <v>4</v>
      </c>
      <c r="K3" s="234"/>
      <c r="L3" s="234" t="s">
        <v>5</v>
      </c>
      <c r="M3" s="234"/>
      <c r="N3" s="248" t="s">
        <v>85</v>
      </c>
      <c r="O3" s="249"/>
      <c r="P3" s="249"/>
      <c r="Q3" s="249"/>
      <c r="R3" s="235" t="s">
        <v>77</v>
      </c>
    </row>
    <row r="4" spans="1:18" ht="17.25" customHeight="1">
      <c r="A4" s="232"/>
      <c r="B4" s="238" t="s">
        <v>7</v>
      </c>
      <c r="C4" s="238"/>
      <c r="D4" s="238" t="s">
        <v>8</v>
      </c>
      <c r="E4" s="238"/>
      <c r="F4" s="238" t="s">
        <v>9</v>
      </c>
      <c r="G4" s="238"/>
      <c r="H4" s="238"/>
      <c r="I4" s="238"/>
      <c r="J4" s="238"/>
      <c r="K4" s="238"/>
      <c r="L4" s="238"/>
      <c r="M4" s="238"/>
      <c r="N4" s="250" t="s">
        <v>86</v>
      </c>
      <c r="O4" s="242" t="s">
        <v>87</v>
      </c>
      <c r="P4" s="244" t="s">
        <v>88</v>
      </c>
      <c r="Q4" s="229" t="s">
        <v>89</v>
      </c>
      <c r="R4" s="236"/>
    </row>
    <row r="5" spans="1:18" ht="28.5" customHeight="1">
      <c r="A5" s="233"/>
      <c r="B5" s="33" t="s">
        <v>10</v>
      </c>
      <c r="C5" s="34" t="s">
        <v>11</v>
      </c>
      <c r="D5" s="33" t="s">
        <v>10</v>
      </c>
      <c r="E5" s="34" t="s">
        <v>11</v>
      </c>
      <c r="F5" s="33" t="s">
        <v>10</v>
      </c>
      <c r="G5" s="34" t="s">
        <v>12</v>
      </c>
      <c r="H5" s="33" t="s">
        <v>10</v>
      </c>
      <c r="I5" s="34" t="s">
        <v>13</v>
      </c>
      <c r="J5" s="33" t="s">
        <v>10</v>
      </c>
      <c r="K5" s="34" t="s">
        <v>14</v>
      </c>
      <c r="L5" s="33" t="s">
        <v>10</v>
      </c>
      <c r="M5" s="29" t="s">
        <v>93</v>
      </c>
      <c r="N5" s="251"/>
      <c r="O5" s="243"/>
      <c r="P5" s="245"/>
      <c r="Q5" s="246"/>
      <c r="R5" s="237"/>
    </row>
    <row r="6" spans="1:18" s="27" customFormat="1" ht="10.5">
      <c r="A6" s="5"/>
      <c r="B6" s="6" t="s">
        <v>15</v>
      </c>
      <c r="C6" s="7" t="s">
        <v>16</v>
      </c>
      <c r="D6" s="6" t="s">
        <v>15</v>
      </c>
      <c r="E6" s="7" t="s">
        <v>16</v>
      </c>
      <c r="F6" s="6" t="s">
        <v>15</v>
      </c>
      <c r="G6" s="7" t="s">
        <v>16</v>
      </c>
      <c r="H6" s="6" t="s">
        <v>15</v>
      </c>
      <c r="I6" s="7" t="s">
        <v>16</v>
      </c>
      <c r="J6" s="6" t="s">
        <v>15</v>
      </c>
      <c r="K6" s="7" t="s">
        <v>16</v>
      </c>
      <c r="L6" s="6" t="s">
        <v>236</v>
      </c>
      <c r="M6" s="7" t="s">
        <v>16</v>
      </c>
      <c r="N6" s="6" t="s">
        <v>15</v>
      </c>
      <c r="O6" s="30" t="s">
        <v>15</v>
      </c>
      <c r="P6" s="30" t="s">
        <v>15</v>
      </c>
      <c r="Q6" s="31" t="s">
        <v>15</v>
      </c>
      <c r="R6" s="9"/>
    </row>
    <row r="7" spans="1:18" ht="15.75" customHeight="1">
      <c r="A7" s="11" t="s">
        <v>18</v>
      </c>
      <c r="B7" s="111">
        <f>_xlfn.COMPOUNDVALUE(417)</f>
        <v>3421</v>
      </c>
      <c r="C7" s="112">
        <v>34857147</v>
      </c>
      <c r="D7" s="111">
        <f>_xlfn.COMPOUNDVALUE(418)</f>
        <v>2575</v>
      </c>
      <c r="E7" s="112">
        <v>1292982</v>
      </c>
      <c r="F7" s="111">
        <f>_xlfn.COMPOUNDVALUE(419)</f>
        <v>5996</v>
      </c>
      <c r="G7" s="112">
        <v>36150129</v>
      </c>
      <c r="H7" s="111">
        <f>_xlfn.COMPOUNDVALUE(420)</f>
        <v>257</v>
      </c>
      <c r="I7" s="113">
        <v>1206005</v>
      </c>
      <c r="J7" s="111">
        <v>334</v>
      </c>
      <c r="K7" s="113">
        <v>-6252</v>
      </c>
      <c r="L7" s="111">
        <v>6334</v>
      </c>
      <c r="M7" s="113">
        <v>34937872</v>
      </c>
      <c r="N7" s="175">
        <v>6117</v>
      </c>
      <c r="O7" s="176">
        <v>176</v>
      </c>
      <c r="P7" s="176">
        <v>20</v>
      </c>
      <c r="Q7" s="177">
        <v>6313</v>
      </c>
      <c r="R7" s="12" t="s">
        <v>96</v>
      </c>
    </row>
    <row r="8" spans="1:18" ht="15.75" customHeight="1">
      <c r="A8" s="13" t="s">
        <v>19</v>
      </c>
      <c r="B8" s="114">
        <f>_xlfn.COMPOUNDVALUE(421)</f>
        <v>1966</v>
      </c>
      <c r="C8" s="115">
        <v>10661595</v>
      </c>
      <c r="D8" s="114">
        <f>_xlfn.COMPOUNDVALUE(422)</f>
        <v>1813</v>
      </c>
      <c r="E8" s="115">
        <v>820300</v>
      </c>
      <c r="F8" s="114">
        <f>_xlfn.COMPOUNDVALUE(423)</f>
        <v>3779</v>
      </c>
      <c r="G8" s="115">
        <v>11481896</v>
      </c>
      <c r="H8" s="114">
        <f>_xlfn.COMPOUNDVALUE(424)</f>
        <v>151</v>
      </c>
      <c r="I8" s="116">
        <v>596934</v>
      </c>
      <c r="J8" s="114">
        <v>176</v>
      </c>
      <c r="K8" s="116">
        <v>48769</v>
      </c>
      <c r="L8" s="114">
        <v>3969</v>
      </c>
      <c r="M8" s="116">
        <v>10933730</v>
      </c>
      <c r="N8" s="175">
        <v>4215</v>
      </c>
      <c r="O8" s="176">
        <v>84</v>
      </c>
      <c r="P8" s="176">
        <v>8</v>
      </c>
      <c r="Q8" s="177">
        <v>4307</v>
      </c>
      <c r="R8" s="14" t="s">
        <v>97</v>
      </c>
    </row>
    <row r="9" spans="1:18" ht="15.75" customHeight="1">
      <c r="A9" s="13" t="s">
        <v>20</v>
      </c>
      <c r="B9" s="114">
        <f>_xlfn.COMPOUNDVALUE(425)</f>
        <v>3517</v>
      </c>
      <c r="C9" s="115">
        <v>24547882</v>
      </c>
      <c r="D9" s="114">
        <f>_xlfn.COMPOUNDVALUE(426)</f>
        <v>2516</v>
      </c>
      <c r="E9" s="115">
        <v>1327877</v>
      </c>
      <c r="F9" s="114">
        <f>_xlfn.COMPOUNDVALUE(427)</f>
        <v>6033</v>
      </c>
      <c r="G9" s="115">
        <v>25875759</v>
      </c>
      <c r="H9" s="114">
        <f>_xlfn.COMPOUNDVALUE(428)</f>
        <v>262</v>
      </c>
      <c r="I9" s="116">
        <v>2282110</v>
      </c>
      <c r="J9" s="114">
        <v>268</v>
      </c>
      <c r="K9" s="116">
        <v>9680</v>
      </c>
      <c r="L9" s="114">
        <v>6356</v>
      </c>
      <c r="M9" s="116">
        <v>23603329</v>
      </c>
      <c r="N9" s="175">
        <v>6155</v>
      </c>
      <c r="O9" s="176">
        <v>165</v>
      </c>
      <c r="P9" s="176">
        <v>12</v>
      </c>
      <c r="Q9" s="177">
        <v>6332</v>
      </c>
      <c r="R9" s="14" t="s">
        <v>98</v>
      </c>
    </row>
    <row r="10" spans="1:18" ht="15.75" customHeight="1">
      <c r="A10" s="13" t="s">
        <v>21</v>
      </c>
      <c r="B10" s="114">
        <f>_xlfn.COMPOUNDVALUE(429)</f>
        <v>826</v>
      </c>
      <c r="C10" s="115">
        <v>4071030</v>
      </c>
      <c r="D10" s="114">
        <f>_xlfn.COMPOUNDVALUE(430)</f>
        <v>931</v>
      </c>
      <c r="E10" s="115">
        <v>373576</v>
      </c>
      <c r="F10" s="114">
        <f>_xlfn.COMPOUNDVALUE(431)</f>
        <v>1757</v>
      </c>
      <c r="G10" s="115">
        <v>4444605</v>
      </c>
      <c r="H10" s="114">
        <f>_xlfn.COMPOUNDVALUE(432)</f>
        <v>53</v>
      </c>
      <c r="I10" s="116">
        <v>86011</v>
      </c>
      <c r="J10" s="114">
        <v>101</v>
      </c>
      <c r="K10" s="116">
        <v>18308</v>
      </c>
      <c r="L10" s="114">
        <v>1853</v>
      </c>
      <c r="M10" s="116">
        <v>4376902</v>
      </c>
      <c r="N10" s="175">
        <v>2256</v>
      </c>
      <c r="O10" s="176">
        <v>35</v>
      </c>
      <c r="P10" s="176">
        <v>3</v>
      </c>
      <c r="Q10" s="177">
        <v>2294</v>
      </c>
      <c r="R10" s="14" t="s">
        <v>99</v>
      </c>
    </row>
    <row r="11" spans="1:18" ht="15.75" customHeight="1">
      <c r="A11" s="13" t="s">
        <v>22</v>
      </c>
      <c r="B11" s="114">
        <f>_xlfn.COMPOUNDVALUE(433)</f>
        <v>1616</v>
      </c>
      <c r="C11" s="115">
        <v>6141037</v>
      </c>
      <c r="D11" s="114">
        <f>_xlfn.COMPOUNDVALUE(434)</f>
        <v>1832</v>
      </c>
      <c r="E11" s="115">
        <v>681716</v>
      </c>
      <c r="F11" s="114">
        <f>_xlfn.COMPOUNDVALUE(435)</f>
        <v>3448</v>
      </c>
      <c r="G11" s="115">
        <v>6822752</v>
      </c>
      <c r="H11" s="114">
        <f>_xlfn.COMPOUNDVALUE(436)</f>
        <v>143</v>
      </c>
      <c r="I11" s="116">
        <v>310674</v>
      </c>
      <c r="J11" s="114">
        <v>234</v>
      </c>
      <c r="K11" s="116">
        <v>50898</v>
      </c>
      <c r="L11" s="114">
        <v>3634</v>
      </c>
      <c r="M11" s="116">
        <v>6562977</v>
      </c>
      <c r="N11" s="175">
        <v>3705</v>
      </c>
      <c r="O11" s="176">
        <v>74</v>
      </c>
      <c r="P11" s="176">
        <v>2</v>
      </c>
      <c r="Q11" s="177">
        <v>3781</v>
      </c>
      <c r="R11" s="14" t="s">
        <v>100</v>
      </c>
    </row>
    <row r="12" spans="1:18" ht="15.75" customHeight="1">
      <c r="A12" s="13" t="s">
        <v>23</v>
      </c>
      <c r="B12" s="114">
        <f>_xlfn.COMPOUNDVALUE(437)</f>
        <v>2541</v>
      </c>
      <c r="C12" s="115">
        <v>21735920</v>
      </c>
      <c r="D12" s="114">
        <f>_xlfn.COMPOUNDVALUE(438)</f>
        <v>2562</v>
      </c>
      <c r="E12" s="115">
        <v>1120515</v>
      </c>
      <c r="F12" s="114">
        <f>_xlfn.COMPOUNDVALUE(439)</f>
        <v>5103</v>
      </c>
      <c r="G12" s="115">
        <v>22856435</v>
      </c>
      <c r="H12" s="114">
        <f>_xlfn.COMPOUNDVALUE(440)</f>
        <v>328</v>
      </c>
      <c r="I12" s="116">
        <v>3994613</v>
      </c>
      <c r="J12" s="114">
        <v>173</v>
      </c>
      <c r="K12" s="116">
        <v>134112</v>
      </c>
      <c r="L12" s="114">
        <v>5488</v>
      </c>
      <c r="M12" s="116">
        <v>18995933</v>
      </c>
      <c r="N12" s="175">
        <v>5238</v>
      </c>
      <c r="O12" s="176">
        <v>118</v>
      </c>
      <c r="P12" s="176">
        <v>10</v>
      </c>
      <c r="Q12" s="177">
        <v>5366</v>
      </c>
      <c r="R12" s="14" t="s">
        <v>101</v>
      </c>
    </row>
    <row r="13" spans="1:18" ht="15.75" customHeight="1">
      <c r="A13" s="13" t="s">
        <v>24</v>
      </c>
      <c r="B13" s="114">
        <f>_xlfn.COMPOUNDVALUE(441)</f>
        <v>789</v>
      </c>
      <c r="C13" s="115">
        <v>3587650</v>
      </c>
      <c r="D13" s="114">
        <f>_xlfn.COMPOUNDVALUE(442)</f>
        <v>673</v>
      </c>
      <c r="E13" s="115">
        <v>295756</v>
      </c>
      <c r="F13" s="114">
        <f>_xlfn.COMPOUNDVALUE(443)</f>
        <v>1462</v>
      </c>
      <c r="G13" s="115">
        <v>3883406</v>
      </c>
      <c r="H13" s="114">
        <f>_xlfn.COMPOUNDVALUE(444)</f>
        <v>69</v>
      </c>
      <c r="I13" s="116">
        <v>237879</v>
      </c>
      <c r="J13" s="114">
        <v>71</v>
      </c>
      <c r="K13" s="116">
        <v>11935</v>
      </c>
      <c r="L13" s="114">
        <v>1547</v>
      </c>
      <c r="M13" s="116">
        <v>3657462</v>
      </c>
      <c r="N13" s="175">
        <v>1512</v>
      </c>
      <c r="O13" s="176">
        <v>27</v>
      </c>
      <c r="P13" s="200">
        <v>2</v>
      </c>
      <c r="Q13" s="177">
        <v>1541</v>
      </c>
      <c r="R13" s="14" t="s">
        <v>24</v>
      </c>
    </row>
    <row r="14" spans="1:18" ht="15.75" customHeight="1">
      <c r="A14" s="81" t="s">
        <v>25</v>
      </c>
      <c r="B14" s="129">
        <v>14676</v>
      </c>
      <c r="C14" s="130">
        <v>105602261</v>
      </c>
      <c r="D14" s="129">
        <v>12902</v>
      </c>
      <c r="E14" s="130">
        <v>5912721</v>
      </c>
      <c r="F14" s="129">
        <v>27578</v>
      </c>
      <c r="G14" s="130">
        <v>111514982</v>
      </c>
      <c r="H14" s="129">
        <v>1263</v>
      </c>
      <c r="I14" s="131">
        <v>8714227</v>
      </c>
      <c r="J14" s="129">
        <v>1357</v>
      </c>
      <c r="K14" s="131">
        <v>267450</v>
      </c>
      <c r="L14" s="129">
        <v>29181</v>
      </c>
      <c r="M14" s="131">
        <v>103068206</v>
      </c>
      <c r="N14" s="178">
        <v>29198</v>
      </c>
      <c r="O14" s="179">
        <v>679</v>
      </c>
      <c r="P14" s="179">
        <v>57</v>
      </c>
      <c r="Q14" s="180">
        <v>29934</v>
      </c>
      <c r="R14" s="83" t="s">
        <v>95</v>
      </c>
    </row>
    <row r="15" spans="1:18" ht="15.75" customHeight="1">
      <c r="A15" s="85"/>
      <c r="B15" s="132"/>
      <c r="C15" s="133"/>
      <c r="D15" s="132"/>
      <c r="E15" s="133"/>
      <c r="F15" s="134"/>
      <c r="G15" s="133"/>
      <c r="H15" s="134"/>
      <c r="I15" s="133"/>
      <c r="J15" s="134"/>
      <c r="K15" s="133"/>
      <c r="L15" s="134"/>
      <c r="M15" s="133"/>
      <c r="N15" s="181"/>
      <c r="O15" s="182"/>
      <c r="P15" s="182"/>
      <c r="Q15" s="183"/>
      <c r="R15" s="86"/>
    </row>
    <row r="16" spans="1:18" ht="15.75" customHeight="1">
      <c r="A16" s="87" t="s">
        <v>26</v>
      </c>
      <c r="B16" s="135">
        <f>_xlfn.COMPOUNDVALUE(445)</f>
        <v>5285</v>
      </c>
      <c r="C16" s="136">
        <v>36099406</v>
      </c>
      <c r="D16" s="135">
        <f>_xlfn.COMPOUNDVALUE(446)</f>
        <v>3644</v>
      </c>
      <c r="E16" s="136">
        <v>2062453</v>
      </c>
      <c r="F16" s="135">
        <f>_xlfn.COMPOUNDVALUE(447)</f>
        <v>8929</v>
      </c>
      <c r="G16" s="136">
        <v>38161859</v>
      </c>
      <c r="H16" s="135">
        <f>_xlfn.COMPOUNDVALUE(448)</f>
        <v>568</v>
      </c>
      <c r="I16" s="137">
        <v>1363140</v>
      </c>
      <c r="J16" s="135">
        <v>444</v>
      </c>
      <c r="K16" s="137">
        <v>16475</v>
      </c>
      <c r="L16" s="135">
        <v>9656</v>
      </c>
      <c r="M16" s="137">
        <v>36815194</v>
      </c>
      <c r="N16" s="184">
        <v>9365</v>
      </c>
      <c r="O16" s="185">
        <v>296</v>
      </c>
      <c r="P16" s="185">
        <v>28</v>
      </c>
      <c r="Q16" s="186">
        <v>9689</v>
      </c>
      <c r="R16" s="88" t="s">
        <v>102</v>
      </c>
    </row>
    <row r="17" spans="1:18" ht="15.75" customHeight="1">
      <c r="A17" s="13" t="s">
        <v>27</v>
      </c>
      <c r="B17" s="114">
        <f>_xlfn.COMPOUNDVALUE(449)</f>
        <v>868</v>
      </c>
      <c r="C17" s="115">
        <v>4387580</v>
      </c>
      <c r="D17" s="114">
        <f>_xlfn.COMPOUNDVALUE(450)</f>
        <v>801</v>
      </c>
      <c r="E17" s="115">
        <v>367260</v>
      </c>
      <c r="F17" s="114">
        <f>_xlfn.COMPOUNDVALUE(451)</f>
        <v>1669</v>
      </c>
      <c r="G17" s="115">
        <v>4754840</v>
      </c>
      <c r="H17" s="114">
        <f>_xlfn.COMPOUNDVALUE(452)</f>
        <v>83</v>
      </c>
      <c r="I17" s="116">
        <v>283937</v>
      </c>
      <c r="J17" s="114">
        <v>103</v>
      </c>
      <c r="K17" s="116">
        <v>20283</v>
      </c>
      <c r="L17" s="114">
        <v>1776</v>
      </c>
      <c r="M17" s="116">
        <v>4491185</v>
      </c>
      <c r="N17" s="175">
        <v>1665</v>
      </c>
      <c r="O17" s="176">
        <v>37</v>
      </c>
      <c r="P17" s="200">
        <v>1</v>
      </c>
      <c r="Q17" s="177">
        <v>1703</v>
      </c>
      <c r="R17" s="14" t="s">
        <v>103</v>
      </c>
    </row>
    <row r="18" spans="1:18" ht="15.75" customHeight="1">
      <c r="A18" s="13" t="s">
        <v>28</v>
      </c>
      <c r="B18" s="114">
        <f>_xlfn.COMPOUNDVALUE(453)</f>
        <v>827</v>
      </c>
      <c r="C18" s="115">
        <v>4545748</v>
      </c>
      <c r="D18" s="114">
        <f>_xlfn.COMPOUNDVALUE(454)</f>
        <v>644</v>
      </c>
      <c r="E18" s="115">
        <v>260667</v>
      </c>
      <c r="F18" s="114">
        <f>_xlfn.COMPOUNDVALUE(455)</f>
        <v>1471</v>
      </c>
      <c r="G18" s="115">
        <v>4806415</v>
      </c>
      <c r="H18" s="114">
        <f>_xlfn.COMPOUNDVALUE(456)</f>
        <v>96</v>
      </c>
      <c r="I18" s="116">
        <v>188731</v>
      </c>
      <c r="J18" s="114">
        <v>65</v>
      </c>
      <c r="K18" s="116">
        <v>21987</v>
      </c>
      <c r="L18" s="114">
        <v>1589</v>
      </c>
      <c r="M18" s="116">
        <v>4639672</v>
      </c>
      <c r="N18" s="175">
        <v>1443</v>
      </c>
      <c r="O18" s="176">
        <v>79</v>
      </c>
      <c r="P18" s="176">
        <v>7</v>
      </c>
      <c r="Q18" s="177">
        <v>1529</v>
      </c>
      <c r="R18" s="14" t="s">
        <v>104</v>
      </c>
    </row>
    <row r="19" spans="1:18" ht="15.75" customHeight="1">
      <c r="A19" s="13" t="s">
        <v>29</v>
      </c>
      <c r="B19" s="114">
        <f>_xlfn.COMPOUNDVALUE(457)</f>
        <v>1403</v>
      </c>
      <c r="C19" s="115">
        <v>9043738</v>
      </c>
      <c r="D19" s="114">
        <f>_xlfn.COMPOUNDVALUE(458)</f>
        <v>1024</v>
      </c>
      <c r="E19" s="115">
        <v>526933</v>
      </c>
      <c r="F19" s="114">
        <f>_xlfn.COMPOUNDVALUE(459)</f>
        <v>2427</v>
      </c>
      <c r="G19" s="115">
        <v>9570672</v>
      </c>
      <c r="H19" s="114">
        <f>_xlfn.COMPOUNDVALUE(460)</f>
        <v>226</v>
      </c>
      <c r="I19" s="116">
        <v>235374</v>
      </c>
      <c r="J19" s="114">
        <v>112</v>
      </c>
      <c r="K19" s="116">
        <v>16567</v>
      </c>
      <c r="L19" s="114">
        <v>2684</v>
      </c>
      <c r="M19" s="116">
        <v>9351865</v>
      </c>
      <c r="N19" s="175">
        <v>2623</v>
      </c>
      <c r="O19" s="176">
        <v>76</v>
      </c>
      <c r="P19" s="176">
        <v>1</v>
      </c>
      <c r="Q19" s="177">
        <v>2700</v>
      </c>
      <c r="R19" s="14" t="s">
        <v>105</v>
      </c>
    </row>
    <row r="20" spans="1:18" ht="15.75" customHeight="1">
      <c r="A20" s="13" t="s">
        <v>30</v>
      </c>
      <c r="B20" s="114">
        <f>_xlfn.COMPOUNDVALUE(461)</f>
        <v>2017</v>
      </c>
      <c r="C20" s="115">
        <v>14724628</v>
      </c>
      <c r="D20" s="114">
        <f>_xlfn.COMPOUNDVALUE(462)</f>
        <v>1312</v>
      </c>
      <c r="E20" s="115">
        <v>673637</v>
      </c>
      <c r="F20" s="114">
        <f>_xlfn.COMPOUNDVALUE(463)</f>
        <v>3329</v>
      </c>
      <c r="G20" s="115">
        <v>15398266</v>
      </c>
      <c r="H20" s="114">
        <f>_xlfn.COMPOUNDVALUE(464)</f>
        <v>246</v>
      </c>
      <c r="I20" s="116">
        <v>650819</v>
      </c>
      <c r="J20" s="114">
        <v>192</v>
      </c>
      <c r="K20" s="116">
        <v>53887</v>
      </c>
      <c r="L20" s="114">
        <v>3639</v>
      </c>
      <c r="M20" s="116">
        <v>14801334</v>
      </c>
      <c r="N20" s="175">
        <v>3461</v>
      </c>
      <c r="O20" s="176">
        <v>124</v>
      </c>
      <c r="P20" s="176">
        <v>5</v>
      </c>
      <c r="Q20" s="177">
        <v>3590</v>
      </c>
      <c r="R20" s="14" t="s">
        <v>106</v>
      </c>
    </row>
    <row r="21" spans="1:18" ht="15.75" customHeight="1">
      <c r="A21" s="13" t="s">
        <v>31</v>
      </c>
      <c r="B21" s="114">
        <f>_xlfn.COMPOUNDVALUE(465)</f>
        <v>785</v>
      </c>
      <c r="C21" s="115">
        <v>3264044</v>
      </c>
      <c r="D21" s="114">
        <f>_xlfn.COMPOUNDVALUE(466)</f>
        <v>527</v>
      </c>
      <c r="E21" s="115">
        <v>245812</v>
      </c>
      <c r="F21" s="114">
        <f>_xlfn.COMPOUNDVALUE(467)</f>
        <v>1312</v>
      </c>
      <c r="G21" s="115">
        <v>3509857</v>
      </c>
      <c r="H21" s="114">
        <f>_xlfn.COMPOUNDVALUE(468)</f>
        <v>97</v>
      </c>
      <c r="I21" s="116">
        <v>395881</v>
      </c>
      <c r="J21" s="114">
        <v>46</v>
      </c>
      <c r="K21" s="116">
        <v>-264</v>
      </c>
      <c r="L21" s="114">
        <v>1418</v>
      </c>
      <c r="M21" s="116">
        <v>3113712</v>
      </c>
      <c r="N21" s="175">
        <v>1287</v>
      </c>
      <c r="O21" s="176">
        <v>48</v>
      </c>
      <c r="P21" s="176">
        <v>1</v>
      </c>
      <c r="Q21" s="177">
        <v>1336</v>
      </c>
      <c r="R21" s="14" t="s">
        <v>107</v>
      </c>
    </row>
    <row r="22" spans="1:18" ht="15.75" customHeight="1">
      <c r="A22" s="13" t="s">
        <v>32</v>
      </c>
      <c r="B22" s="114">
        <f>_xlfn.COMPOUNDVALUE(469)</f>
        <v>1278</v>
      </c>
      <c r="C22" s="115">
        <v>7308405</v>
      </c>
      <c r="D22" s="114">
        <f>_xlfn.COMPOUNDVALUE(470)</f>
        <v>923</v>
      </c>
      <c r="E22" s="115">
        <v>451184</v>
      </c>
      <c r="F22" s="114">
        <f>_xlfn.COMPOUNDVALUE(471)</f>
        <v>2201</v>
      </c>
      <c r="G22" s="115">
        <v>7759588</v>
      </c>
      <c r="H22" s="114">
        <f>_xlfn.COMPOUNDVALUE(472)</f>
        <v>157</v>
      </c>
      <c r="I22" s="116">
        <v>606975</v>
      </c>
      <c r="J22" s="114">
        <v>139</v>
      </c>
      <c r="K22" s="116">
        <v>53365</v>
      </c>
      <c r="L22" s="114">
        <v>2386</v>
      </c>
      <c r="M22" s="116">
        <v>7205979</v>
      </c>
      <c r="N22" s="175">
        <v>2284</v>
      </c>
      <c r="O22" s="176">
        <v>48</v>
      </c>
      <c r="P22" s="176">
        <v>4</v>
      </c>
      <c r="Q22" s="177">
        <v>2336</v>
      </c>
      <c r="R22" s="14" t="s">
        <v>108</v>
      </c>
    </row>
    <row r="23" spans="1:18" ht="15.75" customHeight="1">
      <c r="A23" s="13" t="s">
        <v>33</v>
      </c>
      <c r="B23" s="114">
        <f>_xlfn.COMPOUNDVALUE(473)</f>
        <v>854</v>
      </c>
      <c r="C23" s="115">
        <v>3754435</v>
      </c>
      <c r="D23" s="114">
        <f>_xlfn.COMPOUNDVALUE(474)</f>
        <v>567</v>
      </c>
      <c r="E23" s="115">
        <v>265728</v>
      </c>
      <c r="F23" s="114">
        <f>_xlfn.COMPOUNDVALUE(475)</f>
        <v>1421</v>
      </c>
      <c r="G23" s="115">
        <v>4020163</v>
      </c>
      <c r="H23" s="114">
        <f>_xlfn.COMPOUNDVALUE(476)</f>
        <v>93</v>
      </c>
      <c r="I23" s="116">
        <v>284325</v>
      </c>
      <c r="J23" s="114">
        <v>88</v>
      </c>
      <c r="K23" s="116">
        <v>8831</v>
      </c>
      <c r="L23" s="114">
        <v>1545</v>
      </c>
      <c r="M23" s="116">
        <v>3744668</v>
      </c>
      <c r="N23" s="175">
        <v>1427</v>
      </c>
      <c r="O23" s="176">
        <v>58</v>
      </c>
      <c r="P23" s="176">
        <v>3</v>
      </c>
      <c r="Q23" s="177">
        <v>1488</v>
      </c>
      <c r="R23" s="14" t="s">
        <v>109</v>
      </c>
    </row>
    <row r="24" spans="1:18" ht="15.75" customHeight="1">
      <c r="A24" s="13" t="s">
        <v>34</v>
      </c>
      <c r="B24" s="114">
        <f>_xlfn.COMPOUNDVALUE(477)</f>
        <v>728</v>
      </c>
      <c r="C24" s="115">
        <v>3721653</v>
      </c>
      <c r="D24" s="114">
        <f>_xlfn.COMPOUNDVALUE(478)</f>
        <v>527</v>
      </c>
      <c r="E24" s="115">
        <v>255205</v>
      </c>
      <c r="F24" s="114">
        <f>_xlfn.COMPOUNDVALUE(479)</f>
        <v>1255</v>
      </c>
      <c r="G24" s="115">
        <v>3976858</v>
      </c>
      <c r="H24" s="114">
        <f>_xlfn.COMPOUNDVALUE(480)</f>
        <v>114</v>
      </c>
      <c r="I24" s="116">
        <v>278263</v>
      </c>
      <c r="J24" s="114">
        <v>61</v>
      </c>
      <c r="K24" s="116">
        <v>5250</v>
      </c>
      <c r="L24" s="114">
        <v>1383</v>
      </c>
      <c r="M24" s="116">
        <v>3703845</v>
      </c>
      <c r="N24" s="175">
        <v>1420</v>
      </c>
      <c r="O24" s="176">
        <v>64</v>
      </c>
      <c r="P24" s="176">
        <v>2</v>
      </c>
      <c r="Q24" s="177">
        <v>1486</v>
      </c>
      <c r="R24" s="14" t="s">
        <v>110</v>
      </c>
    </row>
    <row r="25" spans="1:18" ht="15.75" customHeight="1">
      <c r="A25" s="84" t="s">
        <v>90</v>
      </c>
      <c r="B25" s="129">
        <v>14045</v>
      </c>
      <c r="C25" s="130">
        <v>86849637</v>
      </c>
      <c r="D25" s="129">
        <v>9969</v>
      </c>
      <c r="E25" s="130">
        <v>5108879</v>
      </c>
      <c r="F25" s="129">
        <v>24014</v>
      </c>
      <c r="G25" s="130">
        <v>91958517</v>
      </c>
      <c r="H25" s="129">
        <v>1680</v>
      </c>
      <c r="I25" s="131">
        <v>4287445</v>
      </c>
      <c r="J25" s="129">
        <v>1250</v>
      </c>
      <c r="K25" s="131">
        <v>196382</v>
      </c>
      <c r="L25" s="129">
        <v>26076</v>
      </c>
      <c r="M25" s="131">
        <v>87867453</v>
      </c>
      <c r="N25" s="178">
        <v>24975</v>
      </c>
      <c r="O25" s="179">
        <v>830</v>
      </c>
      <c r="P25" s="179">
        <v>52</v>
      </c>
      <c r="Q25" s="180">
        <v>25857</v>
      </c>
      <c r="R25" s="83" t="s">
        <v>111</v>
      </c>
    </row>
    <row r="26" spans="1:18" ht="15.75" customHeight="1">
      <c r="A26" s="85"/>
      <c r="B26" s="132"/>
      <c r="C26" s="133"/>
      <c r="D26" s="132"/>
      <c r="E26" s="133"/>
      <c r="F26" s="134"/>
      <c r="G26" s="133"/>
      <c r="H26" s="134"/>
      <c r="I26" s="133"/>
      <c r="J26" s="134"/>
      <c r="K26" s="133"/>
      <c r="L26" s="134"/>
      <c r="M26" s="133"/>
      <c r="N26" s="181"/>
      <c r="O26" s="182"/>
      <c r="P26" s="182"/>
      <c r="Q26" s="183"/>
      <c r="R26" s="86"/>
    </row>
    <row r="27" spans="1:18" ht="15.75" customHeight="1">
      <c r="A27" s="87" t="s">
        <v>36</v>
      </c>
      <c r="B27" s="135">
        <f>_xlfn.COMPOUNDVALUE(481)</f>
        <v>6913</v>
      </c>
      <c r="C27" s="136">
        <v>78970646</v>
      </c>
      <c r="D27" s="135">
        <f>_xlfn.COMPOUNDVALUE(482)</f>
        <v>4327</v>
      </c>
      <c r="E27" s="136">
        <v>2770955</v>
      </c>
      <c r="F27" s="135">
        <f>_xlfn.COMPOUNDVALUE(483)</f>
        <v>11240</v>
      </c>
      <c r="G27" s="136">
        <v>81741601</v>
      </c>
      <c r="H27" s="135">
        <f>_xlfn.COMPOUNDVALUE(484)</f>
        <v>747</v>
      </c>
      <c r="I27" s="137">
        <v>2499975</v>
      </c>
      <c r="J27" s="135">
        <v>708</v>
      </c>
      <c r="K27" s="137">
        <v>122665</v>
      </c>
      <c r="L27" s="135">
        <v>12310</v>
      </c>
      <c r="M27" s="137">
        <v>79364291</v>
      </c>
      <c r="N27" s="184">
        <v>12184</v>
      </c>
      <c r="O27" s="185">
        <v>469</v>
      </c>
      <c r="P27" s="185">
        <v>42</v>
      </c>
      <c r="Q27" s="186">
        <v>12695</v>
      </c>
      <c r="R27" s="88" t="s">
        <v>112</v>
      </c>
    </row>
    <row r="28" spans="1:18" ht="15.75" customHeight="1">
      <c r="A28" s="13" t="s">
        <v>37</v>
      </c>
      <c r="B28" s="114">
        <f>_xlfn.COMPOUNDVALUE(485)</f>
        <v>5728</v>
      </c>
      <c r="C28" s="115">
        <v>72890144</v>
      </c>
      <c r="D28" s="114">
        <f>_xlfn.COMPOUNDVALUE(486)</f>
        <v>2777</v>
      </c>
      <c r="E28" s="115">
        <v>1948664</v>
      </c>
      <c r="F28" s="114">
        <f>_xlfn.COMPOUNDVALUE(487)</f>
        <v>8505</v>
      </c>
      <c r="G28" s="115">
        <v>74838807</v>
      </c>
      <c r="H28" s="114">
        <f>_xlfn.COMPOUNDVALUE(488)</f>
        <v>529</v>
      </c>
      <c r="I28" s="116">
        <v>2166537</v>
      </c>
      <c r="J28" s="114">
        <v>372</v>
      </c>
      <c r="K28" s="116">
        <v>116397</v>
      </c>
      <c r="L28" s="114">
        <v>9154</v>
      </c>
      <c r="M28" s="116">
        <v>72788667</v>
      </c>
      <c r="N28" s="175">
        <v>9394</v>
      </c>
      <c r="O28" s="176">
        <v>338</v>
      </c>
      <c r="P28" s="176">
        <v>40</v>
      </c>
      <c r="Q28" s="177">
        <v>9772</v>
      </c>
      <c r="R28" s="14" t="s">
        <v>113</v>
      </c>
    </row>
    <row r="29" spans="1:18" ht="15.75" customHeight="1">
      <c r="A29" s="13" t="s">
        <v>38</v>
      </c>
      <c r="B29" s="114">
        <f>_xlfn.COMPOUNDVALUE(489)</f>
        <v>3455</v>
      </c>
      <c r="C29" s="115">
        <v>21761526</v>
      </c>
      <c r="D29" s="114">
        <f>_xlfn.COMPOUNDVALUE(490)</f>
        <v>2629</v>
      </c>
      <c r="E29" s="115">
        <v>1557946</v>
      </c>
      <c r="F29" s="114">
        <f>_xlfn.COMPOUNDVALUE(491)</f>
        <v>6084</v>
      </c>
      <c r="G29" s="115">
        <v>23319472</v>
      </c>
      <c r="H29" s="114">
        <f>_xlfn.COMPOUNDVALUE(492)</f>
        <v>319</v>
      </c>
      <c r="I29" s="116">
        <v>761431</v>
      </c>
      <c r="J29" s="114">
        <v>467</v>
      </c>
      <c r="K29" s="116">
        <v>61363</v>
      </c>
      <c r="L29" s="114">
        <v>6551</v>
      </c>
      <c r="M29" s="116">
        <v>22619403</v>
      </c>
      <c r="N29" s="175">
        <v>6533</v>
      </c>
      <c r="O29" s="176">
        <v>211</v>
      </c>
      <c r="P29" s="176">
        <v>20</v>
      </c>
      <c r="Q29" s="177">
        <v>6764</v>
      </c>
      <c r="R29" s="14" t="s">
        <v>114</v>
      </c>
    </row>
    <row r="30" spans="1:18" ht="15.75" customHeight="1">
      <c r="A30" s="13" t="s">
        <v>39</v>
      </c>
      <c r="B30" s="114">
        <f>_xlfn.COMPOUNDVALUE(493)</f>
        <v>2713</v>
      </c>
      <c r="C30" s="115">
        <v>13338556</v>
      </c>
      <c r="D30" s="114">
        <f>_xlfn.COMPOUNDVALUE(494)</f>
        <v>2118</v>
      </c>
      <c r="E30" s="115">
        <v>1057753</v>
      </c>
      <c r="F30" s="114">
        <f>_xlfn.COMPOUNDVALUE(495)</f>
        <v>4831</v>
      </c>
      <c r="G30" s="115">
        <v>14396309</v>
      </c>
      <c r="H30" s="114">
        <f>_xlfn.COMPOUNDVALUE(496)</f>
        <v>374</v>
      </c>
      <c r="I30" s="116">
        <v>1706349</v>
      </c>
      <c r="J30" s="114">
        <v>291</v>
      </c>
      <c r="K30" s="116">
        <v>43222</v>
      </c>
      <c r="L30" s="114">
        <v>5263</v>
      </c>
      <c r="M30" s="116">
        <v>12733182</v>
      </c>
      <c r="N30" s="175">
        <v>5050</v>
      </c>
      <c r="O30" s="176">
        <v>160</v>
      </c>
      <c r="P30" s="176">
        <v>9</v>
      </c>
      <c r="Q30" s="177">
        <v>5219</v>
      </c>
      <c r="R30" s="14" t="s">
        <v>115</v>
      </c>
    </row>
    <row r="31" spans="1:18" ht="15.75" customHeight="1">
      <c r="A31" s="13" t="s">
        <v>40</v>
      </c>
      <c r="B31" s="114">
        <f>_xlfn.COMPOUNDVALUE(497)</f>
        <v>1875</v>
      </c>
      <c r="C31" s="115">
        <v>8473946</v>
      </c>
      <c r="D31" s="114">
        <f>_xlfn.COMPOUNDVALUE(498)</f>
        <v>1331</v>
      </c>
      <c r="E31" s="115">
        <v>699791</v>
      </c>
      <c r="F31" s="114">
        <f>_xlfn.COMPOUNDVALUE(499)</f>
        <v>3206</v>
      </c>
      <c r="G31" s="115">
        <v>9173736</v>
      </c>
      <c r="H31" s="114">
        <f>_xlfn.COMPOUNDVALUE(500)</f>
        <v>176</v>
      </c>
      <c r="I31" s="116">
        <v>790672</v>
      </c>
      <c r="J31" s="114">
        <v>187</v>
      </c>
      <c r="K31" s="116">
        <v>41910</v>
      </c>
      <c r="L31" s="114">
        <v>3434</v>
      </c>
      <c r="M31" s="116">
        <v>8424974</v>
      </c>
      <c r="N31" s="175">
        <v>3483</v>
      </c>
      <c r="O31" s="176">
        <v>94</v>
      </c>
      <c r="P31" s="176">
        <v>5</v>
      </c>
      <c r="Q31" s="177">
        <v>3582</v>
      </c>
      <c r="R31" s="14" t="s">
        <v>116</v>
      </c>
    </row>
    <row r="32" spans="1:18" ht="15.75" customHeight="1">
      <c r="A32" s="13" t="s">
        <v>41</v>
      </c>
      <c r="B32" s="114">
        <f>_xlfn.COMPOUNDVALUE(501)</f>
        <v>2253</v>
      </c>
      <c r="C32" s="115">
        <v>10022781</v>
      </c>
      <c r="D32" s="114">
        <f>_xlfn.COMPOUNDVALUE(502)</f>
        <v>1904</v>
      </c>
      <c r="E32" s="115">
        <v>936780</v>
      </c>
      <c r="F32" s="114">
        <f>_xlfn.COMPOUNDVALUE(503)</f>
        <v>4157</v>
      </c>
      <c r="G32" s="115">
        <v>10959560</v>
      </c>
      <c r="H32" s="114">
        <f>_xlfn.COMPOUNDVALUE(504)</f>
        <v>317</v>
      </c>
      <c r="I32" s="116">
        <v>496022</v>
      </c>
      <c r="J32" s="114">
        <v>362</v>
      </c>
      <c r="K32" s="116">
        <v>37858</v>
      </c>
      <c r="L32" s="114">
        <v>4586</v>
      </c>
      <c r="M32" s="116">
        <v>10501397</v>
      </c>
      <c r="N32" s="175">
        <v>4419</v>
      </c>
      <c r="O32" s="176">
        <v>139</v>
      </c>
      <c r="P32" s="176">
        <v>8</v>
      </c>
      <c r="Q32" s="177">
        <v>4566</v>
      </c>
      <c r="R32" s="14" t="s">
        <v>117</v>
      </c>
    </row>
    <row r="33" spans="1:18" ht="15.75" customHeight="1">
      <c r="A33" s="13" t="s">
        <v>42</v>
      </c>
      <c r="B33" s="114">
        <f>_xlfn.COMPOUNDVALUE(505)</f>
        <v>1091</v>
      </c>
      <c r="C33" s="115">
        <v>4715398</v>
      </c>
      <c r="D33" s="114">
        <f>_xlfn.COMPOUNDVALUE(506)</f>
        <v>776</v>
      </c>
      <c r="E33" s="115">
        <v>336442</v>
      </c>
      <c r="F33" s="114">
        <f>_xlfn.COMPOUNDVALUE(507)</f>
        <v>1867</v>
      </c>
      <c r="G33" s="115">
        <v>5051841</v>
      </c>
      <c r="H33" s="114">
        <f>_xlfn.COMPOUNDVALUE(508)</f>
        <v>143</v>
      </c>
      <c r="I33" s="116">
        <v>564846</v>
      </c>
      <c r="J33" s="114">
        <v>63</v>
      </c>
      <c r="K33" s="116">
        <v>24384</v>
      </c>
      <c r="L33" s="114">
        <v>2040</v>
      </c>
      <c r="M33" s="116">
        <v>4511379</v>
      </c>
      <c r="N33" s="175">
        <v>1943</v>
      </c>
      <c r="O33" s="176">
        <v>76</v>
      </c>
      <c r="P33" s="176">
        <v>4</v>
      </c>
      <c r="Q33" s="177">
        <v>2023</v>
      </c>
      <c r="R33" s="14" t="s">
        <v>118</v>
      </c>
    </row>
    <row r="34" spans="1:18" ht="15.75" customHeight="1">
      <c r="A34" s="13" t="s">
        <v>43</v>
      </c>
      <c r="B34" s="114">
        <f>_xlfn.COMPOUNDVALUE(509)</f>
        <v>1670</v>
      </c>
      <c r="C34" s="115">
        <v>6788802</v>
      </c>
      <c r="D34" s="114">
        <f>_xlfn.COMPOUNDVALUE(510)</f>
        <v>1244</v>
      </c>
      <c r="E34" s="115">
        <v>672102</v>
      </c>
      <c r="F34" s="114">
        <f>_xlfn.COMPOUNDVALUE(511)</f>
        <v>2914</v>
      </c>
      <c r="G34" s="115">
        <v>7460904</v>
      </c>
      <c r="H34" s="114">
        <f>_xlfn.COMPOUNDVALUE(512)</f>
        <v>231</v>
      </c>
      <c r="I34" s="116">
        <v>566584</v>
      </c>
      <c r="J34" s="114">
        <v>221</v>
      </c>
      <c r="K34" s="116">
        <v>-79457</v>
      </c>
      <c r="L34" s="114">
        <v>3193</v>
      </c>
      <c r="M34" s="116">
        <v>6814863</v>
      </c>
      <c r="N34" s="175">
        <v>3147</v>
      </c>
      <c r="O34" s="176">
        <v>94</v>
      </c>
      <c r="P34" s="176">
        <v>8</v>
      </c>
      <c r="Q34" s="177">
        <v>3249</v>
      </c>
      <c r="R34" s="14" t="s">
        <v>119</v>
      </c>
    </row>
    <row r="35" spans="1:18" ht="15.75" customHeight="1">
      <c r="A35" s="13" t="s">
        <v>44</v>
      </c>
      <c r="B35" s="114">
        <f>_xlfn.COMPOUNDVALUE(513)</f>
        <v>825</v>
      </c>
      <c r="C35" s="115">
        <v>3878048</v>
      </c>
      <c r="D35" s="114">
        <f>_xlfn.COMPOUNDVALUE(514)</f>
        <v>623</v>
      </c>
      <c r="E35" s="115">
        <v>325238</v>
      </c>
      <c r="F35" s="114">
        <f>_xlfn.COMPOUNDVALUE(515)</f>
        <v>1448</v>
      </c>
      <c r="G35" s="115">
        <v>4203286</v>
      </c>
      <c r="H35" s="114">
        <f>_xlfn.COMPOUNDVALUE(516)</f>
        <v>135</v>
      </c>
      <c r="I35" s="116">
        <v>806588</v>
      </c>
      <c r="J35" s="114">
        <v>100</v>
      </c>
      <c r="K35" s="116">
        <v>3164</v>
      </c>
      <c r="L35" s="114">
        <v>1614</v>
      </c>
      <c r="M35" s="116">
        <v>3399862</v>
      </c>
      <c r="N35" s="175">
        <v>1553</v>
      </c>
      <c r="O35" s="176">
        <v>69</v>
      </c>
      <c r="P35" s="176">
        <v>0</v>
      </c>
      <c r="Q35" s="177">
        <v>1622</v>
      </c>
      <c r="R35" s="14" t="s">
        <v>120</v>
      </c>
    </row>
    <row r="36" spans="1:18" ht="15.75" customHeight="1">
      <c r="A36" s="13" t="s">
        <v>45</v>
      </c>
      <c r="B36" s="114">
        <f>_xlfn.COMPOUNDVALUE(517)</f>
        <v>1031</v>
      </c>
      <c r="C36" s="115">
        <v>5438589</v>
      </c>
      <c r="D36" s="114">
        <f>_xlfn.COMPOUNDVALUE(518)</f>
        <v>914</v>
      </c>
      <c r="E36" s="115">
        <v>448903</v>
      </c>
      <c r="F36" s="114">
        <f>_xlfn.COMPOUNDVALUE(519)</f>
        <v>1945</v>
      </c>
      <c r="G36" s="115">
        <v>5887492</v>
      </c>
      <c r="H36" s="114">
        <f>_xlfn.COMPOUNDVALUE(520)</f>
        <v>194</v>
      </c>
      <c r="I36" s="116">
        <v>391615</v>
      </c>
      <c r="J36" s="114">
        <v>120</v>
      </c>
      <c r="K36" s="116">
        <v>36666</v>
      </c>
      <c r="L36" s="114">
        <v>2155</v>
      </c>
      <c r="M36" s="116">
        <v>5532542</v>
      </c>
      <c r="N36" s="175">
        <v>2030</v>
      </c>
      <c r="O36" s="176">
        <v>63</v>
      </c>
      <c r="P36" s="176">
        <v>2</v>
      </c>
      <c r="Q36" s="177">
        <v>2095</v>
      </c>
      <c r="R36" s="14" t="s">
        <v>121</v>
      </c>
    </row>
    <row r="37" spans="1:18" ht="15.75" customHeight="1">
      <c r="A37" s="84" t="s">
        <v>46</v>
      </c>
      <c r="B37" s="129">
        <v>27554</v>
      </c>
      <c r="C37" s="130">
        <v>226278434</v>
      </c>
      <c r="D37" s="129">
        <v>18643</v>
      </c>
      <c r="E37" s="130">
        <v>10754574</v>
      </c>
      <c r="F37" s="129">
        <v>46197</v>
      </c>
      <c r="G37" s="130">
        <v>237033008</v>
      </c>
      <c r="H37" s="129">
        <v>3165</v>
      </c>
      <c r="I37" s="131">
        <v>10750619</v>
      </c>
      <c r="J37" s="129">
        <v>2891</v>
      </c>
      <c r="K37" s="131">
        <v>408170</v>
      </c>
      <c r="L37" s="129">
        <v>50300</v>
      </c>
      <c r="M37" s="131">
        <v>226690559</v>
      </c>
      <c r="N37" s="178">
        <v>49736</v>
      </c>
      <c r="O37" s="179">
        <v>1713</v>
      </c>
      <c r="P37" s="179">
        <v>138</v>
      </c>
      <c r="Q37" s="180">
        <v>51587</v>
      </c>
      <c r="R37" s="83" t="s">
        <v>122</v>
      </c>
    </row>
    <row r="38" spans="1:18" ht="15.75" customHeight="1">
      <c r="A38" s="89"/>
      <c r="B38" s="138"/>
      <c r="C38" s="139"/>
      <c r="D38" s="138"/>
      <c r="E38" s="139"/>
      <c r="F38" s="140"/>
      <c r="G38" s="139"/>
      <c r="H38" s="140"/>
      <c r="I38" s="139"/>
      <c r="J38" s="140"/>
      <c r="K38" s="139"/>
      <c r="L38" s="140"/>
      <c r="M38" s="139"/>
      <c r="N38" s="187"/>
      <c r="O38" s="188"/>
      <c r="P38" s="188"/>
      <c r="Q38" s="189"/>
      <c r="R38" s="90"/>
    </row>
    <row r="39" spans="1:18" ht="15.75" customHeight="1">
      <c r="A39" s="11" t="s">
        <v>47</v>
      </c>
      <c r="B39" s="111">
        <f>_xlfn.COMPOUNDVALUE(521)</f>
        <v>2849</v>
      </c>
      <c r="C39" s="112">
        <v>20545539</v>
      </c>
      <c r="D39" s="111">
        <f>_xlfn.COMPOUNDVALUE(522)</f>
        <v>1762</v>
      </c>
      <c r="E39" s="112">
        <v>1081257</v>
      </c>
      <c r="F39" s="111">
        <f>_xlfn.COMPOUNDVALUE(523)</f>
        <v>4611</v>
      </c>
      <c r="G39" s="112">
        <v>21626796</v>
      </c>
      <c r="H39" s="111">
        <f>_xlfn.COMPOUNDVALUE(524)</f>
        <v>199</v>
      </c>
      <c r="I39" s="113">
        <v>2040760</v>
      </c>
      <c r="J39" s="111">
        <v>235</v>
      </c>
      <c r="K39" s="113">
        <v>37135</v>
      </c>
      <c r="L39" s="111">
        <v>4872</v>
      </c>
      <c r="M39" s="113">
        <v>19623171</v>
      </c>
      <c r="N39" s="175">
        <v>4761</v>
      </c>
      <c r="O39" s="176">
        <v>136</v>
      </c>
      <c r="P39" s="176">
        <v>24</v>
      </c>
      <c r="Q39" s="177">
        <v>4921</v>
      </c>
      <c r="R39" s="12" t="s">
        <v>123</v>
      </c>
    </row>
    <row r="40" spans="1:18" ht="15.75" customHeight="1">
      <c r="A40" s="13" t="s">
        <v>48</v>
      </c>
      <c r="B40" s="114">
        <f>_xlfn.COMPOUNDVALUE(525)</f>
        <v>1450</v>
      </c>
      <c r="C40" s="115">
        <v>8792270</v>
      </c>
      <c r="D40" s="114">
        <f>_xlfn.COMPOUNDVALUE(526)</f>
        <v>1607</v>
      </c>
      <c r="E40" s="115">
        <v>706566</v>
      </c>
      <c r="F40" s="114">
        <f>_xlfn.COMPOUNDVALUE(527)</f>
        <v>3057</v>
      </c>
      <c r="G40" s="115">
        <v>9498836</v>
      </c>
      <c r="H40" s="114">
        <f>_xlfn.COMPOUNDVALUE(528)</f>
        <v>134</v>
      </c>
      <c r="I40" s="116">
        <v>1328169</v>
      </c>
      <c r="J40" s="114">
        <v>181</v>
      </c>
      <c r="K40" s="116">
        <v>14904</v>
      </c>
      <c r="L40" s="114">
        <v>3266</v>
      </c>
      <c r="M40" s="116">
        <v>8185571</v>
      </c>
      <c r="N40" s="175">
        <v>3152</v>
      </c>
      <c r="O40" s="176">
        <v>77</v>
      </c>
      <c r="P40" s="176">
        <v>5</v>
      </c>
      <c r="Q40" s="177">
        <v>3234</v>
      </c>
      <c r="R40" s="14" t="s">
        <v>124</v>
      </c>
    </row>
    <row r="41" spans="1:18" ht="15.75" customHeight="1">
      <c r="A41" s="13" t="s">
        <v>49</v>
      </c>
      <c r="B41" s="114">
        <f>_xlfn.COMPOUNDVALUE(529)</f>
        <v>893</v>
      </c>
      <c r="C41" s="115">
        <v>3826071</v>
      </c>
      <c r="D41" s="114">
        <f>_xlfn.COMPOUNDVALUE(530)</f>
        <v>926</v>
      </c>
      <c r="E41" s="115">
        <v>397603</v>
      </c>
      <c r="F41" s="114">
        <f>_xlfn.COMPOUNDVALUE(531)</f>
        <v>1819</v>
      </c>
      <c r="G41" s="115">
        <v>4223673</v>
      </c>
      <c r="H41" s="114">
        <f>_xlfn.COMPOUNDVALUE(532)</f>
        <v>100</v>
      </c>
      <c r="I41" s="116">
        <v>350500</v>
      </c>
      <c r="J41" s="114">
        <v>92</v>
      </c>
      <c r="K41" s="116">
        <v>14504</v>
      </c>
      <c r="L41" s="114">
        <v>1962</v>
      </c>
      <c r="M41" s="116">
        <v>3887677</v>
      </c>
      <c r="N41" s="175">
        <v>1844</v>
      </c>
      <c r="O41" s="176">
        <v>75</v>
      </c>
      <c r="P41" s="176">
        <v>3</v>
      </c>
      <c r="Q41" s="177">
        <v>1922</v>
      </c>
      <c r="R41" s="14" t="s">
        <v>125</v>
      </c>
    </row>
    <row r="42" spans="1:18" ht="15.75" customHeight="1">
      <c r="A42" s="13" t="s">
        <v>50</v>
      </c>
      <c r="B42" s="114">
        <f>_xlfn.COMPOUNDVALUE(533)</f>
        <v>965</v>
      </c>
      <c r="C42" s="115">
        <v>4039197</v>
      </c>
      <c r="D42" s="114">
        <f>_xlfn.COMPOUNDVALUE(534)</f>
        <v>892</v>
      </c>
      <c r="E42" s="115">
        <v>386054</v>
      </c>
      <c r="F42" s="114">
        <f>_xlfn.COMPOUNDVALUE(535)</f>
        <v>1857</v>
      </c>
      <c r="G42" s="115">
        <v>4425251</v>
      </c>
      <c r="H42" s="114">
        <f>_xlfn.COMPOUNDVALUE(536)</f>
        <v>114</v>
      </c>
      <c r="I42" s="116">
        <v>424309</v>
      </c>
      <c r="J42" s="114">
        <v>131</v>
      </c>
      <c r="K42" s="116">
        <v>10763</v>
      </c>
      <c r="L42" s="114">
        <v>2017</v>
      </c>
      <c r="M42" s="116">
        <v>4011704</v>
      </c>
      <c r="N42" s="175">
        <v>1991</v>
      </c>
      <c r="O42" s="176">
        <v>61</v>
      </c>
      <c r="P42" s="176">
        <v>4</v>
      </c>
      <c r="Q42" s="177">
        <v>2056</v>
      </c>
      <c r="R42" s="14" t="s">
        <v>126</v>
      </c>
    </row>
    <row r="43" spans="1:18" ht="15.75" customHeight="1">
      <c r="A43" s="13" t="s">
        <v>51</v>
      </c>
      <c r="B43" s="114">
        <f>_xlfn.COMPOUNDVALUE(537)</f>
        <v>1536</v>
      </c>
      <c r="C43" s="115">
        <v>8611693</v>
      </c>
      <c r="D43" s="114">
        <f>_xlfn.COMPOUNDVALUE(538)</f>
        <v>1096</v>
      </c>
      <c r="E43" s="115">
        <v>535013</v>
      </c>
      <c r="F43" s="114">
        <f>_xlfn.COMPOUNDVALUE(539)</f>
        <v>2632</v>
      </c>
      <c r="G43" s="115">
        <v>9146706</v>
      </c>
      <c r="H43" s="114">
        <f>_xlfn.COMPOUNDVALUE(540)</f>
        <v>143</v>
      </c>
      <c r="I43" s="116">
        <v>389751</v>
      </c>
      <c r="J43" s="114">
        <v>156</v>
      </c>
      <c r="K43" s="116">
        <v>10432</v>
      </c>
      <c r="L43" s="114">
        <v>2845</v>
      </c>
      <c r="M43" s="116">
        <v>8767388</v>
      </c>
      <c r="N43" s="175">
        <v>2694</v>
      </c>
      <c r="O43" s="176">
        <v>96</v>
      </c>
      <c r="P43" s="176">
        <v>2</v>
      </c>
      <c r="Q43" s="177">
        <v>2792</v>
      </c>
      <c r="R43" s="14" t="s">
        <v>127</v>
      </c>
    </row>
    <row r="44" spans="1:18" ht="15.75" customHeight="1">
      <c r="A44" s="13" t="s">
        <v>52</v>
      </c>
      <c r="B44" s="114">
        <f>_xlfn.COMPOUNDVALUE(541)</f>
        <v>1033</v>
      </c>
      <c r="C44" s="115">
        <v>6868205</v>
      </c>
      <c r="D44" s="114">
        <f>_xlfn.COMPOUNDVALUE(542)</f>
        <v>904</v>
      </c>
      <c r="E44" s="115">
        <v>400340</v>
      </c>
      <c r="F44" s="114">
        <f>_xlfn.COMPOUNDVALUE(543)</f>
        <v>1937</v>
      </c>
      <c r="G44" s="115">
        <v>7268544</v>
      </c>
      <c r="H44" s="114">
        <f>_xlfn.COMPOUNDVALUE(544)</f>
        <v>116</v>
      </c>
      <c r="I44" s="116">
        <v>487934</v>
      </c>
      <c r="J44" s="114">
        <v>101</v>
      </c>
      <c r="K44" s="116">
        <v>5187</v>
      </c>
      <c r="L44" s="114">
        <v>2071</v>
      </c>
      <c r="M44" s="116">
        <v>6785797</v>
      </c>
      <c r="N44" s="175">
        <v>1914</v>
      </c>
      <c r="O44" s="176">
        <v>59</v>
      </c>
      <c r="P44" s="176">
        <v>4</v>
      </c>
      <c r="Q44" s="177">
        <v>1977</v>
      </c>
      <c r="R44" s="14" t="s">
        <v>128</v>
      </c>
    </row>
    <row r="45" spans="1:18" ht="15.75" customHeight="1">
      <c r="A45" s="13" t="s">
        <v>53</v>
      </c>
      <c r="B45" s="114">
        <f>_xlfn.COMPOUNDVALUE(545)</f>
        <v>707</v>
      </c>
      <c r="C45" s="115">
        <v>3849992</v>
      </c>
      <c r="D45" s="114">
        <f>_xlfn.COMPOUNDVALUE(546)</f>
        <v>562</v>
      </c>
      <c r="E45" s="115">
        <v>262451</v>
      </c>
      <c r="F45" s="114">
        <f>_xlfn.COMPOUNDVALUE(547)</f>
        <v>1269</v>
      </c>
      <c r="G45" s="115">
        <v>4112442</v>
      </c>
      <c r="H45" s="114">
        <f>_xlfn.COMPOUNDVALUE(548)</f>
        <v>82</v>
      </c>
      <c r="I45" s="116">
        <v>148038</v>
      </c>
      <c r="J45" s="114">
        <v>30</v>
      </c>
      <c r="K45" s="116">
        <v>4208</v>
      </c>
      <c r="L45" s="114">
        <v>1362</v>
      </c>
      <c r="M45" s="116">
        <v>3968612</v>
      </c>
      <c r="N45" s="175">
        <v>1339</v>
      </c>
      <c r="O45" s="176">
        <v>39</v>
      </c>
      <c r="P45" s="176">
        <v>1</v>
      </c>
      <c r="Q45" s="177">
        <v>1379</v>
      </c>
      <c r="R45" s="14" t="s">
        <v>129</v>
      </c>
    </row>
    <row r="46" spans="1:18" ht="15.75" customHeight="1">
      <c r="A46" s="13" t="s">
        <v>54</v>
      </c>
      <c r="B46" s="114">
        <f>_xlfn.COMPOUNDVALUE(549)</f>
        <v>1387</v>
      </c>
      <c r="C46" s="115">
        <v>6423240</v>
      </c>
      <c r="D46" s="114">
        <f>_xlfn.COMPOUNDVALUE(550)</f>
        <v>1285</v>
      </c>
      <c r="E46" s="115">
        <v>605454</v>
      </c>
      <c r="F46" s="114">
        <f>_xlfn.COMPOUNDVALUE(551)</f>
        <v>2672</v>
      </c>
      <c r="G46" s="115">
        <v>7028694</v>
      </c>
      <c r="H46" s="114">
        <f>_xlfn.COMPOUNDVALUE(552)</f>
        <v>157</v>
      </c>
      <c r="I46" s="116">
        <v>276893</v>
      </c>
      <c r="J46" s="114">
        <v>130</v>
      </c>
      <c r="K46" s="116">
        <v>-97435</v>
      </c>
      <c r="L46" s="114">
        <v>2864</v>
      </c>
      <c r="M46" s="116">
        <v>6654366</v>
      </c>
      <c r="N46" s="175">
        <v>2824</v>
      </c>
      <c r="O46" s="176">
        <v>76</v>
      </c>
      <c r="P46" s="176">
        <v>4</v>
      </c>
      <c r="Q46" s="177">
        <v>2904</v>
      </c>
      <c r="R46" s="14" t="s">
        <v>130</v>
      </c>
    </row>
    <row r="47" spans="1:18" ht="15.75" customHeight="1">
      <c r="A47" s="84" t="s">
        <v>55</v>
      </c>
      <c r="B47" s="129">
        <v>10820</v>
      </c>
      <c r="C47" s="130">
        <v>62956207</v>
      </c>
      <c r="D47" s="129">
        <v>9034</v>
      </c>
      <c r="E47" s="130">
        <v>4374736</v>
      </c>
      <c r="F47" s="129">
        <v>19854</v>
      </c>
      <c r="G47" s="130">
        <v>67330943</v>
      </c>
      <c r="H47" s="129">
        <v>1045</v>
      </c>
      <c r="I47" s="131">
        <v>5446353</v>
      </c>
      <c r="J47" s="129">
        <v>1056</v>
      </c>
      <c r="K47" s="131">
        <v>-303</v>
      </c>
      <c r="L47" s="129">
        <v>21259</v>
      </c>
      <c r="M47" s="131">
        <v>61884287</v>
      </c>
      <c r="N47" s="178">
        <v>20519</v>
      </c>
      <c r="O47" s="179">
        <v>619</v>
      </c>
      <c r="P47" s="179">
        <v>47</v>
      </c>
      <c r="Q47" s="180">
        <v>21185</v>
      </c>
      <c r="R47" s="83" t="s">
        <v>131</v>
      </c>
    </row>
    <row r="48" spans="1:18" ht="15.75" customHeight="1">
      <c r="A48" s="85"/>
      <c r="B48" s="132"/>
      <c r="C48" s="133"/>
      <c r="D48" s="132"/>
      <c r="E48" s="133"/>
      <c r="F48" s="134"/>
      <c r="G48" s="133"/>
      <c r="H48" s="134"/>
      <c r="I48" s="133"/>
      <c r="J48" s="134"/>
      <c r="K48" s="133"/>
      <c r="L48" s="134"/>
      <c r="M48" s="133"/>
      <c r="N48" s="181"/>
      <c r="O48" s="182"/>
      <c r="P48" s="182"/>
      <c r="Q48" s="183"/>
      <c r="R48" s="86"/>
    </row>
    <row r="49" spans="1:18" ht="15.75" customHeight="1">
      <c r="A49" s="87" t="s">
        <v>56</v>
      </c>
      <c r="B49" s="135">
        <f>_xlfn.COMPOUNDVALUE(553)</f>
        <v>4370</v>
      </c>
      <c r="C49" s="136">
        <v>32835345</v>
      </c>
      <c r="D49" s="135">
        <f>_xlfn.COMPOUNDVALUE(554)</f>
        <v>3589</v>
      </c>
      <c r="E49" s="136">
        <v>1816172</v>
      </c>
      <c r="F49" s="135">
        <f>_xlfn.COMPOUNDVALUE(555)</f>
        <v>7959</v>
      </c>
      <c r="G49" s="136">
        <v>34651518</v>
      </c>
      <c r="H49" s="135">
        <f>_xlfn.COMPOUNDVALUE(556)</f>
        <v>314</v>
      </c>
      <c r="I49" s="137">
        <v>796431</v>
      </c>
      <c r="J49" s="135">
        <v>411</v>
      </c>
      <c r="K49" s="137">
        <v>44277</v>
      </c>
      <c r="L49" s="135">
        <v>8397</v>
      </c>
      <c r="M49" s="137">
        <v>33899363</v>
      </c>
      <c r="N49" s="184">
        <v>8140</v>
      </c>
      <c r="O49" s="185">
        <v>177</v>
      </c>
      <c r="P49" s="185">
        <v>11</v>
      </c>
      <c r="Q49" s="186">
        <v>8328</v>
      </c>
      <c r="R49" s="88" t="s">
        <v>132</v>
      </c>
    </row>
    <row r="50" spans="1:18" ht="15.75" customHeight="1">
      <c r="A50" s="13" t="s">
        <v>57</v>
      </c>
      <c r="B50" s="114">
        <f>_xlfn.COMPOUNDVALUE(557)</f>
        <v>1933</v>
      </c>
      <c r="C50" s="115">
        <v>10496346</v>
      </c>
      <c r="D50" s="114">
        <f>_xlfn.COMPOUNDVALUE(558)</f>
        <v>1660</v>
      </c>
      <c r="E50" s="115">
        <v>756723</v>
      </c>
      <c r="F50" s="114">
        <f>_xlfn.COMPOUNDVALUE(559)</f>
        <v>3593</v>
      </c>
      <c r="G50" s="115">
        <v>11253069</v>
      </c>
      <c r="H50" s="114">
        <f>_xlfn.COMPOUNDVALUE(560)</f>
        <v>207</v>
      </c>
      <c r="I50" s="116">
        <v>1583696</v>
      </c>
      <c r="J50" s="114">
        <v>96</v>
      </c>
      <c r="K50" s="116">
        <v>21120</v>
      </c>
      <c r="L50" s="114">
        <v>3844</v>
      </c>
      <c r="M50" s="116">
        <v>9690494</v>
      </c>
      <c r="N50" s="175">
        <v>3621</v>
      </c>
      <c r="O50" s="176">
        <v>111</v>
      </c>
      <c r="P50" s="176">
        <v>5</v>
      </c>
      <c r="Q50" s="177">
        <v>3737</v>
      </c>
      <c r="R50" s="14" t="s">
        <v>133</v>
      </c>
    </row>
    <row r="51" spans="1:18" ht="15.75" customHeight="1">
      <c r="A51" s="13" t="s">
        <v>58</v>
      </c>
      <c r="B51" s="114">
        <f>_xlfn.COMPOUNDVALUE(561)</f>
        <v>1724</v>
      </c>
      <c r="C51" s="115">
        <v>9533412</v>
      </c>
      <c r="D51" s="114">
        <f>_xlfn.COMPOUNDVALUE(562)</f>
        <v>1876</v>
      </c>
      <c r="E51" s="115">
        <v>794473</v>
      </c>
      <c r="F51" s="114">
        <f>_xlfn.COMPOUNDVALUE(563)</f>
        <v>3600</v>
      </c>
      <c r="G51" s="115">
        <v>10327885</v>
      </c>
      <c r="H51" s="114">
        <f>_xlfn.COMPOUNDVALUE(564)</f>
        <v>178</v>
      </c>
      <c r="I51" s="116">
        <v>526111</v>
      </c>
      <c r="J51" s="114">
        <v>236</v>
      </c>
      <c r="K51" s="116">
        <v>-10398</v>
      </c>
      <c r="L51" s="114">
        <v>3821</v>
      </c>
      <c r="M51" s="116">
        <v>9791376</v>
      </c>
      <c r="N51" s="175">
        <v>3788</v>
      </c>
      <c r="O51" s="176">
        <v>78</v>
      </c>
      <c r="P51" s="176">
        <v>4</v>
      </c>
      <c r="Q51" s="177">
        <v>3870</v>
      </c>
      <c r="R51" s="14" t="s">
        <v>134</v>
      </c>
    </row>
    <row r="52" spans="1:18" ht="15.75" customHeight="1">
      <c r="A52" s="13" t="s">
        <v>59</v>
      </c>
      <c r="B52" s="114">
        <f>_xlfn.COMPOUNDVALUE(565)</f>
        <v>1349</v>
      </c>
      <c r="C52" s="115">
        <v>8520020</v>
      </c>
      <c r="D52" s="114">
        <f>_xlfn.COMPOUNDVALUE(566)</f>
        <v>1278</v>
      </c>
      <c r="E52" s="115">
        <v>563796</v>
      </c>
      <c r="F52" s="114">
        <f>_xlfn.COMPOUNDVALUE(567)</f>
        <v>2627</v>
      </c>
      <c r="G52" s="115">
        <v>9083816</v>
      </c>
      <c r="H52" s="114">
        <f>_xlfn.COMPOUNDVALUE(568)</f>
        <v>160</v>
      </c>
      <c r="I52" s="116">
        <v>841685</v>
      </c>
      <c r="J52" s="114">
        <v>137</v>
      </c>
      <c r="K52" s="116">
        <v>5776</v>
      </c>
      <c r="L52" s="114">
        <v>2810</v>
      </c>
      <c r="M52" s="116">
        <v>8247907</v>
      </c>
      <c r="N52" s="175">
        <v>2730</v>
      </c>
      <c r="O52" s="176">
        <v>58</v>
      </c>
      <c r="P52" s="176">
        <v>3</v>
      </c>
      <c r="Q52" s="177">
        <v>2791</v>
      </c>
      <c r="R52" s="14" t="s">
        <v>135</v>
      </c>
    </row>
    <row r="53" spans="1:18" ht="15.75" customHeight="1">
      <c r="A53" s="13" t="s">
        <v>60</v>
      </c>
      <c r="B53" s="114">
        <f>_xlfn.COMPOUNDVALUE(569)</f>
        <v>934</v>
      </c>
      <c r="C53" s="115">
        <v>4390761</v>
      </c>
      <c r="D53" s="114">
        <f>_xlfn.COMPOUNDVALUE(570)</f>
        <v>967</v>
      </c>
      <c r="E53" s="115">
        <v>445345</v>
      </c>
      <c r="F53" s="114">
        <f>_xlfn.COMPOUNDVALUE(571)</f>
        <v>1901</v>
      </c>
      <c r="G53" s="115">
        <v>4836106</v>
      </c>
      <c r="H53" s="114">
        <f>_xlfn.COMPOUNDVALUE(572)</f>
        <v>90</v>
      </c>
      <c r="I53" s="116">
        <v>401904</v>
      </c>
      <c r="J53" s="114">
        <v>114</v>
      </c>
      <c r="K53" s="116">
        <v>15160</v>
      </c>
      <c r="L53" s="114">
        <v>2021</v>
      </c>
      <c r="M53" s="116">
        <v>4449362</v>
      </c>
      <c r="N53" s="175">
        <v>1960</v>
      </c>
      <c r="O53" s="176">
        <v>45</v>
      </c>
      <c r="P53" s="176">
        <v>2</v>
      </c>
      <c r="Q53" s="177">
        <v>2007</v>
      </c>
      <c r="R53" s="14" t="s">
        <v>136</v>
      </c>
    </row>
    <row r="54" spans="1:18" ht="15.75" customHeight="1">
      <c r="A54" s="13" t="s">
        <v>61</v>
      </c>
      <c r="B54" s="114">
        <f>_xlfn.COMPOUNDVALUE(573)</f>
        <v>911</v>
      </c>
      <c r="C54" s="115">
        <v>5346834</v>
      </c>
      <c r="D54" s="114">
        <f>_xlfn.COMPOUNDVALUE(574)</f>
        <v>924</v>
      </c>
      <c r="E54" s="115">
        <v>396032</v>
      </c>
      <c r="F54" s="114">
        <f>_xlfn.COMPOUNDVALUE(575)</f>
        <v>1835</v>
      </c>
      <c r="G54" s="115">
        <v>5742866</v>
      </c>
      <c r="H54" s="114">
        <f>_xlfn.COMPOUNDVALUE(576)</f>
        <v>78</v>
      </c>
      <c r="I54" s="116">
        <v>284181</v>
      </c>
      <c r="J54" s="114">
        <v>93</v>
      </c>
      <c r="K54" s="116">
        <v>8263</v>
      </c>
      <c r="L54" s="114">
        <v>1936</v>
      </c>
      <c r="M54" s="116">
        <v>5466947</v>
      </c>
      <c r="N54" s="175">
        <v>1853</v>
      </c>
      <c r="O54" s="176">
        <v>43</v>
      </c>
      <c r="P54" s="176">
        <v>1</v>
      </c>
      <c r="Q54" s="177">
        <v>1897</v>
      </c>
      <c r="R54" s="14" t="s">
        <v>137</v>
      </c>
    </row>
    <row r="55" spans="1:18" ht="15.75" customHeight="1">
      <c r="A55" s="13" t="s">
        <v>62</v>
      </c>
      <c r="B55" s="114">
        <f>_xlfn.COMPOUNDVALUE(577)</f>
        <v>1115</v>
      </c>
      <c r="C55" s="115">
        <v>5858118</v>
      </c>
      <c r="D55" s="114">
        <f>_xlfn.COMPOUNDVALUE(578)</f>
        <v>1071</v>
      </c>
      <c r="E55" s="115">
        <v>438201</v>
      </c>
      <c r="F55" s="114">
        <f>_xlfn.COMPOUNDVALUE(579)</f>
        <v>2186</v>
      </c>
      <c r="G55" s="115">
        <v>6296318</v>
      </c>
      <c r="H55" s="114">
        <f>_xlfn.COMPOUNDVALUE(580)</f>
        <v>126</v>
      </c>
      <c r="I55" s="116">
        <v>2218992</v>
      </c>
      <c r="J55" s="114">
        <v>200</v>
      </c>
      <c r="K55" s="116">
        <v>27732</v>
      </c>
      <c r="L55" s="114">
        <v>2385</v>
      </c>
      <c r="M55" s="116">
        <v>4105058</v>
      </c>
      <c r="N55" s="175">
        <v>2263</v>
      </c>
      <c r="O55" s="176">
        <v>52</v>
      </c>
      <c r="P55" s="176">
        <v>4</v>
      </c>
      <c r="Q55" s="177">
        <v>2319</v>
      </c>
      <c r="R55" s="14" t="s">
        <v>138</v>
      </c>
    </row>
    <row r="56" spans="1:18" ht="15.75" customHeight="1">
      <c r="A56" s="13" t="s">
        <v>63</v>
      </c>
      <c r="B56" s="114">
        <f>_xlfn.COMPOUNDVALUE(581)</f>
        <v>734</v>
      </c>
      <c r="C56" s="115">
        <v>4257720</v>
      </c>
      <c r="D56" s="114">
        <f>_xlfn.COMPOUNDVALUE(582)</f>
        <v>583</v>
      </c>
      <c r="E56" s="115">
        <v>265776</v>
      </c>
      <c r="F56" s="114">
        <f>_xlfn.COMPOUNDVALUE(583)</f>
        <v>1317</v>
      </c>
      <c r="G56" s="115">
        <v>4523496</v>
      </c>
      <c r="H56" s="114">
        <f>_xlfn.COMPOUNDVALUE(584)</f>
        <v>104</v>
      </c>
      <c r="I56" s="116">
        <v>291657</v>
      </c>
      <c r="J56" s="114">
        <v>60</v>
      </c>
      <c r="K56" s="116">
        <v>578</v>
      </c>
      <c r="L56" s="114">
        <v>1442</v>
      </c>
      <c r="M56" s="116">
        <v>4232416</v>
      </c>
      <c r="N56" s="175">
        <v>1370</v>
      </c>
      <c r="O56" s="176">
        <v>35</v>
      </c>
      <c r="P56" s="176">
        <v>1</v>
      </c>
      <c r="Q56" s="177">
        <v>1406</v>
      </c>
      <c r="R56" s="14" t="s">
        <v>139</v>
      </c>
    </row>
    <row r="57" spans="1:18" ht="15.75" customHeight="1">
      <c r="A57" s="84" t="s">
        <v>64</v>
      </c>
      <c r="B57" s="129">
        <v>13070</v>
      </c>
      <c r="C57" s="130">
        <v>81238556</v>
      </c>
      <c r="D57" s="129">
        <v>11948</v>
      </c>
      <c r="E57" s="130">
        <v>5476518</v>
      </c>
      <c r="F57" s="129">
        <v>25018</v>
      </c>
      <c r="G57" s="130">
        <v>86715074</v>
      </c>
      <c r="H57" s="129">
        <v>1257</v>
      </c>
      <c r="I57" s="131">
        <v>6944658</v>
      </c>
      <c r="J57" s="129">
        <v>1347</v>
      </c>
      <c r="K57" s="131">
        <v>112507</v>
      </c>
      <c r="L57" s="129">
        <v>26656</v>
      </c>
      <c r="M57" s="131">
        <v>79882923</v>
      </c>
      <c r="N57" s="178">
        <v>25725</v>
      </c>
      <c r="O57" s="179">
        <v>599</v>
      </c>
      <c r="P57" s="179">
        <v>31</v>
      </c>
      <c r="Q57" s="180">
        <v>26355</v>
      </c>
      <c r="R57" s="83" t="s">
        <v>140</v>
      </c>
    </row>
    <row r="58" spans="1:18" ht="15.75" customHeight="1">
      <c r="A58" s="85"/>
      <c r="B58" s="132"/>
      <c r="C58" s="133"/>
      <c r="D58" s="132"/>
      <c r="E58" s="133"/>
      <c r="F58" s="134"/>
      <c r="G58" s="133"/>
      <c r="H58" s="134"/>
      <c r="I58" s="133"/>
      <c r="J58" s="134"/>
      <c r="K58" s="133"/>
      <c r="L58" s="134"/>
      <c r="M58" s="133"/>
      <c r="N58" s="181"/>
      <c r="O58" s="182"/>
      <c r="P58" s="182"/>
      <c r="Q58" s="183"/>
      <c r="R58" s="86" t="s">
        <v>141</v>
      </c>
    </row>
    <row r="59" spans="1:18" ht="15.75" customHeight="1">
      <c r="A59" s="87" t="s">
        <v>65</v>
      </c>
      <c r="B59" s="135">
        <f>_xlfn.COMPOUNDVALUE(585)</f>
        <v>4211</v>
      </c>
      <c r="C59" s="136">
        <v>29924104</v>
      </c>
      <c r="D59" s="135">
        <f>_xlfn.COMPOUNDVALUE(586)</f>
        <v>3107</v>
      </c>
      <c r="E59" s="136">
        <v>1634648</v>
      </c>
      <c r="F59" s="135">
        <f>_xlfn.COMPOUNDVALUE(587)</f>
        <v>7318</v>
      </c>
      <c r="G59" s="136">
        <v>31558752</v>
      </c>
      <c r="H59" s="135">
        <f>_xlfn.COMPOUNDVALUE(588)</f>
        <v>356</v>
      </c>
      <c r="I59" s="137">
        <v>3851438</v>
      </c>
      <c r="J59" s="135">
        <v>429</v>
      </c>
      <c r="K59" s="137">
        <v>63251</v>
      </c>
      <c r="L59" s="135">
        <v>7762</v>
      </c>
      <c r="M59" s="137">
        <v>27770566</v>
      </c>
      <c r="N59" s="184">
        <v>7767</v>
      </c>
      <c r="O59" s="185">
        <v>197</v>
      </c>
      <c r="P59" s="185">
        <v>18</v>
      </c>
      <c r="Q59" s="186">
        <v>7982</v>
      </c>
      <c r="R59" s="88" t="s">
        <v>142</v>
      </c>
    </row>
    <row r="60" spans="1:18" ht="15.75" customHeight="1">
      <c r="A60" s="11" t="s">
        <v>66</v>
      </c>
      <c r="B60" s="111">
        <f>_xlfn.COMPOUNDVALUE(589)</f>
        <v>2119</v>
      </c>
      <c r="C60" s="112">
        <v>11265991</v>
      </c>
      <c r="D60" s="111">
        <f>_xlfn.COMPOUNDVALUE(590)</f>
        <v>1943</v>
      </c>
      <c r="E60" s="112">
        <v>930594</v>
      </c>
      <c r="F60" s="111">
        <f>_xlfn.COMPOUNDVALUE(591)</f>
        <v>4062</v>
      </c>
      <c r="G60" s="112">
        <v>12196585</v>
      </c>
      <c r="H60" s="111">
        <f>_xlfn.COMPOUNDVALUE(592)</f>
        <v>170</v>
      </c>
      <c r="I60" s="113">
        <v>1164885</v>
      </c>
      <c r="J60" s="111">
        <v>229</v>
      </c>
      <c r="K60" s="113">
        <v>25243</v>
      </c>
      <c r="L60" s="111">
        <v>4284</v>
      </c>
      <c r="M60" s="113">
        <v>11056943</v>
      </c>
      <c r="N60" s="175">
        <v>4256</v>
      </c>
      <c r="O60" s="176">
        <v>89</v>
      </c>
      <c r="P60" s="176">
        <v>9</v>
      </c>
      <c r="Q60" s="177">
        <v>4354</v>
      </c>
      <c r="R60" s="14" t="s">
        <v>143</v>
      </c>
    </row>
    <row r="61" spans="1:18" ht="15.75" customHeight="1">
      <c r="A61" s="11" t="s">
        <v>67</v>
      </c>
      <c r="B61" s="111">
        <f>_xlfn.COMPOUNDVALUE(593)</f>
        <v>5282</v>
      </c>
      <c r="C61" s="112">
        <v>40148364</v>
      </c>
      <c r="D61" s="111">
        <f>_xlfn.COMPOUNDVALUE(594)</f>
        <v>3529</v>
      </c>
      <c r="E61" s="112">
        <v>2078335</v>
      </c>
      <c r="F61" s="111">
        <f>_xlfn.COMPOUNDVALUE(595)</f>
        <v>8811</v>
      </c>
      <c r="G61" s="112">
        <v>42226699</v>
      </c>
      <c r="H61" s="111">
        <f>_xlfn.COMPOUNDVALUE(596)</f>
        <v>517</v>
      </c>
      <c r="I61" s="113">
        <v>3034049</v>
      </c>
      <c r="J61" s="111">
        <v>363</v>
      </c>
      <c r="K61" s="113">
        <v>142525</v>
      </c>
      <c r="L61" s="111">
        <v>9457</v>
      </c>
      <c r="M61" s="113">
        <v>39335175</v>
      </c>
      <c r="N61" s="175">
        <v>9478</v>
      </c>
      <c r="O61" s="176">
        <v>248</v>
      </c>
      <c r="P61" s="176">
        <v>25</v>
      </c>
      <c r="Q61" s="177">
        <v>9751</v>
      </c>
      <c r="R61" s="14" t="s">
        <v>144</v>
      </c>
    </row>
    <row r="62" spans="1:18" ht="15.75" customHeight="1">
      <c r="A62" s="13" t="s">
        <v>68</v>
      </c>
      <c r="B62" s="114">
        <f>_xlfn.COMPOUNDVALUE(597)</f>
        <v>4403</v>
      </c>
      <c r="C62" s="115">
        <v>26723316</v>
      </c>
      <c r="D62" s="114">
        <f>_xlfn.COMPOUNDVALUE(598)</f>
        <v>2730</v>
      </c>
      <c r="E62" s="115">
        <v>1697540</v>
      </c>
      <c r="F62" s="114">
        <f>_xlfn.COMPOUNDVALUE(599)</f>
        <v>7133</v>
      </c>
      <c r="G62" s="115">
        <v>28420856</v>
      </c>
      <c r="H62" s="114">
        <f>_xlfn.COMPOUNDVALUE(600)</f>
        <v>307</v>
      </c>
      <c r="I62" s="116">
        <v>3295344</v>
      </c>
      <c r="J62" s="114">
        <v>310</v>
      </c>
      <c r="K62" s="116">
        <v>76445</v>
      </c>
      <c r="L62" s="114">
        <v>7563</v>
      </c>
      <c r="M62" s="116">
        <v>25201957</v>
      </c>
      <c r="N62" s="175">
        <v>7571</v>
      </c>
      <c r="O62" s="176">
        <v>206</v>
      </c>
      <c r="P62" s="176">
        <v>8</v>
      </c>
      <c r="Q62" s="177">
        <v>7785</v>
      </c>
      <c r="R62" s="14" t="s">
        <v>68</v>
      </c>
    </row>
    <row r="63" spans="1:18" ht="15.75" customHeight="1">
      <c r="A63" s="13" t="s">
        <v>69</v>
      </c>
      <c r="B63" s="114">
        <f>_xlfn.COMPOUNDVALUE(601)</f>
        <v>1600</v>
      </c>
      <c r="C63" s="115">
        <v>8729055</v>
      </c>
      <c r="D63" s="114">
        <f>_xlfn.COMPOUNDVALUE(602)</f>
        <v>1345</v>
      </c>
      <c r="E63" s="115">
        <v>685720</v>
      </c>
      <c r="F63" s="114">
        <f>_xlfn.COMPOUNDVALUE(603)</f>
        <v>2945</v>
      </c>
      <c r="G63" s="115">
        <v>9414775</v>
      </c>
      <c r="H63" s="114">
        <f>_xlfn.COMPOUNDVALUE(604)</f>
        <v>210</v>
      </c>
      <c r="I63" s="116">
        <v>459210</v>
      </c>
      <c r="J63" s="114">
        <v>104</v>
      </c>
      <c r="K63" s="116">
        <v>39515</v>
      </c>
      <c r="L63" s="114">
        <v>3191</v>
      </c>
      <c r="M63" s="116">
        <v>8995080</v>
      </c>
      <c r="N63" s="175">
        <v>3107</v>
      </c>
      <c r="O63" s="176">
        <v>93</v>
      </c>
      <c r="P63" s="176">
        <v>4</v>
      </c>
      <c r="Q63" s="177">
        <v>3204</v>
      </c>
      <c r="R63" s="14" t="s">
        <v>145</v>
      </c>
    </row>
    <row r="64" spans="1:18" ht="15.75" customHeight="1">
      <c r="A64" s="13" t="s">
        <v>70</v>
      </c>
      <c r="B64" s="114">
        <f>_xlfn.COMPOUNDVALUE(605)</f>
        <v>1556</v>
      </c>
      <c r="C64" s="115">
        <v>8383794</v>
      </c>
      <c r="D64" s="114">
        <f>_xlfn.COMPOUNDVALUE(606)</f>
        <v>1359</v>
      </c>
      <c r="E64" s="115">
        <v>657004</v>
      </c>
      <c r="F64" s="114">
        <f>_xlfn.COMPOUNDVALUE(607)</f>
        <v>2915</v>
      </c>
      <c r="G64" s="115">
        <v>9040798</v>
      </c>
      <c r="H64" s="114">
        <f>_xlfn.COMPOUNDVALUE(608)</f>
        <v>197</v>
      </c>
      <c r="I64" s="116">
        <v>652400</v>
      </c>
      <c r="J64" s="114">
        <v>140</v>
      </c>
      <c r="K64" s="116">
        <v>10180</v>
      </c>
      <c r="L64" s="114">
        <v>3152</v>
      </c>
      <c r="M64" s="116">
        <v>8398578</v>
      </c>
      <c r="N64" s="175">
        <v>3130</v>
      </c>
      <c r="O64" s="176">
        <v>79</v>
      </c>
      <c r="P64" s="176">
        <v>1</v>
      </c>
      <c r="Q64" s="177">
        <v>3210</v>
      </c>
      <c r="R64" s="14" t="s">
        <v>146</v>
      </c>
    </row>
    <row r="65" spans="1:18" ht="15.75" customHeight="1">
      <c r="A65" s="13" t="s">
        <v>71</v>
      </c>
      <c r="B65" s="114">
        <f>_xlfn.COMPOUNDVALUE(609)</f>
        <v>603</v>
      </c>
      <c r="C65" s="115">
        <v>2954337</v>
      </c>
      <c r="D65" s="114">
        <f>_xlfn.COMPOUNDVALUE(610)</f>
        <v>619</v>
      </c>
      <c r="E65" s="115">
        <v>272199</v>
      </c>
      <c r="F65" s="114">
        <f>_xlfn.COMPOUNDVALUE(611)</f>
        <v>1222</v>
      </c>
      <c r="G65" s="115">
        <v>3226536</v>
      </c>
      <c r="H65" s="114">
        <f>_xlfn.COMPOUNDVALUE(612)</f>
        <v>62</v>
      </c>
      <c r="I65" s="116">
        <v>58976</v>
      </c>
      <c r="J65" s="114">
        <v>79</v>
      </c>
      <c r="K65" s="116">
        <v>15851</v>
      </c>
      <c r="L65" s="114">
        <v>1320</v>
      </c>
      <c r="M65" s="116">
        <v>3183410</v>
      </c>
      <c r="N65" s="175">
        <v>1219</v>
      </c>
      <c r="O65" s="176">
        <v>33</v>
      </c>
      <c r="P65" s="176">
        <v>5</v>
      </c>
      <c r="Q65" s="177">
        <v>1257</v>
      </c>
      <c r="R65" s="14" t="s">
        <v>147</v>
      </c>
    </row>
    <row r="66" spans="1:18" ht="15.75" customHeight="1">
      <c r="A66" s="13" t="s">
        <v>72</v>
      </c>
      <c r="B66" s="114">
        <f>_xlfn.COMPOUNDVALUE(613)</f>
        <v>2207</v>
      </c>
      <c r="C66" s="115">
        <v>16485247</v>
      </c>
      <c r="D66" s="114">
        <f>_xlfn.COMPOUNDVALUE(614)</f>
        <v>1250</v>
      </c>
      <c r="E66" s="115">
        <v>667428</v>
      </c>
      <c r="F66" s="114">
        <f>_xlfn.COMPOUNDVALUE(615)</f>
        <v>3457</v>
      </c>
      <c r="G66" s="115">
        <v>17152675</v>
      </c>
      <c r="H66" s="114">
        <f>_xlfn.COMPOUNDVALUE(616)</f>
        <v>309</v>
      </c>
      <c r="I66" s="116">
        <v>5323871</v>
      </c>
      <c r="J66" s="114">
        <v>203</v>
      </c>
      <c r="K66" s="116">
        <v>3769</v>
      </c>
      <c r="L66" s="114">
        <v>3831</v>
      </c>
      <c r="M66" s="116">
        <v>11832573</v>
      </c>
      <c r="N66" s="175">
        <v>3708</v>
      </c>
      <c r="O66" s="176">
        <v>223</v>
      </c>
      <c r="P66" s="176">
        <v>15</v>
      </c>
      <c r="Q66" s="177">
        <v>3946</v>
      </c>
      <c r="R66" s="14" t="s">
        <v>148</v>
      </c>
    </row>
    <row r="67" spans="1:18" ht="15.75" customHeight="1">
      <c r="A67" s="13" t="s">
        <v>73</v>
      </c>
      <c r="B67" s="114">
        <f>_xlfn.COMPOUNDVALUE(617)</f>
        <v>1099</v>
      </c>
      <c r="C67" s="115">
        <v>6148629</v>
      </c>
      <c r="D67" s="114">
        <f>_xlfn.COMPOUNDVALUE(618)</f>
        <v>770</v>
      </c>
      <c r="E67" s="115">
        <v>388038</v>
      </c>
      <c r="F67" s="114">
        <f>_xlfn.COMPOUNDVALUE(619)</f>
        <v>1869</v>
      </c>
      <c r="G67" s="115">
        <v>6536668</v>
      </c>
      <c r="H67" s="114">
        <f>_xlfn.COMPOUNDVALUE(620)</f>
        <v>140</v>
      </c>
      <c r="I67" s="116">
        <v>255610</v>
      </c>
      <c r="J67" s="114">
        <v>66</v>
      </c>
      <c r="K67" s="116">
        <v>29301</v>
      </c>
      <c r="L67" s="114">
        <v>2029</v>
      </c>
      <c r="M67" s="116">
        <v>6310359</v>
      </c>
      <c r="N67" s="175">
        <v>1988</v>
      </c>
      <c r="O67" s="176">
        <v>65</v>
      </c>
      <c r="P67" s="176">
        <v>5</v>
      </c>
      <c r="Q67" s="177">
        <v>2058</v>
      </c>
      <c r="R67" s="14" t="s">
        <v>149</v>
      </c>
    </row>
    <row r="68" spans="1:18" ht="15.75" customHeight="1">
      <c r="A68" s="13" t="s">
        <v>74</v>
      </c>
      <c r="B68" s="114">
        <f>_xlfn.COMPOUNDVALUE(621)</f>
        <v>378</v>
      </c>
      <c r="C68" s="115">
        <v>1488431</v>
      </c>
      <c r="D68" s="114">
        <f>_xlfn.COMPOUNDVALUE(622)</f>
        <v>298</v>
      </c>
      <c r="E68" s="115">
        <v>146955</v>
      </c>
      <c r="F68" s="114">
        <f>_xlfn.COMPOUNDVALUE(623)</f>
        <v>676</v>
      </c>
      <c r="G68" s="115">
        <v>1635386</v>
      </c>
      <c r="H68" s="114">
        <f>_xlfn.COMPOUNDVALUE(624)</f>
        <v>37</v>
      </c>
      <c r="I68" s="116">
        <v>52765</v>
      </c>
      <c r="J68" s="114">
        <v>30</v>
      </c>
      <c r="K68" s="116">
        <v>10107</v>
      </c>
      <c r="L68" s="114">
        <v>723</v>
      </c>
      <c r="M68" s="116">
        <v>1592728</v>
      </c>
      <c r="N68" s="175">
        <v>681</v>
      </c>
      <c r="O68" s="176">
        <v>14</v>
      </c>
      <c r="P68" s="200">
        <v>1</v>
      </c>
      <c r="Q68" s="177">
        <v>696</v>
      </c>
      <c r="R68" s="14" t="s">
        <v>150</v>
      </c>
    </row>
    <row r="69" spans="1:18" ht="15.75" customHeight="1">
      <c r="A69" s="84" t="s">
        <v>75</v>
      </c>
      <c r="B69" s="129">
        <v>23458</v>
      </c>
      <c r="C69" s="130">
        <v>152251268</v>
      </c>
      <c r="D69" s="129">
        <v>16950</v>
      </c>
      <c r="E69" s="130">
        <v>9158461</v>
      </c>
      <c r="F69" s="129">
        <v>40408</v>
      </c>
      <c r="G69" s="130">
        <v>161409729</v>
      </c>
      <c r="H69" s="129">
        <v>2305</v>
      </c>
      <c r="I69" s="131">
        <v>18148548</v>
      </c>
      <c r="J69" s="129">
        <v>1953</v>
      </c>
      <c r="K69" s="131">
        <v>416189</v>
      </c>
      <c r="L69" s="129">
        <v>43312</v>
      </c>
      <c r="M69" s="131">
        <v>143677369</v>
      </c>
      <c r="N69" s="178">
        <v>42905</v>
      </c>
      <c r="O69" s="179">
        <v>1247</v>
      </c>
      <c r="P69" s="179">
        <v>91</v>
      </c>
      <c r="Q69" s="180">
        <v>44243</v>
      </c>
      <c r="R69" s="83" t="s">
        <v>151</v>
      </c>
    </row>
    <row r="70" spans="1:18" ht="15.75" customHeight="1" thickBot="1">
      <c r="A70" s="18"/>
      <c r="B70" s="141"/>
      <c r="C70" s="142"/>
      <c r="D70" s="141"/>
      <c r="E70" s="142"/>
      <c r="F70" s="143"/>
      <c r="G70" s="142"/>
      <c r="H70" s="143"/>
      <c r="I70" s="142"/>
      <c r="J70" s="143"/>
      <c r="K70" s="142"/>
      <c r="L70" s="143"/>
      <c r="M70" s="142"/>
      <c r="N70" s="190"/>
      <c r="O70" s="191"/>
      <c r="P70" s="191"/>
      <c r="Q70" s="192"/>
      <c r="R70" s="82"/>
    </row>
    <row r="71" spans="1:18" ht="15.75" customHeight="1" thickBot="1" thickTop="1">
      <c r="A71" s="21" t="s">
        <v>94</v>
      </c>
      <c r="B71" s="126">
        <v>103623</v>
      </c>
      <c r="C71" s="127">
        <v>715176364</v>
      </c>
      <c r="D71" s="126">
        <v>79446</v>
      </c>
      <c r="E71" s="127">
        <v>40785888</v>
      </c>
      <c r="F71" s="126">
        <v>183069</v>
      </c>
      <c r="G71" s="127">
        <v>755962252</v>
      </c>
      <c r="H71" s="126">
        <v>10715</v>
      </c>
      <c r="I71" s="128">
        <v>54291850</v>
      </c>
      <c r="J71" s="126">
        <v>9854</v>
      </c>
      <c r="K71" s="128">
        <v>1400395</v>
      </c>
      <c r="L71" s="126">
        <v>196784</v>
      </c>
      <c r="M71" s="128">
        <v>703070796</v>
      </c>
      <c r="N71" s="193">
        <v>193058</v>
      </c>
      <c r="O71" s="194">
        <v>5687</v>
      </c>
      <c r="P71" s="194">
        <v>416</v>
      </c>
      <c r="Q71" s="195">
        <v>199161</v>
      </c>
      <c r="R71" s="32" t="s">
        <v>94</v>
      </c>
    </row>
    <row r="72" spans="1:10" ht="19.5" customHeight="1">
      <c r="A72" s="224" t="s">
        <v>234</v>
      </c>
      <c r="B72" s="224"/>
      <c r="C72" s="224"/>
      <c r="D72" s="224"/>
      <c r="E72" s="224"/>
      <c r="F72" s="224"/>
      <c r="G72" s="224"/>
      <c r="H72" s="224"/>
      <c r="I72" s="224"/>
      <c r="J72" s="224"/>
    </row>
  </sheetData>
  <sheetProtection/>
  <mergeCells count="16">
    <mergeCell ref="A2:I2"/>
    <mergeCell ref="A3:A5"/>
    <mergeCell ref="B3:G3"/>
    <mergeCell ref="H3:I4"/>
    <mergeCell ref="R3:R5"/>
    <mergeCell ref="B4:C4"/>
    <mergeCell ref="D4:E4"/>
    <mergeCell ref="F4:G4"/>
    <mergeCell ref="N4:N5"/>
    <mergeCell ref="A72:J72"/>
    <mergeCell ref="O4:O5"/>
    <mergeCell ref="P4:P5"/>
    <mergeCell ref="Q4:Q5"/>
    <mergeCell ref="J3:K4"/>
    <mergeCell ref="L3:M4"/>
    <mergeCell ref="N3:Q3"/>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67" r:id="rId1"/>
  <headerFooter alignWithMargins="0">
    <oddFooter>&amp;R仙台国税局
消費税
(R02)</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2020-01-21T02:29:54Z</cp:lastPrinted>
  <dcterms:created xsi:type="dcterms:W3CDTF">2011-12-09T10:59:54Z</dcterms:created>
  <dcterms:modified xsi:type="dcterms:W3CDTF">2022-05-31T05:55:13Z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