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830"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'(4)税務署別(個人事業者）'!$A$1:$N$72</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<sst xmlns="http://schemas.openxmlformats.org/spreadsheetml/2006/main" count="554" uniqueCount="253">
  <si>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</si>
  <si>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</si>
  <si>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</si>
  <si>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</si>
  <si>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</si>
  <si>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</si>
  <si>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</si>
  <si>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</si>
  <si>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</si>
  <si>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</si>
  <si>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</si>
  <si>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</si>
  <si>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</si>
  <si>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</si>
  <si>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</si>
  <si>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</si>
  <si>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</si>
  <si>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</si>
  <si>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</si>
  <si>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</si>
  <si>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</si>
  <si>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</si>
  <si>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</si>
  <si>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</si>
  <si>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</si>
  <si>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</si>
  <si>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</si>
  <si>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</si>
  <si>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</si>
  <si>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</si>
  <si>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</si>
  <si>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</si>
  <si>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</si>
  <si>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</si>
  <si>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</si>
  <si>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</si>
  <si>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</si>
  <si>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</si>
  <si>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</si>
  <si>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</si>
  <si>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</si>
  <si>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</si>
  <si>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</si>
  <si>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</si>
  <si>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</si>
  <si>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</si>
  <si>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</si>
  <si>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</si>
  <si>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</si>
  <si>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</si>
  <si>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</si>
  <si>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</si>
  <si>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</si>
  <si>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</si>
  <si>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</si>
  <si>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</si>
  <si>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</si>
  <si>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</si>
  <si>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</si>
  <si>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</si>
  <si>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</si>
  <si>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</si>
  <si>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</si>
  <si>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</si>
  <si>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</si>
  <si>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</si>
  <si>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</si>
  <si>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</si>
  <si>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</si>
  <si>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</si>
  <si>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</si>
  <si>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</si>
  <si>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</si>
  <si>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</si>
  <si>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</si>
  <si>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</si>
  <si>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　ロ　法　　　人</t>
  </si>
  <si>
    <t>税務署名</t>
  </si>
  <si>
    <t>青森</t>
  </si>
  <si>
    <t>弘前</t>
  </si>
  <si>
    <t>八戸</t>
  </si>
  <si>
    <t>黒石</t>
  </si>
  <si>
    <t>五所川原</t>
  </si>
  <si>
    <t>十和田</t>
  </si>
  <si>
    <t>　ハ　個人事業者と法人の合計</t>
  </si>
  <si>
    <t>課　税　事　業　者　等　届　出　件　数</t>
  </si>
  <si>
    <t>課税事業者
届出</t>
  </si>
  <si>
    <t>課税事業者
選択届出</t>
  </si>
  <si>
    <t>新設法人に
該当する旨
の届出</t>
  </si>
  <si>
    <t>合　　　計</t>
  </si>
  <si>
    <t>岩手県計</t>
  </si>
  <si>
    <t>件数</t>
  </si>
  <si>
    <t>税　　　額
(①－②＋③)</t>
  </si>
  <si>
    <t>税　　額
(①－②＋③)</t>
  </si>
  <si>
    <t>総　計</t>
  </si>
  <si>
    <t>青森県計</t>
  </si>
  <si>
    <t>青森</t>
  </si>
  <si>
    <t>弘前</t>
  </si>
  <si>
    <t>八戸</t>
  </si>
  <si>
    <t>黒石</t>
  </si>
  <si>
    <t>五所川原</t>
  </si>
  <si>
    <t>十和田</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</si>
  <si>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</si>
  <si>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</si>
  <si>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</si>
  <si>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</si>
  <si>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</si>
  <si>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</si>
  <si>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</si>
  <si>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</si>
  <si>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</si>
  <si>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</si>
  <si>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</si>
  <si>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</si>
  <si>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</si>
  <si>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</si>
  <si>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</si>
  <si>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</si>
  <si>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</si>
  <si>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</si>
  <si>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</si>
  <si>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</si>
  <si>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</si>
  <si>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</si>
  <si>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</si>
  <si>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</si>
  <si>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</si>
  <si>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</si>
  <si>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</si>
  <si>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</si>
  <si>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</si>
  <si>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</si>
  <si>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</si>
  <si>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</si>
  <si>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</si>
  <si>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</si>
  <si>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</si>
  <si>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</si>
  <si>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</si>
  <si>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</si>
  <si>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</si>
  <si>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
  </si>
  <si>
    <t>福島</t>
  </si>
  <si>
    <t>会津若松</t>
  </si>
  <si>
    <t>郡山</t>
  </si>
  <si>
    <t>白河</t>
  </si>
  <si>
    <t>須賀川</t>
  </si>
  <si>
    <t>喜多方</t>
  </si>
  <si>
    <t>相馬</t>
  </si>
  <si>
    <t>二本松</t>
  </si>
  <si>
    <t>田島</t>
  </si>
  <si>
    <t>福島県計</t>
  </si>
  <si>
    <t>区　　　分</t>
  </si>
  <si>
    <t>件　　　数</t>
  </si>
  <si>
    <t>税　　　額</t>
  </si>
  <si>
    <t>件</t>
  </si>
  <si>
    <t>千円</t>
  </si>
  <si>
    <t>差引計</t>
  </si>
  <si>
    <t>実</t>
  </si>
  <si>
    <t>加算税</t>
  </si>
  <si>
    <t>(2)　課税状況の累年比較</t>
  </si>
  <si>
    <t>納税申告計</t>
  </si>
  <si>
    <t>(3)　課税事業者等届出件数</t>
  </si>
  <si>
    <t>課税事業者届出書</t>
  </si>
  <si>
    <t>課税事業者選択届出書</t>
  </si>
  <si>
    <t>新設法人に該当する旨の届出書</t>
  </si>
  <si>
    <t>合計</t>
  </si>
  <si>
    <t>（注）　納税義務者でなくなった旨の届出書又は課税事業者選択不適用届出書を提出した者は含まない。</t>
  </si>
  <si>
    <t>調査対象等：</t>
  </si>
  <si>
    <t>（注）１　税関分は含まない。</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</si>
  <si>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</si>
  <si>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</si>
  <si>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</si>
  <si>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</si>
  <si>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</si>
  <si>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</si>
  <si>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</si>
  <si>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</si>
  <si>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</si>
  <si>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</si>
  <si>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</si>
  <si>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</si>
  <si>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法　　　　　　　人</t>
  </si>
  <si>
    <t>合　　　　　　　計</t>
  </si>
  <si>
    <t>件　　数</t>
  </si>
  <si>
    <t>税　　額</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</si>
  <si>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</si>
  <si>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</si>
  <si>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</si>
  <si>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</si>
  <si>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</si>
  <si>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</si>
  <si>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</si>
  <si>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</si>
  <si>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</si>
  <si>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</si>
  <si>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</si>
  <si>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</si>
  <si>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</si>
  <si>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</si>
  <si>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</si>
  <si>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</si>
  <si>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</si>
  <si>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</si>
  <si>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</si>
  <si>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</si>
  <si>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</si>
  <si>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</si>
  <si>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</si>
  <si>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</si>
  <si>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</si>
  <si>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</si>
  <si>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</si>
  <si>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</si>
  <si>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</si>
  <si>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</si>
  <si>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</si>
  <si>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</si>
  <si>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</si>
  <si>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</si>
  <si>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</si>
  <si>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</si>
  <si>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</si>
  <si>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</si>
  <si>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</si>
  <si>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</si>
  <si>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</si>
  <si>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</si>
  <si>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</si>
  <si>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</si>
  <si>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</si>
  <si>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</si>
  <si>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</si>
  <si>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</si>
  <si>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</si>
  <si>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</si>
  <si>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総　計</t>
  </si>
  <si>
    <t>平成26年度</t>
  </si>
  <si>
    <t>　　　２　「件数」欄の「実」は、実件数を示す。</t>
  </si>
  <si>
    <t>平成27年度</t>
  </si>
  <si>
    <t>７　消　費　税</t>
  </si>
  <si>
    <t>（注）　この表は、「(1)　課税状況」の現年分及び既往年分を税務署別に示したものである（加算税を除く。）。</t>
  </si>
  <si>
    <t>（注）　この表は、「(1)　課税状況」の現年分及び既往年分並びに「(3)　課税事業者等届出件数」を税務署別に示したものである（加算税を除く。）。</t>
  </si>
  <si>
    <t>平成28年度</t>
  </si>
  <si>
    <t>実件</t>
  </si>
  <si>
    <t>(4)　税務署別課税状況等</t>
  </si>
  <si>
    <t>(4)　税務署別課税状況等（続）</t>
  </si>
  <si>
    <t>平成29年度</t>
  </si>
  <si>
    <t>　「現年分」は、平成30年４月１日から平成31年３月31日までに終了した課税期間について、令和元年６月30日現在の申告（国・地方公共団体等については令和元年９月30日までの申告を含む。）及び処理（更正、決定等）による課税事績を「申告書及び決議書」に基づいて作成した。</t>
  </si>
  <si>
    <t>　「既往年分」は、平成30年３月31日以前に終了した課税期間について、平成30年７月１日から令和元年６月30日までの間の申告（平成30年７月１日から同年９月30日までの間の国・地方公共団体等に係る申告を除く。）及び処理（更正、決定等）による課税事績を「申告書及び決議書」に基づいて作成した。</t>
  </si>
  <si>
    <t>調査対象等：平成30年度末（平成31年３月31日現在）の届出件数を示している。</t>
  </si>
  <si>
    <t>平成30年度</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</si>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</sst>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2">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b/>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9"/>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9"/>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double"/>
      <bottom style="mediu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style="thin"/>
      <right style="hair"/>
      <top style="thin"/>
      <bottom style="thin"/>
    </border>
    <border>
      <left style="thin"/>
      <right style="hair"/>
      <top/>
      <bottom style="mediu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style="hair">
        <color indexed="55"/>
      </top>
      <bottom style="thin">
        <color theme="0" tint="-0.3499799966812134"/>
      </bottom>
    </border>
    <border>
      <left style="thin"/>
      <right style="medium"/>
      <top/>
      <bottom style="thin">
        <color indexed="23"/>
      </bottom>
    </border>
    <border>
      <left style="thin"/>
      <right style="medium"/>
      <top style="hair">
        <color indexed="55"/>
      </top>
      <bottom style="thin">
        <color theme="0" tint="-0.3499799966812134"/>
      </bottom>
    </border>
    <border>
      <left style="medium"/>
      <right/>
      <top style="hair">
        <color indexed="55"/>
      </top>
      <bottom style="thin">
        <color theme="0" tint="-0.3499799966812134"/>
      </bottom>
    </border>
    <border>
      <left style="medium"/>
      <right/>
      <top/>
      <bottom/>
    </border>
    <border>
      <left style="thin"/>
      <right style="medium"/>
      <top/>
      <bottom/>
    </border>
    <border>
      <left style="medium"/>
      <right/>
      <top style="thin">
        <color theme="0" tint="-0.3499799966812134"/>
      </top>
      <bottom style="hair">
        <color indexed="55"/>
      </bottom>
    </border>
    <border>
      <left style="thin"/>
      <right style="medium"/>
      <top style="thin">
        <color theme="0" tint="-0.3499799966812134"/>
      </top>
      <bottom style="hair">
        <color indexed="55"/>
      </bottom>
    </border>
    <border>
      <left style="medium"/>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indexed="55"/>
      </top>
      <bottom style="thin">
        <color theme="0" tint="-0.3499799966812134"/>
      </bottom>
    </border>
    <border>
      <left style="thin"/>
      <right style="medium"/>
      <top style="thin">
        <color indexed="55"/>
      </top>
      <bottom style="thin">
        <color theme="0" tint="-0.3499799966812134"/>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thin">
        <color indexed="55"/>
      </top>
      <bottom style="thin">
        <color theme="0" tint="-0.3499799966812134"/>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hair">
        <color indexed="55"/>
      </top>
      <bottom style="thin">
        <color theme="0" tint="-0.3499799966812134"/>
      </bottom>
    </border>
    <border>
      <left style="hair"/>
      <right style="thin"/>
      <top style="hair">
        <color indexed="55"/>
      </top>
      <bottom style="thin">
        <color theme="0" tint="-0.3499799966812134"/>
      </bottom>
    </border>
    <border>
      <left style="hair"/>
      <right/>
      <top style="hair">
        <color indexed="55"/>
      </top>
      <bottom style="thin">
        <color theme="0" tint="-0.3499799966812134"/>
      </bottom>
    </border>
    <border>
      <left style="hair"/>
      <right style="hair"/>
      <top style="hair">
        <color indexed="55"/>
      </top>
      <bottom style="thin">
        <color theme="0" tint="-0.3499799966812134"/>
      </bottom>
    </border>
    <border>
      <left style="thin"/>
      <right/>
      <top/>
      <bottom/>
    </border>
    <border>
      <left style="hair"/>
      <right style="thin"/>
      <top/>
      <bottom/>
    </border>
    <border>
      <left style="hair"/>
      <right style="hair"/>
      <top/>
      <bottom/>
    </border>
    <border>
      <left style="hair"/>
      <right/>
      <top/>
      <bottom/>
    </border>
    <border>
      <left style="thin"/>
      <right style="hair"/>
      <top style="thin">
        <color theme="0" tint="-0.3499799966812134"/>
      </top>
      <bottom style="hair">
        <color indexed="55"/>
      </bottom>
    </border>
    <border>
      <left style="hair"/>
      <right style="thin"/>
      <top style="thin">
        <color theme="0" tint="-0.3499799966812134"/>
      </top>
      <bottom style="hair">
        <color indexed="55"/>
      </bottom>
    </border>
    <border>
      <left style="hair"/>
      <right/>
      <top style="thin">
        <color theme="0" tint="-0.3499799966812134"/>
      </top>
      <bottom style="hair">
        <color indexed="55"/>
      </bottom>
    </border>
    <border>
      <left style="hair"/>
      <right style="hair"/>
      <top style="thin">
        <color theme="0" tint="-0.3499799966812134"/>
      </top>
      <bottom style="hair">
        <color indexed="55"/>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top/>
      <bottom style="double"/>
    </border>
    <border>
      <left style="hair"/>
      <right style="thin"/>
      <top/>
      <bottom style="double"/>
    </border>
    <border>
      <left style="thin"/>
      <right style="hair"/>
      <top/>
      <bottom style="double"/>
    </border>
    <border>
      <left style="thin"/>
      <right style="hair"/>
      <top/>
      <bottom style="thin">
        <color indexed="55"/>
      </bottom>
    </border>
    <border>
      <left style="hair"/>
      <right style="hair"/>
      <top/>
      <bottom style="thin">
        <color indexed="55"/>
      </bottom>
    </border>
    <border>
      <left style="hair"/>
      <right/>
      <top/>
      <bottom style="thin">
        <color indexed="55"/>
      </bottom>
    </border>
    <border>
      <left style="thin"/>
      <right style="hair"/>
      <top style="double"/>
      <bottom style="medium"/>
    </border>
    <border>
      <left style="hair"/>
      <right style="hair"/>
      <top style="double"/>
      <bottom style="medium"/>
    </border>
    <border>
      <left style="hair"/>
      <right/>
      <top style="double"/>
      <bottom style="medium"/>
    </border>
    <border>
      <left/>
      <right/>
      <top style="medium"/>
      <bottom/>
    </border>
    <border>
      <left>
        <color indexed="63"/>
      </left>
      <right/>
      <top style="thin">
        <color indexed="55"/>
      </top>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hair"/>
      <right style="thin"/>
      <top style="thin">
        <color indexed="55"/>
      </top>
      <bottom style="thin">
        <color indexed="55"/>
      </bottom>
    </border>
    <border>
      <left>
        <color indexed="63"/>
      </left>
      <right style="thin"/>
      <top style="thin">
        <color indexed="55"/>
      </top>
      <bottom style="thin">
        <color indexed="55"/>
      </bottom>
    </border>
    <border>
      <left style="thin"/>
      <right style="hair"/>
      <top style="thin">
        <color indexed="55"/>
      </top>
      <bottom style="thin">
        <color indexed="55"/>
      </bottom>
    </border>
    <border>
      <left style="hair"/>
      <right/>
      <top style="thin">
        <color indexed="55"/>
      </top>
      <bottom style="thin">
        <color indexed="55"/>
      </bottom>
    </border>
    <border>
      <left>
        <color indexed="63"/>
      </left>
      <right style="hair"/>
      <top style="thin">
        <color indexed="55"/>
      </top>
      <bottom style="thin">
        <color indexed="55"/>
      </bottom>
    </border>
    <border>
      <left style="medium"/>
      <right style="thin"/>
      <top/>
      <bottom style="medium"/>
    </border>
    <border>
      <left style="thin"/>
      <right style="thin"/>
      <top/>
      <bottom style="medium"/>
    </border>
    <border>
      <left style="thin"/>
      <right/>
      <top/>
      <bottom style="medium"/>
    </border>
    <border>
      <left style="medium"/>
      <right/>
      <top style="medium"/>
      <bottom/>
    </border>
    <border>
      <left/>
      <right style="thin"/>
      <top style="medium"/>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thin"/>
      <right style="thin"/>
      <top style="medium"/>
      <bottom style="thin"/>
    </border>
    <border>
      <left/>
      <right style="medium"/>
      <top style="medium"/>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protection/>
    </xf>
    <xf numFmtId="0" fontId="48" fillId="32" borderId="0" applyNumberFormat="0" applyBorder="0" applyAlignment="0" applyProtection="0"/>
  </cellStyleXfs>
  <cellXfs count="267">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3" fillId="36" borderId="26" xfId="60"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7" xfId="60" applyFont="1" applyBorder="1" applyAlignment="1">
      <alignment horizontal="center" vertical="center" wrapText="1"/>
      <protection/>
    </xf>
    <xf numFmtId="0" fontId="5" fillId="34" borderId="28"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8" fillId="0" borderId="29" xfId="60" applyFont="1" applyBorder="1" applyAlignment="1">
      <alignment horizontal="center" vertical="center"/>
      <protection/>
    </xf>
    <xf numFmtId="0" fontId="3" fillId="0" borderId="30" xfId="60" applyFont="1" applyBorder="1" applyAlignment="1">
      <alignment horizontal="distributed" vertical="center" indent="1"/>
      <protection/>
    </xf>
    <xf numFmtId="0" fontId="3" fillId="0" borderId="27" xfId="60" applyFont="1" applyBorder="1" applyAlignment="1">
      <alignment horizontal="distributed" vertical="center" indent="1"/>
      <protection/>
    </xf>
    <xf numFmtId="0" fontId="3" fillId="0" borderId="31" xfId="60" applyFont="1" applyBorder="1" applyAlignment="1">
      <alignment horizontal="centerContinuous" vertical="center" wrapText="1"/>
      <protection/>
    </xf>
    <xf numFmtId="0" fontId="12" fillId="0" borderId="0" xfId="60" applyFont="1">
      <alignment/>
      <protection/>
    </xf>
    <xf numFmtId="0" fontId="3" fillId="0" borderId="31" xfId="60" applyFont="1" applyBorder="1" applyAlignment="1">
      <alignment horizontal="center" vertical="center"/>
      <protection/>
    </xf>
    <xf numFmtId="0" fontId="3" fillId="0" borderId="27" xfId="60" applyFont="1" applyBorder="1" applyAlignment="1">
      <alignment horizontal="center" vertical="center"/>
      <protection/>
    </xf>
    <xf numFmtId="0" fontId="13"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2"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2" xfId="60" applyFont="1" applyFill="1" applyBorder="1" applyAlignment="1">
      <alignment horizontal="right" vertical="top"/>
      <protection/>
    </xf>
    <xf numFmtId="0" fontId="3" fillId="0" borderId="33" xfId="60" applyFont="1" applyBorder="1" applyAlignment="1">
      <alignment horizontal="distributed" vertical="center"/>
      <protection/>
    </xf>
    <xf numFmtId="0" fontId="3" fillId="0" borderId="34" xfId="60" applyFont="1" applyBorder="1" applyAlignment="1">
      <alignment horizontal="right" vertical="center"/>
      <protection/>
    </xf>
    <xf numFmtId="3" fontId="3" fillId="35" borderId="33" xfId="60" applyNumberFormat="1" applyFont="1" applyFill="1" applyBorder="1" applyAlignment="1">
      <alignment horizontal="right" vertical="center"/>
      <protection/>
    </xf>
    <xf numFmtId="3" fontId="3" fillId="0" borderId="34" xfId="60" applyNumberFormat="1" applyFont="1" applyBorder="1" applyAlignment="1">
      <alignment horizontal="right" vertical="center"/>
      <protection/>
    </xf>
    <xf numFmtId="3" fontId="3" fillId="35" borderId="35" xfId="60" applyNumberFormat="1" applyFont="1" applyFill="1" applyBorder="1" applyAlignment="1">
      <alignment horizontal="right" vertical="center"/>
      <protection/>
    </xf>
    <xf numFmtId="0" fontId="3" fillId="0" borderId="36" xfId="60" applyFont="1" applyBorder="1" applyAlignment="1">
      <alignment horizontal="distributed" vertical="center"/>
      <protection/>
    </xf>
    <xf numFmtId="0" fontId="8" fillId="0" borderId="36" xfId="60" applyFont="1" applyBorder="1" applyAlignment="1">
      <alignment horizontal="distributed" vertical="center"/>
      <protection/>
    </xf>
    <xf numFmtId="0" fontId="8" fillId="0" borderId="34" xfId="60" applyFont="1" applyBorder="1" applyAlignment="1">
      <alignment horizontal="right" vertical="center"/>
      <protection/>
    </xf>
    <xf numFmtId="0" fontId="8" fillId="0" borderId="0" xfId="60" applyFont="1" applyAlignment="1">
      <alignment horizontal="left" vertical="top"/>
      <protection/>
    </xf>
    <xf numFmtId="0" fontId="3" fillId="0" borderId="37" xfId="60" applyFont="1" applyBorder="1" applyAlignment="1">
      <alignment horizontal="distributed" vertical="center"/>
      <protection/>
    </xf>
    <xf numFmtId="0" fontId="3" fillId="0" borderId="38"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38"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39" xfId="60" applyNumberFormat="1" applyFont="1" applyFill="1" applyBorder="1" applyAlignment="1">
      <alignment horizontal="right" vertical="center"/>
      <protection/>
    </xf>
    <xf numFmtId="0" fontId="3" fillId="0" borderId="36" xfId="60" applyFont="1" applyBorder="1" applyAlignment="1">
      <alignment horizontal="distributed" vertical="center" wrapText="1"/>
      <protection/>
    </xf>
    <xf numFmtId="0" fontId="3" fillId="0" borderId="34" xfId="60" applyFont="1" applyBorder="1" applyAlignment="1">
      <alignment horizontal="center" vertical="center"/>
      <protection/>
    </xf>
    <xf numFmtId="3" fontId="3" fillId="0" borderId="34" xfId="60" applyNumberFormat="1" applyFont="1" applyBorder="1" applyAlignment="1">
      <alignment horizontal="center" vertical="center"/>
      <protection/>
    </xf>
    <xf numFmtId="0" fontId="8" fillId="0" borderId="40" xfId="60" applyFont="1" applyBorder="1" applyAlignment="1">
      <alignment horizontal="right" vertical="center"/>
      <protection/>
    </xf>
    <xf numFmtId="0" fontId="3" fillId="0" borderId="41" xfId="60" applyFont="1" applyBorder="1" applyAlignment="1">
      <alignment horizontal="right" vertical="center"/>
      <protection/>
    </xf>
    <xf numFmtId="3" fontId="3" fillId="0" borderId="41" xfId="60" applyNumberFormat="1" applyFont="1" applyBorder="1" applyAlignment="1">
      <alignment horizontal="right"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2" xfId="60" applyFont="1" applyFill="1" applyBorder="1" applyAlignment="1">
      <alignment horizontal="right"/>
      <protection/>
    </xf>
    <xf numFmtId="0" fontId="3" fillId="0" borderId="0" xfId="60" applyFont="1" applyAlignment="1">
      <alignment horizontal="left"/>
      <protection/>
    </xf>
    <xf numFmtId="3" fontId="3" fillId="34" borderId="44"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5" xfId="60" applyNumberFormat="1" applyFont="1" applyFill="1" applyBorder="1" applyAlignment="1">
      <alignment horizontal="right" vertical="center"/>
      <protection/>
    </xf>
    <xf numFmtId="3" fontId="3" fillId="35" borderId="37" xfId="60" applyNumberFormat="1" applyFont="1" applyFill="1" applyBorder="1" applyAlignment="1">
      <alignment horizontal="right" vertical="center"/>
      <protection/>
    </xf>
    <xf numFmtId="3" fontId="3" fillId="35" borderId="46" xfId="60" applyNumberFormat="1" applyFont="1" applyFill="1" applyBorder="1" applyAlignment="1">
      <alignment horizontal="right" vertical="center"/>
      <protection/>
    </xf>
    <xf numFmtId="0" fontId="3" fillId="0" borderId="38" xfId="60" applyFont="1" applyBorder="1" applyAlignment="1">
      <alignment horizontal="distributed" vertical="center"/>
      <protection/>
    </xf>
    <xf numFmtId="3" fontId="3" fillId="34" borderId="47" xfId="60" applyNumberFormat="1" applyFont="1" applyFill="1" applyBorder="1" applyAlignment="1">
      <alignment horizontal="right" vertical="center"/>
      <protection/>
    </xf>
    <xf numFmtId="0" fontId="3" fillId="0" borderId="48"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49" xfId="60" applyFont="1" applyBorder="1" applyAlignment="1">
      <alignment horizontal="distributed" vertical="center"/>
      <protection/>
    </xf>
    <xf numFmtId="0" fontId="3" fillId="0" borderId="50" xfId="60" applyFont="1" applyBorder="1" applyAlignment="1">
      <alignment horizontal="distributed" vertical="center"/>
      <protection/>
    </xf>
    <xf numFmtId="0" fontId="3" fillId="0" borderId="51" xfId="60" applyFont="1" applyBorder="1" applyAlignment="1">
      <alignment horizontal="center" vertical="center"/>
      <protection/>
    </xf>
    <xf numFmtId="0" fontId="3" fillId="0" borderId="52" xfId="60" applyFont="1" applyBorder="1" applyAlignment="1">
      <alignment horizontal="distributed" vertical="center" indent="1"/>
      <protection/>
    </xf>
    <xf numFmtId="0" fontId="5" fillId="34" borderId="53" xfId="60" applyFont="1" applyFill="1" applyBorder="1" applyAlignment="1">
      <alignment horizontal="right"/>
      <protection/>
    </xf>
    <xf numFmtId="0" fontId="5" fillId="34" borderId="54" xfId="60" applyFont="1" applyFill="1" applyBorder="1" applyAlignment="1">
      <alignment horizontal="right"/>
      <protection/>
    </xf>
    <xf numFmtId="0" fontId="5" fillId="34" borderId="55"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8" fillId="36" borderId="56" xfId="60" applyFont="1" applyFill="1" applyBorder="1" applyAlignment="1">
      <alignment horizontal="distributed" vertical="center"/>
      <protection/>
    </xf>
    <xf numFmtId="0" fontId="10" fillId="0" borderId="57" xfId="60" applyFont="1" applyFill="1" applyBorder="1" applyAlignment="1">
      <alignment horizontal="center" vertical="center"/>
      <protection/>
    </xf>
    <xf numFmtId="0" fontId="8" fillId="36" borderId="58" xfId="60" applyFont="1" applyFill="1" applyBorder="1" applyAlignment="1">
      <alignment horizontal="distributed" vertical="center"/>
      <protection/>
    </xf>
    <xf numFmtId="0" fontId="8" fillId="36" borderId="59" xfId="60" applyFont="1" applyFill="1" applyBorder="1" applyAlignment="1">
      <alignment horizontal="distributed" vertical="center"/>
      <protection/>
    </xf>
    <xf numFmtId="0" fontId="10" fillId="0" borderId="60" xfId="60" applyFont="1" applyFill="1" applyBorder="1" applyAlignment="1">
      <alignment horizontal="distributed" vertical="center"/>
      <protection/>
    </xf>
    <xf numFmtId="0" fontId="10" fillId="0" borderId="61" xfId="60" applyFont="1" applyFill="1" applyBorder="1" applyAlignment="1">
      <alignment horizontal="center" vertical="center"/>
      <protection/>
    </xf>
    <xf numFmtId="0" fontId="3" fillId="36" borderId="62" xfId="60" applyFont="1" applyFill="1" applyBorder="1" applyAlignment="1">
      <alignment horizontal="distributed" vertical="center"/>
      <protection/>
    </xf>
    <xf numFmtId="0" fontId="3" fillId="36" borderId="63" xfId="60" applyFont="1" applyFill="1" applyBorder="1" applyAlignment="1">
      <alignment horizontal="distributed" vertical="center"/>
      <protection/>
    </xf>
    <xf numFmtId="0" fontId="10" fillId="0" borderId="64" xfId="60" applyFont="1" applyFill="1" applyBorder="1" applyAlignment="1">
      <alignment horizontal="distributed" vertical="center"/>
      <protection/>
    </xf>
    <xf numFmtId="0" fontId="10" fillId="0" borderId="65" xfId="60" applyFont="1" applyFill="1" applyBorder="1" applyAlignment="1">
      <alignment horizontal="center" vertical="center"/>
      <protection/>
    </xf>
    <xf numFmtId="0" fontId="10" fillId="0" borderId="66" xfId="60" applyFont="1" applyFill="1" applyBorder="1" applyAlignment="1">
      <alignment horizontal="distributed" vertical="center"/>
      <protection/>
    </xf>
    <xf numFmtId="0" fontId="10" fillId="0" borderId="67" xfId="60" applyFont="1" applyFill="1" applyBorder="1" applyAlignment="1">
      <alignment horizontal="center" vertical="center"/>
      <protection/>
    </xf>
    <xf numFmtId="3" fontId="3" fillId="34" borderId="68" xfId="60" applyNumberFormat="1" applyFont="1" applyFill="1" applyBorder="1" applyAlignment="1">
      <alignment horizontal="right" vertical="center"/>
      <protection/>
    </xf>
    <xf numFmtId="3" fontId="3" fillId="34" borderId="69" xfId="60" applyNumberFormat="1" applyFont="1" applyFill="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3" fontId="8" fillId="34" borderId="69" xfId="60" applyNumberFormat="1" applyFont="1" applyFill="1" applyBorder="1" applyAlignment="1">
      <alignment horizontal="right" vertical="center"/>
      <protection/>
    </xf>
    <xf numFmtId="3" fontId="8" fillId="35" borderId="36" xfId="60" applyNumberFormat="1" applyFont="1" applyFill="1" applyBorder="1" applyAlignment="1">
      <alignment horizontal="right" vertical="center"/>
      <protection/>
    </xf>
    <xf numFmtId="3" fontId="8" fillId="35" borderId="70" xfId="60" applyNumberFormat="1" applyFont="1" applyFill="1" applyBorder="1" applyAlignment="1">
      <alignment horizontal="right" vertical="center"/>
      <protection/>
    </xf>
    <xf numFmtId="3" fontId="3" fillId="34" borderId="71" xfId="60" applyNumberFormat="1" applyFont="1" applyFill="1" applyBorder="1" applyAlignment="1">
      <alignment horizontal="right" vertical="center"/>
      <protection/>
    </xf>
    <xf numFmtId="3" fontId="3" fillId="35" borderId="72" xfId="60" applyNumberFormat="1" applyFont="1" applyFill="1" applyBorder="1" applyAlignment="1">
      <alignment horizontal="right" vertical="center"/>
      <protection/>
    </xf>
    <xf numFmtId="3" fontId="3" fillId="35" borderId="73" xfId="60" applyNumberFormat="1" applyFont="1" applyFill="1" applyBorder="1" applyAlignment="1">
      <alignment horizontal="right" vertical="center"/>
      <protection/>
    </xf>
    <xf numFmtId="3" fontId="3" fillId="34" borderId="74" xfId="60" applyNumberFormat="1" applyFont="1" applyFill="1" applyBorder="1" applyAlignment="1">
      <alignment horizontal="right" vertical="center"/>
      <protection/>
    </xf>
    <xf numFmtId="3" fontId="3" fillId="34" borderId="74" xfId="60" applyNumberFormat="1" applyFont="1" applyFill="1" applyBorder="1" applyAlignment="1">
      <alignment vertical="center"/>
      <protection/>
    </xf>
    <xf numFmtId="3" fontId="3" fillId="34" borderId="69" xfId="60" applyNumberFormat="1" applyFont="1" applyFill="1" applyBorder="1" applyAlignment="1">
      <alignment vertical="center"/>
      <protection/>
    </xf>
    <xf numFmtId="3" fontId="8" fillId="34" borderId="75" xfId="60" applyNumberFormat="1" applyFont="1" applyFill="1" applyBorder="1" applyAlignment="1">
      <alignment horizontal="right" vertical="center"/>
      <protection/>
    </xf>
    <xf numFmtId="3" fontId="8" fillId="35" borderId="76" xfId="60" applyNumberFormat="1" applyFont="1" applyFill="1" applyBorder="1" applyAlignment="1">
      <alignment horizontal="right" vertical="center"/>
      <protection/>
    </xf>
    <xf numFmtId="3" fontId="8" fillId="35" borderId="77" xfId="60" applyNumberFormat="1" applyFont="1" applyFill="1" applyBorder="1" applyAlignment="1">
      <alignment horizontal="right" vertical="center"/>
      <protection/>
    </xf>
    <xf numFmtId="3" fontId="3" fillId="34" borderId="78" xfId="60" applyNumberFormat="1" applyFont="1" applyFill="1" applyBorder="1" applyAlignment="1">
      <alignment horizontal="right" vertical="center"/>
      <protection/>
    </xf>
    <xf numFmtId="3" fontId="3" fillId="35" borderId="79" xfId="60" applyNumberFormat="1" applyFont="1" applyFill="1" applyBorder="1" applyAlignment="1">
      <alignment horizontal="right" vertical="center"/>
      <protection/>
    </xf>
    <xf numFmtId="3" fontId="3" fillId="35" borderId="80" xfId="60" applyNumberFormat="1" applyFont="1" applyFill="1" applyBorder="1" applyAlignment="1">
      <alignment horizontal="right" vertical="center"/>
      <protection/>
    </xf>
    <xf numFmtId="3" fontId="3" fillId="34" borderId="81" xfId="60" applyNumberFormat="1" applyFont="1" applyFill="1" applyBorder="1" applyAlignment="1">
      <alignment horizontal="right" vertical="center"/>
      <protection/>
    </xf>
    <xf numFmtId="3" fontId="3" fillId="35" borderId="48" xfId="60" applyNumberFormat="1" applyFont="1" applyFill="1" applyBorder="1" applyAlignment="1">
      <alignment horizontal="right" vertical="center"/>
      <protection/>
    </xf>
    <xf numFmtId="3" fontId="3" fillId="35" borderId="82" xfId="60" applyNumberFormat="1" applyFont="1" applyFill="1" applyBorder="1" applyAlignment="1">
      <alignment horizontal="right" vertical="center"/>
      <protection/>
    </xf>
    <xf numFmtId="176" fontId="3" fillId="34" borderId="44" xfId="60" applyNumberFormat="1" applyFont="1" applyFill="1" applyBorder="1" applyAlignment="1">
      <alignment horizontal="right" vertical="center"/>
      <protection/>
    </xf>
    <xf numFmtId="176" fontId="3" fillId="35" borderId="33" xfId="60" applyNumberFormat="1" applyFont="1" applyFill="1" applyBorder="1" applyAlignment="1">
      <alignment horizontal="right" vertical="center"/>
      <protection/>
    </xf>
    <xf numFmtId="176" fontId="3" fillId="35" borderId="83" xfId="60" applyNumberFormat="1" applyFont="1" applyFill="1" applyBorder="1" applyAlignment="1">
      <alignment horizontal="right" vertical="center"/>
      <protection/>
    </xf>
    <xf numFmtId="176" fontId="3" fillId="34" borderId="84" xfId="60" applyNumberFormat="1" applyFont="1" applyFill="1" applyBorder="1" applyAlignment="1">
      <alignment horizontal="right" vertical="center"/>
      <protection/>
    </xf>
    <xf numFmtId="176" fontId="3" fillId="35" borderId="36" xfId="60" applyNumberFormat="1" applyFont="1" applyFill="1" applyBorder="1" applyAlignment="1">
      <alignment horizontal="right" vertical="center"/>
      <protection/>
    </xf>
    <xf numFmtId="176" fontId="3" fillId="35" borderId="85" xfId="60" applyNumberFormat="1" applyFont="1" applyFill="1" applyBorder="1" applyAlignment="1">
      <alignment horizontal="right" vertical="center"/>
      <protection/>
    </xf>
    <xf numFmtId="176" fontId="8" fillId="34" borderId="86" xfId="60" applyNumberFormat="1" applyFont="1" applyFill="1" applyBorder="1" applyAlignment="1">
      <alignment horizontal="right" vertical="center"/>
      <protection/>
    </xf>
    <xf numFmtId="176" fontId="8" fillId="35" borderId="87" xfId="60" applyNumberFormat="1" applyFont="1" applyFill="1" applyBorder="1" applyAlignment="1">
      <alignment horizontal="right" vertical="center"/>
      <protection/>
    </xf>
    <xf numFmtId="176" fontId="8" fillId="35" borderId="88" xfId="60" applyNumberFormat="1" applyFont="1" applyFill="1" applyBorder="1" applyAlignment="1">
      <alignment horizontal="right" vertical="center"/>
      <protection/>
    </xf>
    <xf numFmtId="176" fontId="10" fillId="0" borderId="89" xfId="60" applyNumberFormat="1" applyFont="1" applyFill="1" applyBorder="1" applyAlignment="1">
      <alignment horizontal="right" vertical="center"/>
      <protection/>
    </xf>
    <xf numFmtId="176" fontId="10" fillId="0" borderId="90" xfId="60" applyNumberFormat="1" applyFont="1" applyFill="1" applyBorder="1" applyAlignment="1">
      <alignment horizontal="right" vertical="center"/>
      <protection/>
    </xf>
    <xf numFmtId="176" fontId="10" fillId="0" borderId="91" xfId="60" applyNumberFormat="1" applyFont="1" applyFill="1" applyBorder="1" applyAlignment="1">
      <alignment horizontal="right" vertical="center"/>
      <protection/>
    </xf>
    <xf numFmtId="176" fontId="3" fillId="0" borderId="92" xfId="60" applyNumberFormat="1" applyFont="1" applyFill="1" applyBorder="1" applyAlignment="1">
      <alignment horizontal="right" vertical="center"/>
      <protection/>
    </xf>
    <xf numFmtId="176" fontId="3" fillId="0" borderId="93" xfId="60" applyNumberFormat="1" applyFont="1" applyFill="1" applyBorder="1" applyAlignment="1">
      <alignment horizontal="right" vertical="center"/>
      <protection/>
    </xf>
    <xf numFmtId="176" fontId="3" fillId="0" borderId="94" xfId="60" applyNumberFormat="1" applyFont="1" applyFill="1" applyBorder="1" applyAlignment="1">
      <alignment horizontal="right" vertical="center"/>
      <protection/>
    </xf>
    <xf numFmtId="176" fontId="8" fillId="34" borderId="41" xfId="60" applyNumberFormat="1" applyFont="1" applyFill="1" applyBorder="1" applyAlignment="1">
      <alignment horizontal="right" vertical="center"/>
      <protection/>
    </xf>
    <xf numFmtId="176" fontId="8" fillId="35" borderId="79" xfId="60" applyNumberFormat="1" applyFont="1" applyFill="1" applyBorder="1" applyAlignment="1">
      <alignment horizontal="right" vertical="center"/>
      <protection/>
    </xf>
    <xf numFmtId="176" fontId="8" fillId="35" borderId="95" xfId="60" applyNumberFormat="1" applyFont="1" applyFill="1" applyBorder="1" applyAlignment="1">
      <alignment horizontal="right" vertical="center"/>
      <protection/>
    </xf>
    <xf numFmtId="176" fontId="3" fillId="34" borderId="68" xfId="60" applyNumberFormat="1" applyFont="1" applyFill="1" applyBorder="1" applyAlignment="1">
      <alignment horizontal="right" vertical="center"/>
      <protection/>
    </xf>
    <xf numFmtId="176" fontId="3" fillId="34" borderId="83" xfId="60" applyNumberFormat="1" applyFont="1" applyFill="1" applyBorder="1" applyAlignment="1">
      <alignment horizontal="right" vertical="center"/>
      <protection/>
    </xf>
    <xf numFmtId="176" fontId="8" fillId="34" borderId="96" xfId="60" applyNumberFormat="1" applyFont="1" applyFill="1" applyBorder="1" applyAlignment="1">
      <alignment horizontal="right" vertical="center"/>
      <protection/>
    </xf>
    <xf numFmtId="176" fontId="8" fillId="35" borderId="97" xfId="60" applyNumberFormat="1" applyFont="1" applyFill="1" applyBorder="1" applyAlignment="1">
      <alignment horizontal="right" vertical="center"/>
      <protection/>
    </xf>
    <xf numFmtId="176" fontId="8" fillId="35" borderId="98" xfId="60" applyNumberFormat="1" applyFont="1" applyFill="1" applyBorder="1" applyAlignment="1">
      <alignment horizontal="right" vertical="center"/>
      <protection/>
    </xf>
    <xf numFmtId="176" fontId="8" fillId="34" borderId="99" xfId="60" applyNumberFormat="1" applyFont="1" applyFill="1" applyBorder="1" applyAlignment="1">
      <alignment horizontal="right" vertical="center"/>
      <protection/>
    </xf>
    <xf numFmtId="176" fontId="8" fillId="34" borderId="98" xfId="60" applyNumberFormat="1" applyFont="1" applyFill="1" applyBorder="1" applyAlignment="1">
      <alignment horizontal="right" vertical="center"/>
      <protection/>
    </xf>
    <xf numFmtId="176" fontId="10" fillId="0" borderId="100" xfId="60" applyNumberFormat="1" applyFont="1" applyFill="1" applyBorder="1" applyAlignment="1">
      <alignment horizontal="right" vertical="center"/>
      <protection/>
    </xf>
    <xf numFmtId="176" fontId="10" fillId="0" borderId="101" xfId="60" applyNumberFormat="1" applyFont="1" applyFill="1" applyBorder="1" applyAlignment="1">
      <alignment horizontal="right" vertical="center"/>
      <protection/>
    </xf>
    <xf numFmtId="176" fontId="10" fillId="0" borderId="34" xfId="60" applyNumberFormat="1" applyFont="1" applyFill="1" applyBorder="1" applyAlignment="1">
      <alignment horizontal="right" vertical="center"/>
      <protection/>
    </xf>
    <xf numFmtId="176" fontId="3" fillId="0" borderId="34" xfId="60" applyNumberFormat="1" applyFont="1" applyFill="1" applyBorder="1" applyAlignment="1">
      <alignment horizontal="right" vertical="center"/>
      <protection/>
    </xf>
    <xf numFmtId="176" fontId="3" fillId="0" borderId="102" xfId="60" applyNumberFormat="1" applyFont="1" applyFill="1" applyBorder="1" applyAlignment="1">
      <alignment horizontal="right" vertical="center"/>
      <protection/>
    </xf>
    <xf numFmtId="176" fontId="3" fillId="0" borderId="103" xfId="60" applyNumberFormat="1" applyFont="1" applyFill="1" applyBorder="1" applyAlignment="1">
      <alignment horizontal="right" vertical="center"/>
      <protection/>
    </xf>
    <xf numFmtId="176" fontId="3" fillId="34" borderId="104" xfId="60" applyNumberFormat="1" applyFont="1" applyFill="1" applyBorder="1" applyAlignment="1">
      <alignment horizontal="right" vertical="center"/>
      <protection/>
    </xf>
    <xf numFmtId="176" fontId="3" fillId="35" borderId="105" xfId="60" applyNumberFormat="1" applyFont="1" applyFill="1" applyBorder="1" applyAlignment="1">
      <alignment horizontal="right" vertical="center"/>
      <protection/>
    </xf>
    <xf numFmtId="176" fontId="3" fillId="35" borderId="106" xfId="60" applyNumberFormat="1" applyFont="1" applyFill="1" applyBorder="1" applyAlignment="1">
      <alignment horizontal="right" vertical="center"/>
      <protection/>
    </xf>
    <xf numFmtId="176" fontId="3" fillId="34" borderId="107" xfId="60" applyNumberFormat="1" applyFont="1" applyFill="1" applyBorder="1" applyAlignment="1">
      <alignment horizontal="right" vertical="center"/>
      <protection/>
    </xf>
    <xf numFmtId="176" fontId="3" fillId="34" borderId="106" xfId="60" applyNumberFormat="1" applyFont="1" applyFill="1" applyBorder="1" applyAlignment="1">
      <alignment horizontal="right" vertical="center"/>
      <protection/>
    </xf>
    <xf numFmtId="176" fontId="10" fillId="0" borderId="108" xfId="60" applyNumberFormat="1" applyFont="1" applyFill="1" applyBorder="1" applyAlignment="1">
      <alignment horizontal="right" vertical="center"/>
      <protection/>
    </xf>
    <xf numFmtId="176" fontId="10" fillId="0" borderId="109" xfId="60" applyNumberFormat="1" applyFont="1" applyFill="1" applyBorder="1" applyAlignment="1">
      <alignment horizontal="right" vertical="center"/>
      <protection/>
    </xf>
    <xf numFmtId="176" fontId="10" fillId="0" borderId="110" xfId="60" applyNumberFormat="1" applyFont="1" applyFill="1" applyBorder="1" applyAlignment="1">
      <alignment horizontal="right" vertical="center"/>
      <protection/>
    </xf>
    <xf numFmtId="176" fontId="3" fillId="0" borderId="110" xfId="60" applyNumberFormat="1" applyFont="1" applyFill="1" applyBorder="1" applyAlignment="1">
      <alignment horizontal="right" vertical="center"/>
      <protection/>
    </xf>
    <xf numFmtId="176" fontId="3" fillId="0" borderId="111" xfId="60" applyNumberFormat="1" applyFont="1" applyFill="1" applyBorder="1" applyAlignment="1">
      <alignment horizontal="right" vertical="center"/>
      <protection/>
    </xf>
    <xf numFmtId="176" fontId="3" fillId="0" borderId="112" xfId="60" applyNumberFormat="1" applyFont="1" applyFill="1" applyBorder="1" applyAlignment="1">
      <alignment horizontal="right" vertical="center"/>
      <protection/>
    </xf>
    <xf numFmtId="176" fontId="3" fillId="0" borderId="113" xfId="60" applyNumberFormat="1" applyFont="1" applyFill="1" applyBorder="1" applyAlignment="1">
      <alignment horizontal="right" vertical="center"/>
      <protection/>
    </xf>
    <xf numFmtId="176" fontId="3" fillId="0" borderId="114" xfId="60" applyNumberFormat="1" applyFont="1" applyFill="1" applyBorder="1" applyAlignment="1">
      <alignment horizontal="right" vertical="center"/>
      <protection/>
    </xf>
    <xf numFmtId="176" fontId="3" fillId="0" borderId="115" xfId="60" applyNumberFormat="1" applyFont="1" applyFill="1" applyBorder="1" applyAlignment="1">
      <alignment horizontal="right" vertical="center"/>
      <protection/>
    </xf>
    <xf numFmtId="176" fontId="3" fillId="0" borderId="116" xfId="60" applyNumberFormat="1" applyFont="1" applyFill="1" applyBorder="1" applyAlignment="1">
      <alignment horizontal="right" vertical="center"/>
      <protection/>
    </xf>
    <xf numFmtId="176" fontId="3" fillId="0" borderId="117" xfId="60" applyNumberFormat="1" applyFont="1" applyFill="1" applyBorder="1" applyAlignment="1">
      <alignment horizontal="right" vertical="center"/>
      <protection/>
    </xf>
    <xf numFmtId="176" fontId="3" fillId="0" borderId="118" xfId="60" applyNumberFormat="1" applyFont="1" applyFill="1" applyBorder="1" applyAlignment="1">
      <alignment horizontal="right" vertical="center"/>
      <protection/>
    </xf>
    <xf numFmtId="176" fontId="8" fillId="34" borderId="119" xfId="60" applyNumberFormat="1" applyFont="1" applyFill="1" applyBorder="1" applyAlignment="1">
      <alignment horizontal="right" vertical="center"/>
      <protection/>
    </xf>
    <xf numFmtId="176" fontId="8" fillId="34" borderId="120" xfId="60" applyNumberFormat="1" applyFont="1" applyFill="1" applyBorder="1" applyAlignment="1">
      <alignment horizontal="right" vertical="center"/>
      <protection/>
    </xf>
    <xf numFmtId="176" fontId="8" fillId="34" borderId="121" xfId="60" applyNumberFormat="1" applyFont="1" applyFill="1" applyBorder="1" applyAlignment="1">
      <alignment horizontal="right" vertical="center"/>
      <protection/>
    </xf>
    <xf numFmtId="0" fontId="3" fillId="0" borderId="122" xfId="60" applyFont="1" applyFill="1" applyBorder="1" applyAlignment="1">
      <alignment horizontal="distributed" vertical="center"/>
      <protection/>
    </xf>
    <xf numFmtId="0" fontId="3" fillId="0" borderId="122" xfId="60" applyFont="1" applyFill="1" applyBorder="1" applyAlignment="1">
      <alignment horizontal="right" vertical="center"/>
      <protection/>
    </xf>
    <xf numFmtId="3" fontId="3" fillId="0" borderId="122" xfId="60" applyNumberFormat="1" applyFont="1" applyFill="1" applyBorder="1" applyAlignment="1">
      <alignment horizontal="right" vertical="center"/>
      <protection/>
    </xf>
    <xf numFmtId="0" fontId="10" fillId="0" borderId="123" xfId="60" applyFont="1" applyFill="1" applyBorder="1" applyAlignment="1">
      <alignment horizontal="distributed" vertical="center"/>
      <protection/>
    </xf>
    <xf numFmtId="0" fontId="10" fillId="0" borderId="124" xfId="60" applyFont="1" applyFill="1" applyBorder="1" applyAlignment="1">
      <alignment horizontal="distributed" vertical="center"/>
      <protection/>
    </xf>
    <xf numFmtId="0" fontId="10" fillId="0" borderId="125" xfId="60" applyFont="1" applyFill="1" applyBorder="1" applyAlignment="1">
      <alignment horizontal="distributed" vertical="center"/>
      <protection/>
    </xf>
    <xf numFmtId="0" fontId="11" fillId="0" borderId="60" xfId="60" applyFont="1" applyFill="1" applyBorder="1">
      <alignment/>
      <protection/>
    </xf>
    <xf numFmtId="0" fontId="10" fillId="0" borderId="126" xfId="60" applyFont="1" applyFill="1" applyBorder="1" applyAlignment="1">
      <alignment horizontal="distributed" vertical="center"/>
      <protection/>
    </xf>
    <xf numFmtId="0" fontId="10" fillId="0" borderId="127" xfId="60" applyFont="1" applyFill="1" applyBorder="1" applyAlignment="1">
      <alignment horizontal="distributed" vertical="center"/>
      <protection/>
    </xf>
    <xf numFmtId="0" fontId="10" fillId="0" borderId="128" xfId="60" applyFont="1" applyFill="1" applyBorder="1" applyAlignment="1">
      <alignment horizontal="distributed" vertical="center"/>
      <protection/>
    </xf>
    <xf numFmtId="0" fontId="9" fillId="0" borderId="60" xfId="60" applyFont="1" applyBorder="1">
      <alignment/>
      <protection/>
    </xf>
    <xf numFmtId="0" fontId="10" fillId="0" borderId="129" xfId="60" applyFont="1" applyFill="1" applyBorder="1" applyAlignment="1">
      <alignment horizontal="distributed" vertical="center"/>
      <protection/>
    </xf>
    <xf numFmtId="0" fontId="10" fillId="0" borderId="130" xfId="60" applyFont="1" applyFill="1" applyBorder="1" applyAlignment="1">
      <alignment horizontal="distributed" vertical="center"/>
      <protection/>
    </xf>
    <xf numFmtId="3" fontId="3" fillId="34" borderId="131" xfId="60" applyNumberFormat="1" applyFont="1" applyFill="1" applyBorder="1" applyAlignment="1">
      <alignment vertical="center"/>
      <protection/>
    </xf>
    <xf numFmtId="3" fontId="3" fillId="34" borderId="132" xfId="60" applyNumberFormat="1" applyFont="1" applyFill="1" applyBorder="1" applyAlignment="1">
      <alignment vertical="center"/>
      <protection/>
    </xf>
    <xf numFmtId="3" fontId="3" fillId="34" borderId="133" xfId="60" applyNumberFormat="1" applyFont="1" applyFill="1" applyBorder="1" applyAlignment="1">
      <alignment vertical="center"/>
      <protection/>
    </xf>
    <xf numFmtId="3" fontId="3" fillId="34" borderId="24" xfId="60" applyNumberFormat="1" applyFont="1" applyFill="1" applyBorder="1" applyAlignment="1">
      <alignment vertical="center"/>
      <protection/>
    </xf>
    <xf numFmtId="0" fontId="3" fillId="0" borderId="0" xfId="0" applyFont="1" applyAlignment="1">
      <alignment horizontal="left" vertical="top"/>
    </xf>
    <xf numFmtId="0" fontId="3" fillId="0" borderId="122" xfId="60" applyFont="1" applyBorder="1" applyAlignment="1">
      <alignment horizontal="left" vertical="top"/>
      <protection/>
    </xf>
    <xf numFmtId="0" fontId="3" fillId="0" borderId="0" xfId="0" applyFont="1" applyBorder="1" applyAlignment="1">
      <alignment horizontal="left" vertical="top" wrapText="1"/>
    </xf>
    <xf numFmtId="3" fontId="49" fillId="34" borderId="68" xfId="60" applyNumberFormat="1" applyFont="1" applyFill="1" applyBorder="1" applyAlignment="1">
      <alignment horizontal="right" vertical="center"/>
      <protection/>
    </xf>
    <xf numFmtId="3" fontId="50" fillId="34" borderId="69" xfId="60" applyNumberFormat="1" applyFont="1" applyFill="1" applyBorder="1" applyAlignment="1">
      <alignment horizontal="right" vertical="center"/>
      <protection/>
    </xf>
    <xf numFmtId="3" fontId="49" fillId="34" borderId="71" xfId="60" applyNumberFormat="1" applyFont="1" applyFill="1" applyBorder="1" applyAlignment="1">
      <alignment horizontal="right" vertical="center"/>
      <protection/>
    </xf>
    <xf numFmtId="0" fontId="50" fillId="0" borderId="40" xfId="60" applyFont="1" applyBorder="1" applyAlignment="1">
      <alignment horizontal="right" vertical="center"/>
      <protection/>
    </xf>
    <xf numFmtId="3" fontId="49" fillId="34" borderId="47" xfId="60" applyNumberFormat="1" applyFont="1" applyFill="1" applyBorder="1" applyAlignment="1">
      <alignment horizontal="right" vertical="center"/>
      <protection/>
    </xf>
    <xf numFmtId="3" fontId="49" fillId="34" borderId="81" xfId="60" applyNumberFormat="1" applyFont="1" applyFill="1" applyBorder="1" applyAlignment="1">
      <alignment horizontal="right" vertical="center"/>
      <protection/>
    </xf>
    <xf numFmtId="176" fontId="49" fillId="35" borderId="33" xfId="60" applyNumberFormat="1" applyFont="1" applyFill="1" applyBorder="1" applyAlignment="1">
      <alignment horizontal="right" vertical="center"/>
      <protection/>
    </xf>
    <xf numFmtId="176" fontId="49" fillId="35" borderId="36" xfId="60" applyNumberFormat="1" applyFont="1" applyFill="1" applyBorder="1" applyAlignment="1">
      <alignment horizontal="right" vertical="center"/>
      <protection/>
    </xf>
    <xf numFmtId="176" fontId="49" fillId="35" borderId="83" xfId="60" applyNumberFormat="1" applyFont="1" applyFill="1" applyBorder="1" applyAlignment="1">
      <alignment horizontal="right" vertical="center"/>
      <protection/>
    </xf>
    <xf numFmtId="176" fontId="49" fillId="35" borderId="85" xfId="60" applyNumberFormat="1" applyFont="1" applyFill="1" applyBorder="1" applyAlignment="1">
      <alignment horizontal="right" vertical="center"/>
      <protection/>
    </xf>
    <xf numFmtId="176" fontId="49" fillId="34" borderId="84" xfId="60" applyNumberFormat="1" applyFont="1" applyFill="1" applyBorder="1" applyAlignment="1">
      <alignment horizontal="right" vertical="center"/>
      <protection/>
    </xf>
    <xf numFmtId="176" fontId="50" fillId="34" borderId="86" xfId="60" applyNumberFormat="1" applyFont="1" applyFill="1" applyBorder="1" applyAlignment="1">
      <alignment horizontal="right" vertical="center"/>
      <protection/>
    </xf>
    <xf numFmtId="176" fontId="50" fillId="34" borderId="41" xfId="60" applyNumberFormat="1" applyFont="1" applyFill="1" applyBorder="1" applyAlignment="1">
      <alignment horizontal="right" vertical="center"/>
      <protection/>
    </xf>
    <xf numFmtId="176" fontId="51" fillId="34" borderId="68" xfId="60" applyNumberFormat="1" applyFont="1" applyFill="1" applyBorder="1" applyAlignment="1">
      <alignment horizontal="right" vertical="center"/>
      <protection/>
    </xf>
    <xf numFmtId="0" fontId="13" fillId="0" borderId="0" xfId="60" applyFont="1" applyAlignment="1">
      <alignment horizontal="center" vertical="top"/>
      <protection/>
    </xf>
    <xf numFmtId="0" fontId="3" fillId="0" borderId="0" xfId="60" applyFont="1" applyAlignment="1">
      <alignment horizontal="left" vertical="top"/>
      <protection/>
    </xf>
    <xf numFmtId="0" fontId="3" fillId="0" borderId="134" xfId="60" applyFont="1" applyBorder="1" applyAlignment="1">
      <alignment horizontal="center" vertical="center"/>
      <protection/>
    </xf>
    <xf numFmtId="0" fontId="3" fillId="0" borderId="135" xfId="60" applyFont="1" applyBorder="1" applyAlignment="1">
      <alignment horizontal="center" vertical="center"/>
      <protection/>
    </xf>
    <xf numFmtId="0" fontId="3" fillId="0" borderId="60" xfId="60" applyFont="1" applyBorder="1" applyAlignment="1">
      <alignment horizontal="center" vertical="center"/>
      <protection/>
    </xf>
    <xf numFmtId="0" fontId="3" fillId="0" borderId="136" xfId="60" applyFont="1" applyBorder="1" applyAlignment="1">
      <alignment horizontal="center" vertical="center"/>
      <protection/>
    </xf>
    <xf numFmtId="0" fontId="3" fillId="0" borderId="137" xfId="60" applyFont="1" applyBorder="1" applyAlignment="1">
      <alignment horizontal="center" vertical="center"/>
      <protection/>
    </xf>
    <xf numFmtId="0" fontId="3" fillId="0" borderId="138" xfId="60" applyFont="1" applyBorder="1" applyAlignment="1">
      <alignment horizontal="center" vertical="center"/>
      <protection/>
    </xf>
    <xf numFmtId="0" fontId="3" fillId="0" borderId="139" xfId="60" applyFont="1" applyBorder="1" applyAlignment="1">
      <alignment horizontal="center" vertical="center"/>
      <protection/>
    </xf>
    <xf numFmtId="0" fontId="3" fillId="0" borderId="140"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8" xfId="60" applyFont="1" applyBorder="1" applyAlignment="1">
      <alignment horizontal="center" vertical="center"/>
      <protection/>
    </xf>
    <xf numFmtId="0" fontId="3" fillId="0" borderId="141" xfId="60" applyFont="1" applyBorder="1" applyAlignment="1">
      <alignment horizontal="distributed" vertical="center" wrapText="1"/>
      <protection/>
    </xf>
    <xf numFmtId="0" fontId="3" fillId="0" borderId="141" xfId="60" applyFont="1" applyBorder="1" applyAlignment="1">
      <alignment horizontal="distributed" vertical="center"/>
      <protection/>
    </xf>
    <xf numFmtId="0" fontId="3" fillId="0" borderId="142" xfId="60" applyFont="1" applyBorder="1" applyAlignment="1">
      <alignment horizontal="distributed" vertical="center"/>
      <protection/>
    </xf>
    <xf numFmtId="0" fontId="3" fillId="0" borderId="143" xfId="60" applyFont="1" applyBorder="1" applyAlignment="1">
      <alignment horizontal="distributed" vertical="center" wrapText="1"/>
      <protection/>
    </xf>
    <xf numFmtId="0" fontId="3" fillId="0" borderId="144" xfId="60" applyFont="1" applyBorder="1" applyAlignment="1">
      <alignment horizontal="distributed" vertical="center"/>
      <protection/>
    </xf>
    <xf numFmtId="0" fontId="8" fillId="0" borderId="145" xfId="60" applyFont="1" applyBorder="1" applyAlignment="1">
      <alignment horizontal="distributed" vertical="center"/>
      <protection/>
    </xf>
    <xf numFmtId="0" fontId="8" fillId="0" borderId="146"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47" xfId="60" applyFont="1" applyBorder="1" applyAlignment="1">
      <alignment horizontal="distributed" vertical="center"/>
      <protection/>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141" xfId="60" applyFont="1" applyBorder="1" applyAlignment="1">
      <alignment horizontal="center" vertical="center"/>
      <protection/>
    </xf>
    <xf numFmtId="0" fontId="3" fillId="0" borderId="142" xfId="60" applyFont="1" applyBorder="1" applyAlignment="1">
      <alignment horizontal="center" vertical="center"/>
      <protection/>
    </xf>
    <xf numFmtId="0" fontId="3" fillId="0" borderId="148" xfId="60" applyFont="1" applyBorder="1" applyAlignment="1">
      <alignment horizontal="center" vertical="center"/>
      <protection/>
    </xf>
    <xf numFmtId="0" fontId="3" fillId="0" borderId="122" xfId="60" applyFont="1" applyBorder="1" applyAlignment="1">
      <alignment horizontal="center" vertical="center"/>
      <protection/>
    </xf>
    <xf numFmtId="0" fontId="3" fillId="0" borderId="149" xfId="60" applyFont="1" applyBorder="1" applyAlignment="1">
      <alignment horizontal="center" vertical="center"/>
      <protection/>
    </xf>
    <xf numFmtId="0" fontId="3" fillId="0" borderId="122" xfId="60" applyFont="1" applyBorder="1" applyAlignment="1">
      <alignment horizontal="left" vertical="center"/>
      <protection/>
    </xf>
    <xf numFmtId="0" fontId="3" fillId="0" borderId="0" xfId="60" applyFont="1" applyAlignment="1">
      <alignment horizontal="left" vertical="center"/>
      <protection/>
    </xf>
    <xf numFmtId="0" fontId="3" fillId="0" borderId="52" xfId="60" applyFont="1" applyBorder="1" applyAlignment="1">
      <alignment horizontal="distributed" vertical="center" wrapText="1"/>
      <protection/>
    </xf>
    <xf numFmtId="0" fontId="3" fillId="0" borderId="61" xfId="60" applyFont="1" applyBorder="1" applyAlignment="1">
      <alignment horizontal="distributed" vertical="center" wrapText="1"/>
      <protection/>
    </xf>
    <xf numFmtId="0" fontId="3" fillId="0" borderId="150" xfId="60" applyFont="1" applyBorder="1" applyAlignment="1">
      <alignment horizontal="distributed" vertical="center" wrapText="1"/>
      <protection/>
    </xf>
    <xf numFmtId="0" fontId="3" fillId="0" borderId="151" xfId="60" applyFont="1" applyBorder="1" applyAlignment="1">
      <alignment horizontal="center" vertical="center"/>
      <protection/>
    </xf>
    <xf numFmtId="0" fontId="3" fillId="0" borderId="152" xfId="60" applyFont="1" applyBorder="1" applyAlignment="1">
      <alignment horizontal="center" vertical="center"/>
      <protection/>
    </xf>
    <xf numFmtId="0" fontId="3" fillId="0" borderId="153" xfId="60" applyFont="1" applyBorder="1" applyAlignment="1">
      <alignment horizontal="center" vertical="center"/>
      <protection/>
    </xf>
    <xf numFmtId="0" fontId="3" fillId="0" borderId="154" xfId="60" applyFont="1" applyBorder="1" applyAlignment="1">
      <alignment horizontal="center" vertical="center" wrapText="1"/>
      <protection/>
    </xf>
    <xf numFmtId="0" fontId="3" fillId="0" borderId="155" xfId="60" applyFont="1" applyBorder="1" applyAlignment="1">
      <alignment horizontal="center" vertical="center"/>
      <protection/>
    </xf>
    <xf numFmtId="0" fontId="3" fillId="0" borderId="156" xfId="60" applyFont="1" applyBorder="1" applyAlignment="1">
      <alignment horizontal="center" vertical="center"/>
      <protection/>
    </xf>
    <xf numFmtId="0" fontId="3" fillId="0" borderId="154" xfId="60" applyFont="1" applyBorder="1" applyAlignment="1">
      <alignment horizontal="center" vertical="center"/>
      <protection/>
    </xf>
    <xf numFmtId="0" fontId="3" fillId="0" borderId="122" xfId="60" applyFont="1" applyBorder="1" applyAlignment="1">
      <alignment horizontal="left"/>
      <protection/>
    </xf>
    <xf numFmtId="0" fontId="3" fillId="0" borderId="134" xfId="60" applyFont="1" applyBorder="1" applyAlignment="1">
      <alignment horizontal="distributed" vertical="center"/>
      <protection/>
    </xf>
    <xf numFmtId="0" fontId="3" fillId="0" borderId="60" xfId="60" applyFont="1" applyBorder="1" applyAlignment="1">
      <alignment horizontal="distributed" vertical="center"/>
      <protection/>
    </xf>
    <xf numFmtId="0" fontId="3" fillId="0" borderId="157" xfId="60" applyFont="1" applyBorder="1" applyAlignment="1">
      <alignment horizontal="distributed" vertical="center"/>
      <protection/>
    </xf>
    <xf numFmtId="0" fontId="3" fillId="0" borderId="158" xfId="60" applyFont="1" applyBorder="1" applyAlignment="1">
      <alignment horizontal="center" vertical="center"/>
      <protection/>
    </xf>
    <xf numFmtId="0" fontId="3" fillId="0" borderId="159" xfId="60" applyFont="1" applyBorder="1" applyAlignment="1">
      <alignment horizontal="left" vertical="center"/>
      <protection/>
    </xf>
    <xf numFmtId="0" fontId="3" fillId="0" borderId="160" xfId="60" applyFont="1" applyBorder="1" applyAlignment="1">
      <alignment horizontal="distributed" vertical="center" wrapText="1"/>
      <protection/>
    </xf>
    <xf numFmtId="0" fontId="3" fillId="0" borderId="161" xfId="60" applyFont="1" applyBorder="1" applyAlignment="1">
      <alignment horizontal="distributed" vertical="center"/>
      <protection/>
    </xf>
    <xf numFmtId="0" fontId="3" fillId="0" borderId="162" xfId="60" applyFont="1" applyBorder="1" applyAlignment="1">
      <alignment horizontal="distributed" vertical="center" wrapText="1"/>
      <protection/>
    </xf>
    <xf numFmtId="0" fontId="3" fillId="0" borderId="163" xfId="60" applyFont="1" applyBorder="1" applyAlignment="1">
      <alignment horizontal="distributed" vertical="center"/>
      <protection/>
    </xf>
    <xf numFmtId="0" fontId="3" fillId="0" borderId="164" xfId="60" applyFont="1" applyBorder="1" applyAlignment="1">
      <alignment horizontal="distributed" vertical="center" wrapText="1"/>
      <protection/>
    </xf>
    <xf numFmtId="0" fontId="3" fillId="0" borderId="165" xfId="60" applyFont="1" applyBorder="1" applyAlignment="1">
      <alignment horizontal="distributed" vertical="center" wrapText="1"/>
      <protection/>
    </xf>
    <xf numFmtId="0" fontId="3" fillId="0" borderId="31" xfId="60" applyFont="1" applyBorder="1" applyAlignment="1">
      <alignment horizontal="center" vertical="center"/>
      <protection/>
    </xf>
    <xf numFmtId="0" fontId="3" fillId="0" borderId="158" xfId="60" applyFont="1" applyBorder="1" applyAlignment="1">
      <alignment horizontal="center" vertical="center" wrapText="1"/>
      <protection/>
    </xf>
    <xf numFmtId="0" fontId="3" fillId="0" borderId="166" xfId="60" applyFont="1" applyBorder="1" applyAlignment="1">
      <alignment horizontal="center" vertical="center"/>
      <protection/>
    </xf>
    <xf numFmtId="0" fontId="3" fillId="0" borderId="167"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tabSelected="1"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211" t="s">
        <v>240</v>
      </c>
      <c r="B1" s="211"/>
      <c r="C1" s="211"/>
      <c r="D1" s="211"/>
      <c r="E1" s="211"/>
      <c r="F1" s="211"/>
      <c r="G1" s="211"/>
      <c r="H1" s="211"/>
      <c r="I1" s="211"/>
      <c r="J1" s="211"/>
      <c r="K1" s="211"/>
    </row>
    <row r="2" spans="1:11" ht="15">
      <c r="A2" s="39"/>
      <c r="B2" s="39"/>
      <c r="C2" s="39"/>
      <c r="D2" s="39"/>
      <c r="E2" s="39"/>
      <c r="F2" s="39"/>
      <c r="G2" s="39"/>
      <c r="H2" s="39"/>
      <c r="I2" s="39"/>
      <c r="J2" s="39"/>
      <c r="K2" s="39"/>
    </row>
    <row r="3" spans="1:11" ht="12" thickBot="1">
      <c r="A3" s="212" t="s">
        <v>170</v>
      </c>
      <c r="B3" s="212"/>
      <c r="C3" s="212"/>
      <c r="D3" s="212"/>
      <c r="E3" s="212"/>
      <c r="F3" s="212"/>
      <c r="G3" s="212"/>
      <c r="H3" s="212"/>
      <c r="I3" s="212"/>
      <c r="J3" s="212"/>
      <c r="K3" s="212"/>
    </row>
    <row r="4" spans="1:11" ht="24" customHeight="1">
      <c r="A4" s="213" t="s">
        <v>152</v>
      </c>
      <c r="B4" s="214"/>
      <c r="C4" s="217" t="s">
        <v>171</v>
      </c>
      <c r="D4" s="218"/>
      <c r="E4" s="219"/>
      <c r="F4" s="217" t="s">
        <v>172</v>
      </c>
      <c r="G4" s="218"/>
      <c r="H4" s="219"/>
      <c r="I4" s="217" t="s">
        <v>173</v>
      </c>
      <c r="J4" s="218"/>
      <c r="K4" s="220"/>
    </row>
    <row r="5" spans="1:11" ht="24" customHeight="1">
      <c r="A5" s="215"/>
      <c r="B5" s="216"/>
      <c r="C5" s="221" t="s">
        <v>153</v>
      </c>
      <c r="D5" s="222"/>
      <c r="E5" s="40" t="s">
        <v>154</v>
      </c>
      <c r="F5" s="221" t="s">
        <v>153</v>
      </c>
      <c r="G5" s="222"/>
      <c r="H5" s="40" t="s">
        <v>154</v>
      </c>
      <c r="I5" s="221" t="s">
        <v>153</v>
      </c>
      <c r="J5" s="222"/>
      <c r="K5" s="41" t="s">
        <v>154</v>
      </c>
    </row>
    <row r="6" spans="1:11" ht="12" customHeight="1">
      <c r="A6" s="42"/>
      <c r="B6" s="43"/>
      <c r="C6" s="44"/>
      <c r="D6" s="30" t="s">
        <v>155</v>
      </c>
      <c r="E6" s="7" t="s">
        <v>156</v>
      </c>
      <c r="F6" s="44"/>
      <c r="G6" s="30" t="s">
        <v>155</v>
      </c>
      <c r="H6" s="7" t="s">
        <v>156</v>
      </c>
      <c r="I6" s="44"/>
      <c r="J6" s="30" t="s">
        <v>155</v>
      </c>
      <c r="K6" s="45" t="s">
        <v>156</v>
      </c>
    </row>
    <row r="7" spans="1:11" ht="30" customHeight="1">
      <c r="A7" s="223" t="s">
        <v>174</v>
      </c>
      <c r="B7" s="46" t="s">
        <v>175</v>
      </c>
      <c r="C7" s="47"/>
      <c r="D7" s="197">
        <v>29685</v>
      </c>
      <c r="E7" s="48">
        <v>17483485</v>
      </c>
      <c r="F7" s="49"/>
      <c r="G7" s="104">
        <v>79604</v>
      </c>
      <c r="H7" s="48">
        <v>603943346</v>
      </c>
      <c r="I7" s="49"/>
      <c r="J7" s="104">
        <v>109289</v>
      </c>
      <c r="K7" s="50">
        <v>621426831</v>
      </c>
    </row>
    <row r="8" spans="1:11" ht="30" customHeight="1">
      <c r="A8" s="224"/>
      <c r="B8" s="51" t="s">
        <v>176</v>
      </c>
      <c r="C8" s="47"/>
      <c r="D8" s="105">
        <v>49900</v>
      </c>
      <c r="E8" s="106">
        <v>18605517</v>
      </c>
      <c r="F8" s="49"/>
      <c r="G8" s="105">
        <v>32209</v>
      </c>
      <c r="H8" s="106">
        <v>19557416</v>
      </c>
      <c r="I8" s="49"/>
      <c r="J8" s="105">
        <v>82109</v>
      </c>
      <c r="K8" s="107">
        <v>38162933</v>
      </c>
    </row>
    <row r="9" spans="1:11" s="54" customFormat="1" ht="30" customHeight="1">
      <c r="A9" s="224"/>
      <c r="B9" s="52" t="s">
        <v>177</v>
      </c>
      <c r="C9" s="53"/>
      <c r="D9" s="198">
        <v>79585</v>
      </c>
      <c r="E9" s="109">
        <v>36089002</v>
      </c>
      <c r="F9" s="53"/>
      <c r="G9" s="108">
        <v>111813</v>
      </c>
      <c r="H9" s="109">
        <v>623500762</v>
      </c>
      <c r="I9" s="53"/>
      <c r="J9" s="108">
        <v>191398</v>
      </c>
      <c r="K9" s="110">
        <v>659589764</v>
      </c>
    </row>
    <row r="10" spans="1:11" ht="30" customHeight="1">
      <c r="A10" s="225"/>
      <c r="B10" s="55" t="s">
        <v>178</v>
      </c>
      <c r="C10" s="47"/>
      <c r="D10" s="199">
        <v>2400</v>
      </c>
      <c r="E10" s="112">
        <v>1512638</v>
      </c>
      <c r="F10" s="47"/>
      <c r="G10" s="111">
        <v>5138</v>
      </c>
      <c r="H10" s="112">
        <v>42311402</v>
      </c>
      <c r="I10" s="47"/>
      <c r="J10" s="111">
        <v>7538</v>
      </c>
      <c r="K10" s="113">
        <v>43824040</v>
      </c>
    </row>
    <row r="11" spans="1:11" ht="30" customHeight="1">
      <c r="A11" s="226" t="s">
        <v>179</v>
      </c>
      <c r="B11" s="56" t="s">
        <v>180</v>
      </c>
      <c r="C11" s="57"/>
      <c r="D11" s="114">
        <v>6296</v>
      </c>
      <c r="E11" s="58">
        <v>1569118</v>
      </c>
      <c r="F11" s="59"/>
      <c r="G11" s="115">
        <v>5895</v>
      </c>
      <c r="H11" s="58">
        <v>2842119</v>
      </c>
      <c r="I11" s="59"/>
      <c r="J11" s="115">
        <v>12191</v>
      </c>
      <c r="K11" s="60">
        <v>4411237</v>
      </c>
    </row>
    <row r="12" spans="1:11" ht="30" customHeight="1">
      <c r="A12" s="227"/>
      <c r="B12" s="61" t="s">
        <v>181</v>
      </c>
      <c r="C12" s="62"/>
      <c r="D12" s="105">
        <v>1145</v>
      </c>
      <c r="E12" s="106">
        <v>242909</v>
      </c>
      <c r="F12" s="63"/>
      <c r="G12" s="116">
        <v>985</v>
      </c>
      <c r="H12" s="106">
        <v>1549274</v>
      </c>
      <c r="I12" s="63"/>
      <c r="J12" s="116">
        <v>2130</v>
      </c>
      <c r="K12" s="107">
        <v>1792183</v>
      </c>
    </row>
    <row r="13" spans="1:11" s="54" customFormat="1" ht="30" customHeight="1">
      <c r="A13" s="228" t="s">
        <v>157</v>
      </c>
      <c r="B13" s="229"/>
      <c r="C13" s="64" t="s">
        <v>158</v>
      </c>
      <c r="D13" s="117">
        <v>84592</v>
      </c>
      <c r="E13" s="118">
        <v>35902572</v>
      </c>
      <c r="F13" s="200" t="s">
        <v>158</v>
      </c>
      <c r="G13" s="117">
        <v>118017</v>
      </c>
      <c r="H13" s="118">
        <v>582482206</v>
      </c>
      <c r="I13" s="200" t="s">
        <v>158</v>
      </c>
      <c r="J13" s="117">
        <v>202609</v>
      </c>
      <c r="K13" s="119">
        <v>618384778</v>
      </c>
    </row>
    <row r="14" spans="1:11" ht="30" customHeight="1" thickBot="1">
      <c r="A14" s="230" t="s">
        <v>159</v>
      </c>
      <c r="B14" s="231"/>
      <c r="C14" s="65"/>
      <c r="D14" s="120">
        <v>5796</v>
      </c>
      <c r="E14" s="121">
        <v>276470</v>
      </c>
      <c r="F14" s="66"/>
      <c r="G14" s="120">
        <v>4985</v>
      </c>
      <c r="H14" s="121">
        <v>426455</v>
      </c>
      <c r="I14" s="66"/>
      <c r="J14" s="120">
        <v>10781</v>
      </c>
      <c r="K14" s="122">
        <v>702926</v>
      </c>
    </row>
    <row r="15" spans="1:11" ht="2.25" customHeight="1">
      <c r="A15" s="177"/>
      <c r="B15" s="177"/>
      <c r="C15" s="178"/>
      <c r="D15" s="179"/>
      <c r="E15" s="179"/>
      <c r="F15" s="179"/>
      <c r="G15" s="179"/>
      <c r="H15" s="179"/>
      <c r="I15" s="179"/>
      <c r="J15" s="179"/>
      <c r="K15" s="179"/>
    </row>
    <row r="16" spans="1:11" s="1" customFormat="1" ht="34.5" customHeight="1">
      <c r="A16" s="196" t="s">
        <v>168</v>
      </c>
      <c r="B16" s="232" t="s">
        <v>248</v>
      </c>
      <c r="C16" s="232"/>
      <c r="D16" s="232"/>
      <c r="E16" s="232"/>
      <c r="F16" s="232"/>
      <c r="G16" s="232"/>
      <c r="H16" s="232"/>
      <c r="I16" s="232"/>
      <c r="J16" s="232"/>
      <c r="K16" s="232"/>
    </row>
    <row r="17" spans="1:11" ht="45" customHeight="1">
      <c r="A17" s="194"/>
      <c r="B17" s="233" t="s">
        <v>249</v>
      </c>
      <c r="C17" s="233"/>
      <c r="D17" s="233"/>
      <c r="E17" s="233"/>
      <c r="F17" s="233"/>
      <c r="G17" s="233"/>
      <c r="H17" s="233"/>
      <c r="I17" s="233"/>
      <c r="J17" s="233"/>
      <c r="K17" s="233"/>
    </row>
    <row r="18" ht="14.25" customHeight="1">
      <c r="A18" s="2" t="s">
        <v>169</v>
      </c>
    </row>
    <row r="19" ht="11.25">
      <c r="A19" s="2" t="s">
        <v>238</v>
      </c>
    </row>
  </sheetData>
  <sheetProtection/>
  <mergeCells count="15">
    <mergeCell ref="A7:A10"/>
    <mergeCell ref="A11:A12"/>
    <mergeCell ref="A13:B13"/>
    <mergeCell ref="A14:B14"/>
    <mergeCell ref="B16:K16"/>
    <mergeCell ref="B17:K17"/>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(H30)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160</v>
      </c>
    </row>
    <row r="2" spans="1:8" s="2" customFormat="1" ht="15" customHeight="1">
      <c r="A2" s="213" t="s">
        <v>152</v>
      </c>
      <c r="B2" s="214"/>
      <c r="C2" s="236" t="s">
        <v>171</v>
      </c>
      <c r="D2" s="236"/>
      <c r="E2" s="236" t="s">
        <v>182</v>
      </c>
      <c r="F2" s="236"/>
      <c r="G2" s="237" t="s">
        <v>183</v>
      </c>
      <c r="H2" s="238"/>
    </row>
    <row r="3" spans="1:8" s="2" customFormat="1" ht="15" customHeight="1">
      <c r="A3" s="215"/>
      <c r="B3" s="216"/>
      <c r="C3" s="57" t="s">
        <v>184</v>
      </c>
      <c r="D3" s="40" t="s">
        <v>185</v>
      </c>
      <c r="E3" s="57" t="s">
        <v>184</v>
      </c>
      <c r="F3" s="67" t="s">
        <v>185</v>
      </c>
      <c r="G3" s="57" t="s">
        <v>184</v>
      </c>
      <c r="H3" s="68" t="s">
        <v>185</v>
      </c>
    </row>
    <row r="4" spans="1:8" s="73" customFormat="1" ht="15" customHeight="1">
      <c r="A4" s="69"/>
      <c r="B4" s="40"/>
      <c r="C4" s="70" t="s">
        <v>15</v>
      </c>
      <c r="D4" s="71" t="s">
        <v>16</v>
      </c>
      <c r="E4" s="70" t="s">
        <v>15</v>
      </c>
      <c r="F4" s="71" t="s">
        <v>16</v>
      </c>
      <c r="G4" s="70" t="s">
        <v>15</v>
      </c>
      <c r="H4" s="72" t="s">
        <v>16</v>
      </c>
    </row>
    <row r="5" spans="1:8" s="75" customFormat="1" ht="30" customHeight="1">
      <c r="A5" s="234" t="s">
        <v>237</v>
      </c>
      <c r="B5" s="46" t="s">
        <v>161</v>
      </c>
      <c r="C5" s="74">
        <v>81356</v>
      </c>
      <c r="D5" s="48">
        <v>33217122</v>
      </c>
      <c r="E5" s="74">
        <v>108982</v>
      </c>
      <c r="F5" s="48">
        <v>514265631</v>
      </c>
      <c r="G5" s="74">
        <v>190338</v>
      </c>
      <c r="H5" s="50">
        <v>547482754</v>
      </c>
    </row>
    <row r="6" spans="1:8" s="75" customFormat="1" ht="30" customHeight="1">
      <c r="A6" s="235"/>
      <c r="B6" s="55" t="s">
        <v>3</v>
      </c>
      <c r="C6" s="76">
        <v>2588</v>
      </c>
      <c r="D6" s="77">
        <v>1290703</v>
      </c>
      <c r="E6" s="76">
        <v>4731</v>
      </c>
      <c r="F6" s="77">
        <v>35075223</v>
      </c>
      <c r="G6" s="76">
        <v>7319</v>
      </c>
      <c r="H6" s="78">
        <v>36365926</v>
      </c>
    </row>
    <row r="7" spans="1:8" s="75" customFormat="1" ht="30" customHeight="1">
      <c r="A7" s="234" t="s">
        <v>239</v>
      </c>
      <c r="B7" s="79" t="s">
        <v>161</v>
      </c>
      <c r="C7" s="80">
        <v>81292</v>
      </c>
      <c r="D7" s="58">
        <v>37182441</v>
      </c>
      <c r="E7" s="80">
        <v>110232</v>
      </c>
      <c r="F7" s="58">
        <v>597098593</v>
      </c>
      <c r="G7" s="80">
        <v>191524</v>
      </c>
      <c r="H7" s="60">
        <v>634281034</v>
      </c>
    </row>
    <row r="8" spans="1:8" s="75" customFormat="1" ht="30" customHeight="1">
      <c r="A8" s="235"/>
      <c r="B8" s="55" t="s">
        <v>3</v>
      </c>
      <c r="C8" s="76">
        <v>2280</v>
      </c>
      <c r="D8" s="77">
        <v>1510872</v>
      </c>
      <c r="E8" s="76">
        <v>4737</v>
      </c>
      <c r="F8" s="77">
        <v>35901272</v>
      </c>
      <c r="G8" s="76">
        <v>7017</v>
      </c>
      <c r="H8" s="78">
        <v>37412144</v>
      </c>
    </row>
    <row r="9" spans="1:8" s="75" customFormat="1" ht="30" customHeight="1">
      <c r="A9" s="234" t="s">
        <v>243</v>
      </c>
      <c r="B9" s="79" t="s">
        <v>161</v>
      </c>
      <c r="C9" s="80">
        <v>78757</v>
      </c>
      <c r="D9" s="58">
        <v>37027560</v>
      </c>
      <c r="E9" s="80">
        <v>111210</v>
      </c>
      <c r="F9" s="58">
        <v>752341535</v>
      </c>
      <c r="G9" s="80">
        <v>189967</v>
      </c>
      <c r="H9" s="60">
        <v>789369096</v>
      </c>
    </row>
    <row r="10" spans="1:8" s="75" customFormat="1" ht="30" customHeight="1">
      <c r="A10" s="235"/>
      <c r="B10" s="55" t="s">
        <v>3</v>
      </c>
      <c r="C10" s="76">
        <v>2062</v>
      </c>
      <c r="D10" s="77">
        <v>1567811</v>
      </c>
      <c r="E10" s="76">
        <v>4826</v>
      </c>
      <c r="F10" s="77">
        <v>38306237</v>
      </c>
      <c r="G10" s="76">
        <v>6888</v>
      </c>
      <c r="H10" s="78">
        <v>39874048</v>
      </c>
    </row>
    <row r="11" spans="1:8" s="75" customFormat="1" ht="30" customHeight="1">
      <c r="A11" s="234" t="s">
        <v>247</v>
      </c>
      <c r="B11" s="79" t="s">
        <v>161</v>
      </c>
      <c r="C11" s="80">
        <v>79322</v>
      </c>
      <c r="D11" s="58">
        <v>36467855</v>
      </c>
      <c r="E11" s="80">
        <v>111402</v>
      </c>
      <c r="F11" s="58">
        <v>624518675</v>
      </c>
      <c r="G11" s="80">
        <v>190724</v>
      </c>
      <c r="H11" s="60">
        <v>660986530</v>
      </c>
    </row>
    <row r="12" spans="1:8" s="75" customFormat="1" ht="30" customHeight="1">
      <c r="A12" s="235"/>
      <c r="B12" s="55" t="s">
        <v>3</v>
      </c>
      <c r="C12" s="76">
        <v>2311</v>
      </c>
      <c r="D12" s="77">
        <v>1609742</v>
      </c>
      <c r="E12" s="76">
        <v>5054</v>
      </c>
      <c r="F12" s="77">
        <v>44818077</v>
      </c>
      <c r="G12" s="76">
        <v>7365</v>
      </c>
      <c r="H12" s="78">
        <v>46427819</v>
      </c>
    </row>
    <row r="13" spans="1:8" s="2" customFormat="1" ht="30" customHeight="1">
      <c r="A13" s="234" t="s">
        <v>251</v>
      </c>
      <c r="B13" s="79" t="s">
        <v>161</v>
      </c>
      <c r="C13" s="201">
        <v>79585</v>
      </c>
      <c r="D13" s="58">
        <v>36089002</v>
      </c>
      <c r="E13" s="80">
        <v>111813</v>
      </c>
      <c r="F13" s="58">
        <v>623500762</v>
      </c>
      <c r="G13" s="80">
        <v>191398</v>
      </c>
      <c r="H13" s="60">
        <v>659589764</v>
      </c>
    </row>
    <row r="14" spans="1:8" s="2" customFormat="1" ht="30" customHeight="1" thickBot="1">
      <c r="A14" s="234"/>
      <c r="B14" s="81" t="s">
        <v>3</v>
      </c>
      <c r="C14" s="202">
        <v>2400</v>
      </c>
      <c r="D14" s="124">
        <v>1512638</v>
      </c>
      <c r="E14" s="123">
        <v>5138</v>
      </c>
      <c r="F14" s="124">
        <v>42311402</v>
      </c>
      <c r="G14" s="123">
        <v>7538</v>
      </c>
      <c r="H14" s="125">
        <v>43824040</v>
      </c>
    </row>
    <row r="15" spans="1:7" s="2" customFormat="1" ht="11.25">
      <c r="A15" s="195"/>
      <c r="E15" s="82"/>
      <c r="G15" s="82"/>
    </row>
    <row r="16" spans="5:7" s="2" customFormat="1" ht="11.25">
      <c r="E16" s="82"/>
      <c r="G16" s="82"/>
    </row>
    <row r="17" spans="5:7" s="2" customFormat="1" ht="11.25">
      <c r="E17" s="82"/>
      <c r="G17" s="82"/>
    </row>
    <row r="18" spans="5:7" s="2" customFormat="1" ht="11.25">
      <c r="E18" s="82"/>
      <c r="G18" s="82"/>
    </row>
    <row r="19" spans="5:7" s="2" customFormat="1" ht="11.25">
      <c r="E19" s="82"/>
      <c r="G19" s="82"/>
    </row>
    <row r="20" spans="5:7" s="2" customFormat="1" ht="11.25">
      <c r="E20" s="82"/>
      <c r="G20" s="82"/>
    </row>
    <row r="21" spans="5:7" s="2" customFormat="1" ht="11.25">
      <c r="E21" s="82"/>
      <c r="G21" s="82"/>
    </row>
    <row r="22" spans="5:7" s="2" customFormat="1" ht="11.25">
      <c r="E22" s="82"/>
      <c r="G22" s="82"/>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(H30)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162</v>
      </c>
    </row>
    <row r="2" spans="1:4" s="1" customFormat="1" ht="19.5" customHeight="1">
      <c r="A2" s="83" t="s">
        <v>163</v>
      </c>
      <c r="B2" s="84" t="s">
        <v>164</v>
      </c>
      <c r="C2" s="85" t="s">
        <v>165</v>
      </c>
      <c r="D2" s="86" t="s">
        <v>166</v>
      </c>
    </row>
    <row r="3" spans="1:4" s="73" customFormat="1" ht="15" customHeight="1">
      <c r="A3" s="87" t="s">
        <v>15</v>
      </c>
      <c r="B3" s="88" t="s">
        <v>15</v>
      </c>
      <c r="C3" s="89" t="s">
        <v>15</v>
      </c>
      <c r="D3" s="90" t="s">
        <v>15</v>
      </c>
    </row>
    <row r="4" spans="1:9" s="1" customFormat="1" ht="30" customHeight="1" thickBot="1">
      <c r="A4" s="190">
        <v>197032</v>
      </c>
      <c r="B4" s="191">
        <v>5485</v>
      </c>
      <c r="C4" s="192">
        <v>473</v>
      </c>
      <c r="D4" s="193">
        <v>202990</v>
      </c>
      <c r="E4" s="91"/>
      <c r="G4" s="91"/>
      <c r="I4" s="91"/>
    </row>
    <row r="5" spans="1:4" s="1" customFormat="1" ht="15" customHeight="1">
      <c r="A5" s="239" t="s">
        <v>250</v>
      </c>
      <c r="B5" s="239"/>
      <c r="C5" s="239"/>
      <c r="D5" s="239"/>
    </row>
    <row r="6" spans="1:4" s="1" customFormat="1" ht="15" customHeight="1">
      <c r="A6" s="240" t="s">
        <v>167</v>
      </c>
      <c r="B6" s="240"/>
      <c r="C6" s="240"/>
      <c r="D6" s="240"/>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(H30)</oddFooter>
  </headerFooter>
</worksheet>
</file>

<file path=xl/worksheets/sheet4.xml><?xml version="1.0" encoding="utf-8"?>
<worksheet xmlns="http://schemas.openxmlformats.org/spreadsheetml/2006/main" xmlns:r="http://schemas.openxmlformats.org/officeDocument/2006/relationships">
  <dimension ref="A1:O86"/>
  <sheetViews>
    <sheetView showGridLines="0"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245</v>
      </c>
      <c r="B1" s="1"/>
      <c r="C1" s="1"/>
      <c r="D1" s="1"/>
      <c r="E1" s="1"/>
      <c r="F1" s="1"/>
      <c r="G1" s="1"/>
      <c r="H1" s="2"/>
      <c r="I1" s="2"/>
      <c r="J1" s="2"/>
      <c r="K1" s="2"/>
      <c r="L1" s="2"/>
      <c r="M1" s="2"/>
      <c r="N1" s="2"/>
    </row>
    <row r="2" spans="1:14" ht="14.25" thickBot="1">
      <c r="A2" s="240" t="s">
        <v>0</v>
      </c>
      <c r="B2" s="240"/>
      <c r="C2" s="240"/>
      <c r="D2" s="240"/>
      <c r="E2" s="240"/>
      <c r="F2" s="240"/>
      <c r="G2" s="240"/>
      <c r="H2" s="2"/>
      <c r="I2" s="2"/>
      <c r="J2" s="2"/>
      <c r="K2" s="2"/>
      <c r="L2" s="2"/>
      <c r="M2" s="2"/>
      <c r="N2" s="2"/>
    </row>
    <row r="3" spans="1:14" ht="19.5" customHeight="1">
      <c r="A3" s="252" t="s">
        <v>1</v>
      </c>
      <c r="B3" s="255" t="s">
        <v>2</v>
      </c>
      <c r="C3" s="255"/>
      <c r="D3" s="255"/>
      <c r="E3" s="255"/>
      <c r="F3" s="255"/>
      <c r="G3" s="255"/>
      <c r="H3" s="250" t="s">
        <v>3</v>
      </c>
      <c r="I3" s="248"/>
      <c r="J3" s="247" t="s">
        <v>4</v>
      </c>
      <c r="K3" s="248"/>
      <c r="L3" s="250" t="s">
        <v>5</v>
      </c>
      <c r="M3" s="248"/>
      <c r="N3" s="241" t="s">
        <v>6</v>
      </c>
    </row>
    <row r="4" spans="1:14" ht="17.25" customHeight="1">
      <c r="A4" s="253"/>
      <c r="B4" s="244" t="s">
        <v>7</v>
      </c>
      <c r="C4" s="244"/>
      <c r="D4" s="245" t="s">
        <v>8</v>
      </c>
      <c r="E4" s="246"/>
      <c r="F4" s="245" t="s">
        <v>9</v>
      </c>
      <c r="G4" s="246"/>
      <c r="H4" s="245"/>
      <c r="I4" s="249"/>
      <c r="J4" s="245"/>
      <c r="K4" s="249"/>
      <c r="L4" s="245"/>
      <c r="M4" s="249"/>
      <c r="N4" s="242"/>
    </row>
    <row r="5" spans="1:14" s="4" customFormat="1" ht="28.5" customHeight="1">
      <c r="A5" s="254"/>
      <c r="B5" s="33" t="s">
        <v>10</v>
      </c>
      <c r="C5" s="34" t="s">
        <v>11</v>
      </c>
      <c r="D5" s="33" t="s">
        <v>10</v>
      </c>
      <c r="E5" s="34" t="s">
        <v>11</v>
      </c>
      <c r="F5" s="33" t="s">
        <v>10</v>
      </c>
      <c r="G5" s="38" t="s">
        <v>12</v>
      </c>
      <c r="H5" s="33" t="s">
        <v>91</v>
      </c>
      <c r="I5" s="37" t="s">
        <v>13</v>
      </c>
      <c r="J5" s="33" t="s">
        <v>91</v>
      </c>
      <c r="K5" s="37" t="s">
        <v>14</v>
      </c>
      <c r="L5" s="33" t="s">
        <v>91</v>
      </c>
      <c r="M5" s="35" t="s">
        <v>92</v>
      </c>
      <c r="N5" s="243"/>
    </row>
    <row r="6" spans="1:14" s="10" customFormat="1" ht="10.5">
      <c r="A6" s="5"/>
      <c r="B6" s="6" t="s">
        <v>15</v>
      </c>
      <c r="C6" s="7" t="s">
        <v>16</v>
      </c>
      <c r="D6" s="6" t="s">
        <v>15</v>
      </c>
      <c r="E6" s="7" t="s">
        <v>16</v>
      </c>
      <c r="F6" s="6" t="s">
        <v>15</v>
      </c>
      <c r="G6" s="7" t="s">
        <v>16</v>
      </c>
      <c r="H6" s="6" t="s">
        <v>15</v>
      </c>
      <c r="I6" s="8" t="s">
        <v>16</v>
      </c>
      <c r="J6" s="6" t="s">
        <v>15</v>
      </c>
      <c r="K6" s="8" t="s">
        <v>16</v>
      </c>
      <c r="L6" s="6" t="s">
        <v>244</v>
      </c>
      <c r="M6" s="8" t="s">
        <v>16</v>
      </c>
      <c r="N6" s="9"/>
    </row>
    <row r="7" spans="1:14" ht="15.75" customHeight="1">
      <c r="A7" s="11" t="s">
        <v>18</v>
      </c>
      <c r="B7" s="126">
        <f>_xlfn.COMPOUNDVALUE(1)</f>
        <v>1004</v>
      </c>
      <c r="C7" s="203">
        <v>630893</v>
      </c>
      <c r="D7" s="126">
        <f>_xlfn.COMPOUNDVALUE(2)</f>
        <v>1764</v>
      </c>
      <c r="E7" s="203">
        <v>650964</v>
      </c>
      <c r="F7" s="126">
        <f>_xlfn.COMPOUNDVALUE(3)</f>
        <v>2768</v>
      </c>
      <c r="G7" s="203">
        <v>1281857</v>
      </c>
      <c r="H7" s="126">
        <f>_xlfn.COMPOUNDVALUE(4)</f>
        <v>52</v>
      </c>
      <c r="I7" s="205">
        <v>11923</v>
      </c>
      <c r="J7" s="126">
        <v>247</v>
      </c>
      <c r="K7" s="128">
        <v>44189</v>
      </c>
      <c r="L7" s="126">
        <v>2905</v>
      </c>
      <c r="M7" s="128">
        <v>1314123</v>
      </c>
      <c r="N7" s="12" t="s">
        <v>96</v>
      </c>
    </row>
    <row r="8" spans="1:14" ht="15.75" customHeight="1">
      <c r="A8" s="13" t="s">
        <v>19</v>
      </c>
      <c r="B8" s="129">
        <f>_xlfn.COMPOUNDVALUE(5)</f>
        <v>657</v>
      </c>
      <c r="C8" s="204">
        <v>356940</v>
      </c>
      <c r="D8" s="129">
        <f>_xlfn.COMPOUNDVALUE(6)</f>
        <v>1371</v>
      </c>
      <c r="E8" s="204">
        <v>460380</v>
      </c>
      <c r="F8" s="129">
        <f>_xlfn.COMPOUNDVALUE(7)</f>
        <v>2028</v>
      </c>
      <c r="G8" s="204">
        <v>817321</v>
      </c>
      <c r="H8" s="129">
        <f>_xlfn.COMPOUNDVALUE(8)</f>
        <v>31</v>
      </c>
      <c r="I8" s="206">
        <v>12677</v>
      </c>
      <c r="J8" s="129">
        <v>153</v>
      </c>
      <c r="K8" s="131">
        <v>18756</v>
      </c>
      <c r="L8" s="129">
        <v>2120</v>
      </c>
      <c r="M8" s="131">
        <v>823400</v>
      </c>
      <c r="N8" s="14" t="s">
        <v>97</v>
      </c>
    </row>
    <row r="9" spans="1:14" ht="15.75" customHeight="1">
      <c r="A9" s="13" t="s">
        <v>20</v>
      </c>
      <c r="B9" s="129">
        <f>_xlfn.COMPOUNDVALUE(9)</f>
        <v>946</v>
      </c>
      <c r="C9" s="204">
        <v>582603</v>
      </c>
      <c r="D9" s="129">
        <f>_xlfn.COMPOUNDVALUE(10)</f>
        <v>1554</v>
      </c>
      <c r="E9" s="204">
        <v>551555</v>
      </c>
      <c r="F9" s="129">
        <f>_xlfn.COMPOUNDVALUE(11)</f>
        <v>2500</v>
      </c>
      <c r="G9" s="204">
        <v>1134158</v>
      </c>
      <c r="H9" s="129">
        <f>_xlfn.COMPOUNDVALUE(12)</f>
        <v>55</v>
      </c>
      <c r="I9" s="206">
        <v>28920</v>
      </c>
      <c r="J9" s="129">
        <v>161</v>
      </c>
      <c r="K9" s="131">
        <v>24693</v>
      </c>
      <c r="L9" s="129">
        <v>2614</v>
      </c>
      <c r="M9" s="131">
        <v>1129931</v>
      </c>
      <c r="N9" s="14" t="s">
        <v>98</v>
      </c>
    </row>
    <row r="10" spans="1:14" ht="15.75" customHeight="1">
      <c r="A10" s="13" t="s">
        <v>21</v>
      </c>
      <c r="B10" s="129">
        <f>_xlfn.COMPOUNDVALUE(13)</f>
        <v>337</v>
      </c>
      <c r="C10" s="204">
        <v>226346</v>
      </c>
      <c r="D10" s="129">
        <f>_xlfn.COMPOUNDVALUE(14)</f>
        <v>790</v>
      </c>
      <c r="E10" s="204">
        <v>248706</v>
      </c>
      <c r="F10" s="129">
        <f>_xlfn.COMPOUNDVALUE(15)</f>
        <v>1127</v>
      </c>
      <c r="G10" s="204">
        <v>475052</v>
      </c>
      <c r="H10" s="129">
        <f>_xlfn.COMPOUNDVALUE(16)</f>
        <v>16</v>
      </c>
      <c r="I10" s="206">
        <v>9867</v>
      </c>
      <c r="J10" s="129">
        <v>58</v>
      </c>
      <c r="K10" s="131">
        <v>18048</v>
      </c>
      <c r="L10" s="129">
        <v>1176</v>
      </c>
      <c r="M10" s="131">
        <v>483233</v>
      </c>
      <c r="N10" s="14" t="s">
        <v>99</v>
      </c>
    </row>
    <row r="11" spans="1:14" ht="15.75" customHeight="1">
      <c r="A11" s="13" t="s">
        <v>22</v>
      </c>
      <c r="B11" s="129">
        <f>_xlfn.COMPOUNDVALUE(17)</f>
        <v>594</v>
      </c>
      <c r="C11" s="204">
        <v>326311</v>
      </c>
      <c r="D11" s="129">
        <f>_xlfn.COMPOUNDVALUE(18)</f>
        <v>1439</v>
      </c>
      <c r="E11" s="204">
        <v>475531</v>
      </c>
      <c r="F11" s="129">
        <f>_xlfn.COMPOUNDVALUE(19)</f>
        <v>2033</v>
      </c>
      <c r="G11" s="204">
        <v>801842</v>
      </c>
      <c r="H11" s="129">
        <f>_xlfn.COMPOUNDVALUE(20)</f>
        <v>34</v>
      </c>
      <c r="I11" s="206">
        <v>12741</v>
      </c>
      <c r="J11" s="129">
        <v>185</v>
      </c>
      <c r="K11" s="131">
        <v>24118</v>
      </c>
      <c r="L11" s="129">
        <v>2114</v>
      </c>
      <c r="M11" s="131">
        <v>813219</v>
      </c>
      <c r="N11" s="14" t="s">
        <v>100</v>
      </c>
    </row>
    <row r="12" spans="1:14" ht="15.75" customHeight="1">
      <c r="A12" s="13" t="s">
        <v>23</v>
      </c>
      <c r="B12" s="129">
        <f>_xlfn.COMPOUNDVALUE(21)</f>
        <v>985</v>
      </c>
      <c r="C12" s="204">
        <v>655108</v>
      </c>
      <c r="D12" s="129">
        <f>_xlfn.COMPOUNDVALUE(22)</f>
        <v>2093</v>
      </c>
      <c r="E12" s="204">
        <v>748062</v>
      </c>
      <c r="F12" s="129">
        <f>_xlfn.COMPOUNDVALUE(23)</f>
        <v>3078</v>
      </c>
      <c r="G12" s="204">
        <v>1403169</v>
      </c>
      <c r="H12" s="129">
        <f>_xlfn.COMPOUNDVALUE(24)</f>
        <v>97</v>
      </c>
      <c r="I12" s="206">
        <v>36756</v>
      </c>
      <c r="J12" s="129">
        <v>104</v>
      </c>
      <c r="K12" s="131">
        <v>14899</v>
      </c>
      <c r="L12" s="129">
        <v>3208</v>
      </c>
      <c r="M12" s="131">
        <v>1381312</v>
      </c>
      <c r="N12" s="14" t="s">
        <v>101</v>
      </c>
    </row>
    <row r="13" spans="1:14" ht="15.75" customHeight="1">
      <c r="A13" s="13" t="s">
        <v>24</v>
      </c>
      <c r="B13" s="129">
        <f>_xlfn.COMPOUNDVALUE(25)</f>
        <v>262</v>
      </c>
      <c r="C13" s="204">
        <v>161087</v>
      </c>
      <c r="D13" s="129">
        <f>_xlfn.COMPOUNDVALUE(26)</f>
        <v>583</v>
      </c>
      <c r="E13" s="204">
        <v>196741</v>
      </c>
      <c r="F13" s="129">
        <f>_xlfn.COMPOUNDVALUE(27)</f>
        <v>845</v>
      </c>
      <c r="G13" s="204">
        <v>357829</v>
      </c>
      <c r="H13" s="129">
        <f>_xlfn.COMPOUNDVALUE(28)</f>
        <v>21</v>
      </c>
      <c r="I13" s="206">
        <v>5868</v>
      </c>
      <c r="J13" s="129">
        <v>55</v>
      </c>
      <c r="K13" s="131">
        <v>7114</v>
      </c>
      <c r="L13" s="129">
        <v>876</v>
      </c>
      <c r="M13" s="131">
        <v>359075</v>
      </c>
      <c r="N13" s="14" t="s">
        <v>24</v>
      </c>
    </row>
    <row r="14" spans="1:14" s="17" customFormat="1" ht="15.75" customHeight="1">
      <c r="A14" s="15" t="s">
        <v>25</v>
      </c>
      <c r="B14" s="132">
        <v>4785</v>
      </c>
      <c r="C14" s="133">
        <v>2939287</v>
      </c>
      <c r="D14" s="132">
        <v>9594</v>
      </c>
      <c r="E14" s="133">
        <v>3331940</v>
      </c>
      <c r="F14" s="132">
        <v>14379</v>
      </c>
      <c r="G14" s="133">
        <v>6271227</v>
      </c>
      <c r="H14" s="132">
        <v>306</v>
      </c>
      <c r="I14" s="134">
        <v>118751</v>
      </c>
      <c r="J14" s="132">
        <v>963</v>
      </c>
      <c r="K14" s="134">
        <v>151817</v>
      </c>
      <c r="L14" s="132">
        <v>15013</v>
      </c>
      <c r="M14" s="134">
        <v>6304293</v>
      </c>
      <c r="N14" s="16" t="s">
        <v>95</v>
      </c>
    </row>
    <row r="15" spans="1:15" s="20" customFormat="1" ht="15.75" customHeight="1">
      <c r="A15" s="181"/>
      <c r="B15" s="180"/>
      <c r="C15" s="184"/>
      <c r="D15" s="180"/>
      <c r="E15" s="184"/>
      <c r="F15" s="180"/>
      <c r="G15" s="184"/>
      <c r="H15" s="186"/>
      <c r="I15" s="185"/>
      <c r="J15" s="180"/>
      <c r="K15" s="184"/>
      <c r="L15" s="186"/>
      <c r="M15" s="185"/>
      <c r="N15" s="182"/>
      <c r="O15" s="183"/>
    </row>
    <row r="16" spans="1:14" ht="15.75" customHeight="1">
      <c r="A16" s="11" t="s">
        <v>26</v>
      </c>
      <c r="B16" s="126">
        <f>_xlfn.COMPOUNDVALUE(29)</f>
        <v>1593</v>
      </c>
      <c r="C16" s="203">
        <v>1009213</v>
      </c>
      <c r="D16" s="126">
        <f>_xlfn.COMPOUNDVALUE(30)</f>
        <v>2095</v>
      </c>
      <c r="E16" s="203">
        <v>879793</v>
      </c>
      <c r="F16" s="126">
        <f>_xlfn.COMPOUNDVALUE(31)</f>
        <v>3688</v>
      </c>
      <c r="G16" s="203">
        <v>1889006</v>
      </c>
      <c r="H16" s="126">
        <f>_xlfn.COMPOUNDVALUE(32)</f>
        <v>133</v>
      </c>
      <c r="I16" s="205">
        <v>127177</v>
      </c>
      <c r="J16" s="126">
        <v>422</v>
      </c>
      <c r="K16" s="128">
        <v>97676</v>
      </c>
      <c r="L16" s="126">
        <v>3994</v>
      </c>
      <c r="M16" s="128">
        <v>1859505</v>
      </c>
      <c r="N16" s="24" t="s">
        <v>102</v>
      </c>
    </row>
    <row r="17" spans="1:14" ht="15.75" customHeight="1">
      <c r="A17" s="13" t="s">
        <v>27</v>
      </c>
      <c r="B17" s="129">
        <f>_xlfn.COMPOUNDVALUE(33)</f>
        <v>306</v>
      </c>
      <c r="C17" s="204">
        <v>195978</v>
      </c>
      <c r="D17" s="129">
        <f>_xlfn.COMPOUNDVALUE(34)</f>
        <v>586</v>
      </c>
      <c r="E17" s="204">
        <v>216558</v>
      </c>
      <c r="F17" s="129">
        <f>_xlfn.COMPOUNDVALUE(35)</f>
        <v>892</v>
      </c>
      <c r="G17" s="204">
        <v>412536</v>
      </c>
      <c r="H17" s="129">
        <f>_xlfn.COMPOUNDVALUE(36)</f>
        <v>27</v>
      </c>
      <c r="I17" s="206">
        <v>19185</v>
      </c>
      <c r="J17" s="129">
        <v>64</v>
      </c>
      <c r="K17" s="131">
        <v>15558</v>
      </c>
      <c r="L17" s="129">
        <v>935</v>
      </c>
      <c r="M17" s="131">
        <v>408909</v>
      </c>
      <c r="N17" s="14" t="s">
        <v>103</v>
      </c>
    </row>
    <row r="18" spans="1:14" ht="15.75" customHeight="1">
      <c r="A18" s="13" t="s">
        <v>28</v>
      </c>
      <c r="B18" s="129">
        <f>_xlfn.COMPOUNDVALUE(37)</f>
        <v>338</v>
      </c>
      <c r="C18" s="204">
        <v>255319</v>
      </c>
      <c r="D18" s="129">
        <f>_xlfn.COMPOUNDVALUE(38)</f>
        <v>503</v>
      </c>
      <c r="E18" s="204">
        <v>169224</v>
      </c>
      <c r="F18" s="129">
        <f>_xlfn.COMPOUNDVALUE(39)</f>
        <v>841</v>
      </c>
      <c r="G18" s="204">
        <v>424543</v>
      </c>
      <c r="H18" s="129">
        <f>_xlfn.COMPOUNDVALUE(40)</f>
        <v>43</v>
      </c>
      <c r="I18" s="206">
        <v>41029</v>
      </c>
      <c r="J18" s="129">
        <v>69</v>
      </c>
      <c r="K18" s="131">
        <v>15692</v>
      </c>
      <c r="L18" s="129">
        <v>892</v>
      </c>
      <c r="M18" s="131">
        <v>399206</v>
      </c>
      <c r="N18" s="14" t="s">
        <v>104</v>
      </c>
    </row>
    <row r="19" spans="1:14" ht="15.75" customHeight="1">
      <c r="A19" s="13" t="s">
        <v>29</v>
      </c>
      <c r="B19" s="129">
        <f>_xlfn.COMPOUNDVALUE(41)</f>
        <v>497</v>
      </c>
      <c r="C19" s="204">
        <v>300527</v>
      </c>
      <c r="D19" s="129">
        <f>_xlfn.COMPOUNDVALUE(42)</f>
        <v>666</v>
      </c>
      <c r="E19" s="204">
        <v>262402</v>
      </c>
      <c r="F19" s="129">
        <f>_xlfn.COMPOUNDVALUE(43)</f>
        <v>1163</v>
      </c>
      <c r="G19" s="204">
        <v>562929</v>
      </c>
      <c r="H19" s="129">
        <f>_xlfn.COMPOUNDVALUE(44)</f>
        <v>68</v>
      </c>
      <c r="I19" s="206">
        <v>20178</v>
      </c>
      <c r="J19" s="129">
        <v>131</v>
      </c>
      <c r="K19" s="131">
        <v>3681</v>
      </c>
      <c r="L19" s="129">
        <v>1254</v>
      </c>
      <c r="M19" s="131">
        <v>546432</v>
      </c>
      <c r="N19" s="14" t="s">
        <v>105</v>
      </c>
    </row>
    <row r="20" spans="1:14" ht="15.75" customHeight="1">
      <c r="A20" s="13" t="s">
        <v>30</v>
      </c>
      <c r="B20" s="129">
        <f>_xlfn.COMPOUNDVALUE(45)</f>
        <v>621</v>
      </c>
      <c r="C20" s="204">
        <v>364598</v>
      </c>
      <c r="D20" s="129">
        <f>_xlfn.COMPOUNDVALUE(46)</f>
        <v>769</v>
      </c>
      <c r="E20" s="204">
        <v>300115</v>
      </c>
      <c r="F20" s="129">
        <f>_xlfn.COMPOUNDVALUE(47)</f>
        <v>1390</v>
      </c>
      <c r="G20" s="204">
        <v>664713</v>
      </c>
      <c r="H20" s="129">
        <f>_xlfn.COMPOUNDVALUE(48)</f>
        <v>57</v>
      </c>
      <c r="I20" s="206">
        <v>38320</v>
      </c>
      <c r="J20" s="129">
        <v>145</v>
      </c>
      <c r="K20" s="131">
        <v>29767</v>
      </c>
      <c r="L20" s="129">
        <v>1477</v>
      </c>
      <c r="M20" s="131">
        <v>656160</v>
      </c>
      <c r="N20" s="14" t="s">
        <v>106</v>
      </c>
    </row>
    <row r="21" spans="1:14" ht="15.75" customHeight="1">
      <c r="A21" s="13" t="s">
        <v>31</v>
      </c>
      <c r="B21" s="129">
        <f>_xlfn.COMPOUNDVALUE(49)</f>
        <v>351</v>
      </c>
      <c r="C21" s="204">
        <v>191257</v>
      </c>
      <c r="D21" s="129">
        <f>_xlfn.COMPOUNDVALUE(50)</f>
        <v>342</v>
      </c>
      <c r="E21" s="204">
        <v>126062</v>
      </c>
      <c r="F21" s="129">
        <f>_xlfn.COMPOUNDVALUE(51)</f>
        <v>693</v>
      </c>
      <c r="G21" s="204">
        <v>317319</v>
      </c>
      <c r="H21" s="129">
        <f>_xlfn.COMPOUNDVALUE(52)</f>
        <v>19</v>
      </c>
      <c r="I21" s="206">
        <v>9040</v>
      </c>
      <c r="J21" s="129">
        <v>46</v>
      </c>
      <c r="K21" s="131">
        <v>3986</v>
      </c>
      <c r="L21" s="129">
        <v>730</v>
      </c>
      <c r="M21" s="131">
        <v>312265</v>
      </c>
      <c r="N21" s="14" t="s">
        <v>107</v>
      </c>
    </row>
    <row r="22" spans="1:14" ht="15.75" customHeight="1">
      <c r="A22" s="13" t="s">
        <v>32</v>
      </c>
      <c r="B22" s="129">
        <f>_xlfn.COMPOUNDVALUE(53)</f>
        <v>439</v>
      </c>
      <c r="C22" s="204">
        <v>236750</v>
      </c>
      <c r="D22" s="129">
        <f>_xlfn.COMPOUNDVALUE(54)</f>
        <v>554</v>
      </c>
      <c r="E22" s="204">
        <v>206363</v>
      </c>
      <c r="F22" s="129">
        <f>_xlfn.COMPOUNDVALUE(55)</f>
        <v>993</v>
      </c>
      <c r="G22" s="204">
        <v>443113</v>
      </c>
      <c r="H22" s="129">
        <f>_xlfn.COMPOUNDVALUE(56)</f>
        <v>58</v>
      </c>
      <c r="I22" s="206">
        <v>11283</v>
      </c>
      <c r="J22" s="129">
        <v>92</v>
      </c>
      <c r="K22" s="131">
        <v>7064</v>
      </c>
      <c r="L22" s="129">
        <v>1062</v>
      </c>
      <c r="M22" s="131">
        <v>438894</v>
      </c>
      <c r="N22" s="14" t="s">
        <v>108</v>
      </c>
    </row>
    <row r="23" spans="1:14" ht="15.75" customHeight="1">
      <c r="A23" s="13" t="s">
        <v>33</v>
      </c>
      <c r="B23" s="129">
        <f>_xlfn.COMPOUNDVALUE(57)</f>
        <v>257</v>
      </c>
      <c r="C23" s="204">
        <v>192224</v>
      </c>
      <c r="D23" s="129">
        <f>_xlfn.COMPOUNDVALUE(58)</f>
        <v>379</v>
      </c>
      <c r="E23" s="204">
        <v>147276</v>
      </c>
      <c r="F23" s="129">
        <f>_xlfn.COMPOUNDVALUE(59)</f>
        <v>636</v>
      </c>
      <c r="G23" s="204">
        <v>339499</v>
      </c>
      <c r="H23" s="129">
        <f>_xlfn.COMPOUNDVALUE(60)</f>
        <v>14</v>
      </c>
      <c r="I23" s="206">
        <v>5086</v>
      </c>
      <c r="J23" s="129">
        <v>89</v>
      </c>
      <c r="K23" s="131">
        <v>10393</v>
      </c>
      <c r="L23" s="129">
        <v>681</v>
      </c>
      <c r="M23" s="131">
        <v>344806</v>
      </c>
      <c r="N23" s="14" t="s">
        <v>109</v>
      </c>
    </row>
    <row r="24" spans="1:14" ht="15.75" customHeight="1">
      <c r="A24" s="13" t="s">
        <v>34</v>
      </c>
      <c r="B24" s="129">
        <f>_xlfn.COMPOUNDVALUE(61)</f>
        <v>307</v>
      </c>
      <c r="C24" s="204">
        <v>226943</v>
      </c>
      <c r="D24" s="129">
        <f>_xlfn.COMPOUNDVALUE(62)</f>
        <v>417</v>
      </c>
      <c r="E24" s="204">
        <v>150991</v>
      </c>
      <c r="F24" s="129">
        <f>_xlfn.COMPOUNDVALUE(63)</f>
        <v>724</v>
      </c>
      <c r="G24" s="204">
        <v>377934</v>
      </c>
      <c r="H24" s="129">
        <f>_xlfn.COMPOUNDVALUE(64)</f>
        <v>36</v>
      </c>
      <c r="I24" s="206">
        <v>58868</v>
      </c>
      <c r="J24" s="129">
        <v>29</v>
      </c>
      <c r="K24" s="131">
        <v>429</v>
      </c>
      <c r="L24" s="129">
        <v>762</v>
      </c>
      <c r="M24" s="131">
        <v>319495</v>
      </c>
      <c r="N24" s="14" t="s">
        <v>110</v>
      </c>
    </row>
    <row r="25" spans="1:14" s="17" customFormat="1" ht="15.75" customHeight="1">
      <c r="A25" s="15" t="s">
        <v>35</v>
      </c>
      <c r="B25" s="132">
        <v>4709</v>
      </c>
      <c r="C25" s="133">
        <v>2972808</v>
      </c>
      <c r="D25" s="132">
        <v>6311</v>
      </c>
      <c r="E25" s="133">
        <v>2458785</v>
      </c>
      <c r="F25" s="132">
        <v>11020</v>
      </c>
      <c r="G25" s="133">
        <v>5431594</v>
      </c>
      <c r="H25" s="132">
        <v>455</v>
      </c>
      <c r="I25" s="134">
        <v>330166</v>
      </c>
      <c r="J25" s="132">
        <v>1087</v>
      </c>
      <c r="K25" s="134">
        <v>184247</v>
      </c>
      <c r="L25" s="132">
        <v>11787</v>
      </c>
      <c r="M25" s="134">
        <v>5285674</v>
      </c>
      <c r="N25" s="16" t="s">
        <v>111</v>
      </c>
    </row>
    <row r="26" spans="1:15" s="20" customFormat="1" ht="15.75" customHeight="1">
      <c r="A26" s="23"/>
      <c r="B26" s="186"/>
      <c r="C26" s="184"/>
      <c r="D26" s="180"/>
      <c r="E26" s="188"/>
      <c r="F26" s="186"/>
      <c r="G26" s="180"/>
      <c r="H26" s="186"/>
      <c r="I26" s="180"/>
      <c r="J26" s="186"/>
      <c r="K26" s="184"/>
      <c r="L26" s="180"/>
      <c r="M26" s="184"/>
      <c r="N26" s="182"/>
      <c r="O26" s="183"/>
    </row>
    <row r="27" spans="1:14" s="17" customFormat="1" ht="15.75" customHeight="1">
      <c r="A27" s="11" t="s">
        <v>36</v>
      </c>
      <c r="B27" s="126">
        <f>_xlfn.COMPOUNDVALUE(65)</f>
        <v>1848</v>
      </c>
      <c r="C27" s="203">
        <v>1211637</v>
      </c>
      <c r="D27" s="126">
        <f>_xlfn.COMPOUNDVALUE(66)</f>
        <v>2092</v>
      </c>
      <c r="E27" s="203">
        <v>938226</v>
      </c>
      <c r="F27" s="126">
        <f>_xlfn.COMPOUNDVALUE(67)</f>
        <v>3940</v>
      </c>
      <c r="G27" s="203">
        <v>2149863</v>
      </c>
      <c r="H27" s="126">
        <f>_xlfn.COMPOUNDVALUE(68)</f>
        <v>138</v>
      </c>
      <c r="I27" s="205">
        <v>190349</v>
      </c>
      <c r="J27" s="126">
        <v>525</v>
      </c>
      <c r="K27" s="128">
        <v>124549</v>
      </c>
      <c r="L27" s="126">
        <v>4297</v>
      </c>
      <c r="M27" s="128">
        <v>2084063</v>
      </c>
      <c r="N27" s="24" t="s">
        <v>112</v>
      </c>
    </row>
    <row r="28" spans="1:14" s="17" customFormat="1" ht="15.75" customHeight="1">
      <c r="A28" s="13" t="s">
        <v>37</v>
      </c>
      <c r="B28" s="129">
        <f>_xlfn.COMPOUNDVALUE(69)</f>
        <v>863</v>
      </c>
      <c r="C28" s="204">
        <v>591335</v>
      </c>
      <c r="D28" s="129">
        <f>_xlfn.COMPOUNDVALUE(70)</f>
        <v>1195</v>
      </c>
      <c r="E28" s="204">
        <v>600121</v>
      </c>
      <c r="F28" s="129">
        <f>_xlfn.COMPOUNDVALUE(71)</f>
        <v>2058</v>
      </c>
      <c r="G28" s="204">
        <v>1191456</v>
      </c>
      <c r="H28" s="129">
        <f>_xlfn.COMPOUNDVALUE(72)</f>
        <v>58</v>
      </c>
      <c r="I28" s="206">
        <v>51839</v>
      </c>
      <c r="J28" s="129">
        <v>216</v>
      </c>
      <c r="K28" s="131">
        <v>46551</v>
      </c>
      <c r="L28" s="129">
        <v>2202</v>
      </c>
      <c r="M28" s="131">
        <v>1186168</v>
      </c>
      <c r="N28" s="14" t="s">
        <v>113</v>
      </c>
    </row>
    <row r="29" spans="1:14" s="17" customFormat="1" ht="15.75" customHeight="1">
      <c r="A29" s="13" t="s">
        <v>38</v>
      </c>
      <c r="B29" s="129">
        <f>_xlfn.COMPOUNDVALUE(73)</f>
        <v>925</v>
      </c>
      <c r="C29" s="204">
        <v>501287</v>
      </c>
      <c r="D29" s="129">
        <f>_xlfn.COMPOUNDVALUE(74)</f>
        <v>1496</v>
      </c>
      <c r="E29" s="204">
        <v>580702</v>
      </c>
      <c r="F29" s="129">
        <f>_xlfn.COMPOUNDVALUE(75)</f>
        <v>2421</v>
      </c>
      <c r="G29" s="204">
        <v>1081989</v>
      </c>
      <c r="H29" s="129">
        <f>_xlfn.COMPOUNDVALUE(76)</f>
        <v>60</v>
      </c>
      <c r="I29" s="206">
        <v>41965</v>
      </c>
      <c r="J29" s="129">
        <v>276</v>
      </c>
      <c r="K29" s="131">
        <v>44830</v>
      </c>
      <c r="L29" s="129">
        <v>2583</v>
      </c>
      <c r="M29" s="131">
        <v>1084854</v>
      </c>
      <c r="N29" s="14" t="s">
        <v>114</v>
      </c>
    </row>
    <row r="30" spans="1:14" s="17" customFormat="1" ht="15.75" customHeight="1">
      <c r="A30" s="13" t="s">
        <v>39</v>
      </c>
      <c r="B30" s="129">
        <f>_xlfn.COMPOUNDVALUE(77)</f>
        <v>815</v>
      </c>
      <c r="C30" s="204">
        <v>649025</v>
      </c>
      <c r="D30" s="129">
        <f>_xlfn.COMPOUNDVALUE(78)</f>
        <v>1529</v>
      </c>
      <c r="E30" s="204">
        <v>590371</v>
      </c>
      <c r="F30" s="129">
        <f>_xlfn.COMPOUNDVALUE(79)</f>
        <v>2344</v>
      </c>
      <c r="G30" s="204">
        <v>1239395</v>
      </c>
      <c r="H30" s="129">
        <f>_xlfn.COMPOUNDVALUE(80)</f>
        <v>76</v>
      </c>
      <c r="I30" s="206">
        <v>56849</v>
      </c>
      <c r="J30" s="129">
        <v>220</v>
      </c>
      <c r="K30" s="131">
        <v>46655</v>
      </c>
      <c r="L30" s="129">
        <v>2519</v>
      </c>
      <c r="M30" s="131">
        <v>1229201</v>
      </c>
      <c r="N30" s="14" t="s">
        <v>115</v>
      </c>
    </row>
    <row r="31" spans="1:14" s="17" customFormat="1" ht="15.75" customHeight="1">
      <c r="A31" s="13" t="s">
        <v>40</v>
      </c>
      <c r="B31" s="129">
        <f>_xlfn.COMPOUNDVALUE(81)</f>
        <v>529</v>
      </c>
      <c r="C31" s="204">
        <v>262208</v>
      </c>
      <c r="D31" s="129">
        <f>_xlfn.COMPOUNDVALUE(82)</f>
        <v>759</v>
      </c>
      <c r="E31" s="204">
        <v>271336</v>
      </c>
      <c r="F31" s="129">
        <f>_xlfn.COMPOUNDVALUE(83)</f>
        <v>1288</v>
      </c>
      <c r="G31" s="204">
        <v>533543</v>
      </c>
      <c r="H31" s="129">
        <f>_xlfn.COMPOUNDVALUE(84)</f>
        <v>44</v>
      </c>
      <c r="I31" s="206">
        <v>10080</v>
      </c>
      <c r="J31" s="129">
        <v>151</v>
      </c>
      <c r="K31" s="131">
        <v>20014</v>
      </c>
      <c r="L31" s="129">
        <v>1379</v>
      </c>
      <c r="M31" s="131">
        <v>543477</v>
      </c>
      <c r="N31" s="14" t="s">
        <v>116</v>
      </c>
    </row>
    <row r="32" spans="1:14" s="17" customFormat="1" ht="15.75" customHeight="1">
      <c r="A32" s="13" t="s">
        <v>41</v>
      </c>
      <c r="B32" s="129">
        <f>_xlfn.COMPOUNDVALUE(85)</f>
        <v>851</v>
      </c>
      <c r="C32" s="204">
        <v>419820</v>
      </c>
      <c r="D32" s="129">
        <f>_xlfn.COMPOUNDVALUE(86)</f>
        <v>1334</v>
      </c>
      <c r="E32" s="204">
        <v>475313</v>
      </c>
      <c r="F32" s="129">
        <f>_xlfn.COMPOUNDVALUE(87)</f>
        <v>2185</v>
      </c>
      <c r="G32" s="204">
        <v>895133</v>
      </c>
      <c r="H32" s="129">
        <f>_xlfn.COMPOUNDVALUE(88)</f>
        <v>98</v>
      </c>
      <c r="I32" s="206">
        <v>50915</v>
      </c>
      <c r="J32" s="129">
        <v>202</v>
      </c>
      <c r="K32" s="131">
        <v>42681</v>
      </c>
      <c r="L32" s="129">
        <v>2349</v>
      </c>
      <c r="M32" s="131">
        <v>886899</v>
      </c>
      <c r="N32" s="14" t="s">
        <v>117</v>
      </c>
    </row>
    <row r="33" spans="1:14" s="17" customFormat="1" ht="15.75" customHeight="1">
      <c r="A33" s="13" t="s">
        <v>42</v>
      </c>
      <c r="B33" s="207">
        <f>_xlfn.COMPOUNDVALUE(89)</f>
        <v>398</v>
      </c>
      <c r="C33" s="204">
        <v>238185</v>
      </c>
      <c r="D33" s="129">
        <f>_xlfn.COMPOUNDVALUE(90)</f>
        <v>539</v>
      </c>
      <c r="E33" s="204">
        <v>179695</v>
      </c>
      <c r="F33" s="207">
        <f>_xlfn.COMPOUNDVALUE(91)</f>
        <v>937</v>
      </c>
      <c r="G33" s="204">
        <v>417880</v>
      </c>
      <c r="H33" s="207">
        <f>_xlfn.COMPOUNDVALUE(92)</f>
        <v>25</v>
      </c>
      <c r="I33" s="206">
        <v>20751</v>
      </c>
      <c r="J33" s="129">
        <v>89</v>
      </c>
      <c r="K33" s="131">
        <v>15171</v>
      </c>
      <c r="L33" s="129">
        <v>976</v>
      </c>
      <c r="M33" s="131">
        <v>412300</v>
      </c>
      <c r="N33" s="14" t="s">
        <v>118</v>
      </c>
    </row>
    <row r="34" spans="1:14" s="17" customFormat="1" ht="15.75" customHeight="1">
      <c r="A34" s="13" t="s">
        <v>43</v>
      </c>
      <c r="B34" s="207">
        <f>_xlfn.COMPOUNDVALUE(93)</f>
        <v>586</v>
      </c>
      <c r="C34" s="204">
        <v>317616</v>
      </c>
      <c r="D34" s="129">
        <f>_xlfn.COMPOUNDVALUE(94)</f>
        <v>803</v>
      </c>
      <c r="E34" s="204">
        <v>288698</v>
      </c>
      <c r="F34" s="207">
        <f>_xlfn.COMPOUNDVALUE(95)</f>
        <v>1389</v>
      </c>
      <c r="G34" s="204">
        <v>606314</v>
      </c>
      <c r="H34" s="207">
        <f>_xlfn.COMPOUNDVALUE(96)</f>
        <v>60</v>
      </c>
      <c r="I34" s="206">
        <v>30849</v>
      </c>
      <c r="J34" s="129">
        <v>164</v>
      </c>
      <c r="K34" s="131">
        <v>26791</v>
      </c>
      <c r="L34" s="129">
        <v>1493</v>
      </c>
      <c r="M34" s="131">
        <v>602256</v>
      </c>
      <c r="N34" s="14" t="s">
        <v>119</v>
      </c>
    </row>
    <row r="35" spans="1:14" s="17" customFormat="1" ht="15.75" customHeight="1">
      <c r="A35" s="13" t="s">
        <v>44</v>
      </c>
      <c r="B35" s="207">
        <f>_xlfn.COMPOUNDVALUE(97)</f>
        <v>317</v>
      </c>
      <c r="C35" s="204">
        <v>158602</v>
      </c>
      <c r="D35" s="129">
        <f>_xlfn.COMPOUNDVALUE(98)</f>
        <v>399</v>
      </c>
      <c r="E35" s="204">
        <v>141305</v>
      </c>
      <c r="F35" s="207">
        <f>_xlfn.COMPOUNDVALUE(99)</f>
        <v>716</v>
      </c>
      <c r="G35" s="204">
        <v>299907</v>
      </c>
      <c r="H35" s="207">
        <f>_xlfn.COMPOUNDVALUE(100)</f>
        <v>48</v>
      </c>
      <c r="I35" s="206">
        <v>25370</v>
      </c>
      <c r="J35" s="129">
        <v>62</v>
      </c>
      <c r="K35" s="131">
        <v>17377</v>
      </c>
      <c r="L35" s="129">
        <v>781</v>
      </c>
      <c r="M35" s="131">
        <v>291914</v>
      </c>
      <c r="N35" s="14" t="s">
        <v>120</v>
      </c>
    </row>
    <row r="36" spans="1:14" s="17" customFormat="1" ht="15.75" customHeight="1">
      <c r="A36" s="13" t="s">
        <v>45</v>
      </c>
      <c r="B36" s="207">
        <f>_xlfn.COMPOUNDVALUE(101)</f>
        <v>466</v>
      </c>
      <c r="C36" s="204">
        <v>228376</v>
      </c>
      <c r="D36" s="129">
        <f>_xlfn.COMPOUNDVALUE(102)</f>
        <v>630</v>
      </c>
      <c r="E36" s="204">
        <v>225500</v>
      </c>
      <c r="F36" s="207">
        <f>_xlfn.COMPOUNDVALUE(103)</f>
        <v>1096</v>
      </c>
      <c r="G36" s="204">
        <v>453876</v>
      </c>
      <c r="H36" s="207">
        <f>_xlfn.COMPOUNDVALUE(104)</f>
        <v>43</v>
      </c>
      <c r="I36" s="206">
        <v>29893</v>
      </c>
      <c r="J36" s="129">
        <v>65</v>
      </c>
      <c r="K36" s="131">
        <v>14570</v>
      </c>
      <c r="L36" s="129">
        <v>1173</v>
      </c>
      <c r="M36" s="131">
        <v>438553</v>
      </c>
      <c r="N36" s="14" t="s">
        <v>121</v>
      </c>
    </row>
    <row r="37" spans="1:14" s="17" customFormat="1" ht="15.75" customHeight="1">
      <c r="A37" s="15" t="s">
        <v>46</v>
      </c>
      <c r="B37" s="208">
        <v>7598</v>
      </c>
      <c r="C37" s="133">
        <v>4578091</v>
      </c>
      <c r="D37" s="132">
        <v>10776</v>
      </c>
      <c r="E37" s="133">
        <v>4291267</v>
      </c>
      <c r="F37" s="208">
        <v>18374</v>
      </c>
      <c r="G37" s="133">
        <v>8869358</v>
      </c>
      <c r="H37" s="208">
        <v>650</v>
      </c>
      <c r="I37" s="134">
        <v>508860</v>
      </c>
      <c r="J37" s="132">
        <v>1970</v>
      </c>
      <c r="K37" s="134">
        <v>399189</v>
      </c>
      <c r="L37" s="132">
        <v>19752</v>
      </c>
      <c r="M37" s="134">
        <v>8759687</v>
      </c>
      <c r="N37" s="16" t="s">
        <v>122</v>
      </c>
    </row>
    <row r="38" spans="1:14" s="17" customFormat="1" ht="15.75" customHeight="1">
      <c r="A38" s="102"/>
      <c r="B38" s="135"/>
      <c r="C38" s="136"/>
      <c r="D38" s="135"/>
      <c r="E38" s="136"/>
      <c r="F38" s="137"/>
      <c r="G38" s="136"/>
      <c r="H38" s="137"/>
      <c r="I38" s="136"/>
      <c r="J38" s="137"/>
      <c r="K38" s="136"/>
      <c r="L38" s="137"/>
      <c r="M38" s="136"/>
      <c r="N38" s="103"/>
    </row>
    <row r="39" spans="1:14" s="17" customFormat="1" ht="15.75" customHeight="1">
      <c r="A39" s="11" t="s">
        <v>47</v>
      </c>
      <c r="B39" s="126">
        <f>_xlfn.COMPOUNDVALUE(105)</f>
        <v>658</v>
      </c>
      <c r="C39" s="203">
        <v>357589</v>
      </c>
      <c r="D39" s="126">
        <f>_xlfn.COMPOUNDVALUE(106)</f>
        <v>917</v>
      </c>
      <c r="E39" s="203">
        <v>399927</v>
      </c>
      <c r="F39" s="126">
        <f>_xlfn.COMPOUNDVALUE(107)</f>
        <v>1575</v>
      </c>
      <c r="G39" s="203">
        <v>757516</v>
      </c>
      <c r="H39" s="126">
        <f>_xlfn.COMPOUNDVALUE(108)</f>
        <v>34</v>
      </c>
      <c r="I39" s="205">
        <v>21119</v>
      </c>
      <c r="J39" s="126">
        <v>137</v>
      </c>
      <c r="K39" s="128">
        <v>17291</v>
      </c>
      <c r="L39" s="126">
        <v>1659</v>
      </c>
      <c r="M39" s="128">
        <v>753688</v>
      </c>
      <c r="N39" s="12" t="s">
        <v>123</v>
      </c>
    </row>
    <row r="40" spans="1:14" s="17" customFormat="1" ht="15.75" customHeight="1">
      <c r="A40" s="13" t="s">
        <v>48</v>
      </c>
      <c r="B40" s="129">
        <f>_xlfn.COMPOUNDVALUE(109)</f>
        <v>427</v>
      </c>
      <c r="C40" s="204">
        <v>205537</v>
      </c>
      <c r="D40" s="129">
        <f>_xlfn.COMPOUNDVALUE(110)</f>
        <v>1169</v>
      </c>
      <c r="E40" s="204">
        <v>449104</v>
      </c>
      <c r="F40" s="129">
        <f>_xlfn.COMPOUNDVALUE(111)</f>
        <v>1596</v>
      </c>
      <c r="G40" s="204">
        <v>654641</v>
      </c>
      <c r="H40" s="129">
        <f>_xlfn.COMPOUNDVALUE(112)</f>
        <v>33</v>
      </c>
      <c r="I40" s="206">
        <v>12956</v>
      </c>
      <c r="J40" s="129">
        <v>100</v>
      </c>
      <c r="K40" s="131">
        <v>21724</v>
      </c>
      <c r="L40" s="129">
        <v>1659</v>
      </c>
      <c r="M40" s="131">
        <v>663409</v>
      </c>
      <c r="N40" s="14" t="s">
        <v>124</v>
      </c>
    </row>
    <row r="41" spans="1:14" s="17" customFormat="1" ht="15.75" customHeight="1">
      <c r="A41" s="13" t="s">
        <v>49</v>
      </c>
      <c r="B41" s="129">
        <f>_xlfn.COMPOUNDVALUE(113)</f>
        <v>305</v>
      </c>
      <c r="C41" s="204">
        <v>198931</v>
      </c>
      <c r="D41" s="129">
        <f>_xlfn.COMPOUNDVALUE(114)</f>
        <v>637</v>
      </c>
      <c r="E41" s="204">
        <v>228808</v>
      </c>
      <c r="F41" s="129">
        <f>_xlfn.COMPOUNDVALUE(115)</f>
        <v>942</v>
      </c>
      <c r="G41" s="204">
        <v>427739</v>
      </c>
      <c r="H41" s="129">
        <f>_xlfn.COMPOUNDVALUE(116)</f>
        <v>34</v>
      </c>
      <c r="I41" s="206">
        <v>21235</v>
      </c>
      <c r="J41" s="129">
        <v>69</v>
      </c>
      <c r="K41" s="131">
        <v>14918</v>
      </c>
      <c r="L41" s="129">
        <v>997</v>
      </c>
      <c r="M41" s="131">
        <v>421422</v>
      </c>
      <c r="N41" s="14" t="s">
        <v>125</v>
      </c>
    </row>
    <row r="42" spans="1:14" s="17" customFormat="1" ht="15.75" customHeight="1">
      <c r="A42" s="13" t="s">
        <v>50</v>
      </c>
      <c r="B42" s="129">
        <f>_xlfn.COMPOUNDVALUE(117)</f>
        <v>322</v>
      </c>
      <c r="C42" s="204">
        <v>162235</v>
      </c>
      <c r="D42" s="129">
        <f>_xlfn.COMPOUNDVALUE(118)</f>
        <v>619</v>
      </c>
      <c r="E42" s="204">
        <v>215270</v>
      </c>
      <c r="F42" s="129">
        <f>_xlfn.COMPOUNDVALUE(119)</f>
        <v>941</v>
      </c>
      <c r="G42" s="204">
        <v>377504</v>
      </c>
      <c r="H42" s="129">
        <f>_xlfn.COMPOUNDVALUE(120)</f>
        <v>20</v>
      </c>
      <c r="I42" s="206">
        <v>7121</v>
      </c>
      <c r="J42" s="129">
        <v>51</v>
      </c>
      <c r="K42" s="131">
        <v>4326</v>
      </c>
      <c r="L42" s="129">
        <v>969</v>
      </c>
      <c r="M42" s="131">
        <v>374709</v>
      </c>
      <c r="N42" s="14" t="s">
        <v>126</v>
      </c>
    </row>
    <row r="43" spans="1:14" s="17" customFormat="1" ht="15.75" customHeight="1">
      <c r="A43" s="13" t="s">
        <v>51</v>
      </c>
      <c r="B43" s="129">
        <f>_xlfn.COMPOUNDVALUE(121)</f>
        <v>410</v>
      </c>
      <c r="C43" s="204">
        <v>214058</v>
      </c>
      <c r="D43" s="129">
        <f>_xlfn.COMPOUNDVALUE(122)</f>
        <v>713</v>
      </c>
      <c r="E43" s="204">
        <v>262904</v>
      </c>
      <c r="F43" s="129">
        <f>_xlfn.COMPOUNDVALUE(123)</f>
        <v>1123</v>
      </c>
      <c r="G43" s="204">
        <v>476962</v>
      </c>
      <c r="H43" s="129">
        <f>_xlfn.COMPOUNDVALUE(124)</f>
        <v>26</v>
      </c>
      <c r="I43" s="206">
        <v>7897</v>
      </c>
      <c r="J43" s="129">
        <v>120</v>
      </c>
      <c r="K43" s="131">
        <v>3664</v>
      </c>
      <c r="L43" s="129">
        <v>1169</v>
      </c>
      <c r="M43" s="131">
        <v>472729</v>
      </c>
      <c r="N43" s="14" t="s">
        <v>127</v>
      </c>
    </row>
    <row r="44" spans="1:14" s="17" customFormat="1" ht="15.75" customHeight="1">
      <c r="A44" s="13" t="s">
        <v>52</v>
      </c>
      <c r="B44" s="129">
        <f>_xlfn.COMPOUNDVALUE(125)</f>
        <v>350</v>
      </c>
      <c r="C44" s="204">
        <v>222389</v>
      </c>
      <c r="D44" s="129">
        <f>_xlfn.COMPOUNDVALUE(126)</f>
        <v>591</v>
      </c>
      <c r="E44" s="204">
        <v>208189</v>
      </c>
      <c r="F44" s="129">
        <f>_xlfn.COMPOUNDVALUE(127)</f>
        <v>941</v>
      </c>
      <c r="G44" s="204">
        <v>430578</v>
      </c>
      <c r="H44" s="129">
        <f>_xlfn.COMPOUNDVALUE(128)</f>
        <v>29</v>
      </c>
      <c r="I44" s="206">
        <v>31861</v>
      </c>
      <c r="J44" s="129">
        <v>57</v>
      </c>
      <c r="K44" s="131">
        <v>12572</v>
      </c>
      <c r="L44" s="129">
        <v>984</v>
      </c>
      <c r="M44" s="131">
        <v>411289</v>
      </c>
      <c r="N44" s="14" t="s">
        <v>128</v>
      </c>
    </row>
    <row r="45" spans="1:14" s="17" customFormat="1" ht="15.75" customHeight="1">
      <c r="A45" s="13" t="s">
        <v>53</v>
      </c>
      <c r="B45" s="129">
        <f>_xlfn.COMPOUNDVALUE(129)</f>
        <v>281</v>
      </c>
      <c r="C45" s="204">
        <v>144359</v>
      </c>
      <c r="D45" s="129">
        <f>_xlfn.COMPOUNDVALUE(130)</f>
        <v>411</v>
      </c>
      <c r="E45" s="204">
        <v>143634</v>
      </c>
      <c r="F45" s="129">
        <f>_xlfn.COMPOUNDVALUE(131)</f>
        <v>692</v>
      </c>
      <c r="G45" s="204">
        <v>287993</v>
      </c>
      <c r="H45" s="129">
        <f>_xlfn.COMPOUNDVALUE(132)</f>
        <v>23</v>
      </c>
      <c r="I45" s="206">
        <v>7284</v>
      </c>
      <c r="J45" s="129">
        <v>45</v>
      </c>
      <c r="K45" s="131">
        <v>4739</v>
      </c>
      <c r="L45" s="129">
        <v>721</v>
      </c>
      <c r="M45" s="131">
        <v>285448</v>
      </c>
      <c r="N45" s="14" t="s">
        <v>129</v>
      </c>
    </row>
    <row r="46" spans="1:14" s="17" customFormat="1" ht="15.75" customHeight="1">
      <c r="A46" s="13" t="s">
        <v>54</v>
      </c>
      <c r="B46" s="129">
        <f>_xlfn.COMPOUNDVALUE(133)</f>
        <v>411</v>
      </c>
      <c r="C46" s="204">
        <v>220115</v>
      </c>
      <c r="D46" s="129">
        <f>_xlfn.COMPOUNDVALUE(134)</f>
        <v>881</v>
      </c>
      <c r="E46" s="204">
        <v>313283</v>
      </c>
      <c r="F46" s="129">
        <f>_xlfn.COMPOUNDVALUE(135)</f>
        <v>1292</v>
      </c>
      <c r="G46" s="204">
        <v>533398</v>
      </c>
      <c r="H46" s="129">
        <f>_xlfn.COMPOUNDVALUE(136)</f>
        <v>37</v>
      </c>
      <c r="I46" s="206">
        <v>13633</v>
      </c>
      <c r="J46" s="129">
        <v>89</v>
      </c>
      <c r="K46" s="131">
        <v>16509</v>
      </c>
      <c r="L46" s="129">
        <v>1349</v>
      </c>
      <c r="M46" s="131">
        <v>536274</v>
      </c>
      <c r="N46" s="14" t="s">
        <v>130</v>
      </c>
    </row>
    <row r="47" spans="1:14" s="17" customFormat="1" ht="15.75" customHeight="1">
      <c r="A47" s="15" t="s">
        <v>55</v>
      </c>
      <c r="B47" s="132">
        <v>3164</v>
      </c>
      <c r="C47" s="133">
        <v>1725214</v>
      </c>
      <c r="D47" s="132">
        <v>5938</v>
      </c>
      <c r="E47" s="133">
        <v>2221118</v>
      </c>
      <c r="F47" s="132">
        <v>9102</v>
      </c>
      <c r="G47" s="133">
        <v>3946332</v>
      </c>
      <c r="H47" s="132">
        <v>236</v>
      </c>
      <c r="I47" s="134">
        <v>123106</v>
      </c>
      <c r="J47" s="132">
        <v>668</v>
      </c>
      <c r="K47" s="134">
        <v>95743</v>
      </c>
      <c r="L47" s="132">
        <v>9507</v>
      </c>
      <c r="M47" s="134">
        <v>3918969</v>
      </c>
      <c r="N47" s="16" t="s">
        <v>131</v>
      </c>
    </row>
    <row r="48" spans="1:15" s="17" customFormat="1" ht="15.75" customHeight="1">
      <c r="A48" s="23"/>
      <c r="B48" s="186"/>
      <c r="C48" s="184"/>
      <c r="D48" s="180"/>
      <c r="E48" s="184"/>
      <c r="F48" s="189"/>
      <c r="G48" s="180"/>
      <c r="H48" s="186"/>
      <c r="I48" s="188"/>
      <c r="J48" s="186"/>
      <c r="K48" s="184"/>
      <c r="L48" s="180"/>
      <c r="M48" s="184"/>
      <c r="N48" s="182"/>
      <c r="O48" s="187"/>
    </row>
    <row r="49" spans="1:14" s="17" customFormat="1" ht="15.75" customHeight="1">
      <c r="A49" s="11" t="s">
        <v>56</v>
      </c>
      <c r="B49" s="126">
        <f>_xlfn.COMPOUNDVALUE(137)</f>
        <v>1043</v>
      </c>
      <c r="C49" s="203">
        <v>592627</v>
      </c>
      <c r="D49" s="126">
        <f>_xlfn.COMPOUNDVALUE(138)</f>
        <v>2109</v>
      </c>
      <c r="E49" s="203">
        <v>809939</v>
      </c>
      <c r="F49" s="126">
        <f>_xlfn.COMPOUNDVALUE(139)</f>
        <v>3152</v>
      </c>
      <c r="G49" s="203">
        <v>1402566</v>
      </c>
      <c r="H49" s="126">
        <f>_xlfn.COMPOUNDVALUE(140)</f>
        <v>53</v>
      </c>
      <c r="I49" s="205">
        <v>33354</v>
      </c>
      <c r="J49" s="126">
        <v>313</v>
      </c>
      <c r="K49" s="128">
        <v>62905</v>
      </c>
      <c r="L49" s="126">
        <v>3348</v>
      </c>
      <c r="M49" s="128">
        <v>1432117</v>
      </c>
      <c r="N49" s="24" t="s">
        <v>132</v>
      </c>
    </row>
    <row r="50" spans="1:14" s="17" customFormat="1" ht="15.75" customHeight="1">
      <c r="A50" s="13" t="s">
        <v>57</v>
      </c>
      <c r="B50" s="129">
        <f>_xlfn.COMPOUNDVALUE(141)</f>
        <v>569</v>
      </c>
      <c r="C50" s="204">
        <v>329766</v>
      </c>
      <c r="D50" s="129">
        <f>_xlfn.COMPOUNDVALUE(142)</f>
        <v>1024</v>
      </c>
      <c r="E50" s="204">
        <v>365710</v>
      </c>
      <c r="F50" s="129">
        <f>_xlfn.COMPOUNDVALUE(143)</f>
        <v>1593</v>
      </c>
      <c r="G50" s="204">
        <v>695476</v>
      </c>
      <c r="H50" s="129">
        <f>_xlfn.COMPOUNDVALUE(144)</f>
        <v>39</v>
      </c>
      <c r="I50" s="206">
        <v>16264</v>
      </c>
      <c r="J50" s="129">
        <v>104</v>
      </c>
      <c r="K50" s="131">
        <v>14312</v>
      </c>
      <c r="L50" s="129">
        <v>1666</v>
      </c>
      <c r="M50" s="131">
        <v>693524</v>
      </c>
      <c r="N50" s="14" t="s">
        <v>133</v>
      </c>
    </row>
    <row r="51" spans="1:14" s="17" customFormat="1" ht="15.75" customHeight="1">
      <c r="A51" s="13" t="s">
        <v>58</v>
      </c>
      <c r="B51" s="129">
        <f>_xlfn.COMPOUNDVALUE(145)</f>
        <v>524</v>
      </c>
      <c r="C51" s="204">
        <v>325912</v>
      </c>
      <c r="D51" s="129">
        <f>_xlfn.COMPOUNDVALUE(146)</f>
        <v>1373</v>
      </c>
      <c r="E51" s="204">
        <v>455519</v>
      </c>
      <c r="F51" s="129">
        <f>_xlfn.COMPOUNDVALUE(147)</f>
        <v>1897</v>
      </c>
      <c r="G51" s="204">
        <v>781431</v>
      </c>
      <c r="H51" s="129">
        <f>_xlfn.COMPOUNDVALUE(148)</f>
        <v>41</v>
      </c>
      <c r="I51" s="206">
        <v>28394</v>
      </c>
      <c r="J51" s="129">
        <v>147</v>
      </c>
      <c r="K51" s="131">
        <v>17005</v>
      </c>
      <c r="L51" s="129">
        <v>1978</v>
      </c>
      <c r="M51" s="131">
        <v>770042</v>
      </c>
      <c r="N51" s="14" t="s">
        <v>134</v>
      </c>
    </row>
    <row r="52" spans="1:14" s="17" customFormat="1" ht="15.75" customHeight="1">
      <c r="A52" s="13" t="s">
        <v>59</v>
      </c>
      <c r="B52" s="129">
        <f>_xlfn.COMPOUNDVALUE(149)</f>
        <v>374</v>
      </c>
      <c r="C52" s="204">
        <v>197203</v>
      </c>
      <c r="D52" s="129">
        <f>_xlfn.COMPOUNDVALUE(150)</f>
        <v>830</v>
      </c>
      <c r="E52" s="204">
        <v>261078</v>
      </c>
      <c r="F52" s="129">
        <f>_xlfn.COMPOUNDVALUE(151)</f>
        <v>1204</v>
      </c>
      <c r="G52" s="204">
        <v>458281</v>
      </c>
      <c r="H52" s="129">
        <f>_xlfn.COMPOUNDVALUE(152)</f>
        <v>31</v>
      </c>
      <c r="I52" s="206">
        <v>9163</v>
      </c>
      <c r="J52" s="129">
        <v>108</v>
      </c>
      <c r="K52" s="131">
        <v>12634</v>
      </c>
      <c r="L52" s="129">
        <v>1260</v>
      </c>
      <c r="M52" s="131">
        <v>461752</v>
      </c>
      <c r="N52" s="14" t="s">
        <v>135</v>
      </c>
    </row>
    <row r="53" spans="1:14" s="17" customFormat="1" ht="15.75" customHeight="1">
      <c r="A53" s="13" t="s">
        <v>60</v>
      </c>
      <c r="B53" s="129">
        <f>_xlfn.COMPOUNDVALUE(153)</f>
        <v>376</v>
      </c>
      <c r="C53" s="204">
        <v>226322</v>
      </c>
      <c r="D53" s="129">
        <f>_xlfn.COMPOUNDVALUE(154)</f>
        <v>691</v>
      </c>
      <c r="E53" s="204">
        <v>254739</v>
      </c>
      <c r="F53" s="129">
        <f>_xlfn.COMPOUNDVALUE(155)</f>
        <v>1067</v>
      </c>
      <c r="G53" s="204">
        <v>481062</v>
      </c>
      <c r="H53" s="129">
        <f>_xlfn.COMPOUNDVALUE(156)</f>
        <v>23</v>
      </c>
      <c r="I53" s="206">
        <v>5293</v>
      </c>
      <c r="J53" s="129">
        <v>88</v>
      </c>
      <c r="K53" s="131">
        <v>1197</v>
      </c>
      <c r="L53" s="129">
        <v>1112</v>
      </c>
      <c r="M53" s="131">
        <v>476966</v>
      </c>
      <c r="N53" s="14" t="s">
        <v>136</v>
      </c>
    </row>
    <row r="54" spans="1:14" s="17" customFormat="1" ht="15.75" customHeight="1">
      <c r="A54" s="13" t="s">
        <v>61</v>
      </c>
      <c r="B54" s="129">
        <f>_xlfn.COMPOUNDVALUE(157)</f>
        <v>289</v>
      </c>
      <c r="C54" s="204">
        <v>161773</v>
      </c>
      <c r="D54" s="129">
        <f>_xlfn.COMPOUNDVALUE(158)</f>
        <v>627</v>
      </c>
      <c r="E54" s="204">
        <v>219965</v>
      </c>
      <c r="F54" s="129">
        <f>_xlfn.COMPOUNDVALUE(159)</f>
        <v>916</v>
      </c>
      <c r="G54" s="204">
        <v>381738</v>
      </c>
      <c r="H54" s="129">
        <f>_xlfn.COMPOUNDVALUE(160)</f>
        <v>9</v>
      </c>
      <c r="I54" s="206">
        <v>3885</v>
      </c>
      <c r="J54" s="129">
        <v>75</v>
      </c>
      <c r="K54" s="131">
        <v>16070</v>
      </c>
      <c r="L54" s="129">
        <v>952</v>
      </c>
      <c r="M54" s="131">
        <v>393923</v>
      </c>
      <c r="N54" s="14" t="s">
        <v>137</v>
      </c>
    </row>
    <row r="55" spans="1:14" s="17" customFormat="1" ht="15.75" customHeight="1">
      <c r="A55" s="13" t="s">
        <v>62</v>
      </c>
      <c r="B55" s="129">
        <f>_xlfn.COMPOUNDVALUE(161)</f>
        <v>479</v>
      </c>
      <c r="C55" s="204">
        <v>294584</v>
      </c>
      <c r="D55" s="129">
        <f>_xlfn.COMPOUNDVALUE(162)</f>
        <v>867</v>
      </c>
      <c r="E55" s="204">
        <v>311768</v>
      </c>
      <c r="F55" s="129">
        <f>_xlfn.COMPOUNDVALUE(163)</f>
        <v>1346</v>
      </c>
      <c r="G55" s="204">
        <v>606352</v>
      </c>
      <c r="H55" s="129">
        <f>_xlfn.COMPOUNDVALUE(164)</f>
        <v>19</v>
      </c>
      <c r="I55" s="206">
        <v>7953</v>
      </c>
      <c r="J55" s="129">
        <v>103</v>
      </c>
      <c r="K55" s="131">
        <v>34073</v>
      </c>
      <c r="L55" s="129">
        <v>1399</v>
      </c>
      <c r="M55" s="131">
        <v>632472</v>
      </c>
      <c r="N55" s="14" t="s">
        <v>138</v>
      </c>
    </row>
    <row r="56" spans="1:14" s="17" customFormat="1" ht="15.75" customHeight="1">
      <c r="A56" s="13" t="s">
        <v>63</v>
      </c>
      <c r="B56" s="129">
        <f>_xlfn.COMPOUNDVALUE(165)</f>
        <v>253</v>
      </c>
      <c r="C56" s="204">
        <v>131163</v>
      </c>
      <c r="D56" s="129">
        <f>_xlfn.COMPOUNDVALUE(166)</f>
        <v>373</v>
      </c>
      <c r="E56" s="204">
        <v>133445</v>
      </c>
      <c r="F56" s="129">
        <f>_xlfn.COMPOUNDVALUE(167)</f>
        <v>626</v>
      </c>
      <c r="G56" s="204">
        <v>264608</v>
      </c>
      <c r="H56" s="129">
        <f>_xlfn.COMPOUNDVALUE(168)</f>
        <v>24</v>
      </c>
      <c r="I56" s="206">
        <v>10631</v>
      </c>
      <c r="J56" s="129">
        <v>32</v>
      </c>
      <c r="K56" s="131">
        <v>1993</v>
      </c>
      <c r="L56" s="129">
        <v>664</v>
      </c>
      <c r="M56" s="131">
        <v>255970</v>
      </c>
      <c r="N56" s="14" t="s">
        <v>139</v>
      </c>
    </row>
    <row r="57" spans="1:14" s="17" customFormat="1" ht="15.75" customHeight="1">
      <c r="A57" s="15" t="s">
        <v>64</v>
      </c>
      <c r="B57" s="132">
        <v>3907</v>
      </c>
      <c r="C57" s="133">
        <v>2259350</v>
      </c>
      <c r="D57" s="132">
        <v>7894</v>
      </c>
      <c r="E57" s="133">
        <v>2812163</v>
      </c>
      <c r="F57" s="132">
        <v>11801</v>
      </c>
      <c r="G57" s="133">
        <v>5071513</v>
      </c>
      <c r="H57" s="132">
        <v>239</v>
      </c>
      <c r="I57" s="134">
        <v>114938</v>
      </c>
      <c r="J57" s="132">
        <v>970</v>
      </c>
      <c r="K57" s="134">
        <v>160188</v>
      </c>
      <c r="L57" s="132">
        <v>12379</v>
      </c>
      <c r="M57" s="134">
        <v>5116764</v>
      </c>
      <c r="N57" s="16" t="s">
        <v>140</v>
      </c>
    </row>
    <row r="58" spans="1:14" s="17" customFormat="1" ht="15.75" customHeight="1">
      <c r="A58" s="181"/>
      <c r="B58" s="180"/>
      <c r="C58" s="184"/>
      <c r="D58" s="180"/>
      <c r="E58" s="188"/>
      <c r="F58" s="186"/>
      <c r="G58" s="188"/>
      <c r="H58" s="186"/>
      <c r="I58" s="180"/>
      <c r="J58" s="186"/>
      <c r="K58" s="184"/>
      <c r="L58" s="180"/>
      <c r="M58" s="184"/>
      <c r="N58" s="182"/>
    </row>
    <row r="59" spans="1:14" s="17" customFormat="1" ht="15.75" customHeight="1">
      <c r="A59" s="11" t="s">
        <v>65</v>
      </c>
      <c r="B59" s="126">
        <f>_xlfn.COMPOUNDVALUE(169)</f>
        <v>870</v>
      </c>
      <c r="C59" s="203">
        <v>465260</v>
      </c>
      <c r="D59" s="126">
        <f>_xlfn.COMPOUNDVALUE(170)</f>
        <v>1777</v>
      </c>
      <c r="E59" s="203">
        <v>659983</v>
      </c>
      <c r="F59" s="126">
        <f>_xlfn.COMPOUNDVALUE(171)</f>
        <v>2647</v>
      </c>
      <c r="G59" s="203">
        <v>1125243</v>
      </c>
      <c r="H59" s="126">
        <f>_xlfn.COMPOUNDVALUE(172)</f>
        <v>63</v>
      </c>
      <c r="I59" s="205">
        <v>36935</v>
      </c>
      <c r="J59" s="126">
        <v>369</v>
      </c>
      <c r="K59" s="128">
        <v>50400</v>
      </c>
      <c r="L59" s="126">
        <v>2854</v>
      </c>
      <c r="M59" s="128">
        <v>1138708</v>
      </c>
      <c r="N59" s="24" t="s">
        <v>142</v>
      </c>
    </row>
    <row r="60" spans="1:14" s="17" customFormat="1" ht="15.75" customHeight="1">
      <c r="A60" s="11" t="s">
        <v>66</v>
      </c>
      <c r="B60" s="126">
        <f>_xlfn.COMPOUNDVALUE(173)</f>
        <v>532</v>
      </c>
      <c r="C60" s="203">
        <v>302831</v>
      </c>
      <c r="D60" s="126">
        <f>_xlfn.COMPOUNDVALUE(174)</f>
        <v>1103</v>
      </c>
      <c r="E60" s="203">
        <v>385850</v>
      </c>
      <c r="F60" s="126">
        <f>_xlfn.COMPOUNDVALUE(175)</f>
        <v>1635</v>
      </c>
      <c r="G60" s="203">
        <v>688681</v>
      </c>
      <c r="H60" s="126">
        <f>_xlfn.COMPOUNDVALUE(176)</f>
        <v>40</v>
      </c>
      <c r="I60" s="205">
        <v>16100</v>
      </c>
      <c r="J60" s="126">
        <v>147</v>
      </c>
      <c r="K60" s="128">
        <v>22866</v>
      </c>
      <c r="L60" s="126">
        <v>1739</v>
      </c>
      <c r="M60" s="128">
        <v>695447</v>
      </c>
      <c r="N60" s="12" t="s">
        <v>143</v>
      </c>
    </row>
    <row r="61" spans="1:14" s="17" customFormat="1" ht="15.75" customHeight="1">
      <c r="A61" s="11" t="s">
        <v>67</v>
      </c>
      <c r="B61" s="126">
        <f>_xlfn.COMPOUNDVALUE(177)</f>
        <v>1047</v>
      </c>
      <c r="C61" s="203">
        <v>564870</v>
      </c>
      <c r="D61" s="126">
        <f>_xlfn.COMPOUNDVALUE(178)</f>
        <v>1723</v>
      </c>
      <c r="E61" s="203">
        <v>684632</v>
      </c>
      <c r="F61" s="126">
        <f>_xlfn.COMPOUNDVALUE(179)</f>
        <v>2770</v>
      </c>
      <c r="G61" s="203">
        <v>1249502</v>
      </c>
      <c r="H61" s="126">
        <f>_xlfn.COMPOUNDVALUE(180)</f>
        <v>93</v>
      </c>
      <c r="I61" s="205">
        <v>58690</v>
      </c>
      <c r="J61" s="126">
        <v>364</v>
      </c>
      <c r="K61" s="128">
        <v>90076</v>
      </c>
      <c r="L61" s="126">
        <v>3045</v>
      </c>
      <c r="M61" s="128">
        <v>1280888</v>
      </c>
      <c r="N61" s="12" t="s">
        <v>144</v>
      </c>
    </row>
    <row r="62" spans="1:14" s="17" customFormat="1" ht="15.75" customHeight="1">
      <c r="A62" s="13" t="s">
        <v>68</v>
      </c>
      <c r="B62" s="129">
        <f>_xlfn.COMPOUNDVALUE(181)</f>
        <v>922</v>
      </c>
      <c r="C62" s="204">
        <v>516722</v>
      </c>
      <c r="D62" s="129">
        <f>_xlfn.COMPOUNDVALUE(182)</f>
        <v>1285</v>
      </c>
      <c r="E62" s="204">
        <v>516060</v>
      </c>
      <c r="F62" s="129">
        <f>_xlfn.COMPOUNDVALUE(183)</f>
        <v>2207</v>
      </c>
      <c r="G62" s="204">
        <v>1032782</v>
      </c>
      <c r="H62" s="129">
        <f>_xlfn.COMPOUNDVALUE(184)</f>
        <v>66</v>
      </c>
      <c r="I62" s="206">
        <v>31664</v>
      </c>
      <c r="J62" s="129">
        <v>368</v>
      </c>
      <c r="K62" s="131">
        <v>72199</v>
      </c>
      <c r="L62" s="129">
        <v>2385</v>
      </c>
      <c r="M62" s="131">
        <v>1073317</v>
      </c>
      <c r="N62" s="14" t="s">
        <v>68</v>
      </c>
    </row>
    <row r="63" spans="1:14" s="17" customFormat="1" ht="15.75" customHeight="1">
      <c r="A63" s="13" t="s">
        <v>69</v>
      </c>
      <c r="B63" s="129">
        <f>_xlfn.COMPOUNDVALUE(185)</f>
        <v>531</v>
      </c>
      <c r="C63" s="204">
        <v>272662</v>
      </c>
      <c r="D63" s="129">
        <f>_xlfn.COMPOUNDVALUE(186)</f>
        <v>905</v>
      </c>
      <c r="E63" s="204">
        <v>331900</v>
      </c>
      <c r="F63" s="129">
        <f>_xlfn.COMPOUNDVALUE(187)</f>
        <v>1436</v>
      </c>
      <c r="G63" s="204">
        <v>604562</v>
      </c>
      <c r="H63" s="129">
        <f>_xlfn.COMPOUNDVALUE(188)</f>
        <v>44</v>
      </c>
      <c r="I63" s="206">
        <v>16779</v>
      </c>
      <c r="J63" s="129">
        <v>115</v>
      </c>
      <c r="K63" s="131">
        <v>22241</v>
      </c>
      <c r="L63" s="129">
        <v>1521</v>
      </c>
      <c r="M63" s="131">
        <v>610024</v>
      </c>
      <c r="N63" s="14" t="s">
        <v>145</v>
      </c>
    </row>
    <row r="64" spans="1:14" s="17" customFormat="1" ht="15.75" customHeight="1">
      <c r="A64" s="13" t="s">
        <v>70</v>
      </c>
      <c r="B64" s="129">
        <f>_xlfn.COMPOUNDVALUE(189)</f>
        <v>394</v>
      </c>
      <c r="C64" s="204">
        <v>177115</v>
      </c>
      <c r="D64" s="129">
        <f>_xlfn.COMPOUNDVALUE(190)</f>
        <v>833</v>
      </c>
      <c r="E64" s="204">
        <v>281883</v>
      </c>
      <c r="F64" s="129">
        <f>_xlfn.COMPOUNDVALUE(191)</f>
        <v>1227</v>
      </c>
      <c r="G64" s="204">
        <v>458998</v>
      </c>
      <c r="H64" s="129">
        <f>_xlfn.COMPOUNDVALUE(192)</f>
        <v>43</v>
      </c>
      <c r="I64" s="206">
        <v>8732</v>
      </c>
      <c r="J64" s="129">
        <v>122</v>
      </c>
      <c r="K64" s="131">
        <v>12848</v>
      </c>
      <c r="L64" s="129">
        <v>1313</v>
      </c>
      <c r="M64" s="131">
        <v>463114</v>
      </c>
      <c r="N64" s="14" t="s">
        <v>146</v>
      </c>
    </row>
    <row r="65" spans="1:14" s="17" customFormat="1" ht="15.75" customHeight="1">
      <c r="A65" s="13" t="s">
        <v>71</v>
      </c>
      <c r="B65" s="129">
        <f>_xlfn.COMPOUNDVALUE(193)</f>
        <v>201</v>
      </c>
      <c r="C65" s="204">
        <v>86361</v>
      </c>
      <c r="D65" s="129">
        <f>_xlfn.COMPOUNDVALUE(194)</f>
        <v>366</v>
      </c>
      <c r="E65" s="204">
        <v>118649</v>
      </c>
      <c r="F65" s="129">
        <f>_xlfn.COMPOUNDVALUE(195)</f>
        <v>567</v>
      </c>
      <c r="G65" s="204">
        <v>205011</v>
      </c>
      <c r="H65" s="129">
        <f>_xlfn.COMPOUNDVALUE(196)</f>
        <v>19</v>
      </c>
      <c r="I65" s="206">
        <v>4987</v>
      </c>
      <c r="J65" s="129">
        <v>48</v>
      </c>
      <c r="K65" s="131">
        <v>6117</v>
      </c>
      <c r="L65" s="129">
        <v>606</v>
      </c>
      <c r="M65" s="131">
        <v>206141</v>
      </c>
      <c r="N65" s="14" t="s">
        <v>147</v>
      </c>
    </row>
    <row r="66" spans="1:14" s="17" customFormat="1" ht="15.75" customHeight="1">
      <c r="A66" s="13" t="s">
        <v>72</v>
      </c>
      <c r="B66" s="129">
        <f>_xlfn.COMPOUNDVALUE(197)</f>
        <v>597</v>
      </c>
      <c r="C66" s="204">
        <v>392792</v>
      </c>
      <c r="D66" s="129">
        <f>_xlfn.COMPOUNDVALUE(198)</f>
        <v>721</v>
      </c>
      <c r="E66" s="204">
        <v>278160</v>
      </c>
      <c r="F66" s="129">
        <f>_xlfn.COMPOUNDVALUE(199)</f>
        <v>1318</v>
      </c>
      <c r="G66" s="204">
        <v>670952</v>
      </c>
      <c r="H66" s="129">
        <f>_xlfn.COMPOUNDVALUE(200)</f>
        <v>105</v>
      </c>
      <c r="I66" s="206">
        <v>111281</v>
      </c>
      <c r="J66" s="129">
        <v>155</v>
      </c>
      <c r="K66" s="131">
        <v>50956</v>
      </c>
      <c r="L66" s="129">
        <v>1518</v>
      </c>
      <c r="M66" s="131">
        <v>610627</v>
      </c>
      <c r="N66" s="14" t="s">
        <v>148</v>
      </c>
    </row>
    <row r="67" spans="1:14" s="17" customFormat="1" ht="15.75" customHeight="1">
      <c r="A67" s="13" t="s">
        <v>73</v>
      </c>
      <c r="B67" s="129">
        <f>_xlfn.COMPOUNDVALUE(201)</f>
        <v>322</v>
      </c>
      <c r="C67" s="204">
        <v>151011</v>
      </c>
      <c r="D67" s="129">
        <f>_xlfn.COMPOUNDVALUE(202)</f>
        <v>469</v>
      </c>
      <c r="E67" s="204">
        <v>166364</v>
      </c>
      <c r="F67" s="129">
        <f>_xlfn.COMPOUNDVALUE(203)</f>
        <v>791</v>
      </c>
      <c r="G67" s="204">
        <v>317375</v>
      </c>
      <c r="H67" s="129">
        <f>_xlfn.COMPOUNDVALUE(204)</f>
        <v>30</v>
      </c>
      <c r="I67" s="206">
        <v>9925</v>
      </c>
      <c r="J67" s="129">
        <v>79</v>
      </c>
      <c r="K67" s="131">
        <v>5374</v>
      </c>
      <c r="L67" s="129">
        <v>849</v>
      </c>
      <c r="M67" s="131">
        <v>312824</v>
      </c>
      <c r="N67" s="14" t="s">
        <v>149</v>
      </c>
    </row>
    <row r="68" spans="1:14" s="17" customFormat="1" ht="15.75" customHeight="1">
      <c r="A68" s="13" t="s">
        <v>74</v>
      </c>
      <c r="B68" s="129">
        <f>_xlfn.COMPOUNDVALUE(205)</f>
        <v>106</v>
      </c>
      <c r="C68" s="204">
        <v>79111</v>
      </c>
      <c r="D68" s="129">
        <f>_xlfn.COMPOUNDVALUE(206)</f>
        <v>205</v>
      </c>
      <c r="E68" s="204">
        <v>66763</v>
      </c>
      <c r="F68" s="129">
        <f>_xlfn.COMPOUNDVALUE(207)</f>
        <v>311</v>
      </c>
      <c r="G68" s="204">
        <v>145874</v>
      </c>
      <c r="H68" s="129">
        <f>_xlfn.COMPOUNDVALUE(208)</f>
        <v>11</v>
      </c>
      <c r="I68" s="206">
        <v>21724</v>
      </c>
      <c r="J68" s="129">
        <v>16</v>
      </c>
      <c r="K68" s="131">
        <v>1946</v>
      </c>
      <c r="L68" s="129">
        <v>324</v>
      </c>
      <c r="M68" s="131">
        <v>126096</v>
      </c>
      <c r="N68" s="14" t="s">
        <v>150</v>
      </c>
    </row>
    <row r="69" spans="1:14" s="17" customFormat="1" ht="15.75" customHeight="1">
      <c r="A69" s="15" t="s">
        <v>75</v>
      </c>
      <c r="B69" s="132">
        <v>5522</v>
      </c>
      <c r="C69" s="133">
        <v>3008735</v>
      </c>
      <c r="D69" s="132">
        <v>9387</v>
      </c>
      <c r="E69" s="133">
        <v>3490244</v>
      </c>
      <c r="F69" s="132">
        <v>14909</v>
      </c>
      <c r="G69" s="133">
        <v>6498979</v>
      </c>
      <c r="H69" s="132">
        <v>514</v>
      </c>
      <c r="I69" s="134">
        <v>316816</v>
      </c>
      <c r="J69" s="132">
        <v>1783</v>
      </c>
      <c r="K69" s="134">
        <v>335024</v>
      </c>
      <c r="L69" s="132">
        <v>16154</v>
      </c>
      <c r="M69" s="134">
        <v>6517186</v>
      </c>
      <c r="N69" s="16" t="s">
        <v>151</v>
      </c>
    </row>
    <row r="70" spans="1:15" s="17" customFormat="1" ht="15.75" customHeight="1" thickBot="1">
      <c r="A70" s="18"/>
      <c r="B70" s="138"/>
      <c r="C70" s="139"/>
      <c r="D70" s="138"/>
      <c r="E70" s="139"/>
      <c r="F70" s="140"/>
      <c r="G70" s="139"/>
      <c r="H70" s="140"/>
      <c r="I70" s="139"/>
      <c r="J70" s="140"/>
      <c r="K70" s="139"/>
      <c r="L70" s="140"/>
      <c r="M70" s="139"/>
      <c r="N70" s="19"/>
      <c r="O70" s="36"/>
    </row>
    <row r="71" spans="1:14" s="17" customFormat="1" ht="15.75" customHeight="1" thickBot="1" thickTop="1">
      <c r="A71" s="21" t="s">
        <v>17</v>
      </c>
      <c r="B71" s="209">
        <v>29685</v>
      </c>
      <c r="C71" s="142">
        <v>17483485</v>
      </c>
      <c r="D71" s="141">
        <v>49900</v>
      </c>
      <c r="E71" s="142">
        <v>18605517</v>
      </c>
      <c r="F71" s="209">
        <v>79585</v>
      </c>
      <c r="G71" s="142">
        <v>36089002</v>
      </c>
      <c r="H71" s="209">
        <v>2400</v>
      </c>
      <c r="I71" s="143">
        <v>1512638</v>
      </c>
      <c r="J71" s="141">
        <v>7441</v>
      </c>
      <c r="K71" s="143">
        <v>1326209</v>
      </c>
      <c r="L71" s="141">
        <v>84592</v>
      </c>
      <c r="M71" s="143">
        <v>35902572</v>
      </c>
      <c r="N71" s="22" t="s">
        <v>94</v>
      </c>
    </row>
    <row r="72" spans="1:14" ht="13.5">
      <c r="A72" s="251" t="s">
        <v>241</v>
      </c>
      <c r="B72" s="251"/>
      <c r="C72" s="251"/>
      <c r="D72" s="251"/>
      <c r="E72" s="251"/>
      <c r="F72" s="251"/>
      <c r="G72" s="251"/>
      <c r="H72" s="251"/>
      <c r="I72" s="251"/>
      <c r="J72" s="25"/>
      <c r="K72" s="25"/>
      <c r="L72" s="2"/>
      <c r="M72" s="2"/>
      <c r="N72" s="2"/>
    </row>
    <row r="74" spans="2:10" ht="13.5">
      <c r="B74" s="26"/>
      <c r="C74" s="26"/>
      <c r="D74" s="26"/>
      <c r="E74" s="26"/>
      <c r="F74" s="26"/>
      <c r="G74" s="26"/>
      <c r="H74" s="26"/>
      <c r="J74" s="26"/>
    </row>
    <row r="75" spans="2:10" ht="13.5">
      <c r="B75" s="26"/>
      <c r="C75" s="26"/>
      <c r="D75" s="26"/>
      <c r="E75" s="26"/>
      <c r="F75" s="26"/>
      <c r="G75" s="26"/>
      <c r="H75" s="26"/>
      <c r="J75" s="26"/>
    </row>
    <row r="76" spans="2:10" ht="13.5">
      <c r="B76" s="26"/>
      <c r="C76" s="26"/>
      <c r="D76" s="26"/>
      <c r="E76" s="26"/>
      <c r="F76" s="26"/>
      <c r="G76" s="26"/>
      <c r="H76" s="26"/>
      <c r="J76" s="26"/>
    </row>
    <row r="77" spans="2:10" ht="13.5">
      <c r="B77" s="26"/>
      <c r="C77" s="26"/>
      <c r="D77" s="26"/>
      <c r="E77" s="26"/>
      <c r="F77" s="26"/>
      <c r="G77" s="26"/>
      <c r="H77" s="26"/>
      <c r="J77" s="26"/>
    </row>
    <row r="78" spans="2:10" ht="13.5">
      <c r="B78" s="26"/>
      <c r="C78" s="26"/>
      <c r="D78" s="26"/>
      <c r="E78" s="26"/>
      <c r="F78" s="26"/>
      <c r="G78" s="26"/>
      <c r="H78" s="26"/>
      <c r="J78" s="26"/>
    </row>
    <row r="79" spans="2:10" ht="13.5">
      <c r="B79" s="26"/>
      <c r="C79" s="26"/>
      <c r="D79" s="26"/>
      <c r="E79" s="26"/>
      <c r="F79" s="26"/>
      <c r="G79" s="26"/>
      <c r="H79" s="26"/>
      <c r="J79" s="26"/>
    </row>
    <row r="80" spans="2:10" ht="13.5">
      <c r="B80" s="26"/>
      <c r="C80" s="26"/>
      <c r="D80" s="26"/>
      <c r="E80" s="26"/>
      <c r="F80" s="26"/>
      <c r="G80" s="26"/>
      <c r="H80" s="26"/>
      <c r="J80" s="26"/>
    </row>
    <row r="81" spans="2:10" ht="13.5">
      <c r="B81" s="26"/>
      <c r="C81" s="26"/>
      <c r="D81" s="26"/>
      <c r="E81" s="26"/>
      <c r="F81" s="26"/>
      <c r="G81" s="26"/>
      <c r="H81" s="26"/>
      <c r="J81" s="26"/>
    </row>
    <row r="82" spans="2:10" ht="13.5">
      <c r="B82" s="26"/>
      <c r="C82" s="26"/>
      <c r="D82" s="26"/>
      <c r="E82" s="26"/>
      <c r="F82" s="26"/>
      <c r="G82" s="26"/>
      <c r="H82" s="26"/>
      <c r="J82" s="26"/>
    </row>
    <row r="83" spans="2:10" ht="13.5">
      <c r="B83" s="26"/>
      <c r="C83" s="26"/>
      <c r="D83" s="26"/>
      <c r="E83" s="26"/>
      <c r="F83" s="26"/>
      <c r="G83" s="26"/>
      <c r="H83" s="26"/>
      <c r="J83" s="26"/>
    </row>
    <row r="84" spans="2:10" ht="13.5">
      <c r="B84" s="26"/>
      <c r="C84" s="26"/>
      <c r="D84" s="26"/>
      <c r="E84" s="26"/>
      <c r="F84" s="26"/>
      <c r="G84" s="26"/>
      <c r="H84" s="26"/>
      <c r="J84" s="26"/>
    </row>
    <row r="85" spans="2:10" ht="13.5">
      <c r="B85" s="26"/>
      <c r="C85" s="26"/>
      <c r="D85" s="26"/>
      <c r="E85" s="26"/>
      <c r="F85" s="26"/>
      <c r="G85" s="26"/>
      <c r="H85" s="26"/>
      <c r="J85" s="26"/>
    </row>
    <row r="86" spans="2:10" ht="13.5">
      <c r="B86" s="26"/>
      <c r="C86" s="26"/>
      <c r="D86" s="26"/>
      <c r="E86" s="26"/>
      <c r="F86" s="26"/>
      <c r="G86" s="26"/>
      <c r="H86" s="26"/>
      <c r="J86" s="26"/>
    </row>
  </sheetData>
  <sheetProtection/>
  <mergeCells count="11">
    <mergeCell ref="A72:I72"/>
    <mergeCell ref="A2:G2"/>
    <mergeCell ref="A3:A5"/>
    <mergeCell ref="B3:G3"/>
    <mergeCell ref="H3:I4"/>
    <mergeCell ref="N3:N5"/>
    <mergeCell ref="B4:C4"/>
    <mergeCell ref="D4:E4"/>
    <mergeCell ref="F4:G4"/>
    <mergeCell ref="J3:K4"/>
    <mergeCell ref="L3:M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(H30)</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dimension ref="A1:N72"/>
  <sheetViews>
    <sheetView showGridLines="0"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246</v>
      </c>
      <c r="B1" s="1"/>
      <c r="C1" s="1"/>
      <c r="D1" s="1"/>
      <c r="E1" s="1"/>
      <c r="F1" s="1"/>
      <c r="G1" s="1"/>
      <c r="H1" s="1"/>
      <c r="I1" s="1"/>
      <c r="J1" s="1"/>
      <c r="K1" s="1"/>
      <c r="L1" s="2"/>
      <c r="M1" s="2"/>
    </row>
    <row r="2" spans="1:13" ht="14.25" thickBot="1">
      <c r="A2" s="256" t="s">
        <v>76</v>
      </c>
      <c r="B2" s="256"/>
      <c r="C2" s="256"/>
      <c r="D2" s="256"/>
      <c r="E2" s="256"/>
      <c r="F2" s="256"/>
      <c r="G2" s="256"/>
      <c r="H2" s="256"/>
      <c r="I2" s="256"/>
      <c r="J2" s="25"/>
      <c r="K2" s="25"/>
      <c r="L2" s="2"/>
      <c r="M2" s="2"/>
    </row>
    <row r="3" spans="1:14" ht="19.5" customHeight="1">
      <c r="A3" s="252" t="s">
        <v>1</v>
      </c>
      <c r="B3" s="255" t="s">
        <v>2</v>
      </c>
      <c r="C3" s="255"/>
      <c r="D3" s="255"/>
      <c r="E3" s="255"/>
      <c r="F3" s="255"/>
      <c r="G3" s="255"/>
      <c r="H3" s="250" t="s">
        <v>3</v>
      </c>
      <c r="I3" s="248"/>
      <c r="J3" s="247" t="s">
        <v>4</v>
      </c>
      <c r="K3" s="248"/>
      <c r="L3" s="250" t="s">
        <v>5</v>
      </c>
      <c r="M3" s="248"/>
      <c r="N3" s="241" t="s">
        <v>77</v>
      </c>
    </row>
    <row r="4" spans="1:14" ht="17.25" customHeight="1">
      <c r="A4" s="253"/>
      <c r="B4" s="245" t="s">
        <v>7</v>
      </c>
      <c r="C4" s="246"/>
      <c r="D4" s="245" t="s">
        <v>8</v>
      </c>
      <c r="E4" s="246"/>
      <c r="F4" s="245" t="s">
        <v>9</v>
      </c>
      <c r="G4" s="246"/>
      <c r="H4" s="245"/>
      <c r="I4" s="249"/>
      <c r="J4" s="245"/>
      <c r="K4" s="249"/>
      <c r="L4" s="245"/>
      <c r="M4" s="249"/>
      <c r="N4" s="242"/>
    </row>
    <row r="5" spans="1:14" ht="28.5" customHeight="1">
      <c r="A5" s="254"/>
      <c r="B5" s="33" t="s">
        <v>10</v>
      </c>
      <c r="C5" s="34" t="s">
        <v>11</v>
      </c>
      <c r="D5" s="33" t="s">
        <v>10</v>
      </c>
      <c r="E5" s="34" t="s">
        <v>11</v>
      </c>
      <c r="F5" s="33" t="s">
        <v>10</v>
      </c>
      <c r="G5" s="38" t="s">
        <v>12</v>
      </c>
      <c r="H5" s="33" t="s">
        <v>91</v>
      </c>
      <c r="I5" s="37" t="s">
        <v>13</v>
      </c>
      <c r="J5" s="33" t="s">
        <v>91</v>
      </c>
      <c r="K5" s="37" t="s">
        <v>14</v>
      </c>
      <c r="L5" s="33" t="s">
        <v>91</v>
      </c>
      <c r="M5" s="35" t="s">
        <v>92</v>
      </c>
      <c r="N5" s="243"/>
    </row>
    <row r="6" spans="1:14" s="27" customFormat="1" ht="10.5">
      <c r="A6" s="5"/>
      <c r="B6" s="6" t="s">
        <v>15</v>
      </c>
      <c r="C6" s="7" t="s">
        <v>16</v>
      </c>
      <c r="D6" s="6" t="s">
        <v>15</v>
      </c>
      <c r="E6" s="7" t="s">
        <v>16</v>
      </c>
      <c r="F6" s="6" t="s">
        <v>15</v>
      </c>
      <c r="G6" s="7" t="s">
        <v>16</v>
      </c>
      <c r="H6" s="6" t="s">
        <v>15</v>
      </c>
      <c r="I6" s="8" t="s">
        <v>16</v>
      </c>
      <c r="J6" s="6" t="s">
        <v>15</v>
      </c>
      <c r="K6" s="8" t="s">
        <v>16</v>
      </c>
      <c r="L6" s="6" t="s">
        <v>244</v>
      </c>
      <c r="M6" s="8" t="s">
        <v>16</v>
      </c>
      <c r="N6" s="9"/>
    </row>
    <row r="7" spans="1:14" ht="15.75" customHeight="1">
      <c r="A7" s="11" t="s">
        <v>78</v>
      </c>
      <c r="B7" s="126">
        <f>_xlfn.COMPOUNDVALUE(209)</f>
        <v>2579</v>
      </c>
      <c r="C7" s="127">
        <v>25220455</v>
      </c>
      <c r="D7" s="126">
        <f>_xlfn.COMPOUNDVALUE(210)</f>
        <v>912</v>
      </c>
      <c r="E7" s="127">
        <v>578227</v>
      </c>
      <c r="F7" s="126">
        <f>_xlfn.COMPOUNDVALUE(211)</f>
        <v>3491</v>
      </c>
      <c r="G7" s="127">
        <v>25798682</v>
      </c>
      <c r="H7" s="126">
        <f>_xlfn.COMPOUNDVALUE(212)</f>
        <v>152</v>
      </c>
      <c r="I7" s="128">
        <v>637139</v>
      </c>
      <c r="J7" s="126">
        <v>237</v>
      </c>
      <c r="K7" s="128">
        <v>25952</v>
      </c>
      <c r="L7" s="126">
        <v>3686</v>
      </c>
      <c r="M7" s="128">
        <v>25187495</v>
      </c>
      <c r="N7" s="12" t="s">
        <v>96</v>
      </c>
    </row>
    <row r="8" spans="1:14" ht="15.75" customHeight="1">
      <c r="A8" s="13" t="s">
        <v>79</v>
      </c>
      <c r="B8" s="129">
        <f>_xlfn.COMPOUNDVALUE(213)</f>
        <v>1458</v>
      </c>
      <c r="C8" s="130">
        <v>9044403</v>
      </c>
      <c r="D8" s="129">
        <f>_xlfn.COMPOUNDVALUE(214)</f>
        <v>566</v>
      </c>
      <c r="E8" s="130">
        <v>341989</v>
      </c>
      <c r="F8" s="129">
        <f>_xlfn.COMPOUNDVALUE(215)</f>
        <v>2024</v>
      </c>
      <c r="G8" s="130">
        <v>9386392</v>
      </c>
      <c r="H8" s="129">
        <f>_xlfn.COMPOUNDVALUE(216)</f>
        <v>91</v>
      </c>
      <c r="I8" s="131">
        <v>567547</v>
      </c>
      <c r="J8" s="129">
        <v>111</v>
      </c>
      <c r="K8" s="131">
        <v>26230</v>
      </c>
      <c r="L8" s="129">
        <v>2123</v>
      </c>
      <c r="M8" s="131">
        <v>8845075</v>
      </c>
      <c r="N8" s="14" t="s">
        <v>97</v>
      </c>
    </row>
    <row r="9" spans="1:14" ht="15.75" customHeight="1">
      <c r="A9" s="13" t="s">
        <v>80</v>
      </c>
      <c r="B9" s="129">
        <f>_xlfn.COMPOUNDVALUE(217)</f>
        <v>2769</v>
      </c>
      <c r="C9" s="130">
        <v>20875448</v>
      </c>
      <c r="D9" s="129">
        <f>_xlfn.COMPOUNDVALUE(218)</f>
        <v>1070</v>
      </c>
      <c r="E9" s="130">
        <v>664399</v>
      </c>
      <c r="F9" s="129">
        <f>_xlfn.COMPOUNDVALUE(219)</f>
        <v>3839</v>
      </c>
      <c r="G9" s="130">
        <v>21539847</v>
      </c>
      <c r="H9" s="129">
        <f>_xlfn.COMPOUNDVALUE(220)</f>
        <v>138</v>
      </c>
      <c r="I9" s="131">
        <v>3235651</v>
      </c>
      <c r="J9" s="129">
        <v>224</v>
      </c>
      <c r="K9" s="131">
        <v>62488</v>
      </c>
      <c r="L9" s="129">
        <v>4009</v>
      </c>
      <c r="M9" s="131">
        <v>18366684</v>
      </c>
      <c r="N9" s="14" t="s">
        <v>98</v>
      </c>
    </row>
    <row r="10" spans="1:14" ht="15.75" customHeight="1">
      <c r="A10" s="13" t="s">
        <v>81</v>
      </c>
      <c r="B10" s="129">
        <f>_xlfn.COMPOUNDVALUE(221)</f>
        <v>546</v>
      </c>
      <c r="C10" s="130">
        <v>3290396</v>
      </c>
      <c r="D10" s="129">
        <f>_xlfn.COMPOUNDVALUE(222)</f>
        <v>194</v>
      </c>
      <c r="E10" s="130">
        <v>121035</v>
      </c>
      <c r="F10" s="129">
        <f>_xlfn.COMPOUNDVALUE(223)</f>
        <v>740</v>
      </c>
      <c r="G10" s="130">
        <v>3411431</v>
      </c>
      <c r="H10" s="129">
        <f>_xlfn.COMPOUNDVALUE(224)</f>
        <v>30</v>
      </c>
      <c r="I10" s="131">
        <v>68105</v>
      </c>
      <c r="J10" s="129">
        <v>56</v>
      </c>
      <c r="K10" s="131">
        <v>13622</v>
      </c>
      <c r="L10" s="129">
        <v>778</v>
      </c>
      <c r="M10" s="131">
        <v>3356948</v>
      </c>
      <c r="N10" s="14" t="s">
        <v>99</v>
      </c>
    </row>
    <row r="11" spans="1:14" ht="15.75" customHeight="1">
      <c r="A11" s="13" t="s">
        <v>82</v>
      </c>
      <c r="B11" s="129">
        <f>_xlfn.COMPOUNDVALUE(225)</f>
        <v>1079</v>
      </c>
      <c r="C11" s="130">
        <v>4284607</v>
      </c>
      <c r="D11" s="129">
        <f>_xlfn.COMPOUNDVALUE(226)</f>
        <v>401</v>
      </c>
      <c r="E11" s="130">
        <v>226478</v>
      </c>
      <c r="F11" s="129">
        <f>_xlfn.COMPOUNDVALUE(227)</f>
        <v>1480</v>
      </c>
      <c r="G11" s="130">
        <v>4511084</v>
      </c>
      <c r="H11" s="129">
        <f>_xlfn.COMPOUNDVALUE(228)</f>
        <v>72</v>
      </c>
      <c r="I11" s="131">
        <v>298597</v>
      </c>
      <c r="J11" s="129">
        <v>70</v>
      </c>
      <c r="K11" s="131">
        <v>14434</v>
      </c>
      <c r="L11" s="129">
        <v>1559</v>
      </c>
      <c r="M11" s="131">
        <v>4226921</v>
      </c>
      <c r="N11" s="14" t="s">
        <v>100</v>
      </c>
    </row>
    <row r="12" spans="1:14" ht="15.75" customHeight="1">
      <c r="A12" s="13" t="s">
        <v>83</v>
      </c>
      <c r="B12" s="129">
        <f>_xlfn.COMPOUNDVALUE(229)</f>
        <v>1776</v>
      </c>
      <c r="C12" s="130">
        <v>16715220</v>
      </c>
      <c r="D12" s="129">
        <f>_xlfn.COMPOUNDVALUE(230)</f>
        <v>636</v>
      </c>
      <c r="E12" s="130">
        <v>414896</v>
      </c>
      <c r="F12" s="129">
        <f>_xlfn.COMPOUNDVALUE(231)</f>
        <v>2412</v>
      </c>
      <c r="G12" s="130">
        <v>17130116</v>
      </c>
      <c r="H12" s="129">
        <f>_xlfn.COMPOUNDVALUE(232)</f>
        <v>109</v>
      </c>
      <c r="I12" s="131">
        <v>1309833</v>
      </c>
      <c r="J12" s="129">
        <v>129</v>
      </c>
      <c r="K12" s="131">
        <v>94281</v>
      </c>
      <c r="L12" s="129">
        <v>2530</v>
      </c>
      <c r="M12" s="131">
        <v>15914564</v>
      </c>
      <c r="N12" s="14" t="s">
        <v>101</v>
      </c>
    </row>
    <row r="13" spans="1:14" s="17" customFormat="1" ht="15.75" customHeight="1">
      <c r="A13" s="13" t="s">
        <v>24</v>
      </c>
      <c r="B13" s="129">
        <f>_xlfn.COMPOUNDVALUE(233)</f>
        <v>583</v>
      </c>
      <c r="C13" s="130">
        <v>2915775</v>
      </c>
      <c r="D13" s="129">
        <f>_xlfn.COMPOUNDVALUE(234)</f>
        <v>188</v>
      </c>
      <c r="E13" s="130">
        <v>118283</v>
      </c>
      <c r="F13" s="129">
        <f>_xlfn.COMPOUNDVALUE(235)</f>
        <v>771</v>
      </c>
      <c r="G13" s="130">
        <v>3034058</v>
      </c>
      <c r="H13" s="129">
        <f>_xlfn.COMPOUNDVALUE(236)</f>
        <v>19</v>
      </c>
      <c r="I13" s="131">
        <v>188844</v>
      </c>
      <c r="J13" s="129">
        <v>26</v>
      </c>
      <c r="K13" s="131">
        <v>8526</v>
      </c>
      <c r="L13" s="129">
        <v>799</v>
      </c>
      <c r="M13" s="131">
        <v>2853740</v>
      </c>
      <c r="N13" s="14" t="s">
        <v>24</v>
      </c>
    </row>
    <row r="14" spans="1:14" s="28" customFormat="1" ht="15.75" customHeight="1">
      <c r="A14" s="15" t="s">
        <v>186</v>
      </c>
      <c r="B14" s="132">
        <v>10790</v>
      </c>
      <c r="C14" s="133">
        <v>82346304</v>
      </c>
      <c r="D14" s="132">
        <v>3967</v>
      </c>
      <c r="E14" s="133">
        <v>2465305</v>
      </c>
      <c r="F14" s="132">
        <v>14757</v>
      </c>
      <c r="G14" s="133">
        <v>84811609</v>
      </c>
      <c r="H14" s="132">
        <v>611</v>
      </c>
      <c r="I14" s="134">
        <v>6305717</v>
      </c>
      <c r="J14" s="132">
        <v>853</v>
      </c>
      <c r="K14" s="134">
        <v>245532</v>
      </c>
      <c r="L14" s="132">
        <v>15484</v>
      </c>
      <c r="M14" s="134">
        <v>78751425</v>
      </c>
      <c r="N14" s="16" t="s">
        <v>95</v>
      </c>
    </row>
    <row r="15" spans="1:14" s="17" customFormat="1" ht="15.75" customHeight="1">
      <c r="A15" s="181"/>
      <c r="B15" s="189"/>
      <c r="C15" s="180"/>
      <c r="D15" s="186"/>
      <c r="E15" s="188"/>
      <c r="F15" s="186"/>
      <c r="G15" s="188"/>
      <c r="H15" s="186"/>
      <c r="I15" s="188"/>
      <c r="J15" s="186"/>
      <c r="K15" s="184"/>
      <c r="L15" s="189"/>
      <c r="M15" s="180"/>
      <c r="N15" s="182"/>
    </row>
    <row r="16" spans="1:14" ht="15.75" customHeight="1">
      <c r="A16" s="11" t="s">
        <v>187</v>
      </c>
      <c r="B16" s="126">
        <f>_xlfn.COMPOUNDVALUE(237)</f>
        <v>3861</v>
      </c>
      <c r="C16" s="127">
        <v>31616512</v>
      </c>
      <c r="D16" s="126">
        <f>_xlfn.COMPOUNDVALUE(238)</f>
        <v>1566</v>
      </c>
      <c r="E16" s="127">
        <v>982879</v>
      </c>
      <c r="F16" s="126">
        <f>_xlfn.COMPOUNDVALUE(239)</f>
        <v>5427</v>
      </c>
      <c r="G16" s="127">
        <v>32599392</v>
      </c>
      <c r="H16" s="126">
        <f>_xlfn.COMPOUNDVALUE(240)</f>
        <v>220</v>
      </c>
      <c r="I16" s="128">
        <v>1255387</v>
      </c>
      <c r="J16" s="126">
        <v>397</v>
      </c>
      <c r="K16" s="128">
        <v>-23009</v>
      </c>
      <c r="L16" s="126">
        <v>5708</v>
      </c>
      <c r="M16" s="128">
        <v>31320996</v>
      </c>
      <c r="N16" s="24" t="s">
        <v>102</v>
      </c>
    </row>
    <row r="17" spans="1:14" ht="15.75" customHeight="1">
      <c r="A17" s="13" t="s">
        <v>188</v>
      </c>
      <c r="B17" s="129">
        <f>_xlfn.COMPOUNDVALUE(241)</f>
        <v>652</v>
      </c>
      <c r="C17" s="130">
        <v>3861488</v>
      </c>
      <c r="D17" s="129">
        <f>_xlfn.COMPOUNDVALUE(242)</f>
        <v>214</v>
      </c>
      <c r="E17" s="130">
        <v>134565</v>
      </c>
      <c r="F17" s="129">
        <f>_xlfn.COMPOUNDVALUE(243)</f>
        <v>866</v>
      </c>
      <c r="G17" s="130">
        <v>3996052</v>
      </c>
      <c r="H17" s="129">
        <f>_xlfn.COMPOUNDVALUE(244)</f>
        <v>28</v>
      </c>
      <c r="I17" s="131">
        <v>189730</v>
      </c>
      <c r="J17" s="129">
        <v>52</v>
      </c>
      <c r="K17" s="131">
        <v>-41974</v>
      </c>
      <c r="L17" s="129">
        <v>897</v>
      </c>
      <c r="M17" s="131">
        <v>3764348</v>
      </c>
      <c r="N17" s="14" t="s">
        <v>103</v>
      </c>
    </row>
    <row r="18" spans="1:14" ht="15.75" customHeight="1">
      <c r="A18" s="13" t="s">
        <v>189</v>
      </c>
      <c r="B18" s="129">
        <f>_xlfn.COMPOUNDVALUE(245)</f>
        <v>552</v>
      </c>
      <c r="C18" s="130">
        <v>3981027</v>
      </c>
      <c r="D18" s="129">
        <f>_xlfn.COMPOUNDVALUE(246)</f>
        <v>169</v>
      </c>
      <c r="E18" s="130">
        <v>105755</v>
      </c>
      <c r="F18" s="129">
        <f>_xlfn.COMPOUNDVALUE(247)</f>
        <v>721</v>
      </c>
      <c r="G18" s="130">
        <v>4086781</v>
      </c>
      <c r="H18" s="129">
        <f>_xlfn.COMPOUNDVALUE(248)</f>
        <v>35</v>
      </c>
      <c r="I18" s="131">
        <v>286572</v>
      </c>
      <c r="J18" s="129">
        <v>46</v>
      </c>
      <c r="K18" s="131">
        <v>19312</v>
      </c>
      <c r="L18" s="129">
        <v>759</v>
      </c>
      <c r="M18" s="131">
        <v>3819521</v>
      </c>
      <c r="N18" s="14" t="s">
        <v>104</v>
      </c>
    </row>
    <row r="19" spans="1:14" ht="15.75" customHeight="1">
      <c r="A19" s="13" t="s">
        <v>190</v>
      </c>
      <c r="B19" s="129">
        <f>_xlfn.COMPOUNDVALUE(249)</f>
        <v>1019</v>
      </c>
      <c r="C19" s="130">
        <v>6800904</v>
      </c>
      <c r="D19" s="129">
        <f>_xlfn.COMPOUNDVALUE(250)</f>
        <v>397</v>
      </c>
      <c r="E19" s="130">
        <v>237935</v>
      </c>
      <c r="F19" s="129">
        <f>_xlfn.COMPOUNDVALUE(251)</f>
        <v>1416</v>
      </c>
      <c r="G19" s="130">
        <v>7038840</v>
      </c>
      <c r="H19" s="129">
        <f>_xlfn.COMPOUNDVALUE(252)</f>
        <v>63</v>
      </c>
      <c r="I19" s="131">
        <v>353277</v>
      </c>
      <c r="J19" s="129">
        <v>98</v>
      </c>
      <c r="K19" s="131">
        <v>30786</v>
      </c>
      <c r="L19" s="129">
        <v>1492</v>
      </c>
      <c r="M19" s="131">
        <v>6716349</v>
      </c>
      <c r="N19" s="14" t="s">
        <v>105</v>
      </c>
    </row>
    <row r="20" spans="1:14" ht="15.75" customHeight="1">
      <c r="A20" s="13" t="s">
        <v>191</v>
      </c>
      <c r="B20" s="129">
        <f>_xlfn.COMPOUNDVALUE(253)</f>
        <v>1480</v>
      </c>
      <c r="C20" s="130">
        <v>12369911</v>
      </c>
      <c r="D20" s="129">
        <f>_xlfn.COMPOUNDVALUE(254)</f>
        <v>575</v>
      </c>
      <c r="E20" s="130">
        <v>337499</v>
      </c>
      <c r="F20" s="129">
        <f>_xlfn.COMPOUNDVALUE(255)</f>
        <v>2055</v>
      </c>
      <c r="G20" s="130">
        <v>12707410</v>
      </c>
      <c r="H20" s="129">
        <f>_xlfn.COMPOUNDVALUE(256)</f>
        <v>115</v>
      </c>
      <c r="I20" s="131">
        <v>678243</v>
      </c>
      <c r="J20" s="129">
        <v>68</v>
      </c>
      <c r="K20" s="131">
        <v>30677</v>
      </c>
      <c r="L20" s="129">
        <v>2190</v>
      </c>
      <c r="M20" s="131">
        <v>12059844</v>
      </c>
      <c r="N20" s="14" t="s">
        <v>106</v>
      </c>
    </row>
    <row r="21" spans="1:14" ht="15.75" customHeight="1">
      <c r="A21" s="13" t="s">
        <v>192</v>
      </c>
      <c r="B21" s="129">
        <f>_xlfn.COMPOUNDVALUE(257)</f>
        <v>503</v>
      </c>
      <c r="C21" s="130">
        <v>2630301</v>
      </c>
      <c r="D21" s="129">
        <f>_xlfn.COMPOUNDVALUE(258)</f>
        <v>155</v>
      </c>
      <c r="E21" s="130">
        <v>92514</v>
      </c>
      <c r="F21" s="129">
        <f>_xlfn.COMPOUNDVALUE(259)</f>
        <v>658</v>
      </c>
      <c r="G21" s="130">
        <v>2722815</v>
      </c>
      <c r="H21" s="129">
        <f>_xlfn.COMPOUNDVALUE(260)</f>
        <v>31</v>
      </c>
      <c r="I21" s="131">
        <v>255447</v>
      </c>
      <c r="J21" s="129">
        <v>35</v>
      </c>
      <c r="K21" s="131">
        <v>4931</v>
      </c>
      <c r="L21" s="129">
        <v>694</v>
      </c>
      <c r="M21" s="131">
        <v>2472299</v>
      </c>
      <c r="N21" s="14" t="s">
        <v>107</v>
      </c>
    </row>
    <row r="22" spans="1:14" ht="15.75" customHeight="1">
      <c r="A22" s="13" t="s">
        <v>193</v>
      </c>
      <c r="B22" s="129">
        <f>_xlfn.COMPOUNDVALUE(261)</f>
        <v>919</v>
      </c>
      <c r="C22" s="130">
        <v>6386277</v>
      </c>
      <c r="D22" s="129">
        <f>_xlfn.COMPOUNDVALUE(262)</f>
        <v>386</v>
      </c>
      <c r="E22" s="130">
        <v>211371</v>
      </c>
      <c r="F22" s="129">
        <f>_xlfn.COMPOUNDVALUE(263)</f>
        <v>1305</v>
      </c>
      <c r="G22" s="130">
        <v>6597648</v>
      </c>
      <c r="H22" s="129">
        <f>_xlfn.COMPOUNDVALUE(264)</f>
        <v>51</v>
      </c>
      <c r="I22" s="131">
        <v>192257</v>
      </c>
      <c r="J22" s="129">
        <v>79</v>
      </c>
      <c r="K22" s="131">
        <v>14350</v>
      </c>
      <c r="L22" s="129">
        <v>1368</v>
      </c>
      <c r="M22" s="131">
        <v>6419741</v>
      </c>
      <c r="N22" s="14" t="s">
        <v>108</v>
      </c>
    </row>
    <row r="23" spans="1:14" ht="15.75" customHeight="1">
      <c r="A23" s="13" t="s">
        <v>194</v>
      </c>
      <c r="B23" s="129">
        <f>_xlfn.COMPOUNDVALUE(265)</f>
        <v>654</v>
      </c>
      <c r="C23" s="130">
        <v>3656350</v>
      </c>
      <c r="D23" s="129">
        <f>_xlfn.COMPOUNDVALUE(266)</f>
        <v>224</v>
      </c>
      <c r="E23" s="130">
        <v>131262</v>
      </c>
      <c r="F23" s="129">
        <f>_xlfn.COMPOUNDVALUE(267)</f>
        <v>878</v>
      </c>
      <c r="G23" s="130">
        <v>3787612</v>
      </c>
      <c r="H23" s="129">
        <f>_xlfn.COMPOUNDVALUE(268)</f>
        <v>34</v>
      </c>
      <c r="I23" s="131">
        <v>269137</v>
      </c>
      <c r="J23" s="129">
        <v>81</v>
      </c>
      <c r="K23" s="131">
        <v>11070</v>
      </c>
      <c r="L23" s="129">
        <v>920</v>
      </c>
      <c r="M23" s="131">
        <v>3529545</v>
      </c>
      <c r="N23" s="14" t="s">
        <v>109</v>
      </c>
    </row>
    <row r="24" spans="1:14" ht="15.75" customHeight="1">
      <c r="A24" s="13" t="s">
        <v>195</v>
      </c>
      <c r="B24" s="129">
        <f>_xlfn.COMPOUNDVALUE(269)</f>
        <v>455</v>
      </c>
      <c r="C24" s="130">
        <v>3216265</v>
      </c>
      <c r="D24" s="129">
        <f>_xlfn.COMPOUNDVALUE(270)</f>
        <v>142</v>
      </c>
      <c r="E24" s="130">
        <v>96168</v>
      </c>
      <c r="F24" s="129">
        <f>_xlfn.COMPOUNDVALUE(271)</f>
        <v>597</v>
      </c>
      <c r="G24" s="130">
        <v>3312433</v>
      </c>
      <c r="H24" s="129">
        <f>_xlfn.COMPOUNDVALUE(272)</f>
        <v>35</v>
      </c>
      <c r="I24" s="131">
        <v>102713</v>
      </c>
      <c r="J24" s="129">
        <v>16</v>
      </c>
      <c r="K24" s="131">
        <v>5001</v>
      </c>
      <c r="L24" s="129">
        <v>639</v>
      </c>
      <c r="M24" s="131">
        <v>3214721</v>
      </c>
      <c r="N24" s="14" t="s">
        <v>110</v>
      </c>
    </row>
    <row r="25" spans="1:14" ht="15.75" customHeight="1">
      <c r="A25" s="15" t="s">
        <v>196</v>
      </c>
      <c r="B25" s="132">
        <v>10095</v>
      </c>
      <c r="C25" s="133">
        <v>74519036</v>
      </c>
      <c r="D25" s="132">
        <v>3828</v>
      </c>
      <c r="E25" s="133">
        <v>2329947</v>
      </c>
      <c r="F25" s="132">
        <v>13923</v>
      </c>
      <c r="G25" s="133">
        <v>76848983</v>
      </c>
      <c r="H25" s="132">
        <v>612</v>
      </c>
      <c r="I25" s="134">
        <v>3582763</v>
      </c>
      <c r="J25" s="132">
        <v>872</v>
      </c>
      <c r="K25" s="134">
        <v>51143</v>
      </c>
      <c r="L25" s="132">
        <v>14667</v>
      </c>
      <c r="M25" s="134">
        <v>73317363</v>
      </c>
      <c r="N25" s="16" t="s">
        <v>111</v>
      </c>
    </row>
    <row r="26" spans="1:14" ht="15.75" customHeight="1">
      <c r="A26" s="181"/>
      <c r="B26" s="189"/>
      <c r="C26" s="180"/>
      <c r="D26" s="186"/>
      <c r="E26" s="188"/>
      <c r="F26" s="186"/>
      <c r="G26" s="188"/>
      <c r="H26" s="186"/>
      <c r="I26" s="188"/>
      <c r="J26" s="186"/>
      <c r="K26" s="184"/>
      <c r="L26" s="189"/>
      <c r="M26" s="180"/>
      <c r="N26" s="182"/>
    </row>
    <row r="27" spans="1:14" ht="15.75" customHeight="1">
      <c r="A27" s="11" t="s">
        <v>197</v>
      </c>
      <c r="B27" s="126">
        <f>_xlfn.COMPOUNDVALUE(273)</f>
        <v>5305</v>
      </c>
      <c r="C27" s="127">
        <v>68057907</v>
      </c>
      <c r="D27" s="126">
        <f>_xlfn.COMPOUNDVALUE(274)</f>
        <v>2313</v>
      </c>
      <c r="E27" s="127">
        <v>1474716</v>
      </c>
      <c r="F27" s="126">
        <f>_xlfn.COMPOUNDVALUE(275)</f>
        <v>7618</v>
      </c>
      <c r="G27" s="127">
        <v>69532624</v>
      </c>
      <c r="H27" s="126">
        <f>_xlfn.COMPOUNDVALUE(276)</f>
        <v>394</v>
      </c>
      <c r="I27" s="128">
        <v>1402314</v>
      </c>
      <c r="J27" s="126">
        <v>625</v>
      </c>
      <c r="K27" s="128">
        <v>18537</v>
      </c>
      <c r="L27" s="126">
        <v>8085</v>
      </c>
      <c r="M27" s="128">
        <v>68148847</v>
      </c>
      <c r="N27" s="24" t="s">
        <v>112</v>
      </c>
    </row>
    <row r="28" spans="1:14" ht="15.75" customHeight="1">
      <c r="A28" s="13" t="s">
        <v>198</v>
      </c>
      <c r="B28" s="129">
        <f>_xlfn.COMPOUNDVALUE(277)</f>
        <v>4990</v>
      </c>
      <c r="C28" s="130">
        <v>57536099</v>
      </c>
      <c r="D28" s="129">
        <f>_xlfn.COMPOUNDVALUE(278)</f>
        <v>1675</v>
      </c>
      <c r="E28" s="130">
        <v>1132957</v>
      </c>
      <c r="F28" s="129">
        <f>_xlfn.COMPOUNDVALUE(279)</f>
        <v>6665</v>
      </c>
      <c r="G28" s="130">
        <v>58669056</v>
      </c>
      <c r="H28" s="129">
        <f>_xlfn.COMPOUNDVALUE(280)</f>
        <v>351</v>
      </c>
      <c r="I28" s="131">
        <v>2219769</v>
      </c>
      <c r="J28" s="129">
        <v>483</v>
      </c>
      <c r="K28" s="131">
        <v>118954</v>
      </c>
      <c r="L28" s="129">
        <v>7060</v>
      </c>
      <c r="M28" s="131">
        <v>56568241</v>
      </c>
      <c r="N28" s="14" t="s">
        <v>113</v>
      </c>
    </row>
    <row r="29" spans="1:14" ht="15.75" customHeight="1">
      <c r="A29" s="13" t="s">
        <v>199</v>
      </c>
      <c r="B29" s="129">
        <f>_xlfn.COMPOUNDVALUE(281)</f>
        <v>2596</v>
      </c>
      <c r="C29" s="130">
        <v>18237884</v>
      </c>
      <c r="D29" s="129">
        <f>_xlfn.COMPOUNDVALUE(282)</f>
        <v>1112</v>
      </c>
      <c r="E29" s="130">
        <v>691061</v>
      </c>
      <c r="F29" s="129">
        <f>_xlfn.COMPOUNDVALUE(283)</f>
        <v>3708</v>
      </c>
      <c r="G29" s="130">
        <v>18928944</v>
      </c>
      <c r="H29" s="129">
        <f>_xlfn.COMPOUNDVALUE(284)</f>
        <v>197</v>
      </c>
      <c r="I29" s="131">
        <v>833456</v>
      </c>
      <c r="J29" s="129">
        <v>203</v>
      </c>
      <c r="K29" s="131">
        <v>65358</v>
      </c>
      <c r="L29" s="129">
        <v>3940</v>
      </c>
      <c r="M29" s="131">
        <v>18160846</v>
      </c>
      <c r="N29" s="14" t="s">
        <v>114</v>
      </c>
    </row>
    <row r="30" spans="1:14" ht="15.75" customHeight="1">
      <c r="A30" s="13" t="s">
        <v>200</v>
      </c>
      <c r="B30" s="129">
        <f>_xlfn.COMPOUNDVALUE(285)</f>
        <v>2149</v>
      </c>
      <c r="C30" s="130">
        <v>12623822</v>
      </c>
      <c r="D30" s="129">
        <f>_xlfn.COMPOUNDVALUE(286)</f>
        <v>721</v>
      </c>
      <c r="E30" s="130">
        <v>458510</v>
      </c>
      <c r="F30" s="129">
        <f>_xlfn.COMPOUNDVALUE(287)</f>
        <v>2870</v>
      </c>
      <c r="G30" s="130">
        <v>13082331</v>
      </c>
      <c r="H30" s="129">
        <f>_xlfn.COMPOUNDVALUE(288)</f>
        <v>181</v>
      </c>
      <c r="I30" s="131">
        <v>1017180</v>
      </c>
      <c r="J30" s="129">
        <v>154</v>
      </c>
      <c r="K30" s="131">
        <v>114463</v>
      </c>
      <c r="L30" s="129">
        <v>3082</v>
      </c>
      <c r="M30" s="131">
        <v>12179614</v>
      </c>
      <c r="N30" s="14" t="s">
        <v>115</v>
      </c>
    </row>
    <row r="31" spans="1:14" ht="15.75" customHeight="1">
      <c r="A31" s="13" t="s">
        <v>201</v>
      </c>
      <c r="B31" s="129">
        <f>_xlfn.COMPOUNDVALUE(289)</f>
        <v>1483</v>
      </c>
      <c r="C31" s="130">
        <v>7663586</v>
      </c>
      <c r="D31" s="129">
        <f>_xlfn.COMPOUNDVALUE(290)</f>
        <v>601</v>
      </c>
      <c r="E31" s="130">
        <v>353631</v>
      </c>
      <c r="F31" s="129">
        <f>_xlfn.COMPOUNDVALUE(291)</f>
        <v>2084</v>
      </c>
      <c r="G31" s="130">
        <v>8017217</v>
      </c>
      <c r="H31" s="129">
        <f>_xlfn.COMPOUNDVALUE(292)</f>
        <v>113</v>
      </c>
      <c r="I31" s="131">
        <v>583349</v>
      </c>
      <c r="J31" s="129">
        <v>147</v>
      </c>
      <c r="K31" s="131">
        <v>-24451</v>
      </c>
      <c r="L31" s="129">
        <v>2218</v>
      </c>
      <c r="M31" s="131">
        <v>7409417</v>
      </c>
      <c r="N31" s="14" t="s">
        <v>116</v>
      </c>
    </row>
    <row r="32" spans="1:14" ht="15.75" customHeight="1">
      <c r="A32" s="13" t="s">
        <v>202</v>
      </c>
      <c r="B32" s="129">
        <f>_xlfn.COMPOUNDVALUE(293)</f>
        <v>1596</v>
      </c>
      <c r="C32" s="130">
        <v>8626117</v>
      </c>
      <c r="D32" s="129">
        <f>_xlfn.COMPOUNDVALUE(294)</f>
        <v>684</v>
      </c>
      <c r="E32" s="130">
        <v>420107</v>
      </c>
      <c r="F32" s="129">
        <f>_xlfn.COMPOUNDVALUE(295)</f>
        <v>2280</v>
      </c>
      <c r="G32" s="130">
        <v>9046224</v>
      </c>
      <c r="H32" s="129">
        <f>_xlfn.COMPOUNDVALUE(296)</f>
        <v>125</v>
      </c>
      <c r="I32" s="131">
        <v>406192</v>
      </c>
      <c r="J32" s="129">
        <v>213</v>
      </c>
      <c r="K32" s="131">
        <v>-7808</v>
      </c>
      <c r="L32" s="129">
        <v>2448</v>
      </c>
      <c r="M32" s="131">
        <v>8632224</v>
      </c>
      <c r="N32" s="14" t="s">
        <v>117</v>
      </c>
    </row>
    <row r="33" spans="1:14" ht="15.75" customHeight="1">
      <c r="A33" s="13" t="s">
        <v>203</v>
      </c>
      <c r="B33" s="129">
        <f>_xlfn.COMPOUNDVALUE(297)</f>
        <v>841</v>
      </c>
      <c r="C33" s="130">
        <v>4755541</v>
      </c>
      <c r="D33" s="129">
        <f>_xlfn.COMPOUNDVALUE(298)</f>
        <v>254</v>
      </c>
      <c r="E33" s="130">
        <v>139292</v>
      </c>
      <c r="F33" s="129">
        <f>_xlfn.COMPOUNDVALUE(299)</f>
        <v>1095</v>
      </c>
      <c r="G33" s="130">
        <v>4894832</v>
      </c>
      <c r="H33" s="129">
        <f>_xlfn.COMPOUNDVALUE(300)</f>
        <v>72</v>
      </c>
      <c r="I33" s="131">
        <v>535339</v>
      </c>
      <c r="J33" s="129">
        <v>61</v>
      </c>
      <c r="K33" s="131">
        <v>71880</v>
      </c>
      <c r="L33" s="129">
        <v>1179</v>
      </c>
      <c r="M33" s="131">
        <v>4431373</v>
      </c>
      <c r="N33" s="14" t="s">
        <v>118</v>
      </c>
    </row>
    <row r="34" spans="1:14" ht="15.75" customHeight="1">
      <c r="A34" s="13" t="s">
        <v>204</v>
      </c>
      <c r="B34" s="129">
        <f>_xlfn.COMPOUNDVALUE(301)</f>
        <v>1219</v>
      </c>
      <c r="C34" s="130">
        <v>5896848</v>
      </c>
      <c r="D34" s="129">
        <f>_xlfn.COMPOUNDVALUE(302)</f>
        <v>520</v>
      </c>
      <c r="E34" s="130">
        <v>300316</v>
      </c>
      <c r="F34" s="129">
        <f>_xlfn.COMPOUNDVALUE(303)</f>
        <v>1739</v>
      </c>
      <c r="G34" s="130">
        <v>6197164</v>
      </c>
      <c r="H34" s="129">
        <f>_xlfn.COMPOUNDVALUE(304)</f>
        <v>95</v>
      </c>
      <c r="I34" s="131">
        <v>506529</v>
      </c>
      <c r="J34" s="129">
        <v>113</v>
      </c>
      <c r="K34" s="131">
        <v>96889</v>
      </c>
      <c r="L34" s="129">
        <v>1862</v>
      </c>
      <c r="M34" s="131">
        <v>5787524</v>
      </c>
      <c r="N34" s="14" t="s">
        <v>119</v>
      </c>
    </row>
    <row r="35" spans="1:14" ht="15.75" customHeight="1">
      <c r="A35" s="13" t="s">
        <v>205</v>
      </c>
      <c r="B35" s="129">
        <f>_xlfn.COMPOUNDVALUE(305)</f>
        <v>597</v>
      </c>
      <c r="C35" s="130">
        <v>3463038</v>
      </c>
      <c r="D35" s="129">
        <f>_xlfn.COMPOUNDVALUE(306)</f>
        <v>230</v>
      </c>
      <c r="E35" s="130">
        <v>133330</v>
      </c>
      <c r="F35" s="129">
        <f>_xlfn.COMPOUNDVALUE(307)</f>
        <v>827</v>
      </c>
      <c r="G35" s="130">
        <v>3596367</v>
      </c>
      <c r="H35" s="129">
        <f>_xlfn.COMPOUNDVALUE(308)</f>
        <v>46</v>
      </c>
      <c r="I35" s="131">
        <v>652540</v>
      </c>
      <c r="J35" s="129">
        <v>61</v>
      </c>
      <c r="K35" s="131">
        <v>8283</v>
      </c>
      <c r="L35" s="129">
        <v>882</v>
      </c>
      <c r="M35" s="131">
        <v>2952110</v>
      </c>
      <c r="N35" s="14" t="s">
        <v>120</v>
      </c>
    </row>
    <row r="36" spans="1:14" ht="15.75" customHeight="1">
      <c r="A36" s="13" t="s">
        <v>206</v>
      </c>
      <c r="B36" s="129">
        <f>_xlfn.COMPOUNDVALUE(309)</f>
        <v>729</v>
      </c>
      <c r="C36" s="130">
        <v>4116773</v>
      </c>
      <c r="D36" s="129">
        <f>_xlfn.COMPOUNDVALUE(310)</f>
        <v>316</v>
      </c>
      <c r="E36" s="130">
        <v>201504</v>
      </c>
      <c r="F36" s="129">
        <f>_xlfn.COMPOUNDVALUE(311)</f>
        <v>1045</v>
      </c>
      <c r="G36" s="130">
        <v>4318277</v>
      </c>
      <c r="H36" s="129">
        <f>_xlfn.COMPOUNDVALUE(312)</f>
        <v>47</v>
      </c>
      <c r="I36" s="131">
        <v>201521</v>
      </c>
      <c r="J36" s="129">
        <v>58</v>
      </c>
      <c r="K36" s="131">
        <v>10915</v>
      </c>
      <c r="L36" s="129">
        <v>1102</v>
      </c>
      <c r="M36" s="131">
        <v>4127671</v>
      </c>
      <c r="N36" s="14" t="s">
        <v>121</v>
      </c>
    </row>
    <row r="37" spans="1:14" ht="15.75" customHeight="1">
      <c r="A37" s="15" t="s">
        <v>207</v>
      </c>
      <c r="B37" s="132">
        <v>21505</v>
      </c>
      <c r="C37" s="133">
        <v>190977614</v>
      </c>
      <c r="D37" s="132">
        <v>8426</v>
      </c>
      <c r="E37" s="133">
        <v>5305422</v>
      </c>
      <c r="F37" s="132">
        <v>29931</v>
      </c>
      <c r="G37" s="133">
        <v>196283036</v>
      </c>
      <c r="H37" s="132">
        <v>1621</v>
      </c>
      <c r="I37" s="134">
        <v>8358189</v>
      </c>
      <c r="J37" s="132">
        <v>2118</v>
      </c>
      <c r="K37" s="134">
        <v>473020</v>
      </c>
      <c r="L37" s="132">
        <v>31858</v>
      </c>
      <c r="M37" s="134">
        <v>188397867</v>
      </c>
      <c r="N37" s="16" t="s">
        <v>122</v>
      </c>
    </row>
    <row r="38" spans="1:14" ht="15.75" customHeight="1">
      <c r="A38" s="181"/>
      <c r="B38" s="189"/>
      <c r="C38" s="180"/>
      <c r="D38" s="186"/>
      <c r="E38" s="188"/>
      <c r="F38" s="186"/>
      <c r="G38" s="188"/>
      <c r="H38" s="186"/>
      <c r="I38" s="188"/>
      <c r="J38" s="186"/>
      <c r="K38" s="184"/>
      <c r="L38" s="189"/>
      <c r="M38" s="180"/>
      <c r="N38" s="182"/>
    </row>
    <row r="39" spans="1:14" ht="15.75" customHeight="1">
      <c r="A39" s="11" t="s">
        <v>208</v>
      </c>
      <c r="B39" s="126">
        <f>_xlfn.COMPOUNDVALUE(313)</f>
        <v>2216</v>
      </c>
      <c r="C39" s="127">
        <v>16887700</v>
      </c>
      <c r="D39" s="126">
        <f>_xlfn.COMPOUNDVALUE(314)</f>
        <v>960</v>
      </c>
      <c r="E39" s="127">
        <v>597209</v>
      </c>
      <c r="F39" s="126">
        <f>_xlfn.COMPOUNDVALUE(315)</f>
        <v>3176</v>
      </c>
      <c r="G39" s="127">
        <v>17484909</v>
      </c>
      <c r="H39" s="126">
        <f>_xlfn.COMPOUNDVALUE(316)</f>
        <v>118</v>
      </c>
      <c r="I39" s="128">
        <v>2791808</v>
      </c>
      <c r="J39" s="126">
        <v>222</v>
      </c>
      <c r="K39" s="128">
        <v>36544</v>
      </c>
      <c r="L39" s="126">
        <v>3321</v>
      </c>
      <c r="M39" s="128">
        <v>14729645</v>
      </c>
      <c r="N39" s="12" t="s">
        <v>123</v>
      </c>
    </row>
    <row r="40" spans="1:14" ht="15.75" customHeight="1">
      <c r="A40" s="13" t="s">
        <v>209</v>
      </c>
      <c r="B40" s="129">
        <f>_xlfn.COMPOUNDVALUE(317)</f>
        <v>1069</v>
      </c>
      <c r="C40" s="130">
        <v>6568835</v>
      </c>
      <c r="D40" s="129">
        <f>_xlfn.COMPOUNDVALUE(318)</f>
        <v>485</v>
      </c>
      <c r="E40" s="130">
        <v>279205</v>
      </c>
      <c r="F40" s="129">
        <f>_xlfn.COMPOUNDVALUE(319)</f>
        <v>1554</v>
      </c>
      <c r="G40" s="130">
        <v>6848040</v>
      </c>
      <c r="H40" s="129">
        <f>_xlfn.COMPOUNDVALUE(320)</f>
        <v>66</v>
      </c>
      <c r="I40" s="131">
        <v>387431</v>
      </c>
      <c r="J40" s="129">
        <v>64</v>
      </c>
      <c r="K40" s="131">
        <v>-1047</v>
      </c>
      <c r="L40" s="129">
        <v>1627</v>
      </c>
      <c r="M40" s="131">
        <v>6459562</v>
      </c>
      <c r="N40" s="14" t="s">
        <v>124</v>
      </c>
    </row>
    <row r="41" spans="1:14" ht="15.75" customHeight="1">
      <c r="A41" s="13" t="s">
        <v>210</v>
      </c>
      <c r="B41" s="129">
        <f>_xlfn.COMPOUNDVALUE(321)</f>
        <v>641</v>
      </c>
      <c r="C41" s="130">
        <v>3045284</v>
      </c>
      <c r="D41" s="129">
        <f>_xlfn.COMPOUNDVALUE(322)</f>
        <v>278</v>
      </c>
      <c r="E41" s="130">
        <v>161526</v>
      </c>
      <c r="F41" s="129">
        <f>_xlfn.COMPOUNDVALUE(323)</f>
        <v>919</v>
      </c>
      <c r="G41" s="130">
        <v>3206809</v>
      </c>
      <c r="H41" s="129">
        <f>_xlfn.COMPOUNDVALUE(324)</f>
        <v>37</v>
      </c>
      <c r="I41" s="131">
        <v>90776</v>
      </c>
      <c r="J41" s="129">
        <v>43</v>
      </c>
      <c r="K41" s="131">
        <v>8531</v>
      </c>
      <c r="L41" s="129">
        <v>960</v>
      </c>
      <c r="M41" s="131">
        <v>3124564</v>
      </c>
      <c r="N41" s="14" t="s">
        <v>125</v>
      </c>
    </row>
    <row r="42" spans="1:14" ht="15.75" customHeight="1">
      <c r="A42" s="13" t="s">
        <v>211</v>
      </c>
      <c r="B42" s="129">
        <f>_xlfn.COMPOUNDVALUE(325)</f>
        <v>697</v>
      </c>
      <c r="C42" s="130">
        <v>3505055</v>
      </c>
      <c r="D42" s="129">
        <f>_xlfn.COMPOUNDVALUE(326)</f>
        <v>290</v>
      </c>
      <c r="E42" s="130">
        <v>185771</v>
      </c>
      <c r="F42" s="129">
        <f>_xlfn.COMPOUNDVALUE(327)</f>
        <v>987</v>
      </c>
      <c r="G42" s="130">
        <v>3690826</v>
      </c>
      <c r="H42" s="129">
        <f>_xlfn.COMPOUNDVALUE(328)</f>
        <v>57</v>
      </c>
      <c r="I42" s="131">
        <v>187109</v>
      </c>
      <c r="J42" s="129">
        <v>30</v>
      </c>
      <c r="K42" s="131">
        <v>1490</v>
      </c>
      <c r="L42" s="129">
        <v>1048</v>
      </c>
      <c r="M42" s="131">
        <v>3505207</v>
      </c>
      <c r="N42" s="14" t="s">
        <v>126</v>
      </c>
    </row>
    <row r="43" spans="1:14" ht="15.75" customHeight="1">
      <c r="A43" s="13" t="s">
        <v>212</v>
      </c>
      <c r="B43" s="129">
        <f>_xlfn.COMPOUNDVALUE(329)</f>
        <v>1192</v>
      </c>
      <c r="C43" s="130">
        <v>7237979</v>
      </c>
      <c r="D43" s="129">
        <f>_xlfn.COMPOUNDVALUE(330)</f>
        <v>435</v>
      </c>
      <c r="E43" s="130">
        <v>243499</v>
      </c>
      <c r="F43" s="129">
        <f>_xlfn.COMPOUNDVALUE(331)</f>
        <v>1627</v>
      </c>
      <c r="G43" s="130">
        <v>7481478</v>
      </c>
      <c r="H43" s="129">
        <f>_xlfn.COMPOUNDVALUE(332)</f>
        <v>88</v>
      </c>
      <c r="I43" s="131">
        <v>406118</v>
      </c>
      <c r="J43" s="129">
        <v>75</v>
      </c>
      <c r="K43" s="131">
        <v>11306</v>
      </c>
      <c r="L43" s="129">
        <v>1731</v>
      </c>
      <c r="M43" s="131">
        <v>7086666</v>
      </c>
      <c r="N43" s="14" t="s">
        <v>127</v>
      </c>
    </row>
    <row r="44" spans="1:14" ht="15.75" customHeight="1">
      <c r="A44" s="13" t="s">
        <v>213</v>
      </c>
      <c r="B44" s="129">
        <f>_xlfn.COMPOUNDVALUE(333)</f>
        <v>746</v>
      </c>
      <c r="C44" s="130">
        <v>5777912</v>
      </c>
      <c r="D44" s="129">
        <f>_xlfn.COMPOUNDVALUE(334)</f>
        <v>298</v>
      </c>
      <c r="E44" s="130">
        <v>167208</v>
      </c>
      <c r="F44" s="129">
        <f>_xlfn.COMPOUNDVALUE(335)</f>
        <v>1044</v>
      </c>
      <c r="G44" s="130">
        <v>5945120</v>
      </c>
      <c r="H44" s="129">
        <f>_xlfn.COMPOUNDVALUE(336)</f>
        <v>61</v>
      </c>
      <c r="I44" s="131">
        <v>544028</v>
      </c>
      <c r="J44" s="129">
        <v>60</v>
      </c>
      <c r="K44" s="131">
        <v>33350</v>
      </c>
      <c r="L44" s="129">
        <v>1110</v>
      </c>
      <c r="M44" s="131">
        <v>5434442</v>
      </c>
      <c r="N44" s="14" t="s">
        <v>128</v>
      </c>
    </row>
    <row r="45" spans="1:14" ht="15.75" customHeight="1">
      <c r="A45" s="13" t="s">
        <v>214</v>
      </c>
      <c r="B45" s="129">
        <f>_xlfn.COMPOUNDVALUE(337)</f>
        <v>471</v>
      </c>
      <c r="C45" s="130">
        <v>2760550</v>
      </c>
      <c r="D45" s="129">
        <f>_xlfn.COMPOUNDVALUE(338)</f>
        <v>190</v>
      </c>
      <c r="E45" s="130">
        <v>105977</v>
      </c>
      <c r="F45" s="129">
        <f>_xlfn.COMPOUNDVALUE(339)</f>
        <v>661</v>
      </c>
      <c r="G45" s="130">
        <v>2866527</v>
      </c>
      <c r="H45" s="129">
        <f>_xlfn.COMPOUNDVALUE(340)</f>
        <v>46</v>
      </c>
      <c r="I45" s="131">
        <v>347921</v>
      </c>
      <c r="J45" s="129">
        <v>16</v>
      </c>
      <c r="K45" s="131">
        <v>4049</v>
      </c>
      <c r="L45" s="129">
        <v>713</v>
      </c>
      <c r="M45" s="131">
        <v>2522655</v>
      </c>
      <c r="N45" s="14" t="s">
        <v>129</v>
      </c>
    </row>
    <row r="46" spans="1:14" ht="15.75" customHeight="1">
      <c r="A46" s="13" t="s">
        <v>215</v>
      </c>
      <c r="B46" s="129">
        <f>_xlfn.COMPOUNDVALUE(341)</f>
        <v>1039</v>
      </c>
      <c r="C46" s="130">
        <v>5477883</v>
      </c>
      <c r="D46" s="129">
        <f>_xlfn.COMPOUNDVALUE(342)</f>
        <v>447</v>
      </c>
      <c r="E46" s="130">
        <v>273601</v>
      </c>
      <c r="F46" s="129">
        <f>_xlfn.COMPOUNDVALUE(343)</f>
        <v>1486</v>
      </c>
      <c r="G46" s="130">
        <v>5751483</v>
      </c>
      <c r="H46" s="129">
        <f>_xlfn.COMPOUNDVALUE(344)</f>
        <v>78</v>
      </c>
      <c r="I46" s="131">
        <v>392765</v>
      </c>
      <c r="J46" s="129">
        <v>86</v>
      </c>
      <c r="K46" s="131">
        <v>-119410</v>
      </c>
      <c r="L46" s="129">
        <v>1575</v>
      </c>
      <c r="M46" s="131">
        <v>5239308</v>
      </c>
      <c r="N46" s="14" t="s">
        <v>130</v>
      </c>
    </row>
    <row r="47" spans="1:14" ht="15.75" customHeight="1">
      <c r="A47" s="15" t="s">
        <v>216</v>
      </c>
      <c r="B47" s="132">
        <v>8071</v>
      </c>
      <c r="C47" s="133">
        <v>51261198</v>
      </c>
      <c r="D47" s="132">
        <v>3383</v>
      </c>
      <c r="E47" s="133">
        <v>2013996</v>
      </c>
      <c r="F47" s="132">
        <v>11454</v>
      </c>
      <c r="G47" s="133">
        <v>53275193</v>
      </c>
      <c r="H47" s="132">
        <v>551</v>
      </c>
      <c r="I47" s="134">
        <v>5147956</v>
      </c>
      <c r="J47" s="132">
        <v>596</v>
      </c>
      <c r="K47" s="134">
        <v>-25188</v>
      </c>
      <c r="L47" s="132">
        <v>12085</v>
      </c>
      <c r="M47" s="134">
        <v>48102049</v>
      </c>
      <c r="N47" s="16" t="s">
        <v>131</v>
      </c>
    </row>
    <row r="48" spans="1:14" ht="15.75" customHeight="1">
      <c r="A48" s="181"/>
      <c r="B48" s="189"/>
      <c r="C48" s="180"/>
      <c r="D48" s="186"/>
      <c r="E48" s="188"/>
      <c r="F48" s="186"/>
      <c r="G48" s="188"/>
      <c r="H48" s="186"/>
      <c r="I48" s="188"/>
      <c r="J48" s="186"/>
      <c r="K48" s="184"/>
      <c r="L48" s="189"/>
      <c r="M48" s="180"/>
      <c r="N48" s="182"/>
    </row>
    <row r="49" spans="1:14" ht="15.75" customHeight="1">
      <c r="A49" s="11" t="s">
        <v>217</v>
      </c>
      <c r="B49" s="126">
        <f>_xlfn.COMPOUNDVALUE(345)</f>
        <v>3511</v>
      </c>
      <c r="C49" s="127">
        <v>28032559</v>
      </c>
      <c r="D49" s="126">
        <f>_xlfn.COMPOUNDVALUE(346)</f>
        <v>1581</v>
      </c>
      <c r="E49" s="127">
        <v>903967</v>
      </c>
      <c r="F49" s="126">
        <f>_xlfn.COMPOUNDVALUE(347)</f>
        <v>5092</v>
      </c>
      <c r="G49" s="127">
        <v>28936527</v>
      </c>
      <c r="H49" s="126">
        <f>_xlfn.COMPOUNDVALUE(348)</f>
        <v>169</v>
      </c>
      <c r="I49" s="128">
        <v>1133875</v>
      </c>
      <c r="J49" s="126">
        <v>335</v>
      </c>
      <c r="K49" s="128">
        <v>-38837</v>
      </c>
      <c r="L49" s="126">
        <v>5320</v>
      </c>
      <c r="M49" s="128">
        <v>27763815</v>
      </c>
      <c r="N49" s="24" t="s">
        <v>132</v>
      </c>
    </row>
    <row r="50" spans="1:14" ht="15.75" customHeight="1">
      <c r="A50" s="13" t="s">
        <v>218</v>
      </c>
      <c r="B50" s="129">
        <f>_xlfn.COMPOUNDVALUE(349)</f>
        <v>1437</v>
      </c>
      <c r="C50" s="130">
        <v>8636615</v>
      </c>
      <c r="D50" s="129">
        <f>_xlfn.COMPOUNDVALUE(350)</f>
        <v>645</v>
      </c>
      <c r="E50" s="130">
        <v>363677</v>
      </c>
      <c r="F50" s="129">
        <f>_xlfn.COMPOUNDVALUE(351)</f>
        <v>2082</v>
      </c>
      <c r="G50" s="130">
        <v>9000292</v>
      </c>
      <c r="H50" s="129">
        <f>_xlfn.COMPOUNDVALUE(352)</f>
        <v>98</v>
      </c>
      <c r="I50" s="131">
        <v>1299796</v>
      </c>
      <c r="J50" s="129">
        <v>64</v>
      </c>
      <c r="K50" s="131">
        <v>19396</v>
      </c>
      <c r="L50" s="129">
        <v>2202</v>
      </c>
      <c r="M50" s="131">
        <v>7719892</v>
      </c>
      <c r="N50" s="14" t="s">
        <v>133</v>
      </c>
    </row>
    <row r="51" spans="1:14" ht="15.75" customHeight="1">
      <c r="A51" s="13" t="s">
        <v>219</v>
      </c>
      <c r="B51" s="129">
        <f>_xlfn.COMPOUNDVALUE(353)</f>
        <v>1291</v>
      </c>
      <c r="C51" s="130">
        <v>8106906</v>
      </c>
      <c r="D51" s="129">
        <f>_xlfn.COMPOUNDVALUE(354)</f>
        <v>545</v>
      </c>
      <c r="E51" s="130">
        <v>328330</v>
      </c>
      <c r="F51" s="129">
        <f>_xlfn.COMPOUNDVALUE(355)</f>
        <v>1836</v>
      </c>
      <c r="G51" s="130">
        <v>8435237</v>
      </c>
      <c r="H51" s="129">
        <f>_xlfn.COMPOUNDVALUE(356)</f>
        <v>87</v>
      </c>
      <c r="I51" s="131">
        <v>552920</v>
      </c>
      <c r="J51" s="129">
        <v>90</v>
      </c>
      <c r="K51" s="131">
        <v>107103</v>
      </c>
      <c r="L51" s="129">
        <v>1940</v>
      </c>
      <c r="M51" s="131">
        <v>7989420</v>
      </c>
      <c r="N51" s="14" t="s">
        <v>134</v>
      </c>
    </row>
    <row r="52" spans="1:14" ht="15.75" customHeight="1">
      <c r="A52" s="13" t="s">
        <v>220</v>
      </c>
      <c r="B52" s="129">
        <f>_xlfn.COMPOUNDVALUE(357)</f>
        <v>1085</v>
      </c>
      <c r="C52" s="130">
        <v>7217226</v>
      </c>
      <c r="D52" s="129">
        <f>_xlfn.COMPOUNDVALUE(358)</f>
        <v>537</v>
      </c>
      <c r="E52" s="130">
        <v>287870</v>
      </c>
      <c r="F52" s="129">
        <f>_xlfn.COMPOUNDVALUE(359)</f>
        <v>1622</v>
      </c>
      <c r="G52" s="130">
        <v>7505096</v>
      </c>
      <c r="H52" s="129">
        <f>_xlfn.COMPOUNDVALUE(360)</f>
        <v>71</v>
      </c>
      <c r="I52" s="131">
        <v>1402709</v>
      </c>
      <c r="J52" s="129">
        <v>105</v>
      </c>
      <c r="K52" s="131">
        <v>18801</v>
      </c>
      <c r="L52" s="129">
        <v>1706</v>
      </c>
      <c r="M52" s="131">
        <v>6121188</v>
      </c>
      <c r="N52" s="14" t="s">
        <v>135</v>
      </c>
    </row>
    <row r="53" spans="1:14" ht="15.75" customHeight="1">
      <c r="A53" s="13" t="s">
        <v>221</v>
      </c>
      <c r="B53" s="129">
        <f>_xlfn.COMPOUNDVALUE(361)</f>
        <v>645</v>
      </c>
      <c r="C53" s="130">
        <v>3705106</v>
      </c>
      <c r="D53" s="129">
        <f>_xlfn.COMPOUNDVALUE(362)</f>
        <v>257</v>
      </c>
      <c r="E53" s="130">
        <v>161903</v>
      </c>
      <c r="F53" s="129">
        <f>_xlfn.COMPOUNDVALUE(363)</f>
        <v>902</v>
      </c>
      <c r="G53" s="130">
        <v>3867010</v>
      </c>
      <c r="H53" s="129">
        <f>_xlfn.COMPOUNDVALUE(364)</f>
        <v>35</v>
      </c>
      <c r="I53" s="131">
        <v>358893</v>
      </c>
      <c r="J53" s="129">
        <v>69</v>
      </c>
      <c r="K53" s="131">
        <v>23512</v>
      </c>
      <c r="L53" s="129">
        <v>951</v>
      </c>
      <c r="M53" s="131">
        <v>3531629</v>
      </c>
      <c r="N53" s="14" t="s">
        <v>136</v>
      </c>
    </row>
    <row r="54" spans="1:14" ht="15.75" customHeight="1">
      <c r="A54" s="13" t="s">
        <v>222</v>
      </c>
      <c r="B54" s="129">
        <f>_xlfn.COMPOUNDVALUE(365)</f>
        <v>668</v>
      </c>
      <c r="C54" s="130">
        <v>4593229</v>
      </c>
      <c r="D54" s="129">
        <f>_xlfn.COMPOUNDVALUE(366)</f>
        <v>279</v>
      </c>
      <c r="E54" s="130">
        <v>155975</v>
      </c>
      <c r="F54" s="129">
        <f>_xlfn.COMPOUNDVALUE(367)</f>
        <v>947</v>
      </c>
      <c r="G54" s="130">
        <v>4749204</v>
      </c>
      <c r="H54" s="129">
        <f>_xlfn.COMPOUNDVALUE(368)</f>
        <v>36</v>
      </c>
      <c r="I54" s="131">
        <v>76757</v>
      </c>
      <c r="J54" s="129">
        <v>42</v>
      </c>
      <c r="K54" s="131">
        <v>528</v>
      </c>
      <c r="L54" s="129">
        <v>987</v>
      </c>
      <c r="M54" s="131">
        <v>4672975</v>
      </c>
      <c r="N54" s="14" t="s">
        <v>137</v>
      </c>
    </row>
    <row r="55" spans="1:14" ht="15.75" customHeight="1">
      <c r="A55" s="13" t="s">
        <v>223</v>
      </c>
      <c r="B55" s="129">
        <f>_xlfn.COMPOUNDVALUE(369)</f>
        <v>721</v>
      </c>
      <c r="C55" s="130">
        <v>4847310</v>
      </c>
      <c r="D55" s="129">
        <f>_xlfn.COMPOUNDVALUE(370)</f>
        <v>240</v>
      </c>
      <c r="E55" s="130">
        <v>153798</v>
      </c>
      <c r="F55" s="129">
        <f>_xlfn.COMPOUNDVALUE(371)</f>
        <v>961</v>
      </c>
      <c r="G55" s="130">
        <v>5001108</v>
      </c>
      <c r="H55" s="129">
        <f>_xlfn.COMPOUNDVALUE(372)</f>
        <v>46</v>
      </c>
      <c r="I55" s="131">
        <v>1694962</v>
      </c>
      <c r="J55" s="129">
        <v>62</v>
      </c>
      <c r="K55" s="131">
        <v>9638</v>
      </c>
      <c r="L55" s="129">
        <v>1012</v>
      </c>
      <c r="M55" s="131">
        <v>3315784</v>
      </c>
      <c r="N55" s="14" t="s">
        <v>138</v>
      </c>
    </row>
    <row r="56" spans="1:14" ht="15.75" customHeight="1">
      <c r="A56" s="13" t="s">
        <v>224</v>
      </c>
      <c r="B56" s="129">
        <f>_xlfn.COMPOUNDVALUE(373)</f>
        <v>532</v>
      </c>
      <c r="C56" s="130">
        <v>3356745</v>
      </c>
      <c r="D56" s="129">
        <f>_xlfn.COMPOUNDVALUE(374)</f>
        <v>218</v>
      </c>
      <c r="E56" s="130">
        <v>137255</v>
      </c>
      <c r="F56" s="129">
        <f>_xlfn.COMPOUNDVALUE(375)</f>
        <v>750</v>
      </c>
      <c r="G56" s="130">
        <v>3494000</v>
      </c>
      <c r="H56" s="129">
        <f>_xlfn.COMPOUNDVALUE(376)</f>
        <v>34</v>
      </c>
      <c r="I56" s="131">
        <v>71430</v>
      </c>
      <c r="J56" s="129">
        <v>16</v>
      </c>
      <c r="K56" s="131">
        <v>8599</v>
      </c>
      <c r="L56" s="129">
        <v>791</v>
      </c>
      <c r="M56" s="131">
        <v>3431169</v>
      </c>
      <c r="N56" s="14" t="s">
        <v>139</v>
      </c>
    </row>
    <row r="57" spans="1:14" ht="15.75" customHeight="1">
      <c r="A57" s="15" t="s">
        <v>225</v>
      </c>
      <c r="B57" s="132">
        <v>9890</v>
      </c>
      <c r="C57" s="133">
        <v>68495697</v>
      </c>
      <c r="D57" s="132">
        <v>4302</v>
      </c>
      <c r="E57" s="133">
        <v>2492776</v>
      </c>
      <c r="F57" s="132">
        <v>14192</v>
      </c>
      <c r="G57" s="133">
        <v>70988473</v>
      </c>
      <c r="H57" s="132">
        <v>576</v>
      </c>
      <c r="I57" s="134">
        <v>6591342</v>
      </c>
      <c r="J57" s="132">
        <v>783</v>
      </c>
      <c r="K57" s="134">
        <v>148739</v>
      </c>
      <c r="L57" s="132">
        <v>14909</v>
      </c>
      <c r="M57" s="134">
        <v>64545869</v>
      </c>
      <c r="N57" s="16" t="s">
        <v>140</v>
      </c>
    </row>
    <row r="58" spans="1:14" ht="15.75" customHeight="1">
      <c r="A58" s="181"/>
      <c r="B58" s="189"/>
      <c r="C58" s="180"/>
      <c r="D58" s="186"/>
      <c r="E58" s="188"/>
      <c r="F58" s="186"/>
      <c r="G58" s="188"/>
      <c r="H58" s="186"/>
      <c r="I58" s="188"/>
      <c r="J58" s="186"/>
      <c r="K58" s="184"/>
      <c r="L58" s="189"/>
      <c r="M58" s="180"/>
      <c r="N58" s="182"/>
    </row>
    <row r="59" spans="1:14" ht="15.75" customHeight="1">
      <c r="A59" s="11" t="s">
        <v>226</v>
      </c>
      <c r="B59" s="126">
        <f>_xlfn.COMPOUNDVALUE(377)</f>
        <v>3540</v>
      </c>
      <c r="C59" s="127">
        <v>25686299</v>
      </c>
      <c r="D59" s="126">
        <f>_xlfn.COMPOUNDVALUE(378)</f>
        <v>1475</v>
      </c>
      <c r="E59" s="127">
        <v>852473</v>
      </c>
      <c r="F59" s="126">
        <f>_xlfn.COMPOUNDVALUE(379)</f>
        <v>5015</v>
      </c>
      <c r="G59" s="127">
        <v>26538772</v>
      </c>
      <c r="H59" s="126">
        <f>_xlfn.COMPOUNDVALUE(380)</f>
        <v>202</v>
      </c>
      <c r="I59" s="128">
        <v>2303802</v>
      </c>
      <c r="J59" s="126">
        <v>265</v>
      </c>
      <c r="K59" s="128">
        <v>50455</v>
      </c>
      <c r="L59" s="126">
        <v>5249</v>
      </c>
      <c r="M59" s="128">
        <v>24285425</v>
      </c>
      <c r="N59" s="24" t="s">
        <v>142</v>
      </c>
    </row>
    <row r="60" spans="1:14" ht="15.75" customHeight="1">
      <c r="A60" s="11" t="s">
        <v>227</v>
      </c>
      <c r="B60" s="126">
        <f>_xlfn.COMPOUNDVALUE(381)</f>
        <v>1693</v>
      </c>
      <c r="C60" s="127">
        <v>10037629</v>
      </c>
      <c r="D60" s="126">
        <f>_xlfn.COMPOUNDVALUE(382)</f>
        <v>912</v>
      </c>
      <c r="E60" s="127">
        <v>511255</v>
      </c>
      <c r="F60" s="126">
        <f>_xlfn.COMPOUNDVALUE(383)</f>
        <v>2605</v>
      </c>
      <c r="G60" s="127">
        <v>10548884</v>
      </c>
      <c r="H60" s="126">
        <f>_xlfn.COMPOUNDVALUE(384)</f>
        <v>78</v>
      </c>
      <c r="I60" s="128">
        <v>968902</v>
      </c>
      <c r="J60" s="126">
        <v>118</v>
      </c>
      <c r="K60" s="128">
        <v>35795</v>
      </c>
      <c r="L60" s="126">
        <v>2711</v>
      </c>
      <c r="M60" s="128">
        <v>9615777</v>
      </c>
      <c r="N60" s="12" t="s">
        <v>143</v>
      </c>
    </row>
    <row r="61" spans="1:14" ht="15.75" customHeight="1">
      <c r="A61" s="11" t="s">
        <v>228</v>
      </c>
      <c r="B61" s="126">
        <f>_xlfn.COMPOUNDVALUE(385)</f>
        <v>4584</v>
      </c>
      <c r="C61" s="127">
        <v>38285674</v>
      </c>
      <c r="D61" s="126">
        <f>_xlfn.COMPOUNDVALUE(386)</f>
        <v>1955</v>
      </c>
      <c r="E61" s="127">
        <v>1173458</v>
      </c>
      <c r="F61" s="126">
        <f>_xlfn.COMPOUNDVALUE(387)</f>
        <v>6539</v>
      </c>
      <c r="G61" s="127">
        <v>39459132</v>
      </c>
      <c r="H61" s="126">
        <f>_xlfn.COMPOUNDVALUE(388)</f>
        <v>246</v>
      </c>
      <c r="I61" s="128">
        <v>2042953</v>
      </c>
      <c r="J61" s="126">
        <v>425</v>
      </c>
      <c r="K61" s="128">
        <v>74746</v>
      </c>
      <c r="L61" s="126">
        <v>6846</v>
      </c>
      <c r="M61" s="128">
        <v>37490925</v>
      </c>
      <c r="N61" s="12" t="s">
        <v>144</v>
      </c>
    </row>
    <row r="62" spans="1:14" ht="15.75" customHeight="1">
      <c r="A62" s="13" t="s">
        <v>68</v>
      </c>
      <c r="B62" s="129">
        <f>_xlfn.COMPOUNDVALUE(389)</f>
        <v>3688</v>
      </c>
      <c r="C62" s="130">
        <v>23677525</v>
      </c>
      <c r="D62" s="129">
        <f>_xlfn.COMPOUNDVALUE(390)</f>
        <v>1656</v>
      </c>
      <c r="E62" s="130">
        <v>1020617</v>
      </c>
      <c r="F62" s="129">
        <f>_xlfn.COMPOUNDVALUE(391)</f>
        <v>5344</v>
      </c>
      <c r="G62" s="130">
        <v>24698143</v>
      </c>
      <c r="H62" s="129">
        <f>_xlfn.COMPOUNDVALUE(392)</f>
        <v>195</v>
      </c>
      <c r="I62" s="131">
        <v>3096709</v>
      </c>
      <c r="J62" s="129">
        <v>343</v>
      </c>
      <c r="K62" s="131">
        <v>42365</v>
      </c>
      <c r="L62" s="129">
        <v>5599</v>
      </c>
      <c r="M62" s="131">
        <v>21643799</v>
      </c>
      <c r="N62" s="14" t="s">
        <v>68</v>
      </c>
    </row>
    <row r="63" spans="1:14" ht="15.75" customHeight="1">
      <c r="A63" s="13" t="s">
        <v>229</v>
      </c>
      <c r="B63" s="129">
        <f>_xlfn.COMPOUNDVALUE(393)</f>
        <v>1242</v>
      </c>
      <c r="C63" s="130">
        <v>7531588</v>
      </c>
      <c r="D63" s="129">
        <f>_xlfn.COMPOUNDVALUE(394)</f>
        <v>473</v>
      </c>
      <c r="E63" s="130">
        <v>284077</v>
      </c>
      <c r="F63" s="129">
        <f>_xlfn.COMPOUNDVALUE(395)</f>
        <v>1715</v>
      </c>
      <c r="G63" s="130">
        <v>7815666</v>
      </c>
      <c r="H63" s="129">
        <f>_xlfn.COMPOUNDVALUE(396)</f>
        <v>95</v>
      </c>
      <c r="I63" s="131">
        <v>438041</v>
      </c>
      <c r="J63" s="129">
        <v>74</v>
      </c>
      <c r="K63" s="131">
        <v>37874</v>
      </c>
      <c r="L63" s="129">
        <v>1824</v>
      </c>
      <c r="M63" s="131">
        <v>7415499</v>
      </c>
      <c r="N63" s="14" t="s">
        <v>145</v>
      </c>
    </row>
    <row r="64" spans="1:14" ht="15.75" customHeight="1">
      <c r="A64" s="13" t="s">
        <v>230</v>
      </c>
      <c r="B64" s="129">
        <f>_xlfn.COMPOUNDVALUE(397)</f>
        <v>1232</v>
      </c>
      <c r="C64" s="130">
        <v>6871436</v>
      </c>
      <c r="D64" s="129">
        <f>_xlfn.COMPOUNDVALUE(398)</f>
        <v>560</v>
      </c>
      <c r="E64" s="130">
        <v>313260</v>
      </c>
      <c r="F64" s="129">
        <f>_xlfn.COMPOUNDVALUE(399)</f>
        <v>1792</v>
      </c>
      <c r="G64" s="130">
        <v>7184696</v>
      </c>
      <c r="H64" s="129">
        <f>_xlfn.COMPOUNDVALUE(400)</f>
        <v>66</v>
      </c>
      <c r="I64" s="131">
        <v>505885</v>
      </c>
      <c r="J64" s="129">
        <v>104</v>
      </c>
      <c r="K64" s="131">
        <v>-12698</v>
      </c>
      <c r="L64" s="129">
        <v>1874</v>
      </c>
      <c r="M64" s="131">
        <v>6666113</v>
      </c>
      <c r="N64" s="14" t="s">
        <v>146</v>
      </c>
    </row>
    <row r="65" spans="1:14" ht="15.75" customHeight="1">
      <c r="A65" s="13" t="s">
        <v>231</v>
      </c>
      <c r="B65" s="129">
        <f>_xlfn.COMPOUNDVALUE(401)</f>
        <v>432</v>
      </c>
      <c r="C65" s="130">
        <v>2325541</v>
      </c>
      <c r="D65" s="129">
        <f>_xlfn.COMPOUNDVALUE(402)</f>
        <v>279</v>
      </c>
      <c r="E65" s="130">
        <v>166399</v>
      </c>
      <c r="F65" s="129">
        <f>_xlfn.COMPOUNDVALUE(403)</f>
        <v>711</v>
      </c>
      <c r="G65" s="130">
        <v>2491940</v>
      </c>
      <c r="H65" s="129">
        <f>_xlfn.COMPOUNDVALUE(404)</f>
        <v>20</v>
      </c>
      <c r="I65" s="131">
        <v>82960</v>
      </c>
      <c r="J65" s="129">
        <v>30</v>
      </c>
      <c r="K65" s="131">
        <v>3583</v>
      </c>
      <c r="L65" s="129">
        <v>735</v>
      </c>
      <c r="M65" s="131">
        <v>2412563</v>
      </c>
      <c r="N65" s="14" t="s">
        <v>147</v>
      </c>
    </row>
    <row r="66" spans="1:14" ht="15.75" customHeight="1">
      <c r="A66" s="13" t="s">
        <v>232</v>
      </c>
      <c r="B66" s="129">
        <f>_xlfn.COMPOUNDVALUE(405)</f>
        <v>1669</v>
      </c>
      <c r="C66" s="130">
        <v>15089066</v>
      </c>
      <c r="D66" s="129">
        <f>_xlfn.COMPOUNDVALUE(406)</f>
        <v>523</v>
      </c>
      <c r="E66" s="130">
        <v>353932</v>
      </c>
      <c r="F66" s="129">
        <f>_xlfn.COMPOUNDVALUE(407)</f>
        <v>2192</v>
      </c>
      <c r="G66" s="130">
        <v>15442998</v>
      </c>
      <c r="H66" s="129">
        <f>_xlfn.COMPOUNDVALUE(408)</f>
        <v>198</v>
      </c>
      <c r="I66" s="131">
        <v>2684273</v>
      </c>
      <c r="J66" s="129">
        <v>214</v>
      </c>
      <c r="K66" s="131">
        <v>148545</v>
      </c>
      <c r="L66" s="129">
        <v>2458</v>
      </c>
      <c r="M66" s="131">
        <v>12907270</v>
      </c>
      <c r="N66" s="14" t="s">
        <v>148</v>
      </c>
    </row>
    <row r="67" spans="1:14" ht="15.75" customHeight="1">
      <c r="A67" s="13" t="s">
        <v>233</v>
      </c>
      <c r="B67" s="129">
        <f>_xlfn.COMPOUNDVALUE(409)</f>
        <v>892</v>
      </c>
      <c r="C67" s="130">
        <v>5684633</v>
      </c>
      <c r="D67" s="129">
        <f>_xlfn.COMPOUNDVALUE(410)</f>
        <v>332</v>
      </c>
      <c r="E67" s="130">
        <v>193039</v>
      </c>
      <c r="F67" s="129">
        <f>_xlfn.COMPOUNDVALUE(411)</f>
        <v>1224</v>
      </c>
      <c r="G67" s="130">
        <v>5877672</v>
      </c>
      <c r="H67" s="129">
        <f>_xlfn.COMPOUNDVALUE(412)</f>
        <v>50</v>
      </c>
      <c r="I67" s="131">
        <v>182817</v>
      </c>
      <c r="J67" s="129">
        <v>53</v>
      </c>
      <c r="K67" s="131">
        <v>6157</v>
      </c>
      <c r="L67" s="129">
        <v>1277</v>
      </c>
      <c r="M67" s="131">
        <v>5701012</v>
      </c>
      <c r="N67" s="14" t="s">
        <v>149</v>
      </c>
    </row>
    <row r="68" spans="1:14" ht="15.75" customHeight="1">
      <c r="A68" s="13" t="s">
        <v>234</v>
      </c>
      <c r="B68" s="129">
        <f>_xlfn.COMPOUNDVALUE(413)</f>
        <v>281</v>
      </c>
      <c r="C68" s="130">
        <v>1154108</v>
      </c>
      <c r="D68" s="129">
        <f>_xlfn.COMPOUNDVALUE(414)</f>
        <v>138</v>
      </c>
      <c r="E68" s="130">
        <v>81459</v>
      </c>
      <c r="F68" s="129">
        <f>_xlfn.COMPOUNDVALUE(415)</f>
        <v>419</v>
      </c>
      <c r="G68" s="130">
        <v>1235567</v>
      </c>
      <c r="H68" s="129">
        <f>_xlfn.COMPOUNDVALUE(416)</f>
        <v>17</v>
      </c>
      <c r="I68" s="131">
        <v>19092</v>
      </c>
      <c r="J68" s="129">
        <v>32</v>
      </c>
      <c r="K68" s="131">
        <v>12776</v>
      </c>
      <c r="L68" s="129">
        <v>441</v>
      </c>
      <c r="M68" s="131">
        <v>1229251</v>
      </c>
      <c r="N68" s="14" t="s">
        <v>150</v>
      </c>
    </row>
    <row r="69" spans="1:14" ht="15.75" customHeight="1">
      <c r="A69" s="15" t="s">
        <v>235</v>
      </c>
      <c r="B69" s="132">
        <v>19253</v>
      </c>
      <c r="C69" s="133">
        <v>136343498</v>
      </c>
      <c r="D69" s="132">
        <v>8303</v>
      </c>
      <c r="E69" s="133">
        <v>4949970</v>
      </c>
      <c r="F69" s="132">
        <v>27556</v>
      </c>
      <c r="G69" s="133">
        <v>141293468</v>
      </c>
      <c r="H69" s="132">
        <v>1167</v>
      </c>
      <c r="I69" s="134">
        <v>12325434</v>
      </c>
      <c r="J69" s="132">
        <v>1658</v>
      </c>
      <c r="K69" s="134">
        <v>399599</v>
      </c>
      <c r="L69" s="132">
        <v>29014</v>
      </c>
      <c r="M69" s="134">
        <v>129367633</v>
      </c>
      <c r="N69" s="16" t="s">
        <v>151</v>
      </c>
    </row>
    <row r="70" spans="1:14" ht="15.75" customHeight="1" thickBot="1">
      <c r="A70" s="18"/>
      <c r="B70" s="138"/>
      <c r="C70" s="139"/>
      <c r="D70" s="138"/>
      <c r="E70" s="139"/>
      <c r="F70" s="140"/>
      <c r="G70" s="139"/>
      <c r="H70" s="140"/>
      <c r="I70" s="139"/>
      <c r="J70" s="140"/>
      <c r="K70" s="139"/>
      <c r="L70" s="140"/>
      <c r="M70" s="139"/>
      <c r="N70" s="19"/>
    </row>
    <row r="71" spans="1:14" ht="15.75" customHeight="1" thickBot="1" thickTop="1">
      <c r="A71" s="21" t="s">
        <v>236</v>
      </c>
      <c r="B71" s="141">
        <v>79604</v>
      </c>
      <c r="C71" s="142">
        <v>603943346</v>
      </c>
      <c r="D71" s="141">
        <v>32209</v>
      </c>
      <c r="E71" s="142">
        <v>19557416</v>
      </c>
      <c r="F71" s="141">
        <v>111813</v>
      </c>
      <c r="G71" s="142">
        <v>623500762</v>
      </c>
      <c r="H71" s="141">
        <v>5138</v>
      </c>
      <c r="I71" s="143">
        <v>42311402</v>
      </c>
      <c r="J71" s="141">
        <v>6880</v>
      </c>
      <c r="K71" s="143">
        <v>1292845</v>
      </c>
      <c r="L71" s="141">
        <v>118017</v>
      </c>
      <c r="M71" s="143">
        <v>582482206</v>
      </c>
      <c r="N71" s="22" t="s">
        <v>94</v>
      </c>
    </row>
    <row r="72" spans="1:14" ht="13.5">
      <c r="A72" s="251" t="s">
        <v>241</v>
      </c>
      <c r="B72" s="251"/>
      <c r="C72" s="251"/>
      <c r="D72" s="251"/>
      <c r="E72" s="251"/>
      <c r="F72" s="251"/>
      <c r="G72" s="251"/>
      <c r="H72" s="251"/>
      <c r="I72" s="251"/>
      <c r="J72" s="25"/>
      <c r="K72" s="25"/>
      <c r="L72" s="2"/>
      <c r="M72" s="2"/>
      <c r="N72" s="2"/>
    </row>
  </sheetData>
  <sheetProtection/>
  <mergeCells count="11">
    <mergeCell ref="A72:I72"/>
    <mergeCell ref="A2:I2"/>
    <mergeCell ref="A3:A5"/>
    <mergeCell ref="B3:G3"/>
    <mergeCell ref="H3:I4"/>
    <mergeCell ref="N3:N5"/>
    <mergeCell ref="B4:C4"/>
    <mergeCell ref="D4:E4"/>
    <mergeCell ref="F4:G4"/>
    <mergeCell ref="J3:K4"/>
    <mergeCell ref="L3:M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(H30)</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dimension ref="A1:R72"/>
  <sheetViews>
    <sheetView showGridLines="0" zoomScaleSheetLayoutView="85" workbookViewId="0" topLeftCell="A1">
      <selection activeCell="A1" sqref="A1"/>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246</v>
      </c>
      <c r="B1" s="1"/>
      <c r="C1" s="1"/>
      <c r="D1" s="1"/>
      <c r="E1" s="1"/>
      <c r="F1" s="1"/>
      <c r="G1" s="1"/>
      <c r="H1" s="1"/>
      <c r="I1" s="1"/>
      <c r="J1" s="1"/>
      <c r="K1" s="1"/>
      <c r="L1" s="2"/>
      <c r="M1" s="2"/>
      <c r="N1" s="2"/>
      <c r="O1" s="2"/>
      <c r="P1" s="2"/>
    </row>
    <row r="2" spans="1:16" ht="14.25" thickBot="1">
      <c r="A2" s="256" t="s">
        <v>84</v>
      </c>
      <c r="B2" s="256"/>
      <c r="C2" s="256"/>
      <c r="D2" s="256"/>
      <c r="E2" s="256"/>
      <c r="F2" s="256"/>
      <c r="G2" s="256"/>
      <c r="H2" s="256"/>
      <c r="I2" s="256"/>
      <c r="J2" s="25"/>
      <c r="K2" s="25"/>
      <c r="L2" s="2"/>
      <c r="M2" s="2"/>
      <c r="N2" s="2"/>
      <c r="O2" s="2"/>
      <c r="P2" s="2"/>
    </row>
    <row r="3" spans="1:18" ht="19.5" customHeight="1">
      <c r="A3" s="252" t="s">
        <v>1</v>
      </c>
      <c r="B3" s="255" t="s">
        <v>2</v>
      </c>
      <c r="C3" s="255"/>
      <c r="D3" s="255"/>
      <c r="E3" s="255"/>
      <c r="F3" s="255"/>
      <c r="G3" s="255"/>
      <c r="H3" s="255" t="s">
        <v>3</v>
      </c>
      <c r="I3" s="255"/>
      <c r="J3" s="264" t="s">
        <v>4</v>
      </c>
      <c r="K3" s="255"/>
      <c r="L3" s="255" t="s">
        <v>5</v>
      </c>
      <c r="M3" s="255"/>
      <c r="N3" s="265" t="s">
        <v>85</v>
      </c>
      <c r="O3" s="266"/>
      <c r="P3" s="266"/>
      <c r="Q3" s="266"/>
      <c r="R3" s="241" t="s">
        <v>77</v>
      </c>
    </row>
    <row r="4" spans="1:18" ht="17.25" customHeight="1">
      <c r="A4" s="253"/>
      <c r="B4" s="244" t="s">
        <v>7</v>
      </c>
      <c r="C4" s="244"/>
      <c r="D4" s="244" t="s">
        <v>8</v>
      </c>
      <c r="E4" s="244"/>
      <c r="F4" s="244" t="s">
        <v>9</v>
      </c>
      <c r="G4" s="244"/>
      <c r="H4" s="244"/>
      <c r="I4" s="244"/>
      <c r="J4" s="244"/>
      <c r="K4" s="244"/>
      <c r="L4" s="244"/>
      <c r="M4" s="244"/>
      <c r="N4" s="257" t="s">
        <v>86</v>
      </c>
      <c r="O4" s="259" t="s">
        <v>87</v>
      </c>
      <c r="P4" s="261" t="s">
        <v>88</v>
      </c>
      <c r="Q4" s="249" t="s">
        <v>89</v>
      </c>
      <c r="R4" s="242"/>
    </row>
    <row r="5" spans="1:18" ht="28.5" customHeight="1">
      <c r="A5" s="254"/>
      <c r="B5" s="33" t="s">
        <v>10</v>
      </c>
      <c r="C5" s="34" t="s">
        <v>11</v>
      </c>
      <c r="D5" s="33" t="s">
        <v>10</v>
      </c>
      <c r="E5" s="34" t="s">
        <v>11</v>
      </c>
      <c r="F5" s="33" t="s">
        <v>10</v>
      </c>
      <c r="G5" s="34" t="s">
        <v>12</v>
      </c>
      <c r="H5" s="33" t="s">
        <v>10</v>
      </c>
      <c r="I5" s="34" t="s">
        <v>13</v>
      </c>
      <c r="J5" s="33" t="s">
        <v>10</v>
      </c>
      <c r="K5" s="34" t="s">
        <v>14</v>
      </c>
      <c r="L5" s="33" t="s">
        <v>10</v>
      </c>
      <c r="M5" s="29" t="s">
        <v>93</v>
      </c>
      <c r="N5" s="258"/>
      <c r="O5" s="260"/>
      <c r="P5" s="262"/>
      <c r="Q5" s="263"/>
      <c r="R5" s="243"/>
    </row>
    <row r="6" spans="1:18" s="27" customFormat="1" ht="10.5">
      <c r="A6" s="5"/>
      <c r="B6" s="6" t="s">
        <v>15</v>
      </c>
      <c r="C6" s="7" t="s">
        <v>16</v>
      </c>
      <c r="D6" s="6" t="s">
        <v>15</v>
      </c>
      <c r="E6" s="7" t="s">
        <v>16</v>
      </c>
      <c r="F6" s="6" t="s">
        <v>15</v>
      </c>
      <c r="G6" s="7" t="s">
        <v>16</v>
      </c>
      <c r="H6" s="6" t="s">
        <v>15</v>
      </c>
      <c r="I6" s="7" t="s">
        <v>16</v>
      </c>
      <c r="J6" s="6" t="s">
        <v>15</v>
      </c>
      <c r="K6" s="7" t="s">
        <v>16</v>
      </c>
      <c r="L6" s="6" t="s">
        <v>244</v>
      </c>
      <c r="M6" s="7" t="s">
        <v>16</v>
      </c>
      <c r="N6" s="6" t="s">
        <v>15</v>
      </c>
      <c r="O6" s="30" t="s">
        <v>15</v>
      </c>
      <c r="P6" s="30" t="s">
        <v>15</v>
      </c>
      <c r="Q6" s="31" t="s">
        <v>15</v>
      </c>
      <c r="R6" s="9"/>
    </row>
    <row r="7" spans="1:18" ht="15.75" customHeight="1">
      <c r="A7" s="11" t="s">
        <v>18</v>
      </c>
      <c r="B7" s="126">
        <f>_xlfn.COMPOUNDVALUE(417)</f>
        <v>3583</v>
      </c>
      <c r="C7" s="127">
        <v>25851348</v>
      </c>
      <c r="D7" s="126">
        <f>_xlfn.COMPOUNDVALUE(418)</f>
        <v>2676</v>
      </c>
      <c r="E7" s="127">
        <v>1229191</v>
      </c>
      <c r="F7" s="126">
        <f>_xlfn.COMPOUNDVALUE(419)</f>
        <v>6259</v>
      </c>
      <c r="G7" s="127">
        <v>27080539</v>
      </c>
      <c r="H7" s="126">
        <f>_xlfn.COMPOUNDVALUE(420)</f>
        <v>204</v>
      </c>
      <c r="I7" s="128">
        <v>649062</v>
      </c>
      <c r="J7" s="126">
        <v>484</v>
      </c>
      <c r="K7" s="128">
        <v>70140</v>
      </c>
      <c r="L7" s="126">
        <v>6591</v>
      </c>
      <c r="M7" s="128">
        <v>26501617</v>
      </c>
      <c r="N7" s="126">
        <v>6305</v>
      </c>
      <c r="O7" s="144">
        <v>181</v>
      </c>
      <c r="P7" s="144">
        <v>14</v>
      </c>
      <c r="Q7" s="145">
        <v>6500</v>
      </c>
      <c r="R7" s="12" t="s">
        <v>96</v>
      </c>
    </row>
    <row r="8" spans="1:18" ht="15.75" customHeight="1">
      <c r="A8" s="13" t="s">
        <v>19</v>
      </c>
      <c r="B8" s="129">
        <f>_xlfn.COMPOUNDVALUE(421)</f>
        <v>2115</v>
      </c>
      <c r="C8" s="130">
        <v>9401343</v>
      </c>
      <c r="D8" s="129">
        <f>_xlfn.COMPOUNDVALUE(422)</f>
        <v>1937</v>
      </c>
      <c r="E8" s="130">
        <v>802370</v>
      </c>
      <c r="F8" s="129">
        <f>_xlfn.COMPOUNDVALUE(423)</f>
        <v>4052</v>
      </c>
      <c r="G8" s="130">
        <v>10203713</v>
      </c>
      <c r="H8" s="129">
        <f>_xlfn.COMPOUNDVALUE(424)</f>
        <v>122</v>
      </c>
      <c r="I8" s="131">
        <v>580224</v>
      </c>
      <c r="J8" s="129">
        <v>264</v>
      </c>
      <c r="K8" s="131">
        <v>44986</v>
      </c>
      <c r="L8" s="129">
        <v>4243</v>
      </c>
      <c r="M8" s="131">
        <v>9668475</v>
      </c>
      <c r="N8" s="126">
        <v>4042</v>
      </c>
      <c r="O8" s="144">
        <v>82</v>
      </c>
      <c r="P8" s="144">
        <v>6</v>
      </c>
      <c r="Q8" s="145">
        <v>4130</v>
      </c>
      <c r="R8" s="14" t="s">
        <v>97</v>
      </c>
    </row>
    <row r="9" spans="1:18" ht="15.75" customHeight="1">
      <c r="A9" s="13" t="s">
        <v>20</v>
      </c>
      <c r="B9" s="129">
        <f>_xlfn.COMPOUNDVALUE(425)</f>
        <v>3715</v>
      </c>
      <c r="C9" s="130">
        <v>21458051</v>
      </c>
      <c r="D9" s="129">
        <f>_xlfn.COMPOUNDVALUE(426)</f>
        <v>2624</v>
      </c>
      <c r="E9" s="130">
        <v>1215954</v>
      </c>
      <c r="F9" s="129">
        <f>_xlfn.COMPOUNDVALUE(427)</f>
        <v>6339</v>
      </c>
      <c r="G9" s="130">
        <v>22674004</v>
      </c>
      <c r="H9" s="129">
        <f>_xlfn.COMPOUNDVALUE(428)</f>
        <v>193</v>
      </c>
      <c r="I9" s="131">
        <v>3264571</v>
      </c>
      <c r="J9" s="129">
        <v>385</v>
      </c>
      <c r="K9" s="131">
        <v>87181</v>
      </c>
      <c r="L9" s="129">
        <v>6623</v>
      </c>
      <c r="M9" s="131">
        <v>19496614</v>
      </c>
      <c r="N9" s="126">
        <v>6420</v>
      </c>
      <c r="O9" s="144">
        <v>163</v>
      </c>
      <c r="P9" s="144">
        <v>14</v>
      </c>
      <c r="Q9" s="145">
        <v>6597</v>
      </c>
      <c r="R9" s="14" t="s">
        <v>98</v>
      </c>
    </row>
    <row r="10" spans="1:18" ht="15.75" customHeight="1">
      <c r="A10" s="13" t="s">
        <v>21</v>
      </c>
      <c r="B10" s="129">
        <f>_xlfn.COMPOUNDVALUE(429)</f>
        <v>883</v>
      </c>
      <c r="C10" s="130">
        <v>3516742</v>
      </c>
      <c r="D10" s="129">
        <f>_xlfn.COMPOUNDVALUE(430)</f>
        <v>984</v>
      </c>
      <c r="E10" s="130">
        <v>369741</v>
      </c>
      <c r="F10" s="129">
        <f>_xlfn.COMPOUNDVALUE(431)</f>
        <v>1867</v>
      </c>
      <c r="G10" s="130">
        <v>3886483</v>
      </c>
      <c r="H10" s="129">
        <f>_xlfn.COMPOUNDVALUE(432)</f>
        <v>46</v>
      </c>
      <c r="I10" s="131">
        <v>77973</v>
      </c>
      <c r="J10" s="129">
        <v>114</v>
      </c>
      <c r="K10" s="131">
        <v>31670</v>
      </c>
      <c r="L10" s="129">
        <v>1954</v>
      </c>
      <c r="M10" s="131">
        <v>3840180</v>
      </c>
      <c r="N10" s="126">
        <v>2093</v>
      </c>
      <c r="O10" s="144">
        <v>33</v>
      </c>
      <c r="P10" s="144">
        <v>5</v>
      </c>
      <c r="Q10" s="145">
        <v>2131</v>
      </c>
      <c r="R10" s="14" t="s">
        <v>99</v>
      </c>
    </row>
    <row r="11" spans="1:18" ht="15.75" customHeight="1">
      <c r="A11" s="13" t="s">
        <v>22</v>
      </c>
      <c r="B11" s="129">
        <f>_xlfn.COMPOUNDVALUE(433)</f>
        <v>1673</v>
      </c>
      <c r="C11" s="130">
        <v>4610917</v>
      </c>
      <c r="D11" s="129">
        <f>_xlfn.COMPOUNDVALUE(434)</f>
        <v>1840</v>
      </c>
      <c r="E11" s="130">
        <v>702009</v>
      </c>
      <c r="F11" s="129">
        <f>_xlfn.COMPOUNDVALUE(435)</f>
        <v>3513</v>
      </c>
      <c r="G11" s="130">
        <v>5312926</v>
      </c>
      <c r="H11" s="129">
        <f>_xlfn.COMPOUNDVALUE(436)</f>
        <v>106</v>
      </c>
      <c r="I11" s="131">
        <v>311337</v>
      </c>
      <c r="J11" s="129">
        <v>255</v>
      </c>
      <c r="K11" s="131">
        <v>38552</v>
      </c>
      <c r="L11" s="129">
        <v>3673</v>
      </c>
      <c r="M11" s="131">
        <v>5040141</v>
      </c>
      <c r="N11" s="126">
        <v>3576</v>
      </c>
      <c r="O11" s="144">
        <v>79</v>
      </c>
      <c r="P11" s="144">
        <v>4</v>
      </c>
      <c r="Q11" s="145">
        <v>3659</v>
      </c>
      <c r="R11" s="14" t="s">
        <v>100</v>
      </c>
    </row>
    <row r="12" spans="1:18" ht="15.75" customHeight="1">
      <c r="A12" s="13" t="s">
        <v>23</v>
      </c>
      <c r="B12" s="129">
        <f>_xlfn.COMPOUNDVALUE(437)</f>
        <v>2761</v>
      </c>
      <c r="C12" s="130">
        <v>17370328</v>
      </c>
      <c r="D12" s="129">
        <f>_xlfn.COMPOUNDVALUE(438)</f>
        <v>2729</v>
      </c>
      <c r="E12" s="130">
        <v>1162958</v>
      </c>
      <c r="F12" s="129">
        <f>_xlfn.COMPOUNDVALUE(439)</f>
        <v>5490</v>
      </c>
      <c r="G12" s="130">
        <v>18533286</v>
      </c>
      <c r="H12" s="129">
        <f>_xlfn.COMPOUNDVALUE(440)</f>
        <v>206</v>
      </c>
      <c r="I12" s="131">
        <v>1346590</v>
      </c>
      <c r="J12" s="129">
        <v>233</v>
      </c>
      <c r="K12" s="131">
        <v>109180</v>
      </c>
      <c r="L12" s="129">
        <v>5738</v>
      </c>
      <c r="M12" s="131">
        <v>17295876</v>
      </c>
      <c r="N12" s="126">
        <v>5437</v>
      </c>
      <c r="O12" s="144">
        <v>121</v>
      </c>
      <c r="P12" s="144">
        <v>6</v>
      </c>
      <c r="Q12" s="145">
        <v>5564</v>
      </c>
      <c r="R12" s="14" t="s">
        <v>101</v>
      </c>
    </row>
    <row r="13" spans="1:18" ht="15.75" customHeight="1">
      <c r="A13" s="13" t="s">
        <v>24</v>
      </c>
      <c r="B13" s="129">
        <f>_xlfn.COMPOUNDVALUE(441)</f>
        <v>845</v>
      </c>
      <c r="C13" s="130">
        <v>3076862</v>
      </c>
      <c r="D13" s="129">
        <f>_xlfn.COMPOUNDVALUE(442)</f>
        <v>771</v>
      </c>
      <c r="E13" s="130">
        <v>315024</v>
      </c>
      <c r="F13" s="129">
        <f>_xlfn.COMPOUNDVALUE(443)</f>
        <v>1616</v>
      </c>
      <c r="G13" s="130">
        <v>3391886</v>
      </c>
      <c r="H13" s="129">
        <f>_xlfn.COMPOUNDVALUE(444)</f>
        <v>40</v>
      </c>
      <c r="I13" s="131">
        <v>194712</v>
      </c>
      <c r="J13" s="129">
        <v>81</v>
      </c>
      <c r="K13" s="131">
        <v>15640</v>
      </c>
      <c r="L13" s="129">
        <v>1675</v>
      </c>
      <c r="M13" s="131">
        <v>3212814</v>
      </c>
      <c r="N13" s="126">
        <v>1607</v>
      </c>
      <c r="O13" s="144">
        <v>31</v>
      </c>
      <c r="P13" s="210" t="s">
        <v>252</v>
      </c>
      <c r="Q13" s="145">
        <v>1638</v>
      </c>
      <c r="R13" s="14" t="s">
        <v>24</v>
      </c>
    </row>
    <row r="14" spans="1:18" ht="15.75" customHeight="1">
      <c r="A14" s="92" t="s">
        <v>25</v>
      </c>
      <c r="B14" s="146">
        <v>15575</v>
      </c>
      <c r="C14" s="147">
        <v>85285591</v>
      </c>
      <c r="D14" s="146">
        <v>13561</v>
      </c>
      <c r="E14" s="147">
        <v>5797245</v>
      </c>
      <c r="F14" s="146">
        <v>29136</v>
      </c>
      <c r="G14" s="147">
        <v>91082836</v>
      </c>
      <c r="H14" s="146">
        <v>917</v>
      </c>
      <c r="I14" s="148">
        <v>6424468</v>
      </c>
      <c r="J14" s="146">
        <v>1816</v>
      </c>
      <c r="K14" s="148">
        <v>397350</v>
      </c>
      <c r="L14" s="146">
        <v>30497</v>
      </c>
      <c r="M14" s="148">
        <v>85055718</v>
      </c>
      <c r="N14" s="146">
        <v>29480</v>
      </c>
      <c r="O14" s="149">
        <v>690</v>
      </c>
      <c r="P14" s="149">
        <v>49</v>
      </c>
      <c r="Q14" s="150">
        <v>30219</v>
      </c>
      <c r="R14" s="94" t="s">
        <v>95</v>
      </c>
    </row>
    <row r="15" spans="1:18" ht="15.75" customHeight="1">
      <c r="A15" s="96"/>
      <c r="B15" s="151"/>
      <c r="C15" s="152"/>
      <c r="D15" s="151"/>
      <c r="E15" s="152"/>
      <c r="F15" s="153"/>
      <c r="G15" s="152"/>
      <c r="H15" s="153"/>
      <c r="I15" s="152"/>
      <c r="J15" s="153"/>
      <c r="K15" s="152"/>
      <c r="L15" s="153"/>
      <c r="M15" s="152"/>
      <c r="N15" s="154"/>
      <c r="O15" s="155"/>
      <c r="P15" s="155"/>
      <c r="Q15" s="156"/>
      <c r="R15" s="97"/>
    </row>
    <row r="16" spans="1:18" ht="15.75" customHeight="1">
      <c r="A16" s="98" t="s">
        <v>26</v>
      </c>
      <c r="B16" s="157">
        <f>_xlfn.COMPOUNDVALUE(445)</f>
        <v>5454</v>
      </c>
      <c r="C16" s="158">
        <v>32625725</v>
      </c>
      <c r="D16" s="157">
        <f>_xlfn.COMPOUNDVALUE(446)</f>
        <v>3661</v>
      </c>
      <c r="E16" s="158">
        <v>1862673</v>
      </c>
      <c r="F16" s="157">
        <f>_xlfn.COMPOUNDVALUE(447)</f>
        <v>9115</v>
      </c>
      <c r="G16" s="158">
        <v>34488398</v>
      </c>
      <c r="H16" s="157">
        <f>_xlfn.COMPOUNDVALUE(448)</f>
        <v>353</v>
      </c>
      <c r="I16" s="159">
        <v>1382564</v>
      </c>
      <c r="J16" s="157">
        <v>819</v>
      </c>
      <c r="K16" s="159">
        <v>74667</v>
      </c>
      <c r="L16" s="157">
        <v>9702</v>
      </c>
      <c r="M16" s="159">
        <v>33180501</v>
      </c>
      <c r="N16" s="157">
        <v>9517</v>
      </c>
      <c r="O16" s="160">
        <v>248</v>
      </c>
      <c r="P16" s="160">
        <v>28</v>
      </c>
      <c r="Q16" s="161">
        <v>9793</v>
      </c>
      <c r="R16" s="99" t="s">
        <v>102</v>
      </c>
    </row>
    <row r="17" spans="1:18" ht="15.75" customHeight="1">
      <c r="A17" s="13" t="s">
        <v>27</v>
      </c>
      <c r="B17" s="129">
        <f>_xlfn.COMPOUNDVALUE(449)</f>
        <v>958</v>
      </c>
      <c r="C17" s="130">
        <v>4057465</v>
      </c>
      <c r="D17" s="129">
        <f>_xlfn.COMPOUNDVALUE(450)</f>
        <v>800</v>
      </c>
      <c r="E17" s="130">
        <v>351123</v>
      </c>
      <c r="F17" s="129">
        <f>_xlfn.COMPOUNDVALUE(451)</f>
        <v>1758</v>
      </c>
      <c r="G17" s="130">
        <v>4408588</v>
      </c>
      <c r="H17" s="129">
        <f>_xlfn.COMPOUNDVALUE(452)</f>
        <v>55</v>
      </c>
      <c r="I17" s="131">
        <v>208915</v>
      </c>
      <c r="J17" s="129">
        <v>116</v>
      </c>
      <c r="K17" s="131">
        <v>-26416</v>
      </c>
      <c r="L17" s="129">
        <v>1832</v>
      </c>
      <c r="M17" s="131">
        <v>4173257</v>
      </c>
      <c r="N17" s="126">
        <v>1800</v>
      </c>
      <c r="O17" s="144">
        <v>38</v>
      </c>
      <c r="P17" s="210" t="s">
        <v>252</v>
      </c>
      <c r="Q17" s="145">
        <v>1838</v>
      </c>
      <c r="R17" s="14" t="s">
        <v>103</v>
      </c>
    </row>
    <row r="18" spans="1:18" ht="15.75" customHeight="1">
      <c r="A18" s="13" t="s">
        <v>28</v>
      </c>
      <c r="B18" s="129">
        <f>_xlfn.COMPOUNDVALUE(453)</f>
        <v>890</v>
      </c>
      <c r="C18" s="130">
        <v>4236346</v>
      </c>
      <c r="D18" s="129">
        <f>_xlfn.COMPOUNDVALUE(454)</f>
        <v>672</v>
      </c>
      <c r="E18" s="130">
        <v>274979</v>
      </c>
      <c r="F18" s="129">
        <f>_xlfn.COMPOUNDVALUE(455)</f>
        <v>1562</v>
      </c>
      <c r="G18" s="130">
        <v>4511324</v>
      </c>
      <c r="H18" s="129">
        <f>_xlfn.COMPOUNDVALUE(456)</f>
        <v>78</v>
      </c>
      <c r="I18" s="131">
        <v>327600</v>
      </c>
      <c r="J18" s="129">
        <v>115</v>
      </c>
      <c r="K18" s="131">
        <v>35004</v>
      </c>
      <c r="L18" s="129">
        <v>1651</v>
      </c>
      <c r="M18" s="131">
        <v>4218728</v>
      </c>
      <c r="N18" s="126">
        <v>1503</v>
      </c>
      <c r="O18" s="144">
        <v>82</v>
      </c>
      <c r="P18" s="144">
        <v>6</v>
      </c>
      <c r="Q18" s="145">
        <v>1591</v>
      </c>
      <c r="R18" s="14" t="s">
        <v>104</v>
      </c>
    </row>
    <row r="19" spans="1:18" ht="15.75" customHeight="1">
      <c r="A19" s="13" t="s">
        <v>29</v>
      </c>
      <c r="B19" s="129">
        <f>_xlfn.COMPOUNDVALUE(457)</f>
        <v>1516</v>
      </c>
      <c r="C19" s="130">
        <v>7101431</v>
      </c>
      <c r="D19" s="129">
        <f>_xlfn.COMPOUNDVALUE(458)</f>
        <v>1063</v>
      </c>
      <c r="E19" s="130">
        <v>500338</v>
      </c>
      <c r="F19" s="129">
        <f>_xlfn.COMPOUNDVALUE(459)</f>
        <v>2579</v>
      </c>
      <c r="G19" s="130">
        <v>7601769</v>
      </c>
      <c r="H19" s="129">
        <f>_xlfn.COMPOUNDVALUE(460)</f>
        <v>131</v>
      </c>
      <c r="I19" s="131">
        <v>373455</v>
      </c>
      <c r="J19" s="129">
        <v>229</v>
      </c>
      <c r="K19" s="131">
        <v>34467</v>
      </c>
      <c r="L19" s="129">
        <v>2746</v>
      </c>
      <c r="M19" s="131">
        <v>7262781</v>
      </c>
      <c r="N19" s="126">
        <v>2665</v>
      </c>
      <c r="O19" s="144">
        <v>61</v>
      </c>
      <c r="P19" s="144">
        <v>3</v>
      </c>
      <c r="Q19" s="145">
        <v>2729</v>
      </c>
      <c r="R19" s="14" t="s">
        <v>105</v>
      </c>
    </row>
    <row r="20" spans="1:18" ht="15.75" customHeight="1">
      <c r="A20" s="13" t="s">
        <v>30</v>
      </c>
      <c r="B20" s="129">
        <f>_xlfn.COMPOUNDVALUE(461)</f>
        <v>2101</v>
      </c>
      <c r="C20" s="130">
        <v>12734509</v>
      </c>
      <c r="D20" s="129">
        <f>_xlfn.COMPOUNDVALUE(462)</f>
        <v>1344</v>
      </c>
      <c r="E20" s="130">
        <v>637614</v>
      </c>
      <c r="F20" s="129">
        <f>_xlfn.COMPOUNDVALUE(463)</f>
        <v>3445</v>
      </c>
      <c r="G20" s="130">
        <v>13372123</v>
      </c>
      <c r="H20" s="129">
        <f>_xlfn.COMPOUNDVALUE(464)</f>
        <v>172</v>
      </c>
      <c r="I20" s="131">
        <v>716563</v>
      </c>
      <c r="J20" s="129">
        <v>213</v>
      </c>
      <c r="K20" s="131">
        <v>60443</v>
      </c>
      <c r="L20" s="129">
        <v>3667</v>
      </c>
      <c r="M20" s="131">
        <v>12716003</v>
      </c>
      <c r="N20" s="126">
        <v>3502</v>
      </c>
      <c r="O20" s="144">
        <v>113</v>
      </c>
      <c r="P20" s="144">
        <v>7</v>
      </c>
      <c r="Q20" s="145">
        <v>3622</v>
      </c>
      <c r="R20" s="14" t="s">
        <v>106</v>
      </c>
    </row>
    <row r="21" spans="1:18" ht="15.75" customHeight="1">
      <c r="A21" s="13" t="s">
        <v>31</v>
      </c>
      <c r="B21" s="129">
        <f>_xlfn.COMPOUNDVALUE(465)</f>
        <v>854</v>
      </c>
      <c r="C21" s="130">
        <v>2821558</v>
      </c>
      <c r="D21" s="129">
        <f>_xlfn.COMPOUNDVALUE(466)</f>
        <v>497</v>
      </c>
      <c r="E21" s="130">
        <v>218576</v>
      </c>
      <c r="F21" s="129">
        <f>_xlfn.COMPOUNDVALUE(467)</f>
        <v>1351</v>
      </c>
      <c r="G21" s="130">
        <v>3040135</v>
      </c>
      <c r="H21" s="129">
        <f>_xlfn.COMPOUNDVALUE(468)</f>
        <v>50</v>
      </c>
      <c r="I21" s="131">
        <v>264488</v>
      </c>
      <c r="J21" s="129">
        <v>81</v>
      </c>
      <c r="K21" s="131">
        <v>8917</v>
      </c>
      <c r="L21" s="129">
        <v>1424</v>
      </c>
      <c r="M21" s="131">
        <v>2784564</v>
      </c>
      <c r="N21" s="126">
        <v>1376</v>
      </c>
      <c r="O21" s="144">
        <v>42</v>
      </c>
      <c r="P21" s="144">
        <v>4</v>
      </c>
      <c r="Q21" s="145">
        <v>1422</v>
      </c>
      <c r="R21" s="14" t="s">
        <v>107</v>
      </c>
    </row>
    <row r="22" spans="1:18" ht="15.75" customHeight="1">
      <c r="A22" s="13" t="s">
        <v>32</v>
      </c>
      <c r="B22" s="129">
        <f>_xlfn.COMPOUNDVALUE(469)</f>
        <v>1358</v>
      </c>
      <c r="C22" s="130">
        <v>6623027</v>
      </c>
      <c r="D22" s="129">
        <f>_xlfn.COMPOUNDVALUE(470)</f>
        <v>940</v>
      </c>
      <c r="E22" s="130">
        <v>417734</v>
      </c>
      <c r="F22" s="129">
        <f>_xlfn.COMPOUNDVALUE(471)</f>
        <v>2298</v>
      </c>
      <c r="G22" s="130">
        <v>7040762</v>
      </c>
      <c r="H22" s="129">
        <f>_xlfn.COMPOUNDVALUE(472)</f>
        <v>109</v>
      </c>
      <c r="I22" s="131">
        <v>203540</v>
      </c>
      <c r="J22" s="129">
        <v>171</v>
      </c>
      <c r="K22" s="131">
        <v>21415</v>
      </c>
      <c r="L22" s="129">
        <v>2430</v>
      </c>
      <c r="M22" s="131">
        <v>6858637</v>
      </c>
      <c r="N22" s="126">
        <v>2351</v>
      </c>
      <c r="O22" s="144">
        <v>50</v>
      </c>
      <c r="P22" s="144">
        <v>2</v>
      </c>
      <c r="Q22" s="145">
        <v>2403</v>
      </c>
      <c r="R22" s="14" t="s">
        <v>108</v>
      </c>
    </row>
    <row r="23" spans="1:18" ht="15.75" customHeight="1">
      <c r="A23" s="13" t="s">
        <v>33</v>
      </c>
      <c r="B23" s="129">
        <f>_xlfn.COMPOUNDVALUE(473)</f>
        <v>911</v>
      </c>
      <c r="C23" s="130">
        <v>3848574</v>
      </c>
      <c r="D23" s="129">
        <f>_xlfn.COMPOUNDVALUE(474)</f>
        <v>603</v>
      </c>
      <c r="E23" s="130">
        <v>278537</v>
      </c>
      <c r="F23" s="129">
        <f>_xlfn.COMPOUNDVALUE(475)</f>
        <v>1514</v>
      </c>
      <c r="G23" s="130">
        <v>4127111</v>
      </c>
      <c r="H23" s="129">
        <f>_xlfn.COMPOUNDVALUE(476)</f>
        <v>48</v>
      </c>
      <c r="I23" s="131">
        <v>274224</v>
      </c>
      <c r="J23" s="129">
        <v>170</v>
      </c>
      <c r="K23" s="131">
        <v>21463</v>
      </c>
      <c r="L23" s="129">
        <v>1601</v>
      </c>
      <c r="M23" s="131">
        <v>3874350</v>
      </c>
      <c r="N23" s="126">
        <v>1527</v>
      </c>
      <c r="O23" s="144">
        <v>60</v>
      </c>
      <c r="P23" s="144">
        <v>3</v>
      </c>
      <c r="Q23" s="145">
        <v>1590</v>
      </c>
      <c r="R23" s="14" t="s">
        <v>109</v>
      </c>
    </row>
    <row r="24" spans="1:18" ht="15.75" customHeight="1">
      <c r="A24" s="13" t="s">
        <v>34</v>
      </c>
      <c r="B24" s="129">
        <f>_xlfn.COMPOUNDVALUE(477)</f>
        <v>762</v>
      </c>
      <c r="C24" s="130">
        <v>3443208</v>
      </c>
      <c r="D24" s="129">
        <f>_xlfn.COMPOUNDVALUE(478)</f>
        <v>559</v>
      </c>
      <c r="E24" s="130">
        <v>247159</v>
      </c>
      <c r="F24" s="129">
        <f>_xlfn.COMPOUNDVALUE(479)</f>
        <v>1321</v>
      </c>
      <c r="G24" s="130">
        <v>3690367</v>
      </c>
      <c r="H24" s="129">
        <f>_xlfn.COMPOUNDVALUE(480)</f>
        <v>71</v>
      </c>
      <c r="I24" s="131">
        <v>161581</v>
      </c>
      <c r="J24" s="129">
        <v>45</v>
      </c>
      <c r="K24" s="131">
        <v>5431</v>
      </c>
      <c r="L24" s="129">
        <v>1401</v>
      </c>
      <c r="M24" s="131">
        <v>3534217</v>
      </c>
      <c r="N24" s="126">
        <v>1436</v>
      </c>
      <c r="O24" s="144">
        <v>60</v>
      </c>
      <c r="P24" s="144">
        <v>3</v>
      </c>
      <c r="Q24" s="145">
        <v>1499</v>
      </c>
      <c r="R24" s="14" t="s">
        <v>110</v>
      </c>
    </row>
    <row r="25" spans="1:18" ht="15.75" customHeight="1">
      <c r="A25" s="95" t="s">
        <v>90</v>
      </c>
      <c r="B25" s="146">
        <v>14804</v>
      </c>
      <c r="C25" s="147">
        <v>77491844</v>
      </c>
      <c r="D25" s="146">
        <v>10139</v>
      </c>
      <c r="E25" s="147">
        <v>4788732</v>
      </c>
      <c r="F25" s="146">
        <v>24943</v>
      </c>
      <c r="G25" s="147">
        <v>82280576</v>
      </c>
      <c r="H25" s="146">
        <v>1067</v>
      </c>
      <c r="I25" s="148">
        <v>3912930</v>
      </c>
      <c r="J25" s="146">
        <v>1959</v>
      </c>
      <c r="K25" s="148">
        <v>235390</v>
      </c>
      <c r="L25" s="146">
        <v>26454</v>
      </c>
      <c r="M25" s="148">
        <v>78603037</v>
      </c>
      <c r="N25" s="146">
        <v>25677</v>
      </c>
      <c r="O25" s="149">
        <v>754</v>
      </c>
      <c r="P25" s="149">
        <v>56</v>
      </c>
      <c r="Q25" s="150">
        <v>26487</v>
      </c>
      <c r="R25" s="94" t="s">
        <v>111</v>
      </c>
    </row>
    <row r="26" spans="1:18" ht="15.75" customHeight="1">
      <c r="A26" s="96"/>
      <c r="B26" s="151"/>
      <c r="C26" s="152"/>
      <c r="D26" s="151"/>
      <c r="E26" s="152"/>
      <c r="F26" s="153"/>
      <c r="G26" s="152"/>
      <c r="H26" s="153"/>
      <c r="I26" s="152"/>
      <c r="J26" s="153"/>
      <c r="K26" s="152"/>
      <c r="L26" s="153"/>
      <c r="M26" s="152"/>
      <c r="N26" s="154"/>
      <c r="O26" s="155"/>
      <c r="P26" s="155"/>
      <c r="Q26" s="156"/>
      <c r="R26" s="97"/>
    </row>
    <row r="27" spans="1:18" ht="15.75" customHeight="1">
      <c r="A27" s="98" t="s">
        <v>36</v>
      </c>
      <c r="B27" s="157">
        <f>_xlfn.COMPOUNDVALUE(481)</f>
        <v>7153</v>
      </c>
      <c r="C27" s="158">
        <v>69269544</v>
      </c>
      <c r="D27" s="157">
        <f>_xlfn.COMPOUNDVALUE(482)</f>
        <v>4405</v>
      </c>
      <c r="E27" s="158">
        <v>2412943</v>
      </c>
      <c r="F27" s="157">
        <f>_xlfn.COMPOUNDVALUE(483)</f>
        <v>11558</v>
      </c>
      <c r="G27" s="158">
        <v>71682487</v>
      </c>
      <c r="H27" s="157">
        <f>_xlfn.COMPOUNDVALUE(484)</f>
        <v>532</v>
      </c>
      <c r="I27" s="159">
        <v>1592663</v>
      </c>
      <c r="J27" s="157">
        <v>1150</v>
      </c>
      <c r="K27" s="159">
        <v>143086</v>
      </c>
      <c r="L27" s="157">
        <v>12382</v>
      </c>
      <c r="M27" s="159">
        <v>70232910</v>
      </c>
      <c r="N27" s="157">
        <v>12358</v>
      </c>
      <c r="O27" s="160">
        <v>474</v>
      </c>
      <c r="P27" s="160">
        <v>41</v>
      </c>
      <c r="Q27" s="161">
        <v>12873</v>
      </c>
      <c r="R27" s="99" t="s">
        <v>112</v>
      </c>
    </row>
    <row r="28" spans="1:18" ht="15.75" customHeight="1">
      <c r="A28" s="13" t="s">
        <v>37</v>
      </c>
      <c r="B28" s="129">
        <f>_xlfn.COMPOUNDVALUE(485)</f>
        <v>5853</v>
      </c>
      <c r="C28" s="130">
        <v>58127435</v>
      </c>
      <c r="D28" s="129">
        <f>_xlfn.COMPOUNDVALUE(486)</f>
        <v>2870</v>
      </c>
      <c r="E28" s="130">
        <v>1733077</v>
      </c>
      <c r="F28" s="129">
        <f>_xlfn.COMPOUNDVALUE(487)</f>
        <v>8723</v>
      </c>
      <c r="G28" s="130">
        <v>59860512</v>
      </c>
      <c r="H28" s="129">
        <f>_xlfn.COMPOUNDVALUE(488)</f>
        <v>409</v>
      </c>
      <c r="I28" s="131">
        <v>2271608</v>
      </c>
      <c r="J28" s="129">
        <v>699</v>
      </c>
      <c r="K28" s="131">
        <v>165504</v>
      </c>
      <c r="L28" s="129">
        <v>9262</v>
      </c>
      <c r="M28" s="131">
        <v>57754408</v>
      </c>
      <c r="N28" s="126">
        <v>9320</v>
      </c>
      <c r="O28" s="144">
        <v>330</v>
      </c>
      <c r="P28" s="144">
        <v>66</v>
      </c>
      <c r="Q28" s="145">
        <v>9716</v>
      </c>
      <c r="R28" s="14" t="s">
        <v>113</v>
      </c>
    </row>
    <row r="29" spans="1:18" ht="15.75" customHeight="1">
      <c r="A29" s="13" t="s">
        <v>38</v>
      </c>
      <c r="B29" s="129">
        <f>_xlfn.COMPOUNDVALUE(489)</f>
        <v>3521</v>
      </c>
      <c r="C29" s="130">
        <v>18739170</v>
      </c>
      <c r="D29" s="129">
        <f>_xlfn.COMPOUNDVALUE(490)</f>
        <v>2608</v>
      </c>
      <c r="E29" s="130">
        <v>1271763</v>
      </c>
      <c r="F29" s="129">
        <f>_xlfn.COMPOUNDVALUE(491)</f>
        <v>6129</v>
      </c>
      <c r="G29" s="130">
        <v>20010933</v>
      </c>
      <c r="H29" s="129">
        <f>_xlfn.COMPOUNDVALUE(492)</f>
        <v>257</v>
      </c>
      <c r="I29" s="131">
        <v>875421</v>
      </c>
      <c r="J29" s="129">
        <v>479</v>
      </c>
      <c r="K29" s="131">
        <v>110189</v>
      </c>
      <c r="L29" s="129">
        <v>6523</v>
      </c>
      <c r="M29" s="131">
        <v>19245701</v>
      </c>
      <c r="N29" s="126">
        <v>6681</v>
      </c>
      <c r="O29" s="144">
        <v>208</v>
      </c>
      <c r="P29" s="144">
        <v>14</v>
      </c>
      <c r="Q29" s="145">
        <v>6903</v>
      </c>
      <c r="R29" s="14" t="s">
        <v>114</v>
      </c>
    </row>
    <row r="30" spans="1:18" ht="15.75" customHeight="1">
      <c r="A30" s="13" t="s">
        <v>39</v>
      </c>
      <c r="B30" s="129">
        <f>_xlfn.COMPOUNDVALUE(493)</f>
        <v>2964</v>
      </c>
      <c r="C30" s="130">
        <v>13272846</v>
      </c>
      <c r="D30" s="129">
        <f>_xlfn.COMPOUNDVALUE(494)</f>
        <v>2250</v>
      </c>
      <c r="E30" s="130">
        <v>1048880</v>
      </c>
      <c r="F30" s="129">
        <f>_xlfn.COMPOUNDVALUE(495)</f>
        <v>5214</v>
      </c>
      <c r="G30" s="130">
        <v>14321727</v>
      </c>
      <c r="H30" s="129">
        <f>_xlfn.COMPOUNDVALUE(496)</f>
        <v>257</v>
      </c>
      <c r="I30" s="131">
        <v>1074029</v>
      </c>
      <c r="J30" s="129">
        <v>374</v>
      </c>
      <c r="K30" s="131">
        <v>161118</v>
      </c>
      <c r="L30" s="129">
        <v>5601</v>
      </c>
      <c r="M30" s="131">
        <v>13408816</v>
      </c>
      <c r="N30" s="126">
        <v>5279</v>
      </c>
      <c r="O30" s="144">
        <v>156</v>
      </c>
      <c r="P30" s="144">
        <v>8</v>
      </c>
      <c r="Q30" s="145">
        <v>5443</v>
      </c>
      <c r="R30" s="14" t="s">
        <v>115</v>
      </c>
    </row>
    <row r="31" spans="1:18" ht="15.75" customHeight="1">
      <c r="A31" s="13" t="s">
        <v>40</v>
      </c>
      <c r="B31" s="129">
        <f>_xlfn.COMPOUNDVALUE(497)</f>
        <v>2012</v>
      </c>
      <c r="C31" s="130">
        <v>7925794</v>
      </c>
      <c r="D31" s="129">
        <f>_xlfn.COMPOUNDVALUE(498)</f>
        <v>1360</v>
      </c>
      <c r="E31" s="130">
        <v>624966</v>
      </c>
      <c r="F31" s="129">
        <f>_xlfn.COMPOUNDVALUE(499)</f>
        <v>3372</v>
      </c>
      <c r="G31" s="130">
        <v>8550760</v>
      </c>
      <c r="H31" s="129">
        <f>_xlfn.COMPOUNDVALUE(500)</f>
        <v>157</v>
      </c>
      <c r="I31" s="131">
        <v>593428</v>
      </c>
      <c r="J31" s="129">
        <v>298</v>
      </c>
      <c r="K31" s="131">
        <v>-4438</v>
      </c>
      <c r="L31" s="129">
        <v>3597</v>
      </c>
      <c r="M31" s="131">
        <v>7952894</v>
      </c>
      <c r="N31" s="126">
        <v>3515</v>
      </c>
      <c r="O31" s="144">
        <v>84</v>
      </c>
      <c r="P31" s="144">
        <v>5</v>
      </c>
      <c r="Q31" s="145">
        <v>3604</v>
      </c>
      <c r="R31" s="14" t="s">
        <v>116</v>
      </c>
    </row>
    <row r="32" spans="1:18" ht="15.75" customHeight="1">
      <c r="A32" s="13" t="s">
        <v>41</v>
      </c>
      <c r="B32" s="129">
        <f>_xlfn.COMPOUNDVALUE(501)</f>
        <v>2447</v>
      </c>
      <c r="C32" s="130">
        <v>9045937</v>
      </c>
      <c r="D32" s="129">
        <f>_xlfn.COMPOUNDVALUE(502)</f>
        <v>2018</v>
      </c>
      <c r="E32" s="130">
        <v>895420</v>
      </c>
      <c r="F32" s="129">
        <f>_xlfn.COMPOUNDVALUE(503)</f>
        <v>4465</v>
      </c>
      <c r="G32" s="130">
        <v>9941357</v>
      </c>
      <c r="H32" s="129">
        <f>_xlfn.COMPOUNDVALUE(504)</f>
        <v>223</v>
      </c>
      <c r="I32" s="131">
        <v>457107</v>
      </c>
      <c r="J32" s="129">
        <v>415</v>
      </c>
      <c r="K32" s="131">
        <v>34872</v>
      </c>
      <c r="L32" s="129">
        <v>4797</v>
      </c>
      <c r="M32" s="131">
        <v>9519122</v>
      </c>
      <c r="N32" s="126">
        <v>4533</v>
      </c>
      <c r="O32" s="144">
        <v>140</v>
      </c>
      <c r="P32" s="144">
        <v>4</v>
      </c>
      <c r="Q32" s="145">
        <v>4677</v>
      </c>
      <c r="R32" s="14" t="s">
        <v>117</v>
      </c>
    </row>
    <row r="33" spans="1:18" ht="15.75" customHeight="1">
      <c r="A33" s="13" t="s">
        <v>42</v>
      </c>
      <c r="B33" s="129">
        <f>_xlfn.COMPOUNDVALUE(505)</f>
        <v>1239</v>
      </c>
      <c r="C33" s="130">
        <v>4993726</v>
      </c>
      <c r="D33" s="129">
        <f>_xlfn.COMPOUNDVALUE(506)</f>
        <v>793</v>
      </c>
      <c r="E33" s="130">
        <v>318987</v>
      </c>
      <c r="F33" s="129">
        <f>_xlfn.COMPOUNDVALUE(507)</f>
        <v>2032</v>
      </c>
      <c r="G33" s="130">
        <v>5312713</v>
      </c>
      <c r="H33" s="129">
        <f>_xlfn.COMPOUNDVALUE(508)</f>
        <v>97</v>
      </c>
      <c r="I33" s="131">
        <v>556090</v>
      </c>
      <c r="J33" s="129">
        <v>150</v>
      </c>
      <c r="K33" s="131">
        <v>87051</v>
      </c>
      <c r="L33" s="129">
        <v>2155</v>
      </c>
      <c r="M33" s="131">
        <v>4843674</v>
      </c>
      <c r="N33" s="126">
        <v>2074</v>
      </c>
      <c r="O33" s="144">
        <v>66</v>
      </c>
      <c r="P33" s="144">
        <v>8</v>
      </c>
      <c r="Q33" s="145">
        <v>2148</v>
      </c>
      <c r="R33" s="14" t="s">
        <v>118</v>
      </c>
    </row>
    <row r="34" spans="1:18" ht="15.75" customHeight="1">
      <c r="A34" s="13" t="s">
        <v>43</v>
      </c>
      <c r="B34" s="129">
        <f>_xlfn.COMPOUNDVALUE(509)</f>
        <v>1805</v>
      </c>
      <c r="C34" s="130">
        <v>6214464</v>
      </c>
      <c r="D34" s="129">
        <f>_xlfn.COMPOUNDVALUE(510)</f>
        <v>1323</v>
      </c>
      <c r="E34" s="130">
        <v>589014</v>
      </c>
      <c r="F34" s="129">
        <f>_xlfn.COMPOUNDVALUE(511)</f>
        <v>3128</v>
      </c>
      <c r="G34" s="130">
        <v>6803478</v>
      </c>
      <c r="H34" s="129">
        <f>_xlfn.COMPOUNDVALUE(512)</f>
        <v>155</v>
      </c>
      <c r="I34" s="131">
        <v>537378</v>
      </c>
      <c r="J34" s="129">
        <v>277</v>
      </c>
      <c r="K34" s="131">
        <v>123680</v>
      </c>
      <c r="L34" s="129">
        <v>3355</v>
      </c>
      <c r="M34" s="131">
        <v>6389780</v>
      </c>
      <c r="N34" s="126">
        <v>3204</v>
      </c>
      <c r="O34" s="144">
        <v>90</v>
      </c>
      <c r="P34" s="144">
        <v>7</v>
      </c>
      <c r="Q34" s="145">
        <v>3301</v>
      </c>
      <c r="R34" s="14" t="s">
        <v>119</v>
      </c>
    </row>
    <row r="35" spans="1:18" ht="15.75" customHeight="1">
      <c r="A35" s="13" t="s">
        <v>44</v>
      </c>
      <c r="B35" s="129">
        <f>_xlfn.COMPOUNDVALUE(513)</f>
        <v>914</v>
      </c>
      <c r="C35" s="130">
        <v>3621640</v>
      </c>
      <c r="D35" s="129">
        <f>_xlfn.COMPOUNDVALUE(514)</f>
        <v>629</v>
      </c>
      <c r="E35" s="130">
        <v>274635</v>
      </c>
      <c r="F35" s="129">
        <f>_xlfn.COMPOUNDVALUE(515)</f>
        <v>1543</v>
      </c>
      <c r="G35" s="130">
        <v>3896274</v>
      </c>
      <c r="H35" s="129">
        <f>_xlfn.COMPOUNDVALUE(516)</f>
        <v>94</v>
      </c>
      <c r="I35" s="131">
        <v>677910</v>
      </c>
      <c r="J35" s="129">
        <v>123</v>
      </c>
      <c r="K35" s="131">
        <v>25660</v>
      </c>
      <c r="L35" s="129">
        <v>1663</v>
      </c>
      <c r="M35" s="131">
        <v>3244024</v>
      </c>
      <c r="N35" s="126">
        <v>1594</v>
      </c>
      <c r="O35" s="144">
        <v>54</v>
      </c>
      <c r="P35" s="144">
        <v>6</v>
      </c>
      <c r="Q35" s="145">
        <v>1654</v>
      </c>
      <c r="R35" s="14" t="s">
        <v>120</v>
      </c>
    </row>
    <row r="36" spans="1:18" ht="15.75" customHeight="1">
      <c r="A36" s="13" t="s">
        <v>45</v>
      </c>
      <c r="B36" s="129">
        <f>_xlfn.COMPOUNDVALUE(517)</f>
        <v>1195</v>
      </c>
      <c r="C36" s="130">
        <v>4345149</v>
      </c>
      <c r="D36" s="129">
        <f>_xlfn.COMPOUNDVALUE(518)</f>
        <v>946</v>
      </c>
      <c r="E36" s="130">
        <v>427004</v>
      </c>
      <c r="F36" s="129">
        <f>_xlfn.COMPOUNDVALUE(519)</f>
        <v>2141</v>
      </c>
      <c r="G36" s="130">
        <v>4772153</v>
      </c>
      <c r="H36" s="129">
        <f>_xlfn.COMPOUNDVALUE(520)</f>
        <v>90</v>
      </c>
      <c r="I36" s="131">
        <v>231414</v>
      </c>
      <c r="J36" s="129">
        <v>123</v>
      </c>
      <c r="K36" s="131">
        <v>25485</v>
      </c>
      <c r="L36" s="129">
        <v>2275</v>
      </c>
      <c r="M36" s="131">
        <v>4566224</v>
      </c>
      <c r="N36" s="126">
        <v>2120</v>
      </c>
      <c r="O36" s="144">
        <v>54</v>
      </c>
      <c r="P36" s="144">
        <v>4</v>
      </c>
      <c r="Q36" s="145">
        <v>2178</v>
      </c>
      <c r="R36" s="14" t="s">
        <v>121</v>
      </c>
    </row>
    <row r="37" spans="1:18" ht="15.75" customHeight="1">
      <c r="A37" s="95" t="s">
        <v>46</v>
      </c>
      <c r="B37" s="146">
        <v>29103</v>
      </c>
      <c r="C37" s="147">
        <v>195555705</v>
      </c>
      <c r="D37" s="146">
        <v>19202</v>
      </c>
      <c r="E37" s="147">
        <v>9596689</v>
      </c>
      <c r="F37" s="146">
        <v>48305</v>
      </c>
      <c r="G37" s="147">
        <v>205152394</v>
      </c>
      <c r="H37" s="146">
        <v>2271</v>
      </c>
      <c r="I37" s="148">
        <v>8867050</v>
      </c>
      <c r="J37" s="146">
        <v>4088</v>
      </c>
      <c r="K37" s="148">
        <v>872209</v>
      </c>
      <c r="L37" s="146">
        <v>51610</v>
      </c>
      <c r="M37" s="148">
        <v>197157553</v>
      </c>
      <c r="N37" s="146">
        <v>50678</v>
      </c>
      <c r="O37" s="149">
        <v>1656</v>
      </c>
      <c r="P37" s="149">
        <v>163</v>
      </c>
      <c r="Q37" s="150">
        <v>52497</v>
      </c>
      <c r="R37" s="94" t="s">
        <v>122</v>
      </c>
    </row>
    <row r="38" spans="1:18" ht="15.75" customHeight="1">
      <c r="A38" s="100"/>
      <c r="B38" s="162"/>
      <c r="C38" s="163"/>
      <c r="D38" s="162"/>
      <c r="E38" s="163"/>
      <c r="F38" s="164"/>
      <c r="G38" s="163"/>
      <c r="H38" s="164"/>
      <c r="I38" s="163"/>
      <c r="J38" s="164"/>
      <c r="K38" s="163"/>
      <c r="L38" s="164"/>
      <c r="M38" s="163"/>
      <c r="N38" s="165"/>
      <c r="O38" s="166"/>
      <c r="P38" s="166"/>
      <c r="Q38" s="167"/>
      <c r="R38" s="101"/>
    </row>
    <row r="39" spans="1:18" ht="15.75" customHeight="1">
      <c r="A39" s="11" t="s">
        <v>47</v>
      </c>
      <c r="B39" s="126">
        <f>_xlfn.COMPOUNDVALUE(521)</f>
        <v>2874</v>
      </c>
      <c r="C39" s="127">
        <v>17245289</v>
      </c>
      <c r="D39" s="126">
        <f>_xlfn.COMPOUNDVALUE(522)</f>
        <v>1877</v>
      </c>
      <c r="E39" s="127">
        <v>997136</v>
      </c>
      <c r="F39" s="126">
        <f>_xlfn.COMPOUNDVALUE(523)</f>
        <v>4751</v>
      </c>
      <c r="G39" s="127">
        <v>18242425</v>
      </c>
      <c r="H39" s="126">
        <f>_xlfn.COMPOUNDVALUE(524)</f>
        <v>152</v>
      </c>
      <c r="I39" s="128">
        <v>2812927</v>
      </c>
      <c r="J39" s="126">
        <v>359</v>
      </c>
      <c r="K39" s="128">
        <v>53835</v>
      </c>
      <c r="L39" s="126">
        <v>4980</v>
      </c>
      <c r="M39" s="128">
        <v>15483333</v>
      </c>
      <c r="N39" s="126">
        <v>4884</v>
      </c>
      <c r="O39" s="144">
        <v>134</v>
      </c>
      <c r="P39" s="144">
        <v>17</v>
      </c>
      <c r="Q39" s="145">
        <v>5035</v>
      </c>
      <c r="R39" s="12" t="s">
        <v>123</v>
      </c>
    </row>
    <row r="40" spans="1:18" ht="15.75" customHeight="1">
      <c r="A40" s="13" t="s">
        <v>48</v>
      </c>
      <c r="B40" s="129">
        <f>_xlfn.COMPOUNDVALUE(525)</f>
        <v>1496</v>
      </c>
      <c r="C40" s="130">
        <v>6774372</v>
      </c>
      <c r="D40" s="129">
        <f>_xlfn.COMPOUNDVALUE(526)</f>
        <v>1654</v>
      </c>
      <c r="E40" s="130">
        <v>728309</v>
      </c>
      <c r="F40" s="129">
        <f>_xlfn.COMPOUNDVALUE(527)</f>
        <v>3150</v>
      </c>
      <c r="G40" s="130">
        <v>7502681</v>
      </c>
      <c r="H40" s="129">
        <f>_xlfn.COMPOUNDVALUE(528)</f>
        <v>99</v>
      </c>
      <c r="I40" s="131">
        <v>400387</v>
      </c>
      <c r="J40" s="129">
        <v>164</v>
      </c>
      <c r="K40" s="131">
        <v>20677</v>
      </c>
      <c r="L40" s="129">
        <v>3286</v>
      </c>
      <c r="M40" s="131">
        <v>7122971</v>
      </c>
      <c r="N40" s="126">
        <v>3242</v>
      </c>
      <c r="O40" s="144">
        <v>72</v>
      </c>
      <c r="P40" s="144">
        <v>7</v>
      </c>
      <c r="Q40" s="145">
        <v>3321</v>
      </c>
      <c r="R40" s="14" t="s">
        <v>124</v>
      </c>
    </row>
    <row r="41" spans="1:18" ht="15.75" customHeight="1">
      <c r="A41" s="13" t="s">
        <v>49</v>
      </c>
      <c r="B41" s="129">
        <f>_xlfn.COMPOUNDVALUE(529)</f>
        <v>946</v>
      </c>
      <c r="C41" s="130">
        <v>3244215</v>
      </c>
      <c r="D41" s="129">
        <f>_xlfn.COMPOUNDVALUE(530)</f>
        <v>915</v>
      </c>
      <c r="E41" s="130">
        <v>390334</v>
      </c>
      <c r="F41" s="129">
        <f>_xlfn.COMPOUNDVALUE(531)</f>
        <v>1861</v>
      </c>
      <c r="G41" s="130">
        <v>3634549</v>
      </c>
      <c r="H41" s="129">
        <f>_xlfn.COMPOUNDVALUE(532)</f>
        <v>71</v>
      </c>
      <c r="I41" s="131">
        <v>112012</v>
      </c>
      <c r="J41" s="129">
        <v>112</v>
      </c>
      <c r="K41" s="131">
        <v>23449</v>
      </c>
      <c r="L41" s="129">
        <v>1957</v>
      </c>
      <c r="M41" s="131">
        <v>3545986</v>
      </c>
      <c r="N41" s="126">
        <v>1913</v>
      </c>
      <c r="O41" s="144">
        <v>74</v>
      </c>
      <c r="P41" s="144">
        <v>2</v>
      </c>
      <c r="Q41" s="145">
        <v>1989</v>
      </c>
      <c r="R41" s="14" t="s">
        <v>125</v>
      </c>
    </row>
    <row r="42" spans="1:18" ht="15.75" customHeight="1">
      <c r="A42" s="13" t="s">
        <v>50</v>
      </c>
      <c r="B42" s="129">
        <f>_xlfn.COMPOUNDVALUE(533)</f>
        <v>1019</v>
      </c>
      <c r="C42" s="130">
        <v>3667290</v>
      </c>
      <c r="D42" s="129">
        <f>_xlfn.COMPOUNDVALUE(534)</f>
        <v>909</v>
      </c>
      <c r="E42" s="130">
        <v>401041</v>
      </c>
      <c r="F42" s="129">
        <f>_xlfn.COMPOUNDVALUE(535)</f>
        <v>1928</v>
      </c>
      <c r="G42" s="130">
        <v>4068331</v>
      </c>
      <c r="H42" s="129">
        <f>_xlfn.COMPOUNDVALUE(536)</f>
        <v>77</v>
      </c>
      <c r="I42" s="131">
        <v>194230</v>
      </c>
      <c r="J42" s="129">
        <v>81</v>
      </c>
      <c r="K42" s="131">
        <v>5815</v>
      </c>
      <c r="L42" s="129">
        <v>2017</v>
      </c>
      <c r="M42" s="131">
        <v>3879916</v>
      </c>
      <c r="N42" s="126">
        <v>1940</v>
      </c>
      <c r="O42" s="144">
        <v>57</v>
      </c>
      <c r="P42" s="144">
        <v>5</v>
      </c>
      <c r="Q42" s="145">
        <v>2002</v>
      </c>
      <c r="R42" s="14" t="s">
        <v>126</v>
      </c>
    </row>
    <row r="43" spans="1:18" ht="15.75" customHeight="1">
      <c r="A43" s="13" t="s">
        <v>51</v>
      </c>
      <c r="B43" s="129">
        <f>_xlfn.COMPOUNDVALUE(537)</f>
        <v>1602</v>
      </c>
      <c r="C43" s="130">
        <v>7452037</v>
      </c>
      <c r="D43" s="129">
        <f>_xlfn.COMPOUNDVALUE(538)</f>
        <v>1148</v>
      </c>
      <c r="E43" s="130">
        <v>506402</v>
      </c>
      <c r="F43" s="129">
        <f>_xlfn.COMPOUNDVALUE(539)</f>
        <v>2750</v>
      </c>
      <c r="G43" s="130">
        <v>7958440</v>
      </c>
      <c r="H43" s="129">
        <f>_xlfn.COMPOUNDVALUE(540)</f>
        <v>114</v>
      </c>
      <c r="I43" s="131">
        <v>414014</v>
      </c>
      <c r="J43" s="129">
        <v>195</v>
      </c>
      <c r="K43" s="131">
        <v>14969</v>
      </c>
      <c r="L43" s="129">
        <v>2900</v>
      </c>
      <c r="M43" s="131">
        <v>7559395</v>
      </c>
      <c r="N43" s="126">
        <v>2809</v>
      </c>
      <c r="O43" s="144">
        <v>103</v>
      </c>
      <c r="P43" s="144">
        <v>3</v>
      </c>
      <c r="Q43" s="145">
        <v>2915</v>
      </c>
      <c r="R43" s="14" t="s">
        <v>127</v>
      </c>
    </row>
    <row r="44" spans="1:18" ht="15.75" customHeight="1">
      <c r="A44" s="13" t="s">
        <v>52</v>
      </c>
      <c r="B44" s="129">
        <f>_xlfn.COMPOUNDVALUE(541)</f>
        <v>1096</v>
      </c>
      <c r="C44" s="130">
        <v>6000301</v>
      </c>
      <c r="D44" s="129">
        <f>_xlfn.COMPOUNDVALUE(542)</f>
        <v>889</v>
      </c>
      <c r="E44" s="130">
        <v>375397</v>
      </c>
      <c r="F44" s="129">
        <f>_xlfn.COMPOUNDVALUE(543)</f>
        <v>1985</v>
      </c>
      <c r="G44" s="130">
        <v>6375698</v>
      </c>
      <c r="H44" s="129">
        <f>_xlfn.COMPOUNDVALUE(544)</f>
        <v>90</v>
      </c>
      <c r="I44" s="131">
        <v>575889</v>
      </c>
      <c r="J44" s="129">
        <v>117</v>
      </c>
      <c r="K44" s="131">
        <v>45922</v>
      </c>
      <c r="L44" s="129">
        <v>2094</v>
      </c>
      <c r="M44" s="131">
        <v>5845731</v>
      </c>
      <c r="N44" s="126">
        <v>1972</v>
      </c>
      <c r="O44" s="144">
        <v>62</v>
      </c>
      <c r="P44" s="144">
        <v>4</v>
      </c>
      <c r="Q44" s="145">
        <v>2038</v>
      </c>
      <c r="R44" s="14" t="s">
        <v>128</v>
      </c>
    </row>
    <row r="45" spans="1:18" ht="15.75" customHeight="1">
      <c r="A45" s="13" t="s">
        <v>53</v>
      </c>
      <c r="B45" s="129">
        <f>_xlfn.COMPOUNDVALUE(545)</f>
        <v>752</v>
      </c>
      <c r="C45" s="130">
        <v>2904909</v>
      </c>
      <c r="D45" s="129">
        <f>_xlfn.COMPOUNDVALUE(546)</f>
        <v>601</v>
      </c>
      <c r="E45" s="130">
        <v>249611</v>
      </c>
      <c r="F45" s="129">
        <f>_xlfn.COMPOUNDVALUE(547)</f>
        <v>1353</v>
      </c>
      <c r="G45" s="130">
        <v>3154520</v>
      </c>
      <c r="H45" s="129">
        <f>_xlfn.COMPOUNDVALUE(548)</f>
        <v>69</v>
      </c>
      <c r="I45" s="131">
        <v>355205</v>
      </c>
      <c r="J45" s="129">
        <v>61</v>
      </c>
      <c r="K45" s="131">
        <v>8789</v>
      </c>
      <c r="L45" s="129">
        <v>1434</v>
      </c>
      <c r="M45" s="131">
        <v>2808104</v>
      </c>
      <c r="N45" s="126">
        <v>1356</v>
      </c>
      <c r="O45" s="144">
        <v>44</v>
      </c>
      <c r="P45" s="144">
        <v>1</v>
      </c>
      <c r="Q45" s="145">
        <v>1401</v>
      </c>
      <c r="R45" s="14" t="s">
        <v>129</v>
      </c>
    </row>
    <row r="46" spans="1:18" ht="15.75" customHeight="1">
      <c r="A46" s="13" t="s">
        <v>54</v>
      </c>
      <c r="B46" s="129">
        <f>_xlfn.COMPOUNDVALUE(549)</f>
        <v>1450</v>
      </c>
      <c r="C46" s="130">
        <v>5697998</v>
      </c>
      <c r="D46" s="129">
        <f>_xlfn.COMPOUNDVALUE(550)</f>
        <v>1328</v>
      </c>
      <c r="E46" s="130">
        <v>586884</v>
      </c>
      <c r="F46" s="129">
        <f>_xlfn.COMPOUNDVALUE(551)</f>
        <v>2778</v>
      </c>
      <c r="G46" s="130">
        <v>6284882</v>
      </c>
      <c r="H46" s="129">
        <f>_xlfn.COMPOUNDVALUE(552)</f>
        <v>115</v>
      </c>
      <c r="I46" s="131">
        <v>406398</v>
      </c>
      <c r="J46" s="129">
        <v>175</v>
      </c>
      <c r="K46" s="131">
        <v>-102901</v>
      </c>
      <c r="L46" s="129">
        <v>2924</v>
      </c>
      <c r="M46" s="131">
        <v>5775583</v>
      </c>
      <c r="N46" s="126">
        <v>2870</v>
      </c>
      <c r="O46" s="144">
        <v>63</v>
      </c>
      <c r="P46" s="144">
        <v>5</v>
      </c>
      <c r="Q46" s="145">
        <v>2938</v>
      </c>
      <c r="R46" s="14" t="s">
        <v>130</v>
      </c>
    </row>
    <row r="47" spans="1:18" ht="15.75" customHeight="1">
      <c r="A47" s="95" t="s">
        <v>55</v>
      </c>
      <c r="B47" s="146">
        <v>11235</v>
      </c>
      <c r="C47" s="147">
        <v>52986411</v>
      </c>
      <c r="D47" s="146">
        <v>9321</v>
      </c>
      <c r="E47" s="147">
        <v>4235114</v>
      </c>
      <c r="F47" s="146">
        <v>20556</v>
      </c>
      <c r="G47" s="147">
        <v>57221525</v>
      </c>
      <c r="H47" s="146">
        <v>787</v>
      </c>
      <c r="I47" s="148">
        <v>5271062</v>
      </c>
      <c r="J47" s="146">
        <v>1264</v>
      </c>
      <c r="K47" s="148">
        <v>70555</v>
      </c>
      <c r="L47" s="146">
        <v>21592</v>
      </c>
      <c r="M47" s="148">
        <v>52021018</v>
      </c>
      <c r="N47" s="146">
        <v>20986</v>
      </c>
      <c r="O47" s="149">
        <v>609</v>
      </c>
      <c r="P47" s="149">
        <v>44</v>
      </c>
      <c r="Q47" s="150">
        <v>21639</v>
      </c>
      <c r="R47" s="94" t="s">
        <v>131</v>
      </c>
    </row>
    <row r="48" spans="1:18" ht="15.75" customHeight="1">
      <c r="A48" s="96"/>
      <c r="B48" s="151"/>
      <c r="C48" s="152"/>
      <c r="D48" s="151"/>
      <c r="E48" s="152"/>
      <c r="F48" s="153"/>
      <c r="G48" s="152"/>
      <c r="H48" s="153"/>
      <c r="I48" s="152"/>
      <c r="J48" s="153"/>
      <c r="K48" s="152"/>
      <c r="L48" s="153"/>
      <c r="M48" s="152"/>
      <c r="N48" s="154"/>
      <c r="O48" s="155"/>
      <c r="P48" s="155"/>
      <c r="Q48" s="156"/>
      <c r="R48" s="97"/>
    </row>
    <row r="49" spans="1:18" ht="15.75" customHeight="1">
      <c r="A49" s="98" t="s">
        <v>56</v>
      </c>
      <c r="B49" s="157">
        <f>_xlfn.COMPOUNDVALUE(553)</f>
        <v>4554</v>
      </c>
      <c r="C49" s="158">
        <v>28625186</v>
      </c>
      <c r="D49" s="157">
        <f>_xlfn.COMPOUNDVALUE(554)</f>
        <v>3690</v>
      </c>
      <c r="E49" s="158">
        <v>1713906</v>
      </c>
      <c r="F49" s="157">
        <f>_xlfn.COMPOUNDVALUE(555)</f>
        <v>8244</v>
      </c>
      <c r="G49" s="158">
        <v>30339092</v>
      </c>
      <c r="H49" s="157">
        <f>_xlfn.COMPOUNDVALUE(556)</f>
        <v>222</v>
      </c>
      <c r="I49" s="159">
        <v>1167229</v>
      </c>
      <c r="J49" s="157">
        <v>648</v>
      </c>
      <c r="K49" s="159">
        <v>24068</v>
      </c>
      <c r="L49" s="157">
        <v>8668</v>
      </c>
      <c r="M49" s="159">
        <v>29195931</v>
      </c>
      <c r="N49" s="157">
        <v>8382</v>
      </c>
      <c r="O49" s="160">
        <v>172</v>
      </c>
      <c r="P49" s="160">
        <v>18</v>
      </c>
      <c r="Q49" s="161">
        <v>8572</v>
      </c>
      <c r="R49" s="99" t="s">
        <v>132</v>
      </c>
    </row>
    <row r="50" spans="1:18" ht="15.75" customHeight="1">
      <c r="A50" s="13" t="s">
        <v>57</v>
      </c>
      <c r="B50" s="129">
        <f>_xlfn.COMPOUNDVALUE(557)</f>
        <v>2006</v>
      </c>
      <c r="C50" s="130">
        <v>8966381</v>
      </c>
      <c r="D50" s="129">
        <f>_xlfn.COMPOUNDVALUE(558)</f>
        <v>1669</v>
      </c>
      <c r="E50" s="130">
        <v>729387</v>
      </c>
      <c r="F50" s="129">
        <f>_xlfn.COMPOUNDVALUE(559)</f>
        <v>3675</v>
      </c>
      <c r="G50" s="130">
        <v>9695768</v>
      </c>
      <c r="H50" s="129">
        <f>_xlfn.COMPOUNDVALUE(560)</f>
        <v>137</v>
      </c>
      <c r="I50" s="131">
        <v>1316060</v>
      </c>
      <c r="J50" s="129">
        <v>168</v>
      </c>
      <c r="K50" s="131">
        <v>33706</v>
      </c>
      <c r="L50" s="129">
        <v>3868</v>
      </c>
      <c r="M50" s="131">
        <v>8413414</v>
      </c>
      <c r="N50" s="126">
        <v>3726</v>
      </c>
      <c r="O50" s="144">
        <v>97</v>
      </c>
      <c r="P50" s="144">
        <v>4</v>
      </c>
      <c r="Q50" s="145">
        <v>3827</v>
      </c>
      <c r="R50" s="14" t="s">
        <v>133</v>
      </c>
    </row>
    <row r="51" spans="1:18" ht="15.75" customHeight="1">
      <c r="A51" s="13" t="s">
        <v>58</v>
      </c>
      <c r="B51" s="129">
        <f>_xlfn.COMPOUNDVALUE(561)</f>
        <v>1815</v>
      </c>
      <c r="C51" s="130">
        <v>8432818</v>
      </c>
      <c r="D51" s="129">
        <f>_xlfn.COMPOUNDVALUE(562)</f>
        <v>1918</v>
      </c>
      <c r="E51" s="130">
        <v>783849</v>
      </c>
      <c r="F51" s="129">
        <f>_xlfn.COMPOUNDVALUE(563)</f>
        <v>3733</v>
      </c>
      <c r="G51" s="130">
        <v>9216668</v>
      </c>
      <c r="H51" s="129">
        <f>_xlfn.COMPOUNDVALUE(564)</f>
        <v>128</v>
      </c>
      <c r="I51" s="131">
        <v>581314</v>
      </c>
      <c r="J51" s="129">
        <v>237</v>
      </c>
      <c r="K51" s="131">
        <v>124108</v>
      </c>
      <c r="L51" s="129">
        <v>3918</v>
      </c>
      <c r="M51" s="131">
        <v>8759462</v>
      </c>
      <c r="N51" s="126">
        <v>3775</v>
      </c>
      <c r="O51" s="144">
        <v>67</v>
      </c>
      <c r="P51" s="144">
        <v>6</v>
      </c>
      <c r="Q51" s="145">
        <v>3848</v>
      </c>
      <c r="R51" s="14" t="s">
        <v>134</v>
      </c>
    </row>
    <row r="52" spans="1:18" ht="15.75" customHeight="1">
      <c r="A52" s="13" t="s">
        <v>59</v>
      </c>
      <c r="B52" s="129">
        <f>_xlfn.COMPOUNDVALUE(565)</f>
        <v>1459</v>
      </c>
      <c r="C52" s="130">
        <v>7414429</v>
      </c>
      <c r="D52" s="129">
        <f>_xlfn.COMPOUNDVALUE(566)</f>
        <v>1367</v>
      </c>
      <c r="E52" s="130">
        <v>548948</v>
      </c>
      <c r="F52" s="129">
        <f>_xlfn.COMPOUNDVALUE(567)</f>
        <v>2826</v>
      </c>
      <c r="G52" s="130">
        <v>7963377</v>
      </c>
      <c r="H52" s="129">
        <f>_xlfn.COMPOUNDVALUE(568)</f>
        <v>102</v>
      </c>
      <c r="I52" s="131">
        <v>1411873</v>
      </c>
      <c r="J52" s="129">
        <v>213</v>
      </c>
      <c r="K52" s="131">
        <v>31436</v>
      </c>
      <c r="L52" s="129">
        <v>2966</v>
      </c>
      <c r="M52" s="131">
        <v>6582940</v>
      </c>
      <c r="N52" s="126">
        <v>2725</v>
      </c>
      <c r="O52" s="144">
        <v>48</v>
      </c>
      <c r="P52" s="144">
        <v>4</v>
      </c>
      <c r="Q52" s="145">
        <v>2777</v>
      </c>
      <c r="R52" s="14" t="s">
        <v>135</v>
      </c>
    </row>
    <row r="53" spans="1:18" ht="15.75" customHeight="1">
      <c r="A53" s="13" t="s">
        <v>60</v>
      </c>
      <c r="B53" s="129">
        <f>_xlfn.COMPOUNDVALUE(569)</f>
        <v>1021</v>
      </c>
      <c r="C53" s="130">
        <v>3931429</v>
      </c>
      <c r="D53" s="129">
        <f>_xlfn.COMPOUNDVALUE(570)</f>
        <v>948</v>
      </c>
      <c r="E53" s="130">
        <v>416642</v>
      </c>
      <c r="F53" s="129">
        <f>_xlfn.COMPOUNDVALUE(571)</f>
        <v>1969</v>
      </c>
      <c r="G53" s="130">
        <v>4348071</v>
      </c>
      <c r="H53" s="129">
        <f>_xlfn.COMPOUNDVALUE(572)</f>
        <v>58</v>
      </c>
      <c r="I53" s="131">
        <v>364186</v>
      </c>
      <c r="J53" s="129">
        <v>157</v>
      </c>
      <c r="K53" s="131">
        <v>24709</v>
      </c>
      <c r="L53" s="129">
        <v>2063</v>
      </c>
      <c r="M53" s="131">
        <v>4008594</v>
      </c>
      <c r="N53" s="126">
        <v>2004</v>
      </c>
      <c r="O53" s="144">
        <v>41</v>
      </c>
      <c r="P53" s="144">
        <v>4</v>
      </c>
      <c r="Q53" s="145">
        <v>2049</v>
      </c>
      <c r="R53" s="14" t="s">
        <v>136</v>
      </c>
    </row>
    <row r="54" spans="1:18" ht="15.75" customHeight="1">
      <c r="A54" s="13" t="s">
        <v>61</v>
      </c>
      <c r="B54" s="129">
        <f>_xlfn.COMPOUNDVALUE(573)</f>
        <v>957</v>
      </c>
      <c r="C54" s="130">
        <v>4755002</v>
      </c>
      <c r="D54" s="129">
        <f>_xlfn.COMPOUNDVALUE(574)</f>
        <v>906</v>
      </c>
      <c r="E54" s="130">
        <v>375940</v>
      </c>
      <c r="F54" s="129">
        <f>_xlfn.COMPOUNDVALUE(575)</f>
        <v>1863</v>
      </c>
      <c r="G54" s="130">
        <v>5130942</v>
      </c>
      <c r="H54" s="129">
        <f>_xlfn.COMPOUNDVALUE(576)</f>
        <v>45</v>
      </c>
      <c r="I54" s="131">
        <v>80642</v>
      </c>
      <c r="J54" s="129">
        <v>117</v>
      </c>
      <c r="K54" s="131">
        <v>16598</v>
      </c>
      <c r="L54" s="129">
        <v>1939</v>
      </c>
      <c r="M54" s="131">
        <v>5066898</v>
      </c>
      <c r="N54" s="126">
        <v>1912</v>
      </c>
      <c r="O54" s="144">
        <v>36</v>
      </c>
      <c r="P54" s="144">
        <v>4</v>
      </c>
      <c r="Q54" s="145">
        <v>1952</v>
      </c>
      <c r="R54" s="14" t="s">
        <v>137</v>
      </c>
    </row>
    <row r="55" spans="1:18" ht="15.75" customHeight="1">
      <c r="A55" s="13" t="s">
        <v>62</v>
      </c>
      <c r="B55" s="129">
        <f>_xlfn.COMPOUNDVALUE(577)</f>
        <v>1200</v>
      </c>
      <c r="C55" s="130">
        <v>5141894</v>
      </c>
      <c r="D55" s="129">
        <f>_xlfn.COMPOUNDVALUE(578)</f>
        <v>1107</v>
      </c>
      <c r="E55" s="130">
        <v>465566</v>
      </c>
      <c r="F55" s="129">
        <f>_xlfn.COMPOUNDVALUE(579)</f>
        <v>2307</v>
      </c>
      <c r="G55" s="130">
        <v>5607460</v>
      </c>
      <c r="H55" s="129">
        <f>_xlfn.COMPOUNDVALUE(580)</f>
        <v>65</v>
      </c>
      <c r="I55" s="131">
        <v>1702915</v>
      </c>
      <c r="J55" s="129">
        <v>165</v>
      </c>
      <c r="K55" s="131">
        <v>43711</v>
      </c>
      <c r="L55" s="129">
        <v>2411</v>
      </c>
      <c r="M55" s="131">
        <v>3948256</v>
      </c>
      <c r="N55" s="126">
        <v>2284</v>
      </c>
      <c r="O55" s="144">
        <v>45</v>
      </c>
      <c r="P55" s="144">
        <v>2</v>
      </c>
      <c r="Q55" s="145">
        <v>2331</v>
      </c>
      <c r="R55" s="14" t="s">
        <v>138</v>
      </c>
    </row>
    <row r="56" spans="1:18" ht="15.75" customHeight="1">
      <c r="A56" s="13" t="s">
        <v>63</v>
      </c>
      <c r="B56" s="129">
        <f>_xlfn.COMPOUNDVALUE(581)</f>
        <v>785</v>
      </c>
      <c r="C56" s="130">
        <v>3487908</v>
      </c>
      <c r="D56" s="129">
        <f>_xlfn.COMPOUNDVALUE(582)</f>
        <v>591</v>
      </c>
      <c r="E56" s="130">
        <v>270700</v>
      </c>
      <c r="F56" s="129">
        <f>_xlfn.COMPOUNDVALUE(583)</f>
        <v>1376</v>
      </c>
      <c r="G56" s="130">
        <v>3758608</v>
      </c>
      <c r="H56" s="129">
        <f>_xlfn.COMPOUNDVALUE(584)</f>
        <v>58</v>
      </c>
      <c r="I56" s="131">
        <v>82061</v>
      </c>
      <c r="J56" s="129">
        <v>48</v>
      </c>
      <c r="K56" s="131">
        <v>10592</v>
      </c>
      <c r="L56" s="129">
        <v>1455</v>
      </c>
      <c r="M56" s="131">
        <v>3687139</v>
      </c>
      <c r="N56" s="126">
        <v>1411</v>
      </c>
      <c r="O56" s="144">
        <v>35</v>
      </c>
      <c r="P56" s="144">
        <v>5</v>
      </c>
      <c r="Q56" s="145">
        <v>1451</v>
      </c>
      <c r="R56" s="14" t="s">
        <v>139</v>
      </c>
    </row>
    <row r="57" spans="1:18" ht="15.75" customHeight="1">
      <c r="A57" s="95" t="s">
        <v>64</v>
      </c>
      <c r="B57" s="146">
        <v>13797</v>
      </c>
      <c r="C57" s="147">
        <v>70755047</v>
      </c>
      <c r="D57" s="146">
        <v>12196</v>
      </c>
      <c r="E57" s="147">
        <v>5304939</v>
      </c>
      <c r="F57" s="146">
        <v>25993</v>
      </c>
      <c r="G57" s="147">
        <v>76059986</v>
      </c>
      <c r="H57" s="146">
        <v>815</v>
      </c>
      <c r="I57" s="148">
        <v>6706280</v>
      </c>
      <c r="J57" s="146">
        <v>1753</v>
      </c>
      <c r="K57" s="148">
        <v>308927</v>
      </c>
      <c r="L57" s="146">
        <v>27288</v>
      </c>
      <c r="M57" s="148">
        <v>69662633</v>
      </c>
      <c r="N57" s="146">
        <v>26219</v>
      </c>
      <c r="O57" s="149">
        <v>541</v>
      </c>
      <c r="P57" s="149">
        <v>47</v>
      </c>
      <c r="Q57" s="150">
        <v>26807</v>
      </c>
      <c r="R57" s="94" t="s">
        <v>140</v>
      </c>
    </row>
    <row r="58" spans="1:18" ht="15.75" customHeight="1">
      <c r="A58" s="96"/>
      <c r="B58" s="151"/>
      <c r="C58" s="152"/>
      <c r="D58" s="151"/>
      <c r="E58" s="152"/>
      <c r="F58" s="153"/>
      <c r="G58" s="152"/>
      <c r="H58" s="153"/>
      <c r="I58" s="152"/>
      <c r="J58" s="153"/>
      <c r="K58" s="152"/>
      <c r="L58" s="153"/>
      <c r="M58" s="152"/>
      <c r="N58" s="154"/>
      <c r="O58" s="155"/>
      <c r="P58" s="155"/>
      <c r="Q58" s="156"/>
      <c r="R58" s="97" t="s">
        <v>141</v>
      </c>
    </row>
    <row r="59" spans="1:18" ht="15.75" customHeight="1">
      <c r="A59" s="98" t="s">
        <v>65</v>
      </c>
      <c r="B59" s="157">
        <f>_xlfn.COMPOUNDVALUE(585)</f>
        <v>4410</v>
      </c>
      <c r="C59" s="158">
        <v>26151559</v>
      </c>
      <c r="D59" s="157">
        <f>_xlfn.COMPOUNDVALUE(586)</f>
        <v>3252</v>
      </c>
      <c r="E59" s="158">
        <v>1512456</v>
      </c>
      <c r="F59" s="157">
        <f>_xlfn.COMPOUNDVALUE(587)</f>
        <v>7662</v>
      </c>
      <c r="G59" s="158">
        <v>27664015</v>
      </c>
      <c r="H59" s="157">
        <f>_xlfn.COMPOUNDVALUE(588)</f>
        <v>265</v>
      </c>
      <c r="I59" s="159">
        <v>2340737</v>
      </c>
      <c r="J59" s="157">
        <v>634</v>
      </c>
      <c r="K59" s="159">
        <v>100855</v>
      </c>
      <c r="L59" s="157">
        <v>8103</v>
      </c>
      <c r="M59" s="159">
        <v>25424133</v>
      </c>
      <c r="N59" s="157">
        <v>7928</v>
      </c>
      <c r="O59" s="160">
        <v>199</v>
      </c>
      <c r="P59" s="160">
        <v>19</v>
      </c>
      <c r="Q59" s="161">
        <v>8146</v>
      </c>
      <c r="R59" s="99" t="s">
        <v>142</v>
      </c>
    </row>
    <row r="60" spans="1:18" ht="15.75" customHeight="1">
      <c r="A60" s="11" t="s">
        <v>66</v>
      </c>
      <c r="B60" s="126">
        <f>_xlfn.COMPOUNDVALUE(589)</f>
        <v>2225</v>
      </c>
      <c r="C60" s="127">
        <v>10340460</v>
      </c>
      <c r="D60" s="126">
        <f>_xlfn.COMPOUNDVALUE(590)</f>
        <v>2015</v>
      </c>
      <c r="E60" s="127">
        <v>897105</v>
      </c>
      <c r="F60" s="126">
        <f>_xlfn.COMPOUNDVALUE(591)</f>
        <v>4240</v>
      </c>
      <c r="G60" s="127">
        <v>11237564</v>
      </c>
      <c r="H60" s="126">
        <f>_xlfn.COMPOUNDVALUE(592)</f>
        <v>118</v>
      </c>
      <c r="I60" s="128">
        <v>985002</v>
      </c>
      <c r="J60" s="126">
        <v>265</v>
      </c>
      <c r="K60" s="128">
        <v>58661</v>
      </c>
      <c r="L60" s="126">
        <v>4450</v>
      </c>
      <c r="M60" s="128">
        <v>10311223</v>
      </c>
      <c r="N60" s="126">
        <v>4339</v>
      </c>
      <c r="O60" s="144">
        <v>95</v>
      </c>
      <c r="P60" s="144">
        <v>9</v>
      </c>
      <c r="Q60" s="145">
        <v>4443</v>
      </c>
      <c r="R60" s="14" t="s">
        <v>143</v>
      </c>
    </row>
    <row r="61" spans="1:18" ht="15.75" customHeight="1">
      <c r="A61" s="11" t="s">
        <v>67</v>
      </c>
      <c r="B61" s="126">
        <f>_xlfn.COMPOUNDVALUE(593)</f>
        <v>5631</v>
      </c>
      <c r="C61" s="127">
        <v>38850544</v>
      </c>
      <c r="D61" s="126">
        <f>_xlfn.COMPOUNDVALUE(594)</f>
        <v>3678</v>
      </c>
      <c r="E61" s="127">
        <v>1858090</v>
      </c>
      <c r="F61" s="126">
        <f>_xlfn.COMPOUNDVALUE(595)</f>
        <v>9309</v>
      </c>
      <c r="G61" s="127">
        <v>40708634</v>
      </c>
      <c r="H61" s="126">
        <f>_xlfn.COMPOUNDVALUE(596)</f>
        <v>339</v>
      </c>
      <c r="I61" s="128">
        <v>2101643</v>
      </c>
      <c r="J61" s="126">
        <v>789</v>
      </c>
      <c r="K61" s="128">
        <v>164823</v>
      </c>
      <c r="L61" s="126">
        <v>9891</v>
      </c>
      <c r="M61" s="128">
        <v>38771814</v>
      </c>
      <c r="N61" s="126">
        <v>9771</v>
      </c>
      <c r="O61" s="144">
        <v>243</v>
      </c>
      <c r="P61" s="144">
        <v>27</v>
      </c>
      <c r="Q61" s="145">
        <v>10041</v>
      </c>
      <c r="R61" s="14" t="s">
        <v>144</v>
      </c>
    </row>
    <row r="62" spans="1:18" ht="15.75" customHeight="1">
      <c r="A62" s="13" t="s">
        <v>68</v>
      </c>
      <c r="B62" s="129">
        <f>_xlfn.COMPOUNDVALUE(597)</f>
        <v>4610</v>
      </c>
      <c r="C62" s="130">
        <v>24194247</v>
      </c>
      <c r="D62" s="129">
        <f>_xlfn.COMPOUNDVALUE(598)</f>
        <v>2941</v>
      </c>
      <c r="E62" s="130">
        <v>1536678</v>
      </c>
      <c r="F62" s="129">
        <f>_xlfn.COMPOUNDVALUE(599)</f>
        <v>7551</v>
      </c>
      <c r="G62" s="130">
        <v>25730925</v>
      </c>
      <c r="H62" s="129">
        <f>_xlfn.COMPOUNDVALUE(600)</f>
        <v>261</v>
      </c>
      <c r="I62" s="131">
        <v>3128373</v>
      </c>
      <c r="J62" s="129">
        <v>711</v>
      </c>
      <c r="K62" s="131">
        <v>114564</v>
      </c>
      <c r="L62" s="129">
        <v>7984</v>
      </c>
      <c r="M62" s="131">
        <v>22717116</v>
      </c>
      <c r="N62" s="126">
        <v>7813</v>
      </c>
      <c r="O62" s="144">
        <v>202</v>
      </c>
      <c r="P62" s="144">
        <v>23</v>
      </c>
      <c r="Q62" s="145">
        <v>8038</v>
      </c>
      <c r="R62" s="14" t="s">
        <v>68</v>
      </c>
    </row>
    <row r="63" spans="1:18" ht="15.75" customHeight="1">
      <c r="A63" s="13" t="s">
        <v>69</v>
      </c>
      <c r="B63" s="129">
        <f>_xlfn.COMPOUNDVALUE(601)</f>
        <v>1773</v>
      </c>
      <c r="C63" s="130">
        <v>7804250</v>
      </c>
      <c r="D63" s="129">
        <f>_xlfn.COMPOUNDVALUE(602)</f>
        <v>1378</v>
      </c>
      <c r="E63" s="130">
        <v>615977</v>
      </c>
      <c r="F63" s="129">
        <f>_xlfn.COMPOUNDVALUE(603)</f>
        <v>3151</v>
      </c>
      <c r="G63" s="130">
        <v>8420227</v>
      </c>
      <c r="H63" s="129">
        <f>_xlfn.COMPOUNDVALUE(604)</f>
        <v>139</v>
      </c>
      <c r="I63" s="131">
        <v>454820</v>
      </c>
      <c r="J63" s="129">
        <v>189</v>
      </c>
      <c r="K63" s="131">
        <v>60115</v>
      </c>
      <c r="L63" s="129">
        <v>3345</v>
      </c>
      <c r="M63" s="131">
        <v>8025522</v>
      </c>
      <c r="N63" s="126">
        <v>3157</v>
      </c>
      <c r="O63" s="144">
        <v>99</v>
      </c>
      <c r="P63" s="144">
        <v>3</v>
      </c>
      <c r="Q63" s="145">
        <v>3259</v>
      </c>
      <c r="R63" s="14" t="s">
        <v>145</v>
      </c>
    </row>
    <row r="64" spans="1:18" ht="15.75" customHeight="1">
      <c r="A64" s="13" t="s">
        <v>70</v>
      </c>
      <c r="B64" s="129">
        <f>_xlfn.COMPOUNDVALUE(605)</f>
        <v>1626</v>
      </c>
      <c r="C64" s="130">
        <v>7048551</v>
      </c>
      <c r="D64" s="129">
        <f>_xlfn.COMPOUNDVALUE(606)</f>
        <v>1393</v>
      </c>
      <c r="E64" s="130">
        <v>595143</v>
      </c>
      <c r="F64" s="129">
        <f>_xlfn.COMPOUNDVALUE(607)</f>
        <v>3019</v>
      </c>
      <c r="G64" s="130">
        <v>7643694</v>
      </c>
      <c r="H64" s="129">
        <f>_xlfn.COMPOUNDVALUE(608)</f>
        <v>109</v>
      </c>
      <c r="I64" s="131">
        <v>514617</v>
      </c>
      <c r="J64" s="129">
        <v>226</v>
      </c>
      <c r="K64" s="131">
        <v>150</v>
      </c>
      <c r="L64" s="129">
        <v>3187</v>
      </c>
      <c r="M64" s="131">
        <v>7129227</v>
      </c>
      <c r="N64" s="126">
        <v>3157</v>
      </c>
      <c r="O64" s="144">
        <v>75</v>
      </c>
      <c r="P64" s="144">
        <v>3</v>
      </c>
      <c r="Q64" s="145">
        <v>3235</v>
      </c>
      <c r="R64" s="14" t="s">
        <v>146</v>
      </c>
    </row>
    <row r="65" spans="1:18" ht="15.75" customHeight="1">
      <c r="A65" s="13" t="s">
        <v>71</v>
      </c>
      <c r="B65" s="129">
        <f>_xlfn.COMPOUNDVALUE(609)</f>
        <v>633</v>
      </c>
      <c r="C65" s="130">
        <v>2411902</v>
      </c>
      <c r="D65" s="129">
        <f>_xlfn.COMPOUNDVALUE(610)</f>
        <v>645</v>
      </c>
      <c r="E65" s="130">
        <v>285048</v>
      </c>
      <c r="F65" s="129">
        <f>_xlfn.COMPOUNDVALUE(611)</f>
        <v>1278</v>
      </c>
      <c r="G65" s="130">
        <v>2696950</v>
      </c>
      <c r="H65" s="129">
        <f>_xlfn.COMPOUNDVALUE(612)</f>
        <v>39</v>
      </c>
      <c r="I65" s="131">
        <v>87947</v>
      </c>
      <c r="J65" s="129">
        <v>78</v>
      </c>
      <c r="K65" s="131">
        <v>9700</v>
      </c>
      <c r="L65" s="129">
        <v>1341</v>
      </c>
      <c r="M65" s="131">
        <v>2618703</v>
      </c>
      <c r="N65" s="126">
        <v>1271</v>
      </c>
      <c r="O65" s="144">
        <v>32</v>
      </c>
      <c r="P65" s="144">
        <v>4</v>
      </c>
      <c r="Q65" s="145">
        <v>1307</v>
      </c>
      <c r="R65" s="14" t="s">
        <v>147</v>
      </c>
    </row>
    <row r="66" spans="1:18" ht="15.75" customHeight="1">
      <c r="A66" s="13" t="s">
        <v>72</v>
      </c>
      <c r="B66" s="129">
        <f>_xlfn.COMPOUNDVALUE(613)</f>
        <v>2266</v>
      </c>
      <c r="C66" s="130">
        <v>15481858</v>
      </c>
      <c r="D66" s="129">
        <f>_xlfn.COMPOUNDVALUE(614)</f>
        <v>1244</v>
      </c>
      <c r="E66" s="130">
        <v>632092</v>
      </c>
      <c r="F66" s="129">
        <f>_xlfn.COMPOUNDVALUE(615)</f>
        <v>3510</v>
      </c>
      <c r="G66" s="130">
        <v>16113950</v>
      </c>
      <c r="H66" s="129">
        <f>_xlfn.COMPOUNDVALUE(616)</f>
        <v>303</v>
      </c>
      <c r="I66" s="131">
        <v>2795554</v>
      </c>
      <c r="J66" s="129">
        <v>369</v>
      </c>
      <c r="K66" s="131">
        <v>199501</v>
      </c>
      <c r="L66" s="129">
        <v>3976</v>
      </c>
      <c r="M66" s="131">
        <v>13517897</v>
      </c>
      <c r="N66" s="126">
        <v>3778</v>
      </c>
      <c r="O66" s="144">
        <v>206</v>
      </c>
      <c r="P66" s="144">
        <v>22</v>
      </c>
      <c r="Q66" s="145">
        <v>4006</v>
      </c>
      <c r="R66" s="14" t="s">
        <v>148</v>
      </c>
    </row>
    <row r="67" spans="1:18" ht="15.75" customHeight="1">
      <c r="A67" s="13" t="s">
        <v>73</v>
      </c>
      <c r="B67" s="129">
        <f>_xlfn.COMPOUNDVALUE(617)</f>
        <v>1214</v>
      </c>
      <c r="C67" s="130">
        <v>5835644</v>
      </c>
      <c r="D67" s="129">
        <f>_xlfn.COMPOUNDVALUE(618)</f>
        <v>801</v>
      </c>
      <c r="E67" s="130">
        <v>359402</v>
      </c>
      <c r="F67" s="129">
        <f>_xlfn.COMPOUNDVALUE(619)</f>
        <v>2015</v>
      </c>
      <c r="G67" s="130">
        <v>6195047</v>
      </c>
      <c r="H67" s="129">
        <f>_xlfn.COMPOUNDVALUE(620)</f>
        <v>80</v>
      </c>
      <c r="I67" s="131">
        <v>192742</v>
      </c>
      <c r="J67" s="129">
        <v>132</v>
      </c>
      <c r="K67" s="131">
        <v>11530</v>
      </c>
      <c r="L67" s="129">
        <v>2126</v>
      </c>
      <c r="M67" s="131">
        <v>6013835</v>
      </c>
      <c r="N67" s="126">
        <v>2037</v>
      </c>
      <c r="O67" s="144">
        <v>66</v>
      </c>
      <c r="P67" s="144">
        <v>4</v>
      </c>
      <c r="Q67" s="145">
        <v>2107</v>
      </c>
      <c r="R67" s="14" t="s">
        <v>149</v>
      </c>
    </row>
    <row r="68" spans="1:18" ht="15.75" customHeight="1">
      <c r="A68" s="13" t="s">
        <v>74</v>
      </c>
      <c r="B68" s="129">
        <f>_xlfn.COMPOUNDVALUE(621)</f>
        <v>387</v>
      </c>
      <c r="C68" s="130">
        <v>1233219</v>
      </c>
      <c r="D68" s="129">
        <f>_xlfn.COMPOUNDVALUE(622)</f>
        <v>343</v>
      </c>
      <c r="E68" s="130">
        <v>148222</v>
      </c>
      <c r="F68" s="129">
        <f>_xlfn.COMPOUNDVALUE(623)</f>
        <v>730</v>
      </c>
      <c r="G68" s="130">
        <v>1381441</v>
      </c>
      <c r="H68" s="129">
        <f>_xlfn.COMPOUNDVALUE(624)</f>
        <v>28</v>
      </c>
      <c r="I68" s="131">
        <v>40816</v>
      </c>
      <c r="J68" s="129">
        <v>48</v>
      </c>
      <c r="K68" s="131">
        <v>14724</v>
      </c>
      <c r="L68" s="129">
        <v>765</v>
      </c>
      <c r="M68" s="131">
        <v>1355349</v>
      </c>
      <c r="N68" s="126">
        <v>741</v>
      </c>
      <c r="O68" s="144">
        <v>18</v>
      </c>
      <c r="P68" s="210" t="s">
        <v>252</v>
      </c>
      <c r="Q68" s="145">
        <v>759</v>
      </c>
      <c r="R68" s="14" t="s">
        <v>150</v>
      </c>
    </row>
    <row r="69" spans="1:18" ht="15.75" customHeight="1">
      <c r="A69" s="95" t="s">
        <v>75</v>
      </c>
      <c r="B69" s="146">
        <v>24775</v>
      </c>
      <c r="C69" s="147">
        <v>139352233</v>
      </c>
      <c r="D69" s="146">
        <v>17690</v>
      </c>
      <c r="E69" s="147">
        <v>8440214</v>
      </c>
      <c r="F69" s="146">
        <v>42465</v>
      </c>
      <c r="G69" s="147">
        <v>147792447</v>
      </c>
      <c r="H69" s="146">
        <v>1681</v>
      </c>
      <c r="I69" s="148">
        <v>12642251</v>
      </c>
      <c r="J69" s="146">
        <v>3441</v>
      </c>
      <c r="K69" s="148">
        <v>734623</v>
      </c>
      <c r="L69" s="146">
        <v>45168</v>
      </c>
      <c r="M69" s="148">
        <v>135884819</v>
      </c>
      <c r="N69" s="146">
        <v>43992</v>
      </c>
      <c r="O69" s="149">
        <v>1235</v>
      </c>
      <c r="P69" s="149">
        <v>114</v>
      </c>
      <c r="Q69" s="150">
        <v>45341</v>
      </c>
      <c r="R69" s="94" t="s">
        <v>151</v>
      </c>
    </row>
    <row r="70" spans="1:18" ht="15.75" customHeight="1" thickBot="1">
      <c r="A70" s="18"/>
      <c r="B70" s="168"/>
      <c r="C70" s="169"/>
      <c r="D70" s="168"/>
      <c r="E70" s="169"/>
      <c r="F70" s="170"/>
      <c r="G70" s="169"/>
      <c r="H70" s="170"/>
      <c r="I70" s="169"/>
      <c r="J70" s="170"/>
      <c r="K70" s="169"/>
      <c r="L70" s="170"/>
      <c r="M70" s="169"/>
      <c r="N70" s="171"/>
      <c r="O70" s="172"/>
      <c r="P70" s="172"/>
      <c r="Q70" s="173"/>
      <c r="R70" s="93"/>
    </row>
    <row r="71" spans="1:18" ht="15.75" customHeight="1" thickBot="1" thickTop="1">
      <c r="A71" s="21" t="s">
        <v>94</v>
      </c>
      <c r="B71" s="141">
        <v>109289</v>
      </c>
      <c r="C71" s="142">
        <v>621426831</v>
      </c>
      <c r="D71" s="141">
        <v>82109</v>
      </c>
      <c r="E71" s="142">
        <v>38162933</v>
      </c>
      <c r="F71" s="141">
        <v>191398</v>
      </c>
      <c r="G71" s="142">
        <v>659589764</v>
      </c>
      <c r="H71" s="141">
        <v>7538</v>
      </c>
      <c r="I71" s="143">
        <v>43824040</v>
      </c>
      <c r="J71" s="141">
        <v>14321</v>
      </c>
      <c r="K71" s="143">
        <v>2619054</v>
      </c>
      <c r="L71" s="141">
        <v>202609</v>
      </c>
      <c r="M71" s="143">
        <v>618384778</v>
      </c>
      <c r="N71" s="174">
        <v>197032</v>
      </c>
      <c r="O71" s="175">
        <v>5485</v>
      </c>
      <c r="P71" s="175">
        <v>473</v>
      </c>
      <c r="Q71" s="176">
        <v>202990</v>
      </c>
      <c r="R71" s="32" t="s">
        <v>94</v>
      </c>
    </row>
    <row r="72" spans="1:10" ht="19.5" customHeight="1">
      <c r="A72" s="239" t="s">
        <v>242</v>
      </c>
      <c r="B72" s="239"/>
      <c r="C72" s="239"/>
      <c r="D72" s="239"/>
      <c r="E72" s="239"/>
      <c r="F72" s="239"/>
      <c r="G72" s="239"/>
      <c r="H72" s="239"/>
      <c r="I72" s="239"/>
      <c r="J72" s="239"/>
    </row>
  </sheetData>
  <sheetProtection/>
  <mergeCells count="16">
    <mergeCell ref="A72:J72"/>
    <mergeCell ref="O4:O5"/>
    <mergeCell ref="P4:P5"/>
    <mergeCell ref="Q4:Q5"/>
    <mergeCell ref="J3:K4"/>
    <mergeCell ref="L3:M4"/>
    <mergeCell ref="N3:Q3"/>
    <mergeCell ref="A2:I2"/>
    <mergeCell ref="A3:A5"/>
    <mergeCell ref="B3:G3"/>
    <mergeCell ref="H3:I4"/>
    <mergeCell ref="R3:R5"/>
    <mergeCell ref="B4:C4"/>
    <mergeCell ref="D4:E4"/>
    <mergeCell ref="F4:G4"/>
    <mergeCell ref="N4:N5"/>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67" r:id="rId1"/>
  <headerFooter alignWithMargins="0">
    <oddFooter>&amp;R仙台国税局
消費税
(H30)</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2020-08-04T08:46:30Z</cp:lastPrinted>
  <dcterms:created xsi:type="dcterms:W3CDTF">2011-12-09T10:59:54Z</dcterms:created>
  <dcterms:modified xsi:type="dcterms:W3CDTF">2020-08-04T08:46:58Z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