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<sst xmlns="http://schemas.openxmlformats.org/spreadsheetml/2006/main" count="551" uniqueCount="252">
  <si>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</si>
  <si>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</si>
  <si>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</si>
  <si>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</si>
  <si>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</si>
  <si>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</si>
  <si>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</si>
  <si>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</si>
  <si>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</si>
  <si>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</si>
  <si>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</si>
  <si>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</si>
  <si>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</si>
  <si>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</si>
  <si>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</si>
  <si>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</si>
  <si>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</si>
  <si>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</si>
  <si>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</si>
  <si>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</si>
  <si>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</si>
  <si>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</si>
  <si>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</si>
  <si>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</si>
  <si>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</si>
  <si>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</si>
  <si>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</si>
  <si>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</si>
  <si>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</si>
  <si>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</si>
  <si>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</si>
  <si>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</si>
  <si>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</si>
  <si>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</si>
  <si>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</si>
  <si>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</si>
  <si>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</si>
  <si>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</si>
  <si>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</si>
  <si>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</si>
  <si>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</si>
  <si>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</si>
  <si>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</si>
  <si>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</si>
  <si>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</si>
  <si>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</si>
  <si>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</si>
  <si>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</si>
  <si>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</si>
  <si>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</si>
  <si>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</si>
  <si>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</si>
  <si>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</si>
  <si>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</si>
  <si>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</si>
  <si>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</si>
  <si>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</si>
  <si>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</si>
  <si>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</si>
  <si>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</si>
  <si>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</si>
  <si>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</si>
  <si>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</si>
  <si>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</si>
  <si>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</si>
  <si>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</si>
  <si>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</si>
  <si>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</si>
  <si>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</si>
  <si>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</si>
  <si>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</si>
  <si>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</si>
  <si>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</si>
  <si>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</si>
  <si>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</si>
  <si>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</si>
  <si>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</si>
  <si>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</si>
  <si>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</si>
  <si>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</si>
  <si>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</si>
  <si>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</si>
  <si>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</si>
  <si>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</si>
  <si>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</si>
  <si>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</si>
  <si>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</si>
  <si>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</si>
  <si>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</si>
  <si>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</si>
  <si>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</si>
  <si>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</si>
  <si>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</si>
  <si>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</si>
  <si>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</si>
  <si>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</si>
  <si>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</si>
  <si>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</si>
  <si>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</si>
  <si>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</si>
  <si>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</si>
  <si>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</si>
  <si>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</si>
  <si>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</si>
  <si>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</si>
  <si>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</si>
  <si>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</si>
  <si>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</si>
  <si>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</si>
  <si>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</si>
  <si>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</si>
  <si>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</si>
  <si>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</si>
  <si>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</si>
  <si>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</si>
  <si>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</si>
  <si>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</si>
  <si>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</si>
  <si>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</si>
  <si>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</si>
  <si>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</si>
  <si>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</si>
  <si>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</si>
  <si>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</si>
  <si>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</si>
  <si>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</si>
  <si>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</si>
  <si>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</si>
  <si>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</si>
  <si>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</si>
  <si>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</si>
  <si>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</si>
  <si>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</si>
  <si>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</si>
  <si>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</si>
  <si>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</si>
  <si>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</si>
  <si>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</si>
  <si>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</si>
  <si>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</si>
  <si>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</si>
  <si>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</si>
  <si>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</si>
  <si>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</si>
  <si>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</si>
  <si>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</si>
  <si>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</si>
  <si>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</si>
  <si>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</si>
  <si>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</si>
  <si>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</si>
  <si>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</si>
  <si>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</si>
  <si>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</si>
  <si>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</si>
  <si>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</si>
  <si>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</si>
  <si>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差引計</t>
  </si>
  <si>
    <t>実</t>
  </si>
  <si>
    <t>加算税</t>
  </si>
  <si>
    <t>(2)　課税状況の累年比較</t>
  </si>
  <si>
    <t>納税申告計</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</si>
  <si>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</si>
  <si>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</si>
  <si>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</si>
  <si>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</si>
  <si>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</si>
  <si>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</si>
  <si>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平成25年度</t>
  </si>
  <si>
    <t>調査対象等：</t>
  </si>
  <si>
    <t>（注）１　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</si>
  <si>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</si>
  <si>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</si>
  <si>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</si>
  <si>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</si>
  <si>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</si>
  <si>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</si>
  <si>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</si>
  <si>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</si>
  <si>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</si>
  <si>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</si>
  <si>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</si>
  <si>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</si>
  <si>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</si>
  <si>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</si>
  <si>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</si>
  <si>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</si>
  <si>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</si>
  <si>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</si>
  <si>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</si>
  <si>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</si>
  <si>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</si>
  <si>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</si>
  <si>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</si>
  <si>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</si>
  <si>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</si>
  <si>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</si>
  <si>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</si>
  <si>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</si>
  <si>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</si>
  <si>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</si>
  <si>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</si>
  <si>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</si>
  <si>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</si>
  <si>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</si>
  <si>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</si>
  <si>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</si>
  <si>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</si>
  <si>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</si>
  <si>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</si>
  <si>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</si>
  <si>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</si>
  <si>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</si>
  <si>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</si>
  <si>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</si>
  <si>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</si>
  <si>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</si>
  <si>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</si>
  <si>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</si>
  <si>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</si>
  <si>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</si>
  <si>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</si>
  <si>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</si>
  <si>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</si>
  <si>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</si>
  <si>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</si>
  <si>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</si>
  <si>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</si>
  <si>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</si>
  <si>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</si>
  <si>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</si>
  <si>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</si>
  <si>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</si>
  <si>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</si>
  <si>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</si>
  <si>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</si>
  <si>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</si>
  <si>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</si>
  <si>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平成26年度</t>
  </si>
  <si>
    <t>　　　２　「件数」欄の「実」は、実件数を示す。</t>
  </si>
  <si>
    <t>平成27年度</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</si>
  <si>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</si>
  <si>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</si>
  <si>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</si>
  <si>
    <t>平成28年度</t>
  </si>
  <si>
    <t>実件</t>
  </si>
  <si>
    <t>(4)　税務署別課税状況等</t>
  </si>
  <si>
    <t>(4)　税務署別課税状況等（続）</t>
  </si>
  <si>
    <t>　「現年分」は、平成29年４月１日から平成30年３月31日までに終了した課税期間について、平成30年６月30日現在の申告（国・地方公共団体等については平成30年９月30日までの申告を含む。）及び処理（更正、決定等）による課税事績を「申告書及び決議書」に基づいて作成した。</t>
  </si>
  <si>
    <t>　「既往年分」は、平成29年３月31日以前に終了した課税期間について、平成29年７月１日から平成30年６月30日までの間の申告（平成29年７月１日から同年９月30日までの間の国・地方公共団体等に係る申告を除く。）及び処理（更正、決定等）による課税事績を「申告書及び決議書」に基づいて作成した。</t>
  </si>
  <si>
    <t>平成29年度</t>
  </si>
  <si>
    <t>調査対象等：　平成29年度末（平成30年３月31日現在）の届出件数を示している。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</si>
</sst>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6">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thin"/>
      <top/>
      <bottom style="medium"/>
    </border>
    <border>
      <left style="thin"/>
      <right style="thin"/>
      <top/>
      <bottom style="medium"/>
    </border>
    <border>
      <left style="thin"/>
      <right/>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54">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0" fontId="3" fillId="0" borderId="34" xfId="60" applyFont="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0" borderId="34" xfId="60" applyNumberFormat="1" applyFont="1" applyBorder="1" applyAlignment="1">
      <alignment horizontal="right" vertical="center"/>
      <protection/>
    </xf>
    <xf numFmtId="3" fontId="3" fillId="35" borderId="35" xfId="60" applyNumberFormat="1" applyFont="1" applyFill="1" applyBorder="1" applyAlignment="1">
      <alignment horizontal="right" vertical="center"/>
      <protection/>
    </xf>
    <xf numFmtId="0" fontId="3" fillId="0" borderId="36" xfId="60" applyFont="1" applyBorder="1" applyAlignment="1">
      <alignment horizontal="distributed" vertical="center"/>
      <protection/>
    </xf>
    <xf numFmtId="0" fontId="8" fillId="0" borderId="36" xfId="60" applyFont="1" applyBorder="1" applyAlignment="1">
      <alignment horizontal="distributed" vertical="center"/>
      <protection/>
    </xf>
    <xf numFmtId="0" fontId="8" fillId="0" borderId="34" xfId="60" applyFont="1" applyBorder="1" applyAlignment="1">
      <alignment horizontal="right" vertical="center"/>
      <protection/>
    </xf>
    <xf numFmtId="0" fontId="8" fillId="0" borderId="0" xfId="60" applyFont="1" applyAlignment="1">
      <alignment horizontal="left" vertical="top"/>
      <protection/>
    </xf>
    <xf numFmtId="0" fontId="3" fillId="0" borderId="37" xfId="60" applyFont="1" applyBorder="1" applyAlignment="1">
      <alignment horizontal="distributed" vertical="center"/>
      <protection/>
    </xf>
    <xf numFmtId="0" fontId="3" fillId="0" borderId="38"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8"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9" xfId="60" applyNumberFormat="1" applyFont="1" applyFill="1" applyBorder="1" applyAlignment="1">
      <alignment horizontal="right" vertical="center"/>
      <protection/>
    </xf>
    <xf numFmtId="0" fontId="3" fillId="0" borderId="36" xfId="60" applyFont="1" applyBorder="1" applyAlignment="1">
      <alignment horizontal="distributed" vertical="center" wrapText="1"/>
      <protection/>
    </xf>
    <xf numFmtId="0" fontId="3" fillId="0" borderId="34" xfId="60" applyFont="1" applyBorder="1" applyAlignment="1">
      <alignment horizontal="center" vertical="center"/>
      <protection/>
    </xf>
    <xf numFmtId="3" fontId="3" fillId="0" borderId="34" xfId="60" applyNumberFormat="1" applyFont="1" applyBorder="1" applyAlignment="1">
      <alignment horizontal="center" vertical="center"/>
      <protection/>
    </xf>
    <xf numFmtId="0" fontId="8" fillId="0" borderId="40" xfId="60" applyFont="1" applyBorder="1" applyAlignment="1">
      <alignment horizontal="right" vertical="center"/>
      <protection/>
    </xf>
    <xf numFmtId="0" fontId="3" fillId="0" borderId="41" xfId="60" applyFont="1" applyBorder="1" applyAlignment="1">
      <alignment horizontal="right" vertical="center"/>
      <protection/>
    </xf>
    <xf numFmtId="3" fontId="3" fillId="0" borderId="41" xfId="60" applyNumberFormat="1" applyFont="1" applyBorder="1" applyAlignment="1">
      <alignment horizontal="right"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4"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5"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3" fontId="3" fillId="35" borderId="46" xfId="60" applyNumberFormat="1" applyFont="1" applyFill="1" applyBorder="1" applyAlignment="1">
      <alignment horizontal="right" vertical="center"/>
      <protection/>
    </xf>
    <xf numFmtId="0" fontId="3" fillId="0" borderId="38" xfId="60" applyFont="1" applyBorder="1" applyAlignment="1">
      <alignment horizontal="distributed" vertical="center"/>
      <protection/>
    </xf>
    <xf numFmtId="3" fontId="3" fillId="34" borderId="47" xfId="60" applyNumberFormat="1" applyFont="1" applyFill="1" applyBorder="1" applyAlignment="1">
      <alignment horizontal="right" vertical="center"/>
      <protection/>
    </xf>
    <xf numFmtId="0" fontId="3" fillId="0" borderId="48"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9" xfId="60" applyFont="1" applyBorder="1" applyAlignment="1">
      <alignment horizontal="distributed" vertical="center"/>
      <protection/>
    </xf>
    <xf numFmtId="0" fontId="3" fillId="0" borderId="50" xfId="60" applyFont="1" applyBorder="1" applyAlignment="1">
      <alignment horizontal="distributed" vertical="center"/>
      <protection/>
    </xf>
    <xf numFmtId="0" fontId="3" fillId="0" borderId="51" xfId="60" applyFont="1" applyBorder="1" applyAlignment="1">
      <alignment horizontal="center" vertical="center"/>
      <protection/>
    </xf>
    <xf numFmtId="0" fontId="3" fillId="0" borderId="52" xfId="60" applyFont="1" applyBorder="1" applyAlignment="1">
      <alignment horizontal="distributed" vertical="center" indent="1"/>
      <protection/>
    </xf>
    <xf numFmtId="0" fontId="5" fillId="34" borderId="53" xfId="60" applyFont="1" applyFill="1" applyBorder="1" applyAlignment="1">
      <alignment horizontal="right"/>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center" vertical="center"/>
      <protection/>
    </xf>
    <xf numFmtId="0" fontId="8" fillId="36" borderId="58" xfId="60" applyFont="1" applyFill="1" applyBorder="1" applyAlignment="1">
      <alignment horizontal="distributed" vertical="center"/>
      <protection/>
    </xf>
    <xf numFmtId="0" fontId="8" fillId="36" borderId="59" xfId="60" applyFont="1" applyFill="1" applyBorder="1" applyAlignment="1">
      <alignment horizontal="distributed" vertical="center"/>
      <protection/>
    </xf>
    <xf numFmtId="0" fontId="10" fillId="0" borderId="60" xfId="60" applyFont="1" applyFill="1" applyBorder="1" applyAlignment="1">
      <alignment horizontal="distributed" vertical="center"/>
      <protection/>
    </xf>
    <xf numFmtId="0" fontId="10" fillId="0" borderId="61" xfId="60" applyFont="1" applyFill="1" applyBorder="1" applyAlignment="1">
      <alignment horizontal="center" vertical="center"/>
      <protection/>
    </xf>
    <xf numFmtId="0" fontId="3" fillId="36" borderId="62" xfId="60" applyFont="1" applyFill="1" applyBorder="1" applyAlignment="1">
      <alignment horizontal="distributed" vertical="center"/>
      <protection/>
    </xf>
    <xf numFmtId="0" fontId="3" fillId="36" borderId="63" xfId="60" applyFont="1" applyFill="1" applyBorder="1" applyAlignment="1">
      <alignment horizontal="distributed" vertical="center"/>
      <protection/>
    </xf>
    <xf numFmtId="0" fontId="10" fillId="0" borderId="64" xfId="60" applyFont="1" applyFill="1" applyBorder="1" applyAlignment="1">
      <alignment horizontal="distributed" vertical="center"/>
      <protection/>
    </xf>
    <xf numFmtId="0" fontId="10" fillId="0" borderId="65" xfId="60" applyFont="1" applyFill="1" applyBorder="1" applyAlignment="1">
      <alignment horizontal="center" vertical="center"/>
      <protection/>
    </xf>
    <xf numFmtId="0" fontId="10" fillId="0" borderId="66" xfId="60" applyFont="1" applyFill="1" applyBorder="1" applyAlignment="1">
      <alignment horizontal="distributed" vertical="center"/>
      <protection/>
    </xf>
    <xf numFmtId="0" fontId="10" fillId="0" borderId="67" xfId="60" applyFont="1" applyFill="1" applyBorder="1" applyAlignment="1">
      <alignment horizontal="center" vertical="center"/>
      <protection/>
    </xf>
    <xf numFmtId="3" fontId="3" fillId="34" borderId="68" xfId="60" applyNumberFormat="1" applyFont="1" applyFill="1" applyBorder="1" applyAlignment="1">
      <alignment horizontal="right" vertical="center"/>
      <protection/>
    </xf>
    <xf numFmtId="3" fontId="3" fillId="34" borderId="69"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8" fillId="34" borderId="69" xfId="60" applyNumberFormat="1" applyFont="1" applyFill="1" applyBorder="1" applyAlignment="1">
      <alignment horizontal="right" vertical="center"/>
      <protection/>
    </xf>
    <xf numFmtId="3" fontId="8" fillId="35" borderId="36" xfId="60" applyNumberFormat="1" applyFont="1" applyFill="1" applyBorder="1" applyAlignment="1">
      <alignment horizontal="right" vertical="center"/>
      <protection/>
    </xf>
    <xf numFmtId="3" fontId="8"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5"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4" borderId="74" xfId="60" applyNumberFormat="1" applyFont="1" applyFill="1" applyBorder="1" applyAlignment="1">
      <alignment horizontal="right" vertical="center"/>
      <protection/>
    </xf>
    <xf numFmtId="3" fontId="3" fillId="34" borderId="74" xfId="60" applyNumberFormat="1" applyFont="1" applyFill="1" applyBorder="1" applyAlignment="1">
      <alignment vertical="center"/>
      <protection/>
    </xf>
    <xf numFmtId="3" fontId="3" fillId="34" borderId="69" xfId="60" applyNumberFormat="1" applyFont="1" applyFill="1" applyBorder="1" applyAlignment="1">
      <alignment vertical="center"/>
      <protection/>
    </xf>
    <xf numFmtId="3" fontId="8" fillId="34" borderId="75" xfId="60" applyNumberFormat="1" applyFont="1" applyFill="1" applyBorder="1" applyAlignment="1">
      <alignment horizontal="right" vertical="center"/>
      <protection/>
    </xf>
    <xf numFmtId="3" fontId="8" fillId="35" borderId="76" xfId="60" applyNumberFormat="1" applyFont="1" applyFill="1" applyBorder="1" applyAlignment="1">
      <alignment horizontal="right" vertical="center"/>
      <protection/>
    </xf>
    <xf numFmtId="3" fontId="8" fillId="35" borderId="77" xfId="60" applyNumberFormat="1" applyFont="1" applyFill="1" applyBorder="1" applyAlignment="1">
      <alignment horizontal="right" vertical="center"/>
      <protection/>
    </xf>
    <xf numFmtId="3" fontId="3" fillId="34" borderId="78" xfId="60" applyNumberFormat="1" applyFont="1" applyFill="1" applyBorder="1" applyAlignment="1">
      <alignment horizontal="right" vertical="center"/>
      <protection/>
    </xf>
    <xf numFmtId="3" fontId="3" fillId="35" borderId="79"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3" fillId="34" borderId="81" xfId="60" applyNumberFormat="1" applyFont="1" applyFill="1" applyBorder="1" applyAlignment="1">
      <alignment horizontal="right" vertical="center"/>
      <protection/>
    </xf>
    <xf numFmtId="3" fontId="3" fillId="35" borderId="48" xfId="60" applyNumberFormat="1" applyFont="1" applyFill="1" applyBorder="1" applyAlignment="1">
      <alignment horizontal="right" vertical="center"/>
      <protection/>
    </xf>
    <xf numFmtId="3" fontId="3" fillId="35" borderId="82" xfId="60" applyNumberFormat="1" applyFont="1" applyFill="1" applyBorder="1" applyAlignment="1">
      <alignment horizontal="right" vertical="center"/>
      <protection/>
    </xf>
    <xf numFmtId="176" fontId="3" fillId="34" borderId="44"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83"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85" xfId="60" applyNumberFormat="1" applyFont="1" applyFill="1" applyBorder="1" applyAlignment="1">
      <alignment horizontal="right" vertical="center"/>
      <protection/>
    </xf>
    <xf numFmtId="176" fontId="8" fillId="34" borderId="86" xfId="60" applyNumberFormat="1" applyFont="1" applyFill="1" applyBorder="1" applyAlignment="1">
      <alignment horizontal="right" vertical="center"/>
      <protection/>
    </xf>
    <xf numFmtId="176" fontId="8" fillId="35" borderId="87" xfId="60" applyNumberFormat="1" applyFont="1" applyFill="1" applyBorder="1" applyAlignment="1">
      <alignment horizontal="right" vertical="center"/>
      <protection/>
    </xf>
    <xf numFmtId="176" fontId="8" fillId="35" borderId="88" xfId="60" applyNumberFormat="1" applyFont="1" applyFill="1" applyBorder="1" applyAlignment="1">
      <alignment horizontal="right" vertical="center"/>
      <protection/>
    </xf>
    <xf numFmtId="176" fontId="10" fillId="0" borderId="89" xfId="60" applyNumberFormat="1" applyFont="1" applyFill="1" applyBorder="1" applyAlignment="1">
      <alignment horizontal="right" vertical="center"/>
      <protection/>
    </xf>
    <xf numFmtId="176" fontId="10" fillId="0" borderId="90" xfId="60" applyNumberFormat="1" applyFont="1" applyFill="1" applyBorder="1" applyAlignment="1">
      <alignment horizontal="right" vertical="center"/>
      <protection/>
    </xf>
    <xf numFmtId="176" fontId="10"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8" fillId="34" borderId="41" xfId="60" applyNumberFormat="1" applyFont="1" applyFill="1" applyBorder="1" applyAlignment="1">
      <alignment horizontal="right" vertical="center"/>
      <protection/>
    </xf>
    <xf numFmtId="176" fontId="8" fillId="35" borderId="79" xfId="60" applyNumberFormat="1" applyFont="1" applyFill="1" applyBorder="1" applyAlignment="1">
      <alignment horizontal="right" vertical="center"/>
      <protection/>
    </xf>
    <xf numFmtId="176" fontId="8" fillId="35" borderId="95"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4" borderId="83"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5" borderId="97" xfId="60" applyNumberFormat="1" applyFont="1" applyFill="1" applyBorder="1" applyAlignment="1">
      <alignment horizontal="right" vertical="center"/>
      <protection/>
    </xf>
    <xf numFmtId="176" fontId="8" fillId="35" borderId="98" xfId="60" applyNumberFormat="1" applyFont="1" applyFill="1" applyBorder="1" applyAlignment="1">
      <alignment horizontal="right" vertical="center"/>
      <protection/>
    </xf>
    <xf numFmtId="176" fontId="8" fillId="34" borderId="99" xfId="60" applyNumberFormat="1" applyFont="1" applyFill="1" applyBorder="1" applyAlignment="1">
      <alignment horizontal="right" vertical="center"/>
      <protection/>
    </xf>
    <xf numFmtId="176" fontId="8" fillId="34" borderId="98" xfId="60" applyNumberFormat="1" applyFont="1" applyFill="1" applyBorder="1" applyAlignment="1">
      <alignment horizontal="right" vertical="center"/>
      <protection/>
    </xf>
    <xf numFmtId="176" fontId="10" fillId="0" borderId="100" xfId="60" applyNumberFormat="1" applyFont="1" applyFill="1" applyBorder="1" applyAlignment="1">
      <alignment horizontal="right" vertical="center"/>
      <protection/>
    </xf>
    <xf numFmtId="176" fontId="10" fillId="0" borderId="101" xfId="60" applyNumberFormat="1" applyFont="1" applyFill="1" applyBorder="1" applyAlignment="1">
      <alignment horizontal="right" vertical="center"/>
      <protection/>
    </xf>
    <xf numFmtId="176" fontId="10" fillId="0" borderId="34" xfId="60" applyNumberFormat="1" applyFont="1" applyFill="1" applyBorder="1" applyAlignment="1">
      <alignment horizontal="right" vertical="center"/>
      <protection/>
    </xf>
    <xf numFmtId="176" fontId="3" fillId="0" borderId="34" xfId="60" applyNumberFormat="1" applyFont="1" applyFill="1" applyBorder="1" applyAlignment="1">
      <alignment horizontal="right" vertical="center"/>
      <protection/>
    </xf>
    <xf numFmtId="176" fontId="3" fillId="0" borderId="102" xfId="60" applyNumberFormat="1" applyFont="1" applyFill="1" applyBorder="1" applyAlignment="1">
      <alignment horizontal="right" vertical="center"/>
      <protection/>
    </xf>
    <xf numFmtId="176" fontId="3" fillId="0" borderId="103" xfId="60" applyNumberFormat="1" applyFont="1" applyFill="1" applyBorder="1" applyAlignment="1">
      <alignment horizontal="right" vertical="center"/>
      <protection/>
    </xf>
    <xf numFmtId="176" fontId="3" fillId="34" borderId="104" xfId="60" applyNumberFormat="1" applyFont="1" applyFill="1" applyBorder="1" applyAlignment="1">
      <alignment horizontal="right" vertical="center"/>
      <protection/>
    </xf>
    <xf numFmtId="176" fontId="3" fillId="35" borderId="105" xfId="60" applyNumberFormat="1" applyFont="1" applyFill="1" applyBorder="1" applyAlignment="1">
      <alignment horizontal="right" vertical="center"/>
      <protection/>
    </xf>
    <xf numFmtId="176" fontId="3" fillId="35" borderId="106" xfId="60" applyNumberFormat="1" applyFont="1" applyFill="1" applyBorder="1" applyAlignment="1">
      <alignment horizontal="right" vertical="center"/>
      <protection/>
    </xf>
    <xf numFmtId="176" fontId="3" fillId="34" borderId="107" xfId="60" applyNumberFormat="1" applyFont="1" applyFill="1" applyBorder="1" applyAlignment="1">
      <alignment horizontal="right" vertical="center"/>
      <protection/>
    </xf>
    <xf numFmtId="176" fontId="3" fillId="34" borderId="106" xfId="60" applyNumberFormat="1" applyFont="1" applyFill="1" applyBorder="1" applyAlignment="1">
      <alignment horizontal="right" vertical="center"/>
      <protection/>
    </xf>
    <xf numFmtId="176" fontId="10" fillId="0" borderId="108" xfId="60" applyNumberFormat="1" applyFont="1" applyFill="1" applyBorder="1" applyAlignment="1">
      <alignment horizontal="right" vertical="center"/>
      <protection/>
    </xf>
    <xf numFmtId="176" fontId="10" fillId="0" borderId="109" xfId="60" applyNumberFormat="1" applyFont="1" applyFill="1" applyBorder="1" applyAlignment="1">
      <alignment horizontal="right" vertical="center"/>
      <protection/>
    </xf>
    <xf numFmtId="176" fontId="10" fillId="0" borderId="110" xfId="60" applyNumberFormat="1" applyFont="1" applyFill="1" applyBorder="1" applyAlignment="1">
      <alignment horizontal="right" vertical="center"/>
      <protection/>
    </xf>
    <xf numFmtId="176" fontId="3" fillId="0" borderId="110" xfId="60" applyNumberFormat="1" applyFont="1" applyFill="1" applyBorder="1" applyAlignment="1">
      <alignment horizontal="right" vertical="center"/>
      <protection/>
    </xf>
    <xf numFmtId="176" fontId="3" fillId="0" borderId="111" xfId="60" applyNumberFormat="1" applyFont="1" applyFill="1" applyBorder="1" applyAlignment="1">
      <alignment horizontal="right" vertical="center"/>
      <protection/>
    </xf>
    <xf numFmtId="176" fontId="3" fillId="0" borderId="112" xfId="60" applyNumberFormat="1" applyFont="1" applyFill="1" applyBorder="1" applyAlignment="1">
      <alignment horizontal="right" vertical="center"/>
      <protection/>
    </xf>
    <xf numFmtId="176" fontId="3" fillId="0" borderId="113" xfId="60" applyNumberFormat="1" applyFont="1" applyFill="1" applyBorder="1" applyAlignment="1">
      <alignment horizontal="right" vertical="center"/>
      <protection/>
    </xf>
    <xf numFmtId="176" fontId="3" fillId="0" borderId="114" xfId="60" applyNumberFormat="1" applyFont="1" applyFill="1" applyBorder="1" applyAlignment="1">
      <alignment horizontal="right" vertical="center"/>
      <protection/>
    </xf>
    <xf numFmtId="176" fontId="3" fillId="0" borderId="115" xfId="60" applyNumberFormat="1" applyFont="1" applyFill="1" applyBorder="1" applyAlignment="1">
      <alignment horizontal="right" vertical="center"/>
      <protection/>
    </xf>
    <xf numFmtId="176" fontId="3" fillId="0" borderId="116" xfId="60" applyNumberFormat="1" applyFont="1" applyFill="1" applyBorder="1" applyAlignment="1">
      <alignment horizontal="right" vertical="center"/>
      <protection/>
    </xf>
    <xf numFmtId="176" fontId="3" fillId="0" borderId="117" xfId="60" applyNumberFormat="1" applyFont="1" applyFill="1" applyBorder="1" applyAlignment="1">
      <alignment horizontal="right" vertical="center"/>
      <protection/>
    </xf>
    <xf numFmtId="176" fontId="3" fillId="0" borderId="118" xfId="60" applyNumberFormat="1" applyFont="1" applyFill="1" applyBorder="1" applyAlignment="1">
      <alignment horizontal="right" vertical="center"/>
      <protection/>
    </xf>
    <xf numFmtId="176" fontId="8" fillId="34" borderId="119" xfId="60" applyNumberFormat="1" applyFont="1" applyFill="1" applyBorder="1" applyAlignment="1">
      <alignment horizontal="right" vertical="center"/>
      <protection/>
    </xf>
    <xf numFmtId="176" fontId="8" fillId="34" borderId="120" xfId="60" applyNumberFormat="1" applyFont="1" applyFill="1" applyBorder="1" applyAlignment="1">
      <alignment horizontal="right" vertical="center"/>
      <protection/>
    </xf>
    <xf numFmtId="176" fontId="8" fillId="34" borderId="121" xfId="60" applyNumberFormat="1" applyFont="1" applyFill="1" applyBorder="1" applyAlignment="1">
      <alignment horizontal="right" vertical="center"/>
      <protection/>
    </xf>
    <xf numFmtId="0" fontId="3" fillId="0" borderId="0" xfId="60" applyFont="1" applyBorder="1" applyAlignment="1">
      <alignment horizontal="right" vertical="top" wrapText="1"/>
      <protection/>
    </xf>
    <xf numFmtId="0" fontId="3" fillId="0" borderId="122" xfId="60" applyFont="1" applyFill="1" applyBorder="1" applyAlignment="1">
      <alignment horizontal="distributed" vertical="center"/>
      <protection/>
    </xf>
    <xf numFmtId="0" fontId="3" fillId="0" borderId="122" xfId="60" applyFont="1" applyFill="1" applyBorder="1" applyAlignment="1">
      <alignment horizontal="right" vertical="center"/>
      <protection/>
    </xf>
    <xf numFmtId="3" fontId="3" fillId="0" borderId="122" xfId="60" applyNumberFormat="1" applyFont="1" applyFill="1" applyBorder="1" applyAlignment="1">
      <alignment horizontal="right" vertical="center"/>
      <protection/>
    </xf>
    <xf numFmtId="0" fontId="10" fillId="0" borderId="123" xfId="60" applyFont="1" applyFill="1" applyBorder="1" applyAlignment="1">
      <alignment horizontal="distributed" vertical="center"/>
      <protection/>
    </xf>
    <xf numFmtId="0" fontId="10" fillId="0" borderId="124" xfId="60" applyFont="1" applyFill="1" applyBorder="1" applyAlignment="1">
      <alignment horizontal="distributed" vertical="center"/>
      <protection/>
    </xf>
    <xf numFmtId="0" fontId="10" fillId="0" borderId="125" xfId="60" applyFont="1" applyFill="1" applyBorder="1" applyAlignment="1">
      <alignment horizontal="distributed" vertical="center"/>
      <protection/>
    </xf>
    <xf numFmtId="0" fontId="11" fillId="0" borderId="60" xfId="60" applyFont="1" applyFill="1" applyBorder="1">
      <alignment/>
      <protection/>
    </xf>
    <xf numFmtId="0" fontId="10" fillId="0" borderId="126" xfId="60" applyFont="1" applyFill="1" applyBorder="1" applyAlignment="1">
      <alignment horizontal="distributed" vertical="center"/>
      <protection/>
    </xf>
    <xf numFmtId="0" fontId="10" fillId="0" borderId="127" xfId="60" applyFont="1" applyFill="1" applyBorder="1" applyAlignment="1">
      <alignment horizontal="distributed" vertical="center"/>
      <protection/>
    </xf>
    <xf numFmtId="0" fontId="10" fillId="0" borderId="128" xfId="60" applyFont="1" applyFill="1" applyBorder="1" applyAlignment="1">
      <alignment horizontal="distributed" vertical="center"/>
      <protection/>
    </xf>
    <xf numFmtId="0" fontId="9" fillId="0" borderId="60" xfId="60" applyFont="1" applyBorder="1">
      <alignment/>
      <protection/>
    </xf>
    <xf numFmtId="0" fontId="10" fillId="0" borderId="129" xfId="60" applyFont="1" applyFill="1" applyBorder="1" applyAlignment="1">
      <alignment horizontal="distributed" vertical="center"/>
      <protection/>
    </xf>
    <xf numFmtId="0" fontId="10" fillId="0" borderId="130" xfId="60" applyFont="1" applyFill="1" applyBorder="1" applyAlignment="1">
      <alignment horizontal="distributed" vertical="center"/>
      <protection/>
    </xf>
    <xf numFmtId="3" fontId="3" fillId="34" borderId="131" xfId="60" applyNumberFormat="1" applyFont="1" applyFill="1" applyBorder="1" applyAlignment="1">
      <alignment vertical="center"/>
      <protection/>
    </xf>
    <xf numFmtId="3" fontId="3" fillId="34" borderId="132" xfId="60" applyNumberFormat="1" applyFont="1" applyFill="1" applyBorder="1" applyAlignment="1">
      <alignment vertical="center"/>
      <protection/>
    </xf>
    <xf numFmtId="3" fontId="3" fillId="34" borderId="133"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134" xfId="60" applyFont="1" applyBorder="1" applyAlignment="1">
      <alignment horizontal="distributed" vertical="center" wrapText="1"/>
      <protection/>
    </xf>
    <xf numFmtId="0" fontId="3" fillId="0" borderId="134" xfId="60" applyFont="1" applyBorder="1" applyAlignment="1">
      <alignment horizontal="distributed" vertical="center"/>
      <protection/>
    </xf>
    <xf numFmtId="0" fontId="3" fillId="0" borderId="135" xfId="60" applyFont="1" applyBorder="1" applyAlignment="1">
      <alignment horizontal="distributed"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8" fillId="0" borderId="138" xfId="60" applyFont="1" applyBorder="1" applyAlignment="1">
      <alignment horizontal="distributed" vertical="center"/>
      <protection/>
    </xf>
    <xf numFmtId="0" fontId="8" fillId="0" borderId="139"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0" xfId="60" applyFont="1" applyBorder="1" applyAlignment="1">
      <alignment horizontal="distributed" vertical="center"/>
      <protection/>
    </xf>
    <xf numFmtId="0" fontId="3" fillId="0" borderId="0" xfId="60" applyFont="1" applyBorder="1" applyAlignment="1">
      <alignment horizontal="justify" vertical="top" wrapText="1"/>
      <protection/>
    </xf>
    <xf numFmtId="0" fontId="3" fillId="0" borderId="0" xfId="60" applyFont="1" applyAlignment="1">
      <alignment horizontal="justify" vertical="top" wrapText="1"/>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41"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50"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51"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22" xfId="60" applyFont="1" applyBorder="1" applyAlignment="1">
      <alignment horizontal="left" vertical="center"/>
      <protection/>
    </xf>
    <xf numFmtId="0" fontId="3" fillId="0" borderId="0" xfId="60" applyFont="1" applyAlignment="1">
      <alignment horizontal="left" vertical="center"/>
      <protection/>
    </xf>
    <xf numFmtId="0" fontId="3" fillId="0" borderId="122" xfId="60" applyFont="1" applyBorder="1" applyAlignment="1">
      <alignment horizontal="left"/>
      <protection/>
    </xf>
    <xf numFmtId="0" fontId="3" fillId="0" borderId="141" xfId="60" applyFont="1" applyBorder="1" applyAlignment="1">
      <alignment horizontal="distributed" vertical="center"/>
      <protection/>
    </xf>
    <xf numFmtId="0" fontId="3" fillId="0" borderId="60" xfId="60" applyFont="1" applyBorder="1" applyAlignment="1">
      <alignment horizontal="distributed" vertical="center"/>
      <protection/>
    </xf>
    <xf numFmtId="0" fontId="3" fillId="0" borderId="152" xfId="60" applyFont="1" applyBorder="1" applyAlignment="1">
      <alignment horizontal="distributed" vertical="center"/>
      <protection/>
    </xf>
    <xf numFmtId="0" fontId="3" fillId="0" borderId="153" xfId="60" applyFont="1" applyBorder="1" applyAlignment="1">
      <alignment horizontal="center" vertical="center"/>
      <protection/>
    </xf>
    <xf numFmtId="0" fontId="3" fillId="0" borderId="154" xfId="60" applyFont="1" applyBorder="1" applyAlignment="1">
      <alignment horizontal="center" vertical="center"/>
      <protection/>
    </xf>
    <xf numFmtId="0" fontId="3" fillId="0" borderId="155" xfId="60" applyFont="1" applyBorder="1" applyAlignment="1">
      <alignment horizontal="center" vertical="center"/>
      <protection/>
    </xf>
    <xf numFmtId="0" fontId="3" fillId="0" borderId="156" xfId="60" applyFont="1" applyBorder="1" applyAlignment="1">
      <alignment horizontal="center" vertical="center"/>
      <protection/>
    </xf>
    <xf numFmtId="0" fontId="3" fillId="0" borderId="157" xfId="60" applyFont="1" applyBorder="1" applyAlignment="1">
      <alignment horizontal="center" vertical="center"/>
      <protection/>
    </xf>
    <xf numFmtId="0" fontId="3" fillId="0" borderId="52" xfId="60" applyFont="1" applyBorder="1" applyAlignment="1">
      <alignment horizontal="distributed" vertical="center" wrapText="1"/>
      <protection/>
    </xf>
    <xf numFmtId="0" fontId="3" fillId="0" borderId="61" xfId="60" applyFont="1" applyBorder="1" applyAlignment="1">
      <alignment horizontal="distributed" vertical="center" wrapText="1"/>
      <protection/>
    </xf>
    <xf numFmtId="0" fontId="3" fillId="0" borderId="158" xfId="60" applyFont="1" applyBorder="1" applyAlignment="1">
      <alignment horizontal="distributed" vertical="center" wrapText="1"/>
      <protection/>
    </xf>
    <xf numFmtId="0" fontId="3" fillId="0" borderId="159" xfId="60" applyFont="1" applyBorder="1" applyAlignment="1">
      <alignment horizontal="center" vertical="center"/>
      <protection/>
    </xf>
    <xf numFmtId="0" fontId="3" fillId="0" borderId="160" xfId="60" applyFont="1" applyBorder="1" applyAlignment="1">
      <alignment horizontal="center" vertical="center"/>
      <protection/>
    </xf>
    <xf numFmtId="0" fontId="3" fillId="0" borderId="154" xfId="60" applyFont="1" applyBorder="1" applyAlignment="1">
      <alignment horizontal="center" vertical="center" wrapText="1"/>
      <protection/>
    </xf>
    <xf numFmtId="0" fontId="3" fillId="0" borderId="161" xfId="60" applyFont="1" applyBorder="1" applyAlignment="1">
      <alignment horizontal="left" vertical="center"/>
      <protection/>
    </xf>
    <xf numFmtId="0" fontId="3" fillId="0" borderId="162" xfId="60" applyFont="1" applyBorder="1" applyAlignment="1">
      <alignment horizontal="distributed" vertical="center" wrapText="1"/>
      <protection/>
    </xf>
    <xf numFmtId="0" fontId="3" fillId="0" borderId="163" xfId="60" applyFont="1" applyBorder="1" applyAlignment="1">
      <alignment horizontal="distributed" vertical="center"/>
      <protection/>
    </xf>
    <xf numFmtId="0" fontId="3" fillId="0" borderId="164" xfId="60" applyFont="1" applyBorder="1" applyAlignment="1">
      <alignment horizontal="distributed" vertical="center" wrapText="1"/>
      <protection/>
    </xf>
    <xf numFmtId="0" fontId="3" fillId="0" borderId="165"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53" xfId="60" applyFont="1" applyBorder="1" applyAlignment="1">
      <alignment horizontal="center" vertical="center" wrapText="1"/>
      <protection/>
    </xf>
    <xf numFmtId="0" fontId="3" fillId="0" borderId="166" xfId="60" applyFont="1" applyBorder="1" applyAlignment="1">
      <alignment horizontal="center" vertical="center"/>
      <protection/>
    </xf>
    <xf numFmtId="0" fontId="3" fillId="0" borderId="167" xfId="60" applyFont="1" applyBorder="1" applyAlignment="1">
      <alignment horizontal="center" vertical="center"/>
      <protection/>
    </xf>
    <xf numFmtId="0" fontId="3" fillId="0" borderId="168" xfId="60" applyFont="1" applyBorder="1" applyAlignment="1">
      <alignment horizontal="distributed" vertical="center" wrapText="1"/>
      <protection/>
    </xf>
    <xf numFmtId="0" fontId="3" fillId="0" borderId="169"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206" t="s">
        <v>241</v>
      </c>
      <c r="B1" s="206"/>
      <c r="C1" s="206"/>
      <c r="D1" s="206"/>
      <c r="E1" s="206"/>
      <c r="F1" s="206"/>
      <c r="G1" s="206"/>
      <c r="H1" s="206"/>
      <c r="I1" s="206"/>
      <c r="J1" s="206"/>
      <c r="K1" s="206"/>
    </row>
    <row r="2" spans="1:11" ht="15">
      <c r="A2" s="39"/>
      <c r="B2" s="39"/>
      <c r="C2" s="39"/>
      <c r="D2" s="39"/>
      <c r="E2" s="39"/>
      <c r="F2" s="39"/>
      <c r="G2" s="39"/>
      <c r="H2" s="39"/>
      <c r="I2" s="39"/>
      <c r="J2" s="39"/>
      <c r="K2" s="39"/>
    </row>
    <row r="3" spans="1:11" ht="12" thickBot="1">
      <c r="A3" s="207" t="s">
        <v>171</v>
      </c>
      <c r="B3" s="207"/>
      <c r="C3" s="207"/>
      <c r="D3" s="207"/>
      <c r="E3" s="207"/>
      <c r="F3" s="207"/>
      <c r="G3" s="207"/>
      <c r="H3" s="207"/>
      <c r="I3" s="207"/>
      <c r="J3" s="207"/>
      <c r="K3" s="207"/>
    </row>
    <row r="4" spans="1:11" ht="24" customHeight="1">
      <c r="A4" s="208" t="s">
        <v>152</v>
      </c>
      <c r="B4" s="209"/>
      <c r="C4" s="212" t="s">
        <v>172</v>
      </c>
      <c r="D4" s="213"/>
      <c r="E4" s="214"/>
      <c r="F4" s="212" t="s">
        <v>173</v>
      </c>
      <c r="G4" s="213"/>
      <c r="H4" s="214"/>
      <c r="I4" s="212" t="s">
        <v>174</v>
      </c>
      <c r="J4" s="213"/>
      <c r="K4" s="215"/>
    </row>
    <row r="5" spans="1:11" ht="24" customHeight="1">
      <c r="A5" s="210"/>
      <c r="B5" s="211"/>
      <c r="C5" s="216" t="s">
        <v>153</v>
      </c>
      <c r="D5" s="217"/>
      <c r="E5" s="40" t="s">
        <v>154</v>
      </c>
      <c r="F5" s="216" t="s">
        <v>153</v>
      </c>
      <c r="G5" s="217"/>
      <c r="H5" s="40" t="s">
        <v>154</v>
      </c>
      <c r="I5" s="216" t="s">
        <v>153</v>
      </c>
      <c r="J5" s="217"/>
      <c r="K5" s="41" t="s">
        <v>154</v>
      </c>
    </row>
    <row r="6" spans="1:11" ht="12" customHeight="1">
      <c r="A6" s="42"/>
      <c r="B6" s="43"/>
      <c r="C6" s="44"/>
      <c r="D6" s="30" t="s">
        <v>155</v>
      </c>
      <c r="E6" s="7" t="s">
        <v>156</v>
      </c>
      <c r="F6" s="44"/>
      <c r="G6" s="30" t="s">
        <v>155</v>
      </c>
      <c r="H6" s="7" t="s">
        <v>156</v>
      </c>
      <c r="I6" s="44"/>
      <c r="J6" s="30" t="s">
        <v>155</v>
      </c>
      <c r="K6" s="45" t="s">
        <v>156</v>
      </c>
    </row>
    <row r="7" spans="1:11" ht="30" customHeight="1">
      <c r="A7" s="195" t="s">
        <v>175</v>
      </c>
      <c r="B7" s="46" t="s">
        <v>176</v>
      </c>
      <c r="C7" s="47"/>
      <c r="D7" s="104">
        <v>29873</v>
      </c>
      <c r="E7" s="48">
        <v>17588151</v>
      </c>
      <c r="F7" s="49"/>
      <c r="G7" s="104">
        <v>79322</v>
      </c>
      <c r="H7" s="48">
        <v>605233420</v>
      </c>
      <c r="I7" s="49"/>
      <c r="J7" s="104">
        <v>109195</v>
      </c>
      <c r="K7" s="50">
        <v>622821571</v>
      </c>
    </row>
    <row r="8" spans="1:11" ht="30" customHeight="1">
      <c r="A8" s="196"/>
      <c r="B8" s="51" t="s">
        <v>177</v>
      </c>
      <c r="C8" s="47"/>
      <c r="D8" s="105">
        <v>49449</v>
      </c>
      <c r="E8" s="106">
        <v>18879704</v>
      </c>
      <c r="F8" s="49"/>
      <c r="G8" s="105">
        <v>32080</v>
      </c>
      <c r="H8" s="106">
        <v>19285255</v>
      </c>
      <c r="I8" s="49"/>
      <c r="J8" s="105">
        <v>81529</v>
      </c>
      <c r="K8" s="107">
        <v>38164959</v>
      </c>
    </row>
    <row r="9" spans="1:11" s="54" customFormat="1" ht="30" customHeight="1">
      <c r="A9" s="196"/>
      <c r="B9" s="52" t="s">
        <v>178</v>
      </c>
      <c r="C9" s="53"/>
      <c r="D9" s="108">
        <v>79322</v>
      </c>
      <c r="E9" s="109">
        <v>36467855</v>
      </c>
      <c r="F9" s="53"/>
      <c r="G9" s="108">
        <v>111402</v>
      </c>
      <c r="H9" s="109">
        <v>624518675</v>
      </c>
      <c r="I9" s="53"/>
      <c r="J9" s="108">
        <v>190724</v>
      </c>
      <c r="K9" s="110">
        <v>660986530</v>
      </c>
    </row>
    <row r="10" spans="1:11" ht="30" customHeight="1">
      <c r="A10" s="197"/>
      <c r="B10" s="55" t="s">
        <v>179</v>
      </c>
      <c r="C10" s="47"/>
      <c r="D10" s="111">
        <v>2311</v>
      </c>
      <c r="E10" s="112">
        <v>1609742</v>
      </c>
      <c r="F10" s="47"/>
      <c r="G10" s="111">
        <v>5054</v>
      </c>
      <c r="H10" s="112">
        <v>44818077</v>
      </c>
      <c r="I10" s="47"/>
      <c r="J10" s="111">
        <v>7365</v>
      </c>
      <c r="K10" s="113">
        <v>46427819</v>
      </c>
    </row>
    <row r="11" spans="1:11" ht="30" customHeight="1">
      <c r="A11" s="198" t="s">
        <v>180</v>
      </c>
      <c r="B11" s="56" t="s">
        <v>181</v>
      </c>
      <c r="C11" s="57"/>
      <c r="D11" s="114">
        <v>6031</v>
      </c>
      <c r="E11" s="58">
        <v>1608855</v>
      </c>
      <c r="F11" s="59"/>
      <c r="G11" s="115">
        <v>5572</v>
      </c>
      <c r="H11" s="58">
        <v>2374596</v>
      </c>
      <c r="I11" s="59"/>
      <c r="J11" s="115">
        <v>11603</v>
      </c>
      <c r="K11" s="60">
        <v>3983451</v>
      </c>
    </row>
    <row r="12" spans="1:11" ht="30" customHeight="1">
      <c r="A12" s="199"/>
      <c r="B12" s="61" t="s">
        <v>182</v>
      </c>
      <c r="C12" s="62"/>
      <c r="D12" s="105">
        <v>1213</v>
      </c>
      <c r="E12" s="106">
        <v>297096</v>
      </c>
      <c r="F12" s="63"/>
      <c r="G12" s="116">
        <v>1032</v>
      </c>
      <c r="H12" s="106">
        <v>1048499</v>
      </c>
      <c r="I12" s="63"/>
      <c r="J12" s="116">
        <v>2245</v>
      </c>
      <c r="K12" s="107">
        <v>1345595</v>
      </c>
    </row>
    <row r="13" spans="1:11" s="54" customFormat="1" ht="30" customHeight="1">
      <c r="A13" s="200" t="s">
        <v>157</v>
      </c>
      <c r="B13" s="201"/>
      <c r="C13" s="64" t="s">
        <v>158</v>
      </c>
      <c r="D13" s="117">
        <v>84206</v>
      </c>
      <c r="E13" s="118">
        <v>36169872</v>
      </c>
      <c r="F13" s="64" t="s">
        <v>158</v>
      </c>
      <c r="G13" s="117">
        <v>117424</v>
      </c>
      <c r="H13" s="118">
        <v>581026696</v>
      </c>
      <c r="I13" s="64" t="s">
        <v>158</v>
      </c>
      <c r="J13" s="117">
        <v>201630</v>
      </c>
      <c r="K13" s="119">
        <v>617196567</v>
      </c>
    </row>
    <row r="14" spans="1:11" ht="30" customHeight="1" thickBot="1">
      <c r="A14" s="202" t="s">
        <v>159</v>
      </c>
      <c r="B14" s="203"/>
      <c r="C14" s="65"/>
      <c r="D14" s="120">
        <v>5877</v>
      </c>
      <c r="E14" s="121">
        <v>309853</v>
      </c>
      <c r="F14" s="66"/>
      <c r="G14" s="120">
        <v>4927</v>
      </c>
      <c r="H14" s="121">
        <v>406184</v>
      </c>
      <c r="I14" s="66"/>
      <c r="J14" s="120">
        <v>10804</v>
      </c>
      <c r="K14" s="122">
        <v>716036</v>
      </c>
    </row>
    <row r="15" spans="1:11" ht="2.25" customHeight="1">
      <c r="A15" s="178"/>
      <c r="B15" s="178"/>
      <c r="C15" s="179"/>
      <c r="D15" s="180"/>
      <c r="E15" s="180"/>
      <c r="F15" s="180"/>
      <c r="G15" s="180"/>
      <c r="H15" s="180"/>
      <c r="I15" s="180"/>
      <c r="J15" s="180"/>
      <c r="K15" s="180"/>
    </row>
    <row r="16" spans="1:11" s="1" customFormat="1" ht="34.5" customHeight="1">
      <c r="A16" s="177" t="s">
        <v>169</v>
      </c>
      <c r="B16" s="204" t="s">
        <v>248</v>
      </c>
      <c r="C16" s="204"/>
      <c r="D16" s="204"/>
      <c r="E16" s="204"/>
      <c r="F16" s="204"/>
      <c r="G16" s="204"/>
      <c r="H16" s="204"/>
      <c r="I16" s="204"/>
      <c r="J16" s="204"/>
      <c r="K16" s="204"/>
    </row>
    <row r="17" spans="2:11" ht="45" customHeight="1">
      <c r="B17" s="205" t="s">
        <v>249</v>
      </c>
      <c r="C17" s="205"/>
      <c r="D17" s="205"/>
      <c r="E17" s="205"/>
      <c r="F17" s="205"/>
      <c r="G17" s="205"/>
      <c r="H17" s="205"/>
      <c r="I17" s="205"/>
      <c r="J17" s="205"/>
      <c r="K17" s="205"/>
    </row>
    <row r="18" ht="14.25" customHeight="1">
      <c r="A18" s="2" t="s">
        <v>170</v>
      </c>
    </row>
    <row r="19" ht="11.25">
      <c r="A19" s="2" t="s">
        <v>239</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G13" sqref="G13:H14"/>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160</v>
      </c>
    </row>
    <row r="2" spans="1:8" s="2" customFormat="1" ht="15" customHeight="1">
      <c r="A2" s="208" t="s">
        <v>152</v>
      </c>
      <c r="B2" s="209"/>
      <c r="C2" s="222" t="s">
        <v>172</v>
      </c>
      <c r="D2" s="222"/>
      <c r="E2" s="222" t="s">
        <v>183</v>
      </c>
      <c r="F2" s="222"/>
      <c r="G2" s="223" t="s">
        <v>184</v>
      </c>
      <c r="H2" s="224"/>
    </row>
    <row r="3" spans="1:8" s="2" customFormat="1" ht="15" customHeight="1">
      <c r="A3" s="210"/>
      <c r="B3" s="211"/>
      <c r="C3" s="57" t="s">
        <v>185</v>
      </c>
      <c r="D3" s="40" t="s">
        <v>186</v>
      </c>
      <c r="E3" s="57" t="s">
        <v>185</v>
      </c>
      <c r="F3" s="67" t="s">
        <v>186</v>
      </c>
      <c r="G3" s="57" t="s">
        <v>185</v>
      </c>
      <c r="H3" s="68" t="s">
        <v>186</v>
      </c>
    </row>
    <row r="4" spans="1:8" s="73" customFormat="1" ht="15" customHeight="1">
      <c r="A4" s="69"/>
      <c r="B4" s="40"/>
      <c r="C4" s="70" t="s">
        <v>15</v>
      </c>
      <c r="D4" s="71" t="s">
        <v>16</v>
      </c>
      <c r="E4" s="70" t="s">
        <v>15</v>
      </c>
      <c r="F4" s="71" t="s">
        <v>16</v>
      </c>
      <c r="G4" s="70" t="s">
        <v>15</v>
      </c>
      <c r="H4" s="72" t="s">
        <v>16</v>
      </c>
    </row>
    <row r="5" spans="1:8" s="75" customFormat="1" ht="30" customHeight="1">
      <c r="A5" s="225" t="s">
        <v>168</v>
      </c>
      <c r="B5" s="46" t="s">
        <v>161</v>
      </c>
      <c r="C5" s="74">
        <v>76038</v>
      </c>
      <c r="D5" s="48">
        <v>22551783</v>
      </c>
      <c r="E5" s="74">
        <v>107000</v>
      </c>
      <c r="F5" s="48">
        <v>353935902</v>
      </c>
      <c r="G5" s="74">
        <v>183038</v>
      </c>
      <c r="H5" s="50">
        <v>376487686</v>
      </c>
    </row>
    <row r="6" spans="1:8" s="75" customFormat="1" ht="30" customHeight="1">
      <c r="A6" s="219"/>
      <c r="B6" s="55" t="s">
        <v>3</v>
      </c>
      <c r="C6" s="76">
        <v>2459</v>
      </c>
      <c r="D6" s="77">
        <v>876644</v>
      </c>
      <c r="E6" s="76">
        <v>4551</v>
      </c>
      <c r="F6" s="77">
        <v>24879163</v>
      </c>
      <c r="G6" s="76">
        <v>7010</v>
      </c>
      <c r="H6" s="78">
        <v>25755807</v>
      </c>
    </row>
    <row r="7" spans="1:8" s="75" customFormat="1" ht="30" customHeight="1">
      <c r="A7" s="218" t="s">
        <v>238</v>
      </c>
      <c r="B7" s="79" t="s">
        <v>161</v>
      </c>
      <c r="C7" s="80">
        <v>81356</v>
      </c>
      <c r="D7" s="58">
        <v>33217122</v>
      </c>
      <c r="E7" s="80">
        <v>108982</v>
      </c>
      <c r="F7" s="58">
        <v>514265631</v>
      </c>
      <c r="G7" s="80">
        <v>190338</v>
      </c>
      <c r="H7" s="60">
        <v>547482754</v>
      </c>
    </row>
    <row r="8" spans="1:8" s="75" customFormat="1" ht="30" customHeight="1">
      <c r="A8" s="219"/>
      <c r="B8" s="55" t="s">
        <v>3</v>
      </c>
      <c r="C8" s="76">
        <v>2588</v>
      </c>
      <c r="D8" s="77">
        <v>1290703</v>
      </c>
      <c r="E8" s="76">
        <v>4731</v>
      </c>
      <c r="F8" s="77">
        <v>35075223</v>
      </c>
      <c r="G8" s="76">
        <v>7319</v>
      </c>
      <c r="H8" s="78">
        <v>36365926</v>
      </c>
    </row>
    <row r="9" spans="1:8" s="75" customFormat="1" ht="30" customHeight="1">
      <c r="A9" s="218" t="s">
        <v>240</v>
      </c>
      <c r="B9" s="79" t="s">
        <v>161</v>
      </c>
      <c r="C9" s="80">
        <v>81292</v>
      </c>
      <c r="D9" s="58">
        <v>37182441</v>
      </c>
      <c r="E9" s="80">
        <v>110232</v>
      </c>
      <c r="F9" s="58">
        <v>597098593</v>
      </c>
      <c r="G9" s="80">
        <v>191524</v>
      </c>
      <c r="H9" s="60">
        <v>634281034</v>
      </c>
    </row>
    <row r="10" spans="1:8" s="75" customFormat="1" ht="30" customHeight="1">
      <c r="A10" s="219"/>
      <c r="B10" s="55" t="s">
        <v>3</v>
      </c>
      <c r="C10" s="76">
        <v>2280</v>
      </c>
      <c r="D10" s="77">
        <v>1510872</v>
      </c>
      <c r="E10" s="76">
        <v>4737</v>
      </c>
      <c r="F10" s="77">
        <v>35901272</v>
      </c>
      <c r="G10" s="76">
        <v>7017</v>
      </c>
      <c r="H10" s="78">
        <v>37412144</v>
      </c>
    </row>
    <row r="11" spans="1:8" s="75" customFormat="1" ht="30" customHeight="1">
      <c r="A11" s="218" t="s">
        <v>244</v>
      </c>
      <c r="B11" s="79" t="s">
        <v>161</v>
      </c>
      <c r="C11" s="80">
        <v>78757</v>
      </c>
      <c r="D11" s="58">
        <v>37027560</v>
      </c>
      <c r="E11" s="80">
        <v>111210</v>
      </c>
      <c r="F11" s="58">
        <v>752341535</v>
      </c>
      <c r="G11" s="80">
        <v>189967</v>
      </c>
      <c r="H11" s="60">
        <v>789369096</v>
      </c>
    </row>
    <row r="12" spans="1:8" s="75" customFormat="1" ht="30" customHeight="1">
      <c r="A12" s="219"/>
      <c r="B12" s="55" t="s">
        <v>3</v>
      </c>
      <c r="C12" s="76">
        <v>2062</v>
      </c>
      <c r="D12" s="77">
        <v>1567811</v>
      </c>
      <c r="E12" s="76">
        <v>4826</v>
      </c>
      <c r="F12" s="77">
        <v>38306237</v>
      </c>
      <c r="G12" s="76">
        <v>6888</v>
      </c>
      <c r="H12" s="78">
        <v>39874048</v>
      </c>
    </row>
    <row r="13" spans="1:8" s="2" customFormat="1" ht="30" customHeight="1">
      <c r="A13" s="220" t="s">
        <v>250</v>
      </c>
      <c r="B13" s="79" t="s">
        <v>161</v>
      </c>
      <c r="C13" s="80">
        <v>79322</v>
      </c>
      <c r="D13" s="58">
        <v>36467855</v>
      </c>
      <c r="E13" s="80">
        <v>111402</v>
      </c>
      <c r="F13" s="58">
        <v>624518675</v>
      </c>
      <c r="G13" s="80">
        <v>190724</v>
      </c>
      <c r="H13" s="60">
        <v>660986530</v>
      </c>
    </row>
    <row r="14" spans="1:8" s="2" customFormat="1" ht="30" customHeight="1" thickBot="1">
      <c r="A14" s="221"/>
      <c r="B14" s="81" t="s">
        <v>3</v>
      </c>
      <c r="C14" s="123">
        <v>2311</v>
      </c>
      <c r="D14" s="124">
        <v>1609742</v>
      </c>
      <c r="E14" s="123">
        <v>5054</v>
      </c>
      <c r="F14" s="124">
        <v>44818077</v>
      </c>
      <c r="G14" s="123">
        <v>7365</v>
      </c>
      <c r="H14" s="125">
        <v>46427819</v>
      </c>
    </row>
    <row r="15" spans="5:7" s="2" customFormat="1" ht="11.25">
      <c r="E15" s="82"/>
      <c r="G15" s="82"/>
    </row>
    <row r="16" spans="5:7" s="2" customFormat="1" ht="11.25">
      <c r="E16" s="82"/>
      <c r="G16" s="82"/>
    </row>
    <row r="17" spans="5:7" s="2" customFormat="1" ht="11.25">
      <c r="E17" s="82"/>
      <c r="G17" s="82"/>
    </row>
    <row r="18" spans="5:7" s="2" customFormat="1" ht="11.25">
      <c r="E18" s="82"/>
      <c r="G18" s="82"/>
    </row>
    <row r="19" spans="5:7" s="2" customFormat="1" ht="11.25">
      <c r="E19" s="82"/>
      <c r="G19" s="82"/>
    </row>
    <row r="20" spans="5:7" s="2" customFormat="1" ht="11.25">
      <c r="E20" s="82"/>
      <c r="G20" s="82"/>
    </row>
    <row r="21" spans="5:7" s="2" customFormat="1" ht="11.25">
      <c r="E21" s="82"/>
      <c r="G21" s="82"/>
    </row>
    <row r="22" spans="5:7" s="2" customFormat="1" ht="11.25">
      <c r="E22" s="82"/>
      <c r="G22" s="82"/>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162</v>
      </c>
    </row>
    <row r="2" spans="1:4" s="1" customFormat="1" ht="19.5" customHeight="1">
      <c r="A2" s="83" t="s">
        <v>163</v>
      </c>
      <c r="B2" s="84" t="s">
        <v>164</v>
      </c>
      <c r="C2" s="85" t="s">
        <v>165</v>
      </c>
      <c r="D2" s="86" t="s">
        <v>166</v>
      </c>
    </row>
    <row r="3" spans="1:4" s="73" customFormat="1" ht="15" customHeight="1">
      <c r="A3" s="87" t="s">
        <v>15</v>
      </c>
      <c r="B3" s="88" t="s">
        <v>15</v>
      </c>
      <c r="C3" s="89" t="s">
        <v>15</v>
      </c>
      <c r="D3" s="90" t="s">
        <v>15</v>
      </c>
    </row>
    <row r="4" spans="1:9" s="1" customFormat="1" ht="30" customHeight="1" thickBot="1">
      <c r="A4" s="191">
        <v>198559</v>
      </c>
      <c r="B4" s="192">
        <v>5264</v>
      </c>
      <c r="C4" s="193">
        <v>521</v>
      </c>
      <c r="D4" s="194">
        <v>204344</v>
      </c>
      <c r="E4" s="91"/>
      <c r="G4" s="91"/>
      <c r="I4" s="91"/>
    </row>
    <row r="5" spans="1:4" s="1" customFormat="1" ht="15" customHeight="1">
      <c r="A5" s="226" t="s">
        <v>251</v>
      </c>
      <c r="B5" s="226"/>
      <c r="C5" s="226"/>
      <c r="D5" s="226"/>
    </row>
    <row r="6" spans="1:4" s="1" customFormat="1" ht="15" customHeight="1">
      <c r="A6" s="227" t="s">
        <v>167</v>
      </c>
      <c r="B6" s="227"/>
      <c r="C6" s="227"/>
      <c r="D6" s="22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(H29)</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246</v>
      </c>
      <c r="B1" s="1"/>
      <c r="C1" s="1"/>
      <c r="D1" s="1"/>
      <c r="E1" s="1"/>
      <c r="F1" s="1"/>
      <c r="G1" s="1"/>
      <c r="H1" s="2"/>
      <c r="I1" s="2"/>
      <c r="J1" s="2"/>
      <c r="K1" s="2"/>
      <c r="L1" s="2"/>
      <c r="M1" s="2"/>
      <c r="N1" s="2"/>
    </row>
    <row r="2" spans="1:14" ht="14.25" thickBot="1">
      <c r="A2" s="227" t="s">
        <v>0</v>
      </c>
      <c r="B2" s="227"/>
      <c r="C2" s="227"/>
      <c r="D2" s="227"/>
      <c r="E2" s="227"/>
      <c r="F2" s="227"/>
      <c r="G2" s="227"/>
      <c r="H2" s="2"/>
      <c r="I2" s="2"/>
      <c r="J2" s="2"/>
      <c r="K2" s="2"/>
      <c r="L2" s="2"/>
      <c r="M2" s="2"/>
      <c r="N2" s="2"/>
    </row>
    <row r="3" spans="1:14" ht="19.5" customHeight="1">
      <c r="A3" s="229" t="s">
        <v>1</v>
      </c>
      <c r="B3" s="232" t="s">
        <v>2</v>
      </c>
      <c r="C3" s="232"/>
      <c r="D3" s="232"/>
      <c r="E3" s="232"/>
      <c r="F3" s="232"/>
      <c r="G3" s="232"/>
      <c r="H3" s="233" t="s">
        <v>3</v>
      </c>
      <c r="I3" s="234"/>
      <c r="J3" s="242" t="s">
        <v>4</v>
      </c>
      <c r="K3" s="234"/>
      <c r="L3" s="233" t="s">
        <v>5</v>
      </c>
      <c r="M3" s="234"/>
      <c r="N3" s="237" t="s">
        <v>6</v>
      </c>
    </row>
    <row r="4" spans="1:14" ht="17.25" customHeight="1">
      <c r="A4" s="230"/>
      <c r="B4" s="240" t="s">
        <v>7</v>
      </c>
      <c r="C4" s="240"/>
      <c r="D4" s="235" t="s">
        <v>8</v>
      </c>
      <c r="E4" s="241"/>
      <c r="F4" s="235" t="s">
        <v>9</v>
      </c>
      <c r="G4" s="241"/>
      <c r="H4" s="235"/>
      <c r="I4" s="236"/>
      <c r="J4" s="235"/>
      <c r="K4" s="236"/>
      <c r="L4" s="235"/>
      <c r="M4" s="236"/>
      <c r="N4" s="238"/>
    </row>
    <row r="5" spans="1:14" s="4" customFormat="1" ht="28.5" customHeight="1">
      <c r="A5" s="231"/>
      <c r="B5" s="33" t="s">
        <v>10</v>
      </c>
      <c r="C5" s="34" t="s">
        <v>11</v>
      </c>
      <c r="D5" s="33" t="s">
        <v>10</v>
      </c>
      <c r="E5" s="34" t="s">
        <v>11</v>
      </c>
      <c r="F5" s="33" t="s">
        <v>10</v>
      </c>
      <c r="G5" s="38" t="s">
        <v>12</v>
      </c>
      <c r="H5" s="33" t="s">
        <v>91</v>
      </c>
      <c r="I5" s="37" t="s">
        <v>13</v>
      </c>
      <c r="J5" s="33" t="s">
        <v>91</v>
      </c>
      <c r="K5" s="37" t="s">
        <v>14</v>
      </c>
      <c r="L5" s="33" t="s">
        <v>91</v>
      </c>
      <c r="M5" s="35" t="s">
        <v>92</v>
      </c>
      <c r="N5" s="239"/>
    </row>
    <row r="6" spans="1:14" s="10" customFormat="1" ht="10.5">
      <c r="A6" s="5"/>
      <c r="B6" s="6" t="s">
        <v>15</v>
      </c>
      <c r="C6" s="7" t="s">
        <v>16</v>
      </c>
      <c r="D6" s="6" t="s">
        <v>15</v>
      </c>
      <c r="E6" s="7" t="s">
        <v>16</v>
      </c>
      <c r="F6" s="6" t="s">
        <v>15</v>
      </c>
      <c r="G6" s="7" t="s">
        <v>16</v>
      </c>
      <c r="H6" s="6" t="s">
        <v>15</v>
      </c>
      <c r="I6" s="8" t="s">
        <v>16</v>
      </c>
      <c r="J6" s="6" t="s">
        <v>15</v>
      </c>
      <c r="K6" s="8" t="s">
        <v>16</v>
      </c>
      <c r="L6" s="6" t="s">
        <v>245</v>
      </c>
      <c r="M6" s="8" t="s">
        <v>16</v>
      </c>
      <c r="N6" s="9"/>
    </row>
    <row r="7" spans="1:14" ht="15.75" customHeight="1">
      <c r="A7" s="11" t="s">
        <v>18</v>
      </c>
      <c r="B7" s="126">
        <f>_xlfn.COMPOUNDVALUE(1)</f>
        <v>988</v>
      </c>
      <c r="C7" s="127">
        <v>590505</v>
      </c>
      <c r="D7" s="126">
        <f>_xlfn.COMPOUNDVALUE(2)</f>
        <v>1717</v>
      </c>
      <c r="E7" s="127">
        <v>712859</v>
      </c>
      <c r="F7" s="126">
        <f>_xlfn.COMPOUNDVALUE(3)</f>
        <v>2705</v>
      </c>
      <c r="G7" s="127">
        <v>1303363</v>
      </c>
      <c r="H7" s="126">
        <f>_xlfn.COMPOUNDVALUE(4)</f>
        <v>37</v>
      </c>
      <c r="I7" s="128">
        <v>16542</v>
      </c>
      <c r="J7" s="126">
        <v>261</v>
      </c>
      <c r="K7" s="128">
        <v>74622</v>
      </c>
      <c r="L7" s="126">
        <v>2805</v>
      </c>
      <c r="M7" s="128">
        <v>1361443</v>
      </c>
      <c r="N7" s="12" t="s">
        <v>96</v>
      </c>
    </row>
    <row r="8" spans="1:14" ht="15.75" customHeight="1">
      <c r="A8" s="13" t="s">
        <v>19</v>
      </c>
      <c r="B8" s="129">
        <f>_xlfn.COMPOUNDVALUE(5)</f>
        <v>681</v>
      </c>
      <c r="C8" s="130">
        <v>380838</v>
      </c>
      <c r="D8" s="129">
        <f>_xlfn.COMPOUNDVALUE(6)</f>
        <v>1252</v>
      </c>
      <c r="E8" s="130">
        <v>428092</v>
      </c>
      <c r="F8" s="129">
        <f>_xlfn.COMPOUNDVALUE(7)</f>
        <v>1933</v>
      </c>
      <c r="G8" s="130">
        <v>808930</v>
      </c>
      <c r="H8" s="129">
        <f>_xlfn.COMPOUNDVALUE(8)</f>
        <v>28</v>
      </c>
      <c r="I8" s="131">
        <v>11104</v>
      </c>
      <c r="J8" s="129">
        <v>137</v>
      </c>
      <c r="K8" s="131">
        <v>16197</v>
      </c>
      <c r="L8" s="129">
        <v>2000</v>
      </c>
      <c r="M8" s="131">
        <v>814022</v>
      </c>
      <c r="N8" s="14" t="s">
        <v>97</v>
      </c>
    </row>
    <row r="9" spans="1:14" ht="15.75" customHeight="1">
      <c r="A9" s="13" t="s">
        <v>20</v>
      </c>
      <c r="B9" s="129">
        <f>_xlfn.COMPOUNDVALUE(9)</f>
        <v>975</v>
      </c>
      <c r="C9" s="130">
        <v>627464</v>
      </c>
      <c r="D9" s="129">
        <f>_xlfn.COMPOUNDVALUE(10)</f>
        <v>1548</v>
      </c>
      <c r="E9" s="130">
        <v>568728</v>
      </c>
      <c r="F9" s="129">
        <f>_xlfn.COMPOUNDVALUE(11)</f>
        <v>2523</v>
      </c>
      <c r="G9" s="130">
        <v>1196192</v>
      </c>
      <c r="H9" s="129">
        <f>_xlfn.COMPOUNDVALUE(12)</f>
        <v>63</v>
      </c>
      <c r="I9" s="131">
        <v>24244</v>
      </c>
      <c r="J9" s="129">
        <v>197</v>
      </c>
      <c r="K9" s="131">
        <v>32641</v>
      </c>
      <c r="L9" s="129">
        <v>2650</v>
      </c>
      <c r="M9" s="131">
        <v>1204590</v>
      </c>
      <c r="N9" s="14" t="s">
        <v>98</v>
      </c>
    </row>
    <row r="10" spans="1:14" ht="15.75" customHeight="1">
      <c r="A10" s="13" t="s">
        <v>21</v>
      </c>
      <c r="B10" s="129">
        <f>_xlfn.COMPOUNDVALUE(13)</f>
        <v>336</v>
      </c>
      <c r="C10" s="130">
        <v>220338</v>
      </c>
      <c r="D10" s="129">
        <f>_xlfn.COMPOUNDVALUE(14)</f>
        <v>738</v>
      </c>
      <c r="E10" s="130">
        <v>237651</v>
      </c>
      <c r="F10" s="129">
        <f>_xlfn.COMPOUNDVALUE(15)</f>
        <v>1074</v>
      </c>
      <c r="G10" s="130">
        <v>457990</v>
      </c>
      <c r="H10" s="129">
        <f>_xlfn.COMPOUNDVALUE(16)</f>
        <v>18</v>
      </c>
      <c r="I10" s="131">
        <v>9389</v>
      </c>
      <c r="J10" s="129">
        <v>81</v>
      </c>
      <c r="K10" s="131">
        <v>17803</v>
      </c>
      <c r="L10" s="129">
        <v>1113</v>
      </c>
      <c r="M10" s="131">
        <v>466404</v>
      </c>
      <c r="N10" s="14" t="s">
        <v>99</v>
      </c>
    </row>
    <row r="11" spans="1:14" ht="15.75" customHeight="1">
      <c r="A11" s="13" t="s">
        <v>22</v>
      </c>
      <c r="B11" s="129">
        <f>_xlfn.COMPOUNDVALUE(17)</f>
        <v>594</v>
      </c>
      <c r="C11" s="130">
        <v>330548</v>
      </c>
      <c r="D11" s="129">
        <f>_xlfn.COMPOUNDVALUE(18)</f>
        <v>1289</v>
      </c>
      <c r="E11" s="130">
        <v>425128</v>
      </c>
      <c r="F11" s="129">
        <f>_xlfn.COMPOUNDVALUE(19)</f>
        <v>1883</v>
      </c>
      <c r="G11" s="130">
        <v>755677</v>
      </c>
      <c r="H11" s="129">
        <f>_xlfn.COMPOUNDVALUE(20)</f>
        <v>34</v>
      </c>
      <c r="I11" s="131">
        <v>15653</v>
      </c>
      <c r="J11" s="129">
        <v>116</v>
      </c>
      <c r="K11" s="131">
        <v>16172</v>
      </c>
      <c r="L11" s="129">
        <v>1969</v>
      </c>
      <c r="M11" s="131">
        <v>756196</v>
      </c>
      <c r="N11" s="14" t="s">
        <v>100</v>
      </c>
    </row>
    <row r="12" spans="1:14" ht="15.75" customHeight="1">
      <c r="A12" s="13" t="s">
        <v>23</v>
      </c>
      <c r="B12" s="129">
        <f>_xlfn.COMPOUNDVALUE(21)</f>
        <v>933</v>
      </c>
      <c r="C12" s="130">
        <v>582845</v>
      </c>
      <c r="D12" s="129">
        <f>_xlfn.COMPOUNDVALUE(22)</f>
        <v>2110</v>
      </c>
      <c r="E12" s="130">
        <v>832678</v>
      </c>
      <c r="F12" s="129">
        <f>_xlfn.COMPOUNDVALUE(23)</f>
        <v>3043</v>
      </c>
      <c r="G12" s="130">
        <v>1415523</v>
      </c>
      <c r="H12" s="129">
        <f>_xlfn.COMPOUNDVALUE(24)</f>
        <v>85</v>
      </c>
      <c r="I12" s="131">
        <v>39215</v>
      </c>
      <c r="J12" s="129">
        <v>113</v>
      </c>
      <c r="K12" s="131">
        <v>12111</v>
      </c>
      <c r="L12" s="129">
        <v>3165</v>
      </c>
      <c r="M12" s="131">
        <v>1388419</v>
      </c>
      <c r="N12" s="14" t="s">
        <v>101</v>
      </c>
    </row>
    <row r="13" spans="1:14" ht="15.75" customHeight="1">
      <c r="A13" s="13" t="s">
        <v>24</v>
      </c>
      <c r="B13" s="129">
        <f>_xlfn.COMPOUNDVALUE(25)</f>
        <v>270</v>
      </c>
      <c r="C13" s="130">
        <v>168877</v>
      </c>
      <c r="D13" s="129">
        <f>_xlfn.COMPOUNDVALUE(26)</f>
        <v>633</v>
      </c>
      <c r="E13" s="130">
        <v>243856</v>
      </c>
      <c r="F13" s="129">
        <f>_xlfn.COMPOUNDVALUE(27)</f>
        <v>903</v>
      </c>
      <c r="G13" s="130">
        <v>412733</v>
      </c>
      <c r="H13" s="129">
        <f>_xlfn.COMPOUNDVALUE(28)</f>
        <v>21</v>
      </c>
      <c r="I13" s="131">
        <v>6807</v>
      </c>
      <c r="J13" s="129">
        <v>20</v>
      </c>
      <c r="K13" s="131">
        <v>11776</v>
      </c>
      <c r="L13" s="129">
        <v>933</v>
      </c>
      <c r="M13" s="131">
        <v>417702</v>
      </c>
      <c r="N13" s="14" t="s">
        <v>24</v>
      </c>
    </row>
    <row r="14" spans="1:14" s="17" customFormat="1" ht="15.75" customHeight="1">
      <c r="A14" s="15" t="s">
        <v>25</v>
      </c>
      <c r="B14" s="132">
        <v>4777</v>
      </c>
      <c r="C14" s="133">
        <v>2901415</v>
      </c>
      <c r="D14" s="132">
        <v>9287</v>
      </c>
      <c r="E14" s="133">
        <v>3448993</v>
      </c>
      <c r="F14" s="132">
        <v>14064</v>
      </c>
      <c r="G14" s="133">
        <v>6350408</v>
      </c>
      <c r="H14" s="132">
        <v>286</v>
      </c>
      <c r="I14" s="134">
        <v>122954</v>
      </c>
      <c r="J14" s="132">
        <v>925</v>
      </c>
      <c r="K14" s="134">
        <v>181323</v>
      </c>
      <c r="L14" s="132">
        <v>14635</v>
      </c>
      <c r="M14" s="134">
        <v>6408777</v>
      </c>
      <c r="N14" s="16" t="s">
        <v>95</v>
      </c>
    </row>
    <row r="15" spans="1:15" s="20" customFormat="1" ht="15.75" customHeight="1">
      <c r="A15" s="182"/>
      <c r="B15" s="181"/>
      <c r="C15" s="185"/>
      <c r="D15" s="181"/>
      <c r="E15" s="185"/>
      <c r="F15" s="181"/>
      <c r="G15" s="185"/>
      <c r="H15" s="187"/>
      <c r="I15" s="186"/>
      <c r="J15" s="181"/>
      <c r="K15" s="185"/>
      <c r="L15" s="187"/>
      <c r="M15" s="186"/>
      <c r="N15" s="183"/>
      <c r="O15" s="184"/>
    </row>
    <row r="16" spans="1:14" ht="15.75" customHeight="1">
      <c r="A16" s="11" t="s">
        <v>26</v>
      </c>
      <c r="B16" s="126">
        <f>_xlfn.COMPOUNDVALUE(29)</f>
        <v>1566</v>
      </c>
      <c r="C16" s="127">
        <v>966085</v>
      </c>
      <c r="D16" s="126">
        <f>_xlfn.COMPOUNDVALUE(30)</f>
        <v>2136</v>
      </c>
      <c r="E16" s="127">
        <v>891000</v>
      </c>
      <c r="F16" s="126">
        <f>_xlfn.COMPOUNDVALUE(31)</f>
        <v>3702</v>
      </c>
      <c r="G16" s="127">
        <v>1857085</v>
      </c>
      <c r="H16" s="126">
        <f>_xlfn.COMPOUNDVALUE(32)</f>
        <v>136</v>
      </c>
      <c r="I16" s="128">
        <v>84843</v>
      </c>
      <c r="J16" s="126">
        <v>363</v>
      </c>
      <c r="K16" s="128">
        <v>65557</v>
      </c>
      <c r="L16" s="126">
        <v>3951</v>
      </c>
      <c r="M16" s="128">
        <v>1837800</v>
      </c>
      <c r="N16" s="24" t="s">
        <v>102</v>
      </c>
    </row>
    <row r="17" spans="1:14" ht="15.75" customHeight="1">
      <c r="A17" s="13" t="s">
        <v>27</v>
      </c>
      <c r="B17" s="129">
        <f>_xlfn.COMPOUNDVALUE(33)</f>
        <v>321</v>
      </c>
      <c r="C17" s="130">
        <v>221217</v>
      </c>
      <c r="D17" s="129">
        <f>_xlfn.COMPOUNDVALUE(34)</f>
        <v>566</v>
      </c>
      <c r="E17" s="130">
        <v>224162</v>
      </c>
      <c r="F17" s="129">
        <f>_xlfn.COMPOUNDVALUE(35)</f>
        <v>887</v>
      </c>
      <c r="G17" s="130">
        <v>445380</v>
      </c>
      <c r="H17" s="129">
        <f>_xlfn.COMPOUNDVALUE(36)</f>
        <v>30</v>
      </c>
      <c r="I17" s="131">
        <v>31692</v>
      </c>
      <c r="J17" s="129">
        <v>107</v>
      </c>
      <c r="K17" s="131">
        <v>10862</v>
      </c>
      <c r="L17" s="129">
        <v>936</v>
      </c>
      <c r="M17" s="131">
        <v>424550</v>
      </c>
      <c r="N17" s="14" t="s">
        <v>103</v>
      </c>
    </row>
    <row r="18" spans="1:14" ht="15.75" customHeight="1">
      <c r="A18" s="13" t="s">
        <v>28</v>
      </c>
      <c r="B18" s="129">
        <f>_xlfn.COMPOUNDVALUE(37)</f>
        <v>355</v>
      </c>
      <c r="C18" s="130">
        <v>267153</v>
      </c>
      <c r="D18" s="129">
        <f>_xlfn.COMPOUNDVALUE(38)</f>
        <v>454</v>
      </c>
      <c r="E18" s="130">
        <v>176227</v>
      </c>
      <c r="F18" s="129">
        <f>_xlfn.COMPOUNDVALUE(39)</f>
        <v>809</v>
      </c>
      <c r="G18" s="130">
        <v>443381</v>
      </c>
      <c r="H18" s="129">
        <f>_xlfn.COMPOUNDVALUE(40)</f>
        <v>34</v>
      </c>
      <c r="I18" s="131">
        <v>26861</v>
      </c>
      <c r="J18" s="129">
        <v>83</v>
      </c>
      <c r="K18" s="131">
        <v>12019</v>
      </c>
      <c r="L18" s="129">
        <v>854</v>
      </c>
      <c r="M18" s="131">
        <v>428538</v>
      </c>
      <c r="N18" s="14" t="s">
        <v>104</v>
      </c>
    </row>
    <row r="19" spans="1:14" ht="15.75" customHeight="1">
      <c r="A19" s="13" t="s">
        <v>29</v>
      </c>
      <c r="B19" s="129">
        <f>_xlfn.COMPOUNDVALUE(41)</f>
        <v>513</v>
      </c>
      <c r="C19" s="130">
        <v>317785</v>
      </c>
      <c r="D19" s="129">
        <f>_xlfn.COMPOUNDVALUE(42)</f>
        <v>664</v>
      </c>
      <c r="E19" s="130">
        <v>261295</v>
      </c>
      <c r="F19" s="129">
        <f>_xlfn.COMPOUNDVALUE(43)</f>
        <v>1177</v>
      </c>
      <c r="G19" s="130">
        <v>579080</v>
      </c>
      <c r="H19" s="129">
        <f>_xlfn.COMPOUNDVALUE(44)</f>
        <v>61</v>
      </c>
      <c r="I19" s="131">
        <v>30139</v>
      </c>
      <c r="J19" s="129">
        <v>140</v>
      </c>
      <c r="K19" s="131">
        <v>19065</v>
      </c>
      <c r="L19" s="129">
        <v>1274</v>
      </c>
      <c r="M19" s="131">
        <v>568006</v>
      </c>
      <c r="N19" s="14" t="s">
        <v>105</v>
      </c>
    </row>
    <row r="20" spans="1:14" ht="15.75" customHeight="1">
      <c r="A20" s="13" t="s">
        <v>30</v>
      </c>
      <c r="B20" s="129">
        <f>_xlfn.COMPOUNDVALUE(45)</f>
        <v>614</v>
      </c>
      <c r="C20" s="130">
        <v>378701</v>
      </c>
      <c r="D20" s="129">
        <f>_xlfn.COMPOUNDVALUE(46)</f>
        <v>772</v>
      </c>
      <c r="E20" s="130">
        <v>295586</v>
      </c>
      <c r="F20" s="129">
        <f>_xlfn.COMPOUNDVALUE(47)</f>
        <v>1386</v>
      </c>
      <c r="G20" s="130">
        <v>674287</v>
      </c>
      <c r="H20" s="129">
        <f>_xlfn.COMPOUNDVALUE(48)</f>
        <v>61</v>
      </c>
      <c r="I20" s="131">
        <v>26804</v>
      </c>
      <c r="J20" s="129">
        <v>81</v>
      </c>
      <c r="K20" s="131">
        <v>15682</v>
      </c>
      <c r="L20" s="129">
        <v>1470</v>
      </c>
      <c r="M20" s="131">
        <v>663165</v>
      </c>
      <c r="N20" s="14" t="s">
        <v>106</v>
      </c>
    </row>
    <row r="21" spans="1:14" ht="15.75" customHeight="1">
      <c r="A21" s="13" t="s">
        <v>31</v>
      </c>
      <c r="B21" s="129">
        <f>_xlfn.COMPOUNDVALUE(49)</f>
        <v>372</v>
      </c>
      <c r="C21" s="130">
        <v>218401</v>
      </c>
      <c r="D21" s="129">
        <f>_xlfn.COMPOUNDVALUE(50)</f>
        <v>333</v>
      </c>
      <c r="E21" s="130">
        <v>125486</v>
      </c>
      <c r="F21" s="129">
        <f>_xlfn.COMPOUNDVALUE(51)</f>
        <v>705</v>
      </c>
      <c r="G21" s="130">
        <v>343886</v>
      </c>
      <c r="H21" s="129">
        <f>_xlfn.COMPOUNDVALUE(52)</f>
        <v>24</v>
      </c>
      <c r="I21" s="131">
        <v>14602</v>
      </c>
      <c r="J21" s="129">
        <v>59</v>
      </c>
      <c r="K21" s="131">
        <v>16136</v>
      </c>
      <c r="L21" s="129">
        <v>748</v>
      </c>
      <c r="M21" s="131">
        <v>345421</v>
      </c>
      <c r="N21" s="14" t="s">
        <v>107</v>
      </c>
    </row>
    <row r="22" spans="1:14" ht="15.75" customHeight="1">
      <c r="A22" s="13" t="s">
        <v>32</v>
      </c>
      <c r="B22" s="129">
        <f>_xlfn.COMPOUNDVALUE(53)</f>
        <v>467</v>
      </c>
      <c r="C22" s="130">
        <v>247525</v>
      </c>
      <c r="D22" s="129">
        <f>_xlfn.COMPOUNDVALUE(54)</f>
        <v>576</v>
      </c>
      <c r="E22" s="130">
        <v>214545</v>
      </c>
      <c r="F22" s="129">
        <f>_xlfn.COMPOUNDVALUE(55)</f>
        <v>1043</v>
      </c>
      <c r="G22" s="130">
        <v>462070</v>
      </c>
      <c r="H22" s="129">
        <f>_xlfn.COMPOUNDVALUE(56)</f>
        <v>47</v>
      </c>
      <c r="I22" s="131">
        <v>17485</v>
      </c>
      <c r="J22" s="129">
        <v>119</v>
      </c>
      <c r="K22" s="131">
        <v>25926</v>
      </c>
      <c r="L22" s="129">
        <v>1124</v>
      </c>
      <c r="M22" s="131">
        <v>470510</v>
      </c>
      <c r="N22" s="14" t="s">
        <v>108</v>
      </c>
    </row>
    <row r="23" spans="1:14" ht="15.75" customHeight="1">
      <c r="A23" s="13" t="s">
        <v>33</v>
      </c>
      <c r="B23" s="129">
        <f>_xlfn.COMPOUNDVALUE(57)</f>
        <v>268</v>
      </c>
      <c r="C23" s="130">
        <v>222565</v>
      </c>
      <c r="D23" s="129">
        <f>_xlfn.COMPOUNDVALUE(58)</f>
        <v>384</v>
      </c>
      <c r="E23" s="130">
        <v>150203</v>
      </c>
      <c r="F23" s="129">
        <f>_xlfn.COMPOUNDVALUE(59)</f>
        <v>652</v>
      </c>
      <c r="G23" s="130">
        <v>372768</v>
      </c>
      <c r="H23" s="129">
        <f>_xlfn.COMPOUNDVALUE(60)</f>
        <v>24</v>
      </c>
      <c r="I23" s="131">
        <v>24340</v>
      </c>
      <c r="J23" s="129">
        <v>77</v>
      </c>
      <c r="K23" s="131">
        <v>11324</v>
      </c>
      <c r="L23" s="129">
        <v>696</v>
      </c>
      <c r="M23" s="131">
        <v>359752</v>
      </c>
      <c r="N23" s="14" t="s">
        <v>109</v>
      </c>
    </row>
    <row r="24" spans="1:14" ht="15.75" customHeight="1">
      <c r="A24" s="13" t="s">
        <v>34</v>
      </c>
      <c r="B24" s="129">
        <f>_xlfn.COMPOUNDVALUE(61)</f>
        <v>329</v>
      </c>
      <c r="C24" s="130">
        <v>229781</v>
      </c>
      <c r="D24" s="129">
        <f>_xlfn.COMPOUNDVALUE(62)</f>
        <v>421</v>
      </c>
      <c r="E24" s="130">
        <v>147634</v>
      </c>
      <c r="F24" s="129">
        <f>_xlfn.COMPOUNDVALUE(63)</f>
        <v>750</v>
      </c>
      <c r="G24" s="130">
        <v>377415</v>
      </c>
      <c r="H24" s="129">
        <f>_xlfn.COMPOUNDVALUE(64)</f>
        <v>26</v>
      </c>
      <c r="I24" s="131">
        <v>42197</v>
      </c>
      <c r="J24" s="129">
        <v>29</v>
      </c>
      <c r="K24" s="131">
        <v>5464</v>
      </c>
      <c r="L24" s="129">
        <v>783</v>
      </c>
      <c r="M24" s="131">
        <v>340682</v>
      </c>
      <c r="N24" s="14" t="s">
        <v>110</v>
      </c>
    </row>
    <row r="25" spans="1:14" s="17" customFormat="1" ht="15.75" customHeight="1">
      <c r="A25" s="15" t="s">
        <v>35</v>
      </c>
      <c r="B25" s="132">
        <v>4805</v>
      </c>
      <c r="C25" s="133">
        <v>3069214</v>
      </c>
      <c r="D25" s="132">
        <v>6306</v>
      </c>
      <c r="E25" s="133">
        <v>2486138</v>
      </c>
      <c r="F25" s="132">
        <v>11111</v>
      </c>
      <c r="G25" s="133">
        <v>5555352</v>
      </c>
      <c r="H25" s="132">
        <v>443</v>
      </c>
      <c r="I25" s="134">
        <v>298962</v>
      </c>
      <c r="J25" s="132">
        <v>1058</v>
      </c>
      <c r="K25" s="134">
        <v>182035</v>
      </c>
      <c r="L25" s="132">
        <v>11836</v>
      </c>
      <c r="M25" s="134">
        <v>5438425</v>
      </c>
      <c r="N25" s="16" t="s">
        <v>111</v>
      </c>
    </row>
    <row r="26" spans="1:15" s="20" customFormat="1" ht="15.75" customHeight="1">
      <c r="A26" s="23"/>
      <c r="B26" s="187"/>
      <c r="C26" s="185"/>
      <c r="D26" s="181"/>
      <c r="E26" s="189"/>
      <c r="F26" s="187"/>
      <c r="G26" s="181"/>
      <c r="H26" s="187"/>
      <c r="I26" s="181"/>
      <c r="J26" s="187"/>
      <c r="K26" s="185"/>
      <c r="L26" s="181"/>
      <c r="M26" s="185"/>
      <c r="N26" s="183"/>
      <c r="O26" s="184"/>
    </row>
    <row r="27" spans="1:14" s="17" customFormat="1" ht="15.75" customHeight="1">
      <c r="A27" s="11" t="s">
        <v>36</v>
      </c>
      <c r="B27" s="126">
        <f>_xlfn.COMPOUNDVALUE(65)</f>
        <v>1804</v>
      </c>
      <c r="C27" s="127">
        <v>1120743</v>
      </c>
      <c r="D27" s="126">
        <f>_xlfn.COMPOUNDVALUE(66)</f>
        <v>2089</v>
      </c>
      <c r="E27" s="127">
        <v>973371</v>
      </c>
      <c r="F27" s="126">
        <f>_xlfn.COMPOUNDVALUE(67)</f>
        <v>3893</v>
      </c>
      <c r="G27" s="127">
        <v>2094114</v>
      </c>
      <c r="H27" s="126">
        <f>_xlfn.COMPOUNDVALUE(68)</f>
        <v>133</v>
      </c>
      <c r="I27" s="128">
        <v>195009</v>
      </c>
      <c r="J27" s="126">
        <v>531</v>
      </c>
      <c r="K27" s="128">
        <v>109839</v>
      </c>
      <c r="L27" s="126">
        <v>4247</v>
      </c>
      <c r="M27" s="128">
        <v>2008944</v>
      </c>
      <c r="N27" s="24" t="s">
        <v>112</v>
      </c>
    </row>
    <row r="28" spans="1:14" s="17" customFormat="1" ht="15.75" customHeight="1">
      <c r="A28" s="13" t="s">
        <v>37</v>
      </c>
      <c r="B28" s="129">
        <f>_xlfn.COMPOUNDVALUE(69)</f>
        <v>879</v>
      </c>
      <c r="C28" s="130">
        <v>597520</v>
      </c>
      <c r="D28" s="129">
        <f>_xlfn.COMPOUNDVALUE(70)</f>
        <v>1200</v>
      </c>
      <c r="E28" s="130">
        <v>582643</v>
      </c>
      <c r="F28" s="129">
        <f>_xlfn.COMPOUNDVALUE(71)</f>
        <v>2079</v>
      </c>
      <c r="G28" s="130">
        <v>1180163</v>
      </c>
      <c r="H28" s="129">
        <f>_xlfn.COMPOUNDVALUE(72)</f>
        <v>53</v>
      </c>
      <c r="I28" s="131">
        <v>53485</v>
      </c>
      <c r="J28" s="129">
        <v>221</v>
      </c>
      <c r="K28" s="131">
        <v>45609</v>
      </c>
      <c r="L28" s="129">
        <v>2246</v>
      </c>
      <c r="M28" s="131">
        <v>1172287</v>
      </c>
      <c r="N28" s="14" t="s">
        <v>113</v>
      </c>
    </row>
    <row r="29" spans="1:14" s="17" customFormat="1" ht="15.75" customHeight="1">
      <c r="A29" s="13" t="s">
        <v>38</v>
      </c>
      <c r="B29" s="129">
        <f>_xlfn.COMPOUNDVALUE(73)</f>
        <v>922</v>
      </c>
      <c r="C29" s="130">
        <v>527085</v>
      </c>
      <c r="D29" s="129">
        <f>_xlfn.COMPOUNDVALUE(74)</f>
        <v>1522</v>
      </c>
      <c r="E29" s="130">
        <v>591593</v>
      </c>
      <c r="F29" s="129">
        <f>_xlfn.COMPOUNDVALUE(75)</f>
        <v>2444</v>
      </c>
      <c r="G29" s="130">
        <v>1118678</v>
      </c>
      <c r="H29" s="129">
        <f>_xlfn.COMPOUNDVALUE(76)</f>
        <v>71</v>
      </c>
      <c r="I29" s="131">
        <v>90317</v>
      </c>
      <c r="J29" s="129">
        <v>240</v>
      </c>
      <c r="K29" s="131">
        <v>46220</v>
      </c>
      <c r="L29" s="129">
        <v>2612</v>
      </c>
      <c r="M29" s="131">
        <v>1074581</v>
      </c>
      <c r="N29" s="14" t="s">
        <v>114</v>
      </c>
    </row>
    <row r="30" spans="1:14" s="17" customFormat="1" ht="15.75" customHeight="1">
      <c r="A30" s="13" t="s">
        <v>39</v>
      </c>
      <c r="B30" s="129">
        <f>_xlfn.COMPOUNDVALUE(77)</f>
        <v>856</v>
      </c>
      <c r="C30" s="130">
        <v>625541</v>
      </c>
      <c r="D30" s="129">
        <f>_xlfn.COMPOUNDVALUE(78)</f>
        <v>1532</v>
      </c>
      <c r="E30" s="130">
        <v>619032</v>
      </c>
      <c r="F30" s="129">
        <f>_xlfn.COMPOUNDVALUE(79)</f>
        <v>2388</v>
      </c>
      <c r="G30" s="130">
        <v>1244572</v>
      </c>
      <c r="H30" s="129">
        <f>_xlfn.COMPOUNDVALUE(80)</f>
        <v>68</v>
      </c>
      <c r="I30" s="131">
        <v>76631</v>
      </c>
      <c r="J30" s="129">
        <v>291</v>
      </c>
      <c r="K30" s="131">
        <v>76984</v>
      </c>
      <c r="L30" s="129">
        <v>2564</v>
      </c>
      <c r="M30" s="131">
        <v>1244925</v>
      </c>
      <c r="N30" s="14" t="s">
        <v>115</v>
      </c>
    </row>
    <row r="31" spans="1:14" s="17" customFormat="1" ht="15.75" customHeight="1">
      <c r="A31" s="13" t="s">
        <v>40</v>
      </c>
      <c r="B31" s="129">
        <f>_xlfn.COMPOUNDVALUE(81)</f>
        <v>539</v>
      </c>
      <c r="C31" s="130">
        <v>267931</v>
      </c>
      <c r="D31" s="129">
        <f>_xlfn.COMPOUNDVALUE(82)</f>
        <v>790</v>
      </c>
      <c r="E31" s="130">
        <v>288989</v>
      </c>
      <c r="F31" s="129">
        <f>_xlfn.COMPOUNDVALUE(83)</f>
        <v>1329</v>
      </c>
      <c r="G31" s="130">
        <v>556920</v>
      </c>
      <c r="H31" s="129">
        <f>_xlfn.COMPOUNDVALUE(84)</f>
        <v>49</v>
      </c>
      <c r="I31" s="131">
        <v>28355</v>
      </c>
      <c r="J31" s="129">
        <v>209</v>
      </c>
      <c r="K31" s="131">
        <v>22727</v>
      </c>
      <c r="L31" s="129">
        <v>1494</v>
      </c>
      <c r="M31" s="131">
        <v>551293</v>
      </c>
      <c r="N31" s="14" t="s">
        <v>116</v>
      </c>
    </row>
    <row r="32" spans="1:14" s="17" customFormat="1" ht="15.75" customHeight="1">
      <c r="A32" s="13" t="s">
        <v>41</v>
      </c>
      <c r="B32" s="129">
        <f>_xlfn.COMPOUNDVALUE(85)</f>
        <v>808</v>
      </c>
      <c r="C32" s="130">
        <v>448143</v>
      </c>
      <c r="D32" s="129">
        <f>_xlfn.COMPOUNDVALUE(86)</f>
        <v>1276</v>
      </c>
      <c r="E32" s="130">
        <v>483175</v>
      </c>
      <c r="F32" s="129">
        <f>_xlfn.COMPOUNDVALUE(87)</f>
        <v>2084</v>
      </c>
      <c r="G32" s="130">
        <v>931317</v>
      </c>
      <c r="H32" s="129">
        <f>_xlfn.COMPOUNDVALUE(88)</f>
        <v>98</v>
      </c>
      <c r="I32" s="131">
        <v>54039</v>
      </c>
      <c r="J32" s="129">
        <v>171</v>
      </c>
      <c r="K32" s="131">
        <v>29119</v>
      </c>
      <c r="L32" s="129">
        <v>2254</v>
      </c>
      <c r="M32" s="131">
        <v>906397</v>
      </c>
      <c r="N32" s="14" t="s">
        <v>117</v>
      </c>
    </row>
    <row r="33" spans="1:14" s="17" customFormat="1" ht="15.75" customHeight="1">
      <c r="A33" s="13" t="s">
        <v>42</v>
      </c>
      <c r="B33" s="129">
        <f>_xlfn.COMPOUNDVALUE(89)</f>
        <v>384</v>
      </c>
      <c r="C33" s="130">
        <v>264373</v>
      </c>
      <c r="D33" s="129">
        <f>_xlfn.COMPOUNDVALUE(90)</f>
        <v>538</v>
      </c>
      <c r="E33" s="130">
        <v>209257</v>
      </c>
      <c r="F33" s="129">
        <f>_xlfn.COMPOUNDVALUE(91)</f>
        <v>922</v>
      </c>
      <c r="G33" s="130">
        <v>473630</v>
      </c>
      <c r="H33" s="129">
        <f>_xlfn.COMPOUNDVALUE(92)</f>
        <v>34</v>
      </c>
      <c r="I33" s="131">
        <v>55405</v>
      </c>
      <c r="J33" s="129">
        <v>85</v>
      </c>
      <c r="K33" s="131">
        <v>10649</v>
      </c>
      <c r="L33" s="129">
        <v>973</v>
      </c>
      <c r="M33" s="131">
        <v>428875</v>
      </c>
      <c r="N33" s="14" t="s">
        <v>118</v>
      </c>
    </row>
    <row r="34" spans="1:14" s="17" customFormat="1" ht="15.75" customHeight="1">
      <c r="A34" s="13" t="s">
        <v>43</v>
      </c>
      <c r="B34" s="129">
        <f>_xlfn.COMPOUNDVALUE(93)</f>
        <v>596</v>
      </c>
      <c r="C34" s="130">
        <v>336846</v>
      </c>
      <c r="D34" s="129">
        <f>_xlfn.COMPOUNDVALUE(94)</f>
        <v>843</v>
      </c>
      <c r="E34" s="130">
        <v>307695</v>
      </c>
      <c r="F34" s="129">
        <f>_xlfn.COMPOUNDVALUE(95)</f>
        <v>1439</v>
      </c>
      <c r="G34" s="130">
        <v>644541</v>
      </c>
      <c r="H34" s="129">
        <f>_xlfn.COMPOUNDVALUE(96)</f>
        <v>55</v>
      </c>
      <c r="I34" s="131">
        <v>34426</v>
      </c>
      <c r="J34" s="129">
        <v>168</v>
      </c>
      <c r="K34" s="131">
        <v>19380</v>
      </c>
      <c r="L34" s="129">
        <v>1552</v>
      </c>
      <c r="M34" s="131">
        <v>629496</v>
      </c>
      <c r="N34" s="14" t="s">
        <v>119</v>
      </c>
    </row>
    <row r="35" spans="1:14" s="17" customFormat="1" ht="15.75" customHeight="1">
      <c r="A35" s="13" t="s">
        <v>44</v>
      </c>
      <c r="B35" s="129">
        <f>_xlfn.COMPOUNDVALUE(97)</f>
        <v>331</v>
      </c>
      <c r="C35" s="130">
        <v>174149</v>
      </c>
      <c r="D35" s="129">
        <f>_xlfn.COMPOUNDVALUE(98)</f>
        <v>397</v>
      </c>
      <c r="E35" s="130">
        <v>147286</v>
      </c>
      <c r="F35" s="129">
        <f>_xlfn.COMPOUNDVALUE(99)</f>
        <v>728</v>
      </c>
      <c r="G35" s="130">
        <v>321435</v>
      </c>
      <c r="H35" s="129">
        <f>_xlfn.COMPOUNDVALUE(100)</f>
        <v>27</v>
      </c>
      <c r="I35" s="131">
        <v>20199</v>
      </c>
      <c r="J35" s="129">
        <v>134</v>
      </c>
      <c r="K35" s="131">
        <v>-1740</v>
      </c>
      <c r="L35" s="129">
        <v>781</v>
      </c>
      <c r="M35" s="131">
        <v>299497</v>
      </c>
      <c r="N35" s="14" t="s">
        <v>120</v>
      </c>
    </row>
    <row r="36" spans="1:14" s="17" customFormat="1" ht="15.75" customHeight="1">
      <c r="A36" s="13" t="s">
        <v>45</v>
      </c>
      <c r="B36" s="129">
        <f>_xlfn.COMPOUNDVALUE(101)</f>
        <v>450</v>
      </c>
      <c r="C36" s="130">
        <v>241059</v>
      </c>
      <c r="D36" s="129">
        <f>_xlfn.COMPOUNDVALUE(102)</f>
        <v>624</v>
      </c>
      <c r="E36" s="130">
        <v>225265</v>
      </c>
      <c r="F36" s="129">
        <f>_xlfn.COMPOUNDVALUE(103)</f>
        <v>1074</v>
      </c>
      <c r="G36" s="130">
        <v>466324</v>
      </c>
      <c r="H36" s="129">
        <f>_xlfn.COMPOUNDVALUE(104)</f>
        <v>51</v>
      </c>
      <c r="I36" s="131">
        <v>22010</v>
      </c>
      <c r="J36" s="129">
        <v>54</v>
      </c>
      <c r="K36" s="131">
        <v>8236</v>
      </c>
      <c r="L36" s="129">
        <v>1142</v>
      </c>
      <c r="M36" s="131">
        <v>452549</v>
      </c>
      <c r="N36" s="14" t="s">
        <v>121</v>
      </c>
    </row>
    <row r="37" spans="1:14" s="17" customFormat="1" ht="15.75" customHeight="1">
      <c r="A37" s="15" t="s">
        <v>46</v>
      </c>
      <c r="B37" s="132">
        <v>7569</v>
      </c>
      <c r="C37" s="133">
        <v>4603390</v>
      </c>
      <c r="D37" s="132">
        <v>10811</v>
      </c>
      <c r="E37" s="133">
        <v>4428306</v>
      </c>
      <c r="F37" s="132">
        <v>18380</v>
      </c>
      <c r="G37" s="133">
        <v>9031696</v>
      </c>
      <c r="H37" s="132">
        <v>639</v>
      </c>
      <c r="I37" s="134">
        <v>629876</v>
      </c>
      <c r="J37" s="132">
        <v>2104</v>
      </c>
      <c r="K37" s="134">
        <v>367023</v>
      </c>
      <c r="L37" s="132">
        <v>19865</v>
      </c>
      <c r="M37" s="134">
        <v>8768843</v>
      </c>
      <c r="N37" s="16" t="s">
        <v>122</v>
      </c>
    </row>
    <row r="38" spans="1:14" s="17" customFormat="1" ht="15.75" customHeight="1">
      <c r="A38" s="102"/>
      <c r="B38" s="135"/>
      <c r="C38" s="136"/>
      <c r="D38" s="135"/>
      <c r="E38" s="136"/>
      <c r="F38" s="137"/>
      <c r="G38" s="136"/>
      <c r="H38" s="137"/>
      <c r="I38" s="136"/>
      <c r="J38" s="137"/>
      <c r="K38" s="136"/>
      <c r="L38" s="137"/>
      <c r="M38" s="136"/>
      <c r="N38" s="103"/>
    </row>
    <row r="39" spans="1:14" s="17" customFormat="1" ht="15.75" customHeight="1">
      <c r="A39" s="11" t="s">
        <v>47</v>
      </c>
      <c r="B39" s="126">
        <f>_xlfn.COMPOUNDVALUE(105)</f>
        <v>686</v>
      </c>
      <c r="C39" s="127">
        <v>371354</v>
      </c>
      <c r="D39" s="126">
        <f>_xlfn.COMPOUNDVALUE(106)</f>
        <v>922</v>
      </c>
      <c r="E39" s="127">
        <v>391825</v>
      </c>
      <c r="F39" s="126">
        <f>_xlfn.COMPOUNDVALUE(107)</f>
        <v>1608</v>
      </c>
      <c r="G39" s="127">
        <v>763179</v>
      </c>
      <c r="H39" s="126">
        <f>_xlfn.COMPOUNDVALUE(108)</f>
        <v>30</v>
      </c>
      <c r="I39" s="128">
        <v>4146</v>
      </c>
      <c r="J39" s="126">
        <v>149</v>
      </c>
      <c r="K39" s="128">
        <v>42057</v>
      </c>
      <c r="L39" s="126">
        <v>1702</v>
      </c>
      <c r="M39" s="128">
        <v>801091</v>
      </c>
      <c r="N39" s="12" t="s">
        <v>123</v>
      </c>
    </row>
    <row r="40" spans="1:14" s="17" customFormat="1" ht="15.75" customHeight="1">
      <c r="A40" s="13" t="s">
        <v>48</v>
      </c>
      <c r="B40" s="129">
        <f>_xlfn.COMPOUNDVALUE(109)</f>
        <v>415</v>
      </c>
      <c r="C40" s="130">
        <v>224596</v>
      </c>
      <c r="D40" s="129">
        <f>_xlfn.COMPOUNDVALUE(110)</f>
        <v>1153</v>
      </c>
      <c r="E40" s="130">
        <v>448917</v>
      </c>
      <c r="F40" s="129">
        <f>_xlfn.COMPOUNDVALUE(111)</f>
        <v>1568</v>
      </c>
      <c r="G40" s="130">
        <v>673513</v>
      </c>
      <c r="H40" s="129">
        <f>_xlfn.COMPOUNDVALUE(112)</f>
        <v>26</v>
      </c>
      <c r="I40" s="131">
        <v>7980</v>
      </c>
      <c r="J40" s="129">
        <v>80</v>
      </c>
      <c r="K40" s="131">
        <v>32479</v>
      </c>
      <c r="L40" s="129">
        <v>1640</v>
      </c>
      <c r="M40" s="131">
        <v>698013</v>
      </c>
      <c r="N40" s="14" t="s">
        <v>124</v>
      </c>
    </row>
    <row r="41" spans="1:14" s="17" customFormat="1" ht="15.75" customHeight="1">
      <c r="A41" s="13" t="s">
        <v>49</v>
      </c>
      <c r="B41" s="129">
        <f>_xlfn.COMPOUNDVALUE(113)</f>
        <v>314</v>
      </c>
      <c r="C41" s="130">
        <v>198307</v>
      </c>
      <c r="D41" s="129">
        <f>_xlfn.COMPOUNDVALUE(114)</f>
        <v>606</v>
      </c>
      <c r="E41" s="130">
        <v>222047</v>
      </c>
      <c r="F41" s="129">
        <f>_xlfn.COMPOUNDVALUE(115)</f>
        <v>920</v>
      </c>
      <c r="G41" s="130">
        <v>420354</v>
      </c>
      <c r="H41" s="129">
        <f>_xlfn.COMPOUNDVALUE(116)</f>
        <v>29</v>
      </c>
      <c r="I41" s="131">
        <v>14077</v>
      </c>
      <c r="J41" s="129">
        <v>56</v>
      </c>
      <c r="K41" s="131">
        <v>9201</v>
      </c>
      <c r="L41" s="129">
        <v>962</v>
      </c>
      <c r="M41" s="131">
        <v>415478</v>
      </c>
      <c r="N41" s="14" t="s">
        <v>125</v>
      </c>
    </row>
    <row r="42" spans="1:14" s="17" customFormat="1" ht="15.75" customHeight="1">
      <c r="A42" s="13" t="s">
        <v>50</v>
      </c>
      <c r="B42" s="129">
        <f>_xlfn.COMPOUNDVALUE(117)</f>
        <v>311</v>
      </c>
      <c r="C42" s="130">
        <v>147209</v>
      </c>
      <c r="D42" s="129">
        <f>_xlfn.COMPOUNDVALUE(118)</f>
        <v>583</v>
      </c>
      <c r="E42" s="130">
        <v>201266</v>
      </c>
      <c r="F42" s="129">
        <f>_xlfn.COMPOUNDVALUE(119)</f>
        <v>894</v>
      </c>
      <c r="G42" s="130">
        <v>348475</v>
      </c>
      <c r="H42" s="129">
        <f>_xlfn.COMPOUNDVALUE(120)</f>
        <v>29</v>
      </c>
      <c r="I42" s="131">
        <v>11314</v>
      </c>
      <c r="J42" s="129">
        <v>69</v>
      </c>
      <c r="K42" s="131">
        <v>6661</v>
      </c>
      <c r="L42" s="129">
        <v>950</v>
      </c>
      <c r="M42" s="131">
        <v>343822</v>
      </c>
      <c r="N42" s="14" t="s">
        <v>126</v>
      </c>
    </row>
    <row r="43" spans="1:14" s="17" customFormat="1" ht="15.75" customHeight="1">
      <c r="A43" s="13" t="s">
        <v>51</v>
      </c>
      <c r="B43" s="129">
        <f>_xlfn.COMPOUNDVALUE(121)</f>
        <v>413</v>
      </c>
      <c r="C43" s="130">
        <v>233039</v>
      </c>
      <c r="D43" s="129">
        <f>_xlfn.COMPOUNDVALUE(122)</f>
        <v>736</v>
      </c>
      <c r="E43" s="130">
        <v>270100</v>
      </c>
      <c r="F43" s="129">
        <f>_xlfn.COMPOUNDVALUE(123)</f>
        <v>1149</v>
      </c>
      <c r="G43" s="130">
        <v>503139</v>
      </c>
      <c r="H43" s="129">
        <f>_xlfn.COMPOUNDVALUE(124)</f>
        <v>30</v>
      </c>
      <c r="I43" s="131">
        <v>12830</v>
      </c>
      <c r="J43" s="129">
        <v>95</v>
      </c>
      <c r="K43" s="131">
        <v>22363</v>
      </c>
      <c r="L43" s="129">
        <v>1220</v>
      </c>
      <c r="M43" s="131">
        <v>512672</v>
      </c>
      <c r="N43" s="14" t="s">
        <v>127</v>
      </c>
    </row>
    <row r="44" spans="1:14" s="17" customFormat="1" ht="15.75" customHeight="1">
      <c r="A44" s="13" t="s">
        <v>52</v>
      </c>
      <c r="B44" s="129">
        <f>_xlfn.COMPOUNDVALUE(125)</f>
        <v>337</v>
      </c>
      <c r="C44" s="130">
        <v>204623</v>
      </c>
      <c r="D44" s="129">
        <f>_xlfn.COMPOUNDVALUE(126)</f>
        <v>583</v>
      </c>
      <c r="E44" s="130">
        <v>205756</v>
      </c>
      <c r="F44" s="129">
        <f>_xlfn.COMPOUNDVALUE(127)</f>
        <v>920</v>
      </c>
      <c r="G44" s="130">
        <v>410379</v>
      </c>
      <c r="H44" s="129">
        <f>_xlfn.COMPOUNDVALUE(128)</f>
        <v>26</v>
      </c>
      <c r="I44" s="131">
        <v>19462</v>
      </c>
      <c r="J44" s="129">
        <v>67</v>
      </c>
      <c r="K44" s="131">
        <v>15103</v>
      </c>
      <c r="L44" s="129">
        <v>973</v>
      </c>
      <c r="M44" s="131">
        <v>406020</v>
      </c>
      <c r="N44" s="14" t="s">
        <v>128</v>
      </c>
    </row>
    <row r="45" spans="1:14" s="17" customFormat="1" ht="15.75" customHeight="1">
      <c r="A45" s="13" t="s">
        <v>53</v>
      </c>
      <c r="B45" s="129">
        <f>_xlfn.COMPOUNDVALUE(129)</f>
        <v>291</v>
      </c>
      <c r="C45" s="130">
        <v>160915</v>
      </c>
      <c r="D45" s="129">
        <f>_xlfn.COMPOUNDVALUE(130)</f>
        <v>420</v>
      </c>
      <c r="E45" s="130">
        <v>145689</v>
      </c>
      <c r="F45" s="129">
        <f>_xlfn.COMPOUNDVALUE(131)</f>
        <v>711</v>
      </c>
      <c r="G45" s="130">
        <v>306604</v>
      </c>
      <c r="H45" s="129">
        <f>_xlfn.COMPOUNDVALUE(132)</f>
        <v>19</v>
      </c>
      <c r="I45" s="131">
        <v>6185</v>
      </c>
      <c r="J45" s="129">
        <v>21</v>
      </c>
      <c r="K45" s="131">
        <v>1528</v>
      </c>
      <c r="L45" s="129">
        <v>731</v>
      </c>
      <c r="M45" s="131">
        <v>301947</v>
      </c>
      <c r="N45" s="14" t="s">
        <v>129</v>
      </c>
    </row>
    <row r="46" spans="1:14" s="17" customFormat="1" ht="15.75" customHeight="1">
      <c r="A46" s="13" t="s">
        <v>54</v>
      </c>
      <c r="B46" s="129">
        <f>_xlfn.COMPOUNDVALUE(133)</f>
        <v>396</v>
      </c>
      <c r="C46" s="130">
        <v>202344</v>
      </c>
      <c r="D46" s="129">
        <f>_xlfn.COMPOUNDVALUE(134)</f>
        <v>833</v>
      </c>
      <c r="E46" s="130">
        <v>307554</v>
      </c>
      <c r="F46" s="129">
        <f>_xlfn.COMPOUNDVALUE(135)</f>
        <v>1229</v>
      </c>
      <c r="G46" s="130">
        <v>509898</v>
      </c>
      <c r="H46" s="129">
        <f>_xlfn.COMPOUNDVALUE(136)</f>
        <v>28</v>
      </c>
      <c r="I46" s="131">
        <v>10963</v>
      </c>
      <c r="J46" s="129">
        <v>69</v>
      </c>
      <c r="K46" s="131">
        <v>14126</v>
      </c>
      <c r="L46" s="129">
        <v>1270</v>
      </c>
      <c r="M46" s="131">
        <v>513061</v>
      </c>
      <c r="N46" s="14" t="s">
        <v>130</v>
      </c>
    </row>
    <row r="47" spans="1:14" s="17" customFormat="1" ht="15.75" customHeight="1">
      <c r="A47" s="15" t="s">
        <v>55</v>
      </c>
      <c r="B47" s="132">
        <v>3163</v>
      </c>
      <c r="C47" s="133">
        <v>1742387</v>
      </c>
      <c r="D47" s="132">
        <v>5836</v>
      </c>
      <c r="E47" s="133">
        <v>2193154</v>
      </c>
      <c r="F47" s="132">
        <v>8999</v>
      </c>
      <c r="G47" s="133">
        <v>3935541</v>
      </c>
      <c r="H47" s="132">
        <v>217</v>
      </c>
      <c r="I47" s="134">
        <v>86957</v>
      </c>
      <c r="J47" s="132">
        <v>606</v>
      </c>
      <c r="K47" s="134">
        <v>143519</v>
      </c>
      <c r="L47" s="132">
        <v>9448</v>
      </c>
      <c r="M47" s="134">
        <v>3992103</v>
      </c>
      <c r="N47" s="16" t="s">
        <v>131</v>
      </c>
    </row>
    <row r="48" spans="1:15" s="17" customFormat="1" ht="15.75" customHeight="1">
      <c r="A48" s="23"/>
      <c r="B48" s="187"/>
      <c r="C48" s="185"/>
      <c r="D48" s="181"/>
      <c r="E48" s="185"/>
      <c r="F48" s="190"/>
      <c r="G48" s="181"/>
      <c r="H48" s="187"/>
      <c r="I48" s="189"/>
      <c r="J48" s="187"/>
      <c r="K48" s="185"/>
      <c r="L48" s="181"/>
      <c r="M48" s="185"/>
      <c r="N48" s="183"/>
      <c r="O48" s="188"/>
    </row>
    <row r="49" spans="1:14" s="17" customFormat="1" ht="15.75" customHeight="1">
      <c r="A49" s="11" t="s">
        <v>56</v>
      </c>
      <c r="B49" s="126">
        <f>_xlfn.COMPOUNDVALUE(137)</f>
        <v>1031</v>
      </c>
      <c r="C49" s="127">
        <v>590553</v>
      </c>
      <c r="D49" s="126">
        <f>_xlfn.COMPOUNDVALUE(138)</f>
        <v>2079</v>
      </c>
      <c r="E49" s="127">
        <v>806742</v>
      </c>
      <c r="F49" s="126">
        <f>_xlfn.COMPOUNDVALUE(139)</f>
        <v>3110</v>
      </c>
      <c r="G49" s="127">
        <v>1397295</v>
      </c>
      <c r="H49" s="126">
        <f>_xlfn.COMPOUNDVALUE(140)</f>
        <v>49</v>
      </c>
      <c r="I49" s="128">
        <v>28716</v>
      </c>
      <c r="J49" s="126">
        <v>275</v>
      </c>
      <c r="K49" s="128">
        <v>46670</v>
      </c>
      <c r="L49" s="126">
        <v>3261</v>
      </c>
      <c r="M49" s="128">
        <v>1415248</v>
      </c>
      <c r="N49" s="24" t="s">
        <v>132</v>
      </c>
    </row>
    <row r="50" spans="1:14" s="17" customFormat="1" ht="15.75" customHeight="1">
      <c r="A50" s="13" t="s">
        <v>57</v>
      </c>
      <c r="B50" s="129">
        <f>_xlfn.COMPOUNDVALUE(141)</f>
        <v>606</v>
      </c>
      <c r="C50" s="130">
        <v>359509</v>
      </c>
      <c r="D50" s="129">
        <f>_xlfn.COMPOUNDVALUE(142)</f>
        <v>1030</v>
      </c>
      <c r="E50" s="130">
        <v>376393</v>
      </c>
      <c r="F50" s="129">
        <f>_xlfn.COMPOUNDVALUE(143)</f>
        <v>1636</v>
      </c>
      <c r="G50" s="130">
        <v>735902</v>
      </c>
      <c r="H50" s="129">
        <f>_xlfn.COMPOUNDVALUE(144)</f>
        <v>35</v>
      </c>
      <c r="I50" s="131">
        <v>11836</v>
      </c>
      <c r="J50" s="129">
        <v>114</v>
      </c>
      <c r="K50" s="131">
        <v>17562</v>
      </c>
      <c r="L50" s="129">
        <v>1711</v>
      </c>
      <c r="M50" s="131">
        <v>741628</v>
      </c>
      <c r="N50" s="14" t="s">
        <v>133</v>
      </c>
    </row>
    <row r="51" spans="1:14" s="17" customFormat="1" ht="15.75" customHeight="1">
      <c r="A51" s="13" t="s">
        <v>58</v>
      </c>
      <c r="B51" s="129">
        <f>_xlfn.COMPOUNDVALUE(145)</f>
        <v>529</v>
      </c>
      <c r="C51" s="130">
        <v>328833</v>
      </c>
      <c r="D51" s="129">
        <f>_xlfn.COMPOUNDVALUE(146)</f>
        <v>1227</v>
      </c>
      <c r="E51" s="130">
        <v>410333</v>
      </c>
      <c r="F51" s="129">
        <f>_xlfn.COMPOUNDVALUE(147)</f>
        <v>1756</v>
      </c>
      <c r="G51" s="130">
        <v>739165</v>
      </c>
      <c r="H51" s="129">
        <f>_xlfn.COMPOUNDVALUE(148)</f>
        <v>42</v>
      </c>
      <c r="I51" s="131">
        <v>22702</v>
      </c>
      <c r="J51" s="129">
        <v>115</v>
      </c>
      <c r="K51" s="131">
        <v>14733</v>
      </c>
      <c r="L51" s="129">
        <v>1836</v>
      </c>
      <c r="M51" s="131">
        <v>731196</v>
      </c>
      <c r="N51" s="14" t="s">
        <v>134</v>
      </c>
    </row>
    <row r="52" spans="1:14" s="17" customFormat="1" ht="15.75" customHeight="1">
      <c r="A52" s="13" t="s">
        <v>59</v>
      </c>
      <c r="B52" s="129">
        <f>_xlfn.COMPOUNDVALUE(149)</f>
        <v>391</v>
      </c>
      <c r="C52" s="130">
        <v>197686</v>
      </c>
      <c r="D52" s="129">
        <f>_xlfn.COMPOUNDVALUE(150)</f>
        <v>792</v>
      </c>
      <c r="E52" s="130">
        <v>253911</v>
      </c>
      <c r="F52" s="129">
        <f>_xlfn.COMPOUNDVALUE(151)</f>
        <v>1183</v>
      </c>
      <c r="G52" s="130">
        <v>451597</v>
      </c>
      <c r="H52" s="129">
        <f>_xlfn.COMPOUNDVALUE(152)</f>
        <v>28</v>
      </c>
      <c r="I52" s="131">
        <v>7076</v>
      </c>
      <c r="J52" s="129">
        <v>78</v>
      </c>
      <c r="K52" s="131">
        <v>3217</v>
      </c>
      <c r="L52" s="129">
        <v>1227</v>
      </c>
      <c r="M52" s="131">
        <v>447738</v>
      </c>
      <c r="N52" s="14" t="s">
        <v>135</v>
      </c>
    </row>
    <row r="53" spans="1:14" s="17" customFormat="1" ht="15.75" customHeight="1">
      <c r="A53" s="13" t="s">
        <v>60</v>
      </c>
      <c r="B53" s="129">
        <f>_xlfn.COMPOUNDVALUE(153)</f>
        <v>366</v>
      </c>
      <c r="C53" s="130">
        <v>217156</v>
      </c>
      <c r="D53" s="129">
        <f>_xlfn.COMPOUNDVALUE(154)</f>
        <v>699</v>
      </c>
      <c r="E53" s="130">
        <v>255086</v>
      </c>
      <c r="F53" s="129">
        <f>_xlfn.COMPOUNDVALUE(155)</f>
        <v>1065</v>
      </c>
      <c r="G53" s="130">
        <v>472242</v>
      </c>
      <c r="H53" s="129">
        <f>_xlfn.COMPOUNDVALUE(156)</f>
        <v>23</v>
      </c>
      <c r="I53" s="131">
        <v>4534</v>
      </c>
      <c r="J53" s="129">
        <v>72</v>
      </c>
      <c r="K53" s="131">
        <v>5352</v>
      </c>
      <c r="L53" s="129">
        <v>1101</v>
      </c>
      <c r="M53" s="131">
        <v>473061</v>
      </c>
      <c r="N53" s="14" t="s">
        <v>136</v>
      </c>
    </row>
    <row r="54" spans="1:14" s="17" customFormat="1" ht="15.75" customHeight="1">
      <c r="A54" s="13" t="s">
        <v>61</v>
      </c>
      <c r="B54" s="129">
        <f>_xlfn.COMPOUNDVALUE(157)</f>
        <v>291</v>
      </c>
      <c r="C54" s="130">
        <v>165255</v>
      </c>
      <c r="D54" s="129">
        <f>_xlfn.COMPOUNDVALUE(158)</f>
        <v>633</v>
      </c>
      <c r="E54" s="130">
        <v>219181</v>
      </c>
      <c r="F54" s="129">
        <f>_xlfn.COMPOUNDVALUE(159)</f>
        <v>924</v>
      </c>
      <c r="G54" s="130">
        <v>384436</v>
      </c>
      <c r="H54" s="129">
        <f>_xlfn.COMPOUNDVALUE(160)</f>
        <v>16</v>
      </c>
      <c r="I54" s="131">
        <v>4049</v>
      </c>
      <c r="J54" s="129">
        <v>68</v>
      </c>
      <c r="K54" s="131">
        <v>9309</v>
      </c>
      <c r="L54" s="129">
        <v>978</v>
      </c>
      <c r="M54" s="131">
        <v>389696</v>
      </c>
      <c r="N54" s="14" t="s">
        <v>137</v>
      </c>
    </row>
    <row r="55" spans="1:14" s="17" customFormat="1" ht="15.75" customHeight="1">
      <c r="A55" s="13" t="s">
        <v>62</v>
      </c>
      <c r="B55" s="129">
        <f>_xlfn.COMPOUNDVALUE(161)</f>
        <v>494</v>
      </c>
      <c r="C55" s="130">
        <v>272384</v>
      </c>
      <c r="D55" s="129">
        <f>_xlfn.COMPOUNDVALUE(162)</f>
        <v>864</v>
      </c>
      <c r="E55" s="130">
        <v>307507</v>
      </c>
      <c r="F55" s="129">
        <f>_xlfn.COMPOUNDVALUE(163)</f>
        <v>1358</v>
      </c>
      <c r="G55" s="130">
        <v>579891</v>
      </c>
      <c r="H55" s="129">
        <f>_xlfn.COMPOUNDVALUE(164)</f>
        <v>24</v>
      </c>
      <c r="I55" s="131">
        <v>12848</v>
      </c>
      <c r="J55" s="129">
        <v>73</v>
      </c>
      <c r="K55" s="131">
        <v>26423</v>
      </c>
      <c r="L55" s="129">
        <v>1417</v>
      </c>
      <c r="M55" s="131">
        <v>593466</v>
      </c>
      <c r="N55" s="14" t="s">
        <v>138</v>
      </c>
    </row>
    <row r="56" spans="1:14" s="17" customFormat="1" ht="15.75" customHeight="1">
      <c r="A56" s="13" t="s">
        <v>63</v>
      </c>
      <c r="B56" s="129">
        <f>_xlfn.COMPOUNDVALUE(165)</f>
        <v>246</v>
      </c>
      <c r="C56" s="130">
        <v>118446</v>
      </c>
      <c r="D56" s="129">
        <f>_xlfn.COMPOUNDVALUE(166)</f>
        <v>381</v>
      </c>
      <c r="E56" s="130">
        <v>132041</v>
      </c>
      <c r="F56" s="129">
        <f>_xlfn.COMPOUNDVALUE(167)</f>
        <v>627</v>
      </c>
      <c r="G56" s="130">
        <v>250487</v>
      </c>
      <c r="H56" s="129">
        <f>_xlfn.COMPOUNDVALUE(168)</f>
        <v>26</v>
      </c>
      <c r="I56" s="131">
        <v>13897</v>
      </c>
      <c r="J56" s="129">
        <v>28</v>
      </c>
      <c r="K56" s="131">
        <v>2128</v>
      </c>
      <c r="L56" s="129">
        <v>661</v>
      </c>
      <c r="M56" s="131">
        <v>238718</v>
      </c>
      <c r="N56" s="14" t="s">
        <v>139</v>
      </c>
    </row>
    <row r="57" spans="1:14" s="17" customFormat="1" ht="15.75" customHeight="1">
      <c r="A57" s="15" t="s">
        <v>64</v>
      </c>
      <c r="B57" s="132">
        <v>3954</v>
      </c>
      <c r="C57" s="133">
        <v>2249820</v>
      </c>
      <c r="D57" s="132">
        <v>7705</v>
      </c>
      <c r="E57" s="133">
        <v>2761195</v>
      </c>
      <c r="F57" s="132">
        <v>11659</v>
      </c>
      <c r="G57" s="133">
        <v>5011015</v>
      </c>
      <c r="H57" s="132">
        <v>243</v>
      </c>
      <c r="I57" s="134">
        <v>105658</v>
      </c>
      <c r="J57" s="132">
        <v>823</v>
      </c>
      <c r="K57" s="134">
        <v>125394</v>
      </c>
      <c r="L57" s="132">
        <v>12192</v>
      </c>
      <c r="M57" s="134">
        <v>5030751</v>
      </c>
      <c r="N57" s="16" t="s">
        <v>140</v>
      </c>
    </row>
    <row r="58" spans="1:14" s="17" customFormat="1" ht="15.75" customHeight="1">
      <c r="A58" s="182"/>
      <c r="B58" s="181"/>
      <c r="C58" s="185"/>
      <c r="D58" s="181"/>
      <c r="E58" s="189"/>
      <c r="F58" s="187"/>
      <c r="G58" s="189"/>
      <c r="H58" s="187"/>
      <c r="I58" s="181"/>
      <c r="J58" s="187"/>
      <c r="K58" s="185"/>
      <c r="L58" s="181"/>
      <c r="M58" s="185"/>
      <c r="N58" s="183"/>
    </row>
    <row r="59" spans="1:14" s="17" customFormat="1" ht="15.75" customHeight="1">
      <c r="A59" s="11" t="s">
        <v>65</v>
      </c>
      <c r="B59" s="126">
        <f>_xlfn.COMPOUNDVALUE(169)</f>
        <v>899</v>
      </c>
      <c r="C59" s="127">
        <v>468964</v>
      </c>
      <c r="D59" s="126">
        <f>_xlfn.COMPOUNDVALUE(170)</f>
        <v>1766</v>
      </c>
      <c r="E59" s="127">
        <v>656578</v>
      </c>
      <c r="F59" s="126">
        <f>_xlfn.COMPOUNDVALUE(171)</f>
        <v>2665</v>
      </c>
      <c r="G59" s="127">
        <v>1125542</v>
      </c>
      <c r="H59" s="126">
        <f>_xlfn.COMPOUNDVALUE(172)</f>
        <v>52</v>
      </c>
      <c r="I59" s="128">
        <v>16399</v>
      </c>
      <c r="J59" s="126">
        <v>322</v>
      </c>
      <c r="K59" s="128">
        <v>103297</v>
      </c>
      <c r="L59" s="126">
        <v>2857</v>
      </c>
      <c r="M59" s="128">
        <v>1212440</v>
      </c>
      <c r="N59" s="24" t="s">
        <v>142</v>
      </c>
    </row>
    <row r="60" spans="1:14" s="17" customFormat="1" ht="15.75" customHeight="1">
      <c r="A60" s="11" t="s">
        <v>66</v>
      </c>
      <c r="B60" s="126">
        <f>_xlfn.COMPOUNDVALUE(173)</f>
        <v>531</v>
      </c>
      <c r="C60" s="127">
        <v>315375</v>
      </c>
      <c r="D60" s="126">
        <f>_xlfn.COMPOUNDVALUE(174)</f>
        <v>1128</v>
      </c>
      <c r="E60" s="127">
        <v>394947</v>
      </c>
      <c r="F60" s="126">
        <f>_xlfn.COMPOUNDVALUE(175)</f>
        <v>1659</v>
      </c>
      <c r="G60" s="127">
        <v>710321</v>
      </c>
      <c r="H60" s="126">
        <f>_xlfn.COMPOUNDVALUE(176)</f>
        <v>26</v>
      </c>
      <c r="I60" s="128">
        <v>15589</v>
      </c>
      <c r="J60" s="126">
        <v>145</v>
      </c>
      <c r="K60" s="128">
        <v>13505</v>
      </c>
      <c r="L60" s="126">
        <v>1739</v>
      </c>
      <c r="M60" s="128">
        <v>708237</v>
      </c>
      <c r="N60" s="12" t="s">
        <v>143</v>
      </c>
    </row>
    <row r="61" spans="1:14" s="17" customFormat="1" ht="15.75" customHeight="1">
      <c r="A61" s="11" t="s">
        <v>67</v>
      </c>
      <c r="B61" s="126">
        <f>_xlfn.COMPOUNDVALUE(177)</f>
        <v>1062</v>
      </c>
      <c r="C61" s="127">
        <v>543808</v>
      </c>
      <c r="D61" s="126">
        <f>_xlfn.COMPOUNDVALUE(178)</f>
        <v>1749</v>
      </c>
      <c r="E61" s="127">
        <v>692033</v>
      </c>
      <c r="F61" s="126">
        <f>_xlfn.COMPOUNDVALUE(179)</f>
        <v>2811</v>
      </c>
      <c r="G61" s="127">
        <v>1235840</v>
      </c>
      <c r="H61" s="126">
        <f>_xlfn.COMPOUNDVALUE(180)</f>
        <v>86</v>
      </c>
      <c r="I61" s="128">
        <v>56362</v>
      </c>
      <c r="J61" s="126">
        <v>318</v>
      </c>
      <c r="K61" s="128">
        <v>65311</v>
      </c>
      <c r="L61" s="126">
        <v>3037</v>
      </c>
      <c r="M61" s="128">
        <v>1244790</v>
      </c>
      <c r="N61" s="12" t="s">
        <v>144</v>
      </c>
    </row>
    <row r="62" spans="1:14" s="17" customFormat="1" ht="15.75" customHeight="1">
      <c r="A62" s="13" t="s">
        <v>68</v>
      </c>
      <c r="B62" s="129">
        <f>_xlfn.COMPOUNDVALUE(181)</f>
        <v>961</v>
      </c>
      <c r="C62" s="130">
        <v>508525</v>
      </c>
      <c r="D62" s="129">
        <f>_xlfn.COMPOUNDVALUE(182)</f>
        <v>1360</v>
      </c>
      <c r="E62" s="130">
        <v>557461</v>
      </c>
      <c r="F62" s="129">
        <f>_xlfn.COMPOUNDVALUE(183)</f>
        <v>2321</v>
      </c>
      <c r="G62" s="130">
        <v>1065986</v>
      </c>
      <c r="H62" s="129">
        <f>_xlfn.COMPOUNDVALUE(184)</f>
        <v>73</v>
      </c>
      <c r="I62" s="131">
        <v>67137</v>
      </c>
      <c r="J62" s="129">
        <v>368</v>
      </c>
      <c r="K62" s="131">
        <v>34410</v>
      </c>
      <c r="L62" s="129">
        <v>2472</v>
      </c>
      <c r="M62" s="131">
        <v>1033259</v>
      </c>
      <c r="N62" s="14" t="s">
        <v>68</v>
      </c>
    </row>
    <row r="63" spans="1:14" s="17" customFormat="1" ht="15.75" customHeight="1">
      <c r="A63" s="13" t="s">
        <v>69</v>
      </c>
      <c r="B63" s="129">
        <f>_xlfn.COMPOUNDVALUE(185)</f>
        <v>538</v>
      </c>
      <c r="C63" s="130">
        <v>282314</v>
      </c>
      <c r="D63" s="129">
        <f>_xlfn.COMPOUNDVALUE(186)</f>
        <v>905</v>
      </c>
      <c r="E63" s="130">
        <v>333668</v>
      </c>
      <c r="F63" s="129">
        <f>_xlfn.COMPOUNDVALUE(187)</f>
        <v>1443</v>
      </c>
      <c r="G63" s="130">
        <v>615981</v>
      </c>
      <c r="H63" s="129">
        <f>_xlfn.COMPOUNDVALUE(188)</f>
        <v>43</v>
      </c>
      <c r="I63" s="131">
        <v>23725</v>
      </c>
      <c r="J63" s="129">
        <v>142</v>
      </c>
      <c r="K63" s="131">
        <v>27602</v>
      </c>
      <c r="L63" s="129">
        <v>1553</v>
      </c>
      <c r="M63" s="131">
        <v>619858</v>
      </c>
      <c r="N63" s="14" t="s">
        <v>145</v>
      </c>
    </row>
    <row r="64" spans="1:14" s="17" customFormat="1" ht="15.75" customHeight="1">
      <c r="A64" s="13" t="s">
        <v>70</v>
      </c>
      <c r="B64" s="129">
        <f>_xlfn.COMPOUNDVALUE(189)</f>
        <v>415</v>
      </c>
      <c r="C64" s="130">
        <v>175384</v>
      </c>
      <c r="D64" s="129">
        <f>_xlfn.COMPOUNDVALUE(190)</f>
        <v>803</v>
      </c>
      <c r="E64" s="130">
        <v>280529</v>
      </c>
      <c r="F64" s="129">
        <f>_xlfn.COMPOUNDVALUE(191)</f>
        <v>1218</v>
      </c>
      <c r="G64" s="130">
        <v>455913</v>
      </c>
      <c r="H64" s="129">
        <f>_xlfn.COMPOUNDVALUE(192)</f>
        <v>44</v>
      </c>
      <c r="I64" s="131">
        <v>14283</v>
      </c>
      <c r="J64" s="129">
        <v>115</v>
      </c>
      <c r="K64" s="131">
        <v>28674</v>
      </c>
      <c r="L64" s="129">
        <v>1317</v>
      </c>
      <c r="M64" s="131">
        <v>470304</v>
      </c>
      <c r="N64" s="14" t="s">
        <v>146</v>
      </c>
    </row>
    <row r="65" spans="1:14" s="17" customFormat="1" ht="15.75" customHeight="1">
      <c r="A65" s="13" t="s">
        <v>71</v>
      </c>
      <c r="B65" s="129">
        <f>_xlfn.COMPOUNDVALUE(193)</f>
        <v>195</v>
      </c>
      <c r="C65" s="130">
        <v>98690</v>
      </c>
      <c r="D65" s="129">
        <f>_xlfn.COMPOUNDVALUE(194)</f>
        <v>359</v>
      </c>
      <c r="E65" s="130">
        <v>119275</v>
      </c>
      <c r="F65" s="129">
        <f>_xlfn.COMPOUNDVALUE(195)</f>
        <v>554</v>
      </c>
      <c r="G65" s="130">
        <v>217965</v>
      </c>
      <c r="H65" s="129">
        <f>_xlfn.COMPOUNDVALUE(196)</f>
        <v>22</v>
      </c>
      <c r="I65" s="131">
        <v>7410</v>
      </c>
      <c r="J65" s="129">
        <v>46</v>
      </c>
      <c r="K65" s="131">
        <v>8522</v>
      </c>
      <c r="L65" s="129">
        <v>586</v>
      </c>
      <c r="M65" s="131">
        <v>219076</v>
      </c>
      <c r="N65" s="14" t="s">
        <v>147</v>
      </c>
    </row>
    <row r="66" spans="1:14" s="17" customFormat="1" ht="15.75" customHeight="1">
      <c r="A66" s="13" t="s">
        <v>72</v>
      </c>
      <c r="B66" s="129">
        <f>_xlfn.COMPOUNDVALUE(197)</f>
        <v>567</v>
      </c>
      <c r="C66" s="130">
        <v>389262</v>
      </c>
      <c r="D66" s="129">
        <f>_xlfn.COMPOUNDVALUE(198)</f>
        <v>725</v>
      </c>
      <c r="E66" s="130">
        <v>284451</v>
      </c>
      <c r="F66" s="129">
        <f>_xlfn.COMPOUNDVALUE(199)</f>
        <v>1292</v>
      </c>
      <c r="G66" s="130">
        <v>673714</v>
      </c>
      <c r="H66" s="129">
        <f>_xlfn.COMPOUNDVALUE(200)</f>
        <v>98</v>
      </c>
      <c r="I66" s="131">
        <v>134156</v>
      </c>
      <c r="J66" s="129">
        <v>175</v>
      </c>
      <c r="K66" s="131">
        <v>21840</v>
      </c>
      <c r="L66" s="129">
        <v>1450</v>
      </c>
      <c r="M66" s="131">
        <v>561398</v>
      </c>
      <c r="N66" s="14" t="s">
        <v>148</v>
      </c>
    </row>
    <row r="67" spans="1:14" s="17" customFormat="1" ht="15.75" customHeight="1">
      <c r="A67" s="13" t="s">
        <v>73</v>
      </c>
      <c r="B67" s="129">
        <f>_xlfn.COMPOUNDVALUE(201)</f>
        <v>324</v>
      </c>
      <c r="C67" s="130">
        <v>167552</v>
      </c>
      <c r="D67" s="129">
        <f>_xlfn.COMPOUNDVALUE(202)</f>
        <v>493</v>
      </c>
      <c r="E67" s="130">
        <v>169149</v>
      </c>
      <c r="F67" s="129">
        <f>_xlfn.COMPOUNDVALUE(203)</f>
        <v>817</v>
      </c>
      <c r="G67" s="130">
        <v>336701</v>
      </c>
      <c r="H67" s="129">
        <f>_xlfn.COMPOUNDVALUE(204)</f>
        <v>30</v>
      </c>
      <c r="I67" s="131">
        <v>17687</v>
      </c>
      <c r="J67" s="129">
        <v>90</v>
      </c>
      <c r="K67" s="131">
        <v>7232</v>
      </c>
      <c r="L67" s="129">
        <v>878</v>
      </c>
      <c r="M67" s="131">
        <v>326246</v>
      </c>
      <c r="N67" s="14" t="s">
        <v>149</v>
      </c>
    </row>
    <row r="68" spans="1:14" s="17" customFormat="1" ht="15.75" customHeight="1">
      <c r="A68" s="13" t="s">
        <v>74</v>
      </c>
      <c r="B68" s="129">
        <f>_xlfn.COMPOUNDVALUE(205)</f>
        <v>113</v>
      </c>
      <c r="C68" s="130">
        <v>72052</v>
      </c>
      <c r="D68" s="129">
        <f>_xlfn.COMPOUNDVALUE(206)</f>
        <v>216</v>
      </c>
      <c r="E68" s="130">
        <v>73827</v>
      </c>
      <c r="F68" s="129">
        <f>_xlfn.COMPOUNDVALUE(207)</f>
        <v>329</v>
      </c>
      <c r="G68" s="130">
        <v>145880</v>
      </c>
      <c r="H68" s="129">
        <f>_xlfn.COMPOUNDVALUE(208)</f>
        <v>9</v>
      </c>
      <c r="I68" s="131">
        <v>12587</v>
      </c>
      <c r="J68" s="129">
        <v>7</v>
      </c>
      <c r="K68" s="131">
        <v>2072</v>
      </c>
      <c r="L68" s="129">
        <v>341</v>
      </c>
      <c r="M68" s="131">
        <v>135365</v>
      </c>
      <c r="N68" s="14" t="s">
        <v>150</v>
      </c>
    </row>
    <row r="69" spans="1:14" s="17" customFormat="1" ht="15.75" customHeight="1">
      <c r="A69" s="15" t="s">
        <v>75</v>
      </c>
      <c r="B69" s="132">
        <v>5605</v>
      </c>
      <c r="C69" s="133">
        <v>3021926</v>
      </c>
      <c r="D69" s="132">
        <v>9504</v>
      </c>
      <c r="E69" s="133">
        <v>3561918</v>
      </c>
      <c r="F69" s="132">
        <v>15109</v>
      </c>
      <c r="G69" s="133">
        <v>6583843</v>
      </c>
      <c r="H69" s="132">
        <v>483</v>
      </c>
      <c r="I69" s="134">
        <v>365336</v>
      </c>
      <c r="J69" s="132">
        <v>1728</v>
      </c>
      <c r="K69" s="134">
        <v>312465</v>
      </c>
      <c r="L69" s="132">
        <v>16230</v>
      </c>
      <c r="M69" s="134">
        <v>6530972</v>
      </c>
      <c r="N69" s="16" t="s">
        <v>151</v>
      </c>
    </row>
    <row r="70" spans="1:15" s="17" customFormat="1" ht="15.75" customHeight="1" thickBot="1">
      <c r="A70" s="18"/>
      <c r="B70" s="138"/>
      <c r="C70" s="139"/>
      <c r="D70" s="138"/>
      <c r="E70" s="139"/>
      <c r="F70" s="140"/>
      <c r="G70" s="139"/>
      <c r="H70" s="140"/>
      <c r="I70" s="139"/>
      <c r="J70" s="140"/>
      <c r="K70" s="139"/>
      <c r="L70" s="140"/>
      <c r="M70" s="139"/>
      <c r="N70" s="19"/>
      <c r="O70" s="36"/>
    </row>
    <row r="71" spans="1:14" s="17" customFormat="1" ht="15.75" customHeight="1" thickBot="1" thickTop="1">
      <c r="A71" s="21" t="s">
        <v>17</v>
      </c>
      <c r="B71" s="141">
        <v>29873</v>
      </c>
      <c r="C71" s="142">
        <v>17588151</v>
      </c>
      <c r="D71" s="141">
        <v>49449</v>
      </c>
      <c r="E71" s="142">
        <v>18879704</v>
      </c>
      <c r="F71" s="141">
        <v>79322</v>
      </c>
      <c r="G71" s="142">
        <v>36467855</v>
      </c>
      <c r="H71" s="141">
        <v>2311</v>
      </c>
      <c r="I71" s="143">
        <v>1609742</v>
      </c>
      <c r="J71" s="141">
        <v>7244</v>
      </c>
      <c r="K71" s="143">
        <v>1311759</v>
      </c>
      <c r="L71" s="141">
        <v>84206</v>
      </c>
      <c r="M71" s="143">
        <v>36169872</v>
      </c>
      <c r="N71" s="22" t="s">
        <v>94</v>
      </c>
    </row>
    <row r="72" spans="1:14" ht="13.5">
      <c r="A72" s="228" t="s">
        <v>242</v>
      </c>
      <c r="B72" s="228"/>
      <c r="C72" s="228"/>
      <c r="D72" s="228"/>
      <c r="E72" s="228"/>
      <c r="F72" s="228"/>
      <c r="G72" s="228"/>
      <c r="H72" s="228"/>
      <c r="I72" s="228"/>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L3:M4"/>
    <mergeCell ref="A72:I72"/>
    <mergeCell ref="A2:G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(H29)</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247</v>
      </c>
      <c r="B1" s="1"/>
      <c r="C1" s="1"/>
      <c r="D1" s="1"/>
      <c r="E1" s="1"/>
      <c r="F1" s="1"/>
      <c r="G1" s="1"/>
      <c r="H1" s="1"/>
      <c r="I1" s="1"/>
      <c r="J1" s="1"/>
      <c r="K1" s="1"/>
      <c r="L1" s="2"/>
      <c r="M1" s="2"/>
    </row>
    <row r="2" spans="1:13" ht="14.25" thickBot="1">
      <c r="A2" s="243" t="s">
        <v>76</v>
      </c>
      <c r="B2" s="243"/>
      <c r="C2" s="243"/>
      <c r="D2" s="243"/>
      <c r="E2" s="243"/>
      <c r="F2" s="243"/>
      <c r="G2" s="243"/>
      <c r="H2" s="243"/>
      <c r="I2" s="243"/>
      <c r="J2" s="25"/>
      <c r="K2" s="25"/>
      <c r="L2" s="2"/>
      <c r="M2" s="2"/>
    </row>
    <row r="3" spans="1:14" ht="19.5" customHeight="1">
      <c r="A3" s="229" t="s">
        <v>1</v>
      </c>
      <c r="B3" s="232" t="s">
        <v>2</v>
      </c>
      <c r="C3" s="232"/>
      <c r="D3" s="232"/>
      <c r="E3" s="232"/>
      <c r="F3" s="232"/>
      <c r="G3" s="232"/>
      <c r="H3" s="233" t="s">
        <v>3</v>
      </c>
      <c r="I3" s="234"/>
      <c r="J3" s="242" t="s">
        <v>4</v>
      </c>
      <c r="K3" s="234"/>
      <c r="L3" s="233" t="s">
        <v>5</v>
      </c>
      <c r="M3" s="234"/>
      <c r="N3" s="237" t="s">
        <v>77</v>
      </c>
    </row>
    <row r="4" spans="1:14" ht="17.25" customHeight="1">
      <c r="A4" s="230"/>
      <c r="B4" s="235" t="s">
        <v>7</v>
      </c>
      <c r="C4" s="241"/>
      <c r="D4" s="235" t="s">
        <v>8</v>
      </c>
      <c r="E4" s="241"/>
      <c r="F4" s="235" t="s">
        <v>9</v>
      </c>
      <c r="G4" s="241"/>
      <c r="H4" s="235"/>
      <c r="I4" s="236"/>
      <c r="J4" s="235"/>
      <c r="K4" s="236"/>
      <c r="L4" s="235"/>
      <c r="M4" s="236"/>
      <c r="N4" s="238"/>
    </row>
    <row r="5" spans="1:14" ht="28.5" customHeight="1">
      <c r="A5" s="231"/>
      <c r="B5" s="33" t="s">
        <v>10</v>
      </c>
      <c r="C5" s="34" t="s">
        <v>11</v>
      </c>
      <c r="D5" s="33" t="s">
        <v>10</v>
      </c>
      <c r="E5" s="34" t="s">
        <v>11</v>
      </c>
      <c r="F5" s="33" t="s">
        <v>10</v>
      </c>
      <c r="G5" s="38" t="s">
        <v>12</v>
      </c>
      <c r="H5" s="33" t="s">
        <v>91</v>
      </c>
      <c r="I5" s="37" t="s">
        <v>13</v>
      </c>
      <c r="J5" s="33" t="s">
        <v>91</v>
      </c>
      <c r="K5" s="37" t="s">
        <v>14</v>
      </c>
      <c r="L5" s="33" t="s">
        <v>91</v>
      </c>
      <c r="M5" s="35" t="s">
        <v>92</v>
      </c>
      <c r="N5" s="239"/>
    </row>
    <row r="6" spans="1:14" s="27" customFormat="1" ht="10.5">
      <c r="A6" s="5"/>
      <c r="B6" s="6" t="s">
        <v>15</v>
      </c>
      <c r="C6" s="7" t="s">
        <v>16</v>
      </c>
      <c r="D6" s="6" t="s">
        <v>15</v>
      </c>
      <c r="E6" s="7" t="s">
        <v>16</v>
      </c>
      <c r="F6" s="6" t="s">
        <v>15</v>
      </c>
      <c r="G6" s="7" t="s">
        <v>16</v>
      </c>
      <c r="H6" s="6" t="s">
        <v>15</v>
      </c>
      <c r="I6" s="8" t="s">
        <v>16</v>
      </c>
      <c r="J6" s="6" t="s">
        <v>15</v>
      </c>
      <c r="K6" s="8" t="s">
        <v>16</v>
      </c>
      <c r="L6" s="6" t="s">
        <v>245</v>
      </c>
      <c r="M6" s="8" t="s">
        <v>16</v>
      </c>
      <c r="N6" s="9"/>
    </row>
    <row r="7" spans="1:14" ht="15.75" customHeight="1">
      <c r="A7" s="11" t="s">
        <v>78</v>
      </c>
      <c r="B7" s="126">
        <f>_xlfn.COMPOUNDVALUE(209)</f>
        <v>2515</v>
      </c>
      <c r="C7" s="127">
        <v>16619601</v>
      </c>
      <c r="D7" s="126">
        <f>_xlfn.COMPOUNDVALUE(210)</f>
        <v>940</v>
      </c>
      <c r="E7" s="127">
        <v>592560</v>
      </c>
      <c r="F7" s="126">
        <f>_xlfn.COMPOUNDVALUE(211)</f>
        <v>3455</v>
      </c>
      <c r="G7" s="127">
        <v>17212161</v>
      </c>
      <c r="H7" s="126">
        <f>_xlfn.COMPOUNDVALUE(212)</f>
        <v>165</v>
      </c>
      <c r="I7" s="128">
        <v>765948</v>
      </c>
      <c r="J7" s="126">
        <v>265</v>
      </c>
      <c r="K7" s="128">
        <v>-25098</v>
      </c>
      <c r="L7" s="126">
        <v>3631</v>
      </c>
      <c r="M7" s="128">
        <v>16421115</v>
      </c>
      <c r="N7" s="12" t="s">
        <v>96</v>
      </c>
    </row>
    <row r="8" spans="1:14" ht="15.75" customHeight="1">
      <c r="A8" s="13" t="s">
        <v>79</v>
      </c>
      <c r="B8" s="129">
        <f>_xlfn.COMPOUNDVALUE(213)</f>
        <v>1457</v>
      </c>
      <c r="C8" s="130">
        <v>9119314</v>
      </c>
      <c r="D8" s="129">
        <f>_xlfn.COMPOUNDVALUE(214)</f>
        <v>573</v>
      </c>
      <c r="E8" s="130">
        <v>341478</v>
      </c>
      <c r="F8" s="129">
        <f>_xlfn.COMPOUNDVALUE(215)</f>
        <v>2030</v>
      </c>
      <c r="G8" s="130">
        <v>9460792</v>
      </c>
      <c r="H8" s="129">
        <f>_xlfn.COMPOUNDVALUE(216)</f>
        <v>109</v>
      </c>
      <c r="I8" s="131">
        <v>692650</v>
      </c>
      <c r="J8" s="129">
        <v>128</v>
      </c>
      <c r="K8" s="131">
        <v>-11354</v>
      </c>
      <c r="L8" s="129">
        <v>2154</v>
      </c>
      <c r="M8" s="131">
        <v>8756788</v>
      </c>
      <c r="N8" s="14" t="s">
        <v>97</v>
      </c>
    </row>
    <row r="9" spans="1:14" ht="15.75" customHeight="1">
      <c r="A9" s="13" t="s">
        <v>80</v>
      </c>
      <c r="B9" s="129">
        <f>_xlfn.COMPOUNDVALUE(217)</f>
        <v>2749</v>
      </c>
      <c r="C9" s="130">
        <v>21374811</v>
      </c>
      <c r="D9" s="129">
        <f>_xlfn.COMPOUNDVALUE(218)</f>
        <v>1080</v>
      </c>
      <c r="E9" s="130">
        <v>666394</v>
      </c>
      <c r="F9" s="129">
        <f>_xlfn.COMPOUNDVALUE(219)</f>
        <v>3829</v>
      </c>
      <c r="G9" s="130">
        <v>22041205</v>
      </c>
      <c r="H9" s="129">
        <f>_xlfn.COMPOUNDVALUE(220)</f>
        <v>133</v>
      </c>
      <c r="I9" s="131">
        <v>3161479</v>
      </c>
      <c r="J9" s="129">
        <v>177</v>
      </c>
      <c r="K9" s="131">
        <v>46171</v>
      </c>
      <c r="L9" s="129">
        <v>3994</v>
      </c>
      <c r="M9" s="131">
        <v>18925897</v>
      </c>
      <c r="N9" s="14" t="s">
        <v>98</v>
      </c>
    </row>
    <row r="10" spans="1:14" ht="15.75" customHeight="1">
      <c r="A10" s="13" t="s">
        <v>81</v>
      </c>
      <c r="B10" s="129">
        <f>_xlfn.COMPOUNDVALUE(221)</f>
        <v>544</v>
      </c>
      <c r="C10" s="130">
        <v>3206230</v>
      </c>
      <c r="D10" s="129">
        <f>_xlfn.COMPOUNDVALUE(222)</f>
        <v>189</v>
      </c>
      <c r="E10" s="130">
        <v>112952</v>
      </c>
      <c r="F10" s="129">
        <f>_xlfn.COMPOUNDVALUE(223)</f>
        <v>733</v>
      </c>
      <c r="G10" s="130">
        <v>3319182</v>
      </c>
      <c r="H10" s="129">
        <f>_xlfn.COMPOUNDVALUE(224)</f>
        <v>34</v>
      </c>
      <c r="I10" s="131">
        <v>97573</v>
      </c>
      <c r="J10" s="129">
        <v>33</v>
      </c>
      <c r="K10" s="131">
        <v>14697</v>
      </c>
      <c r="L10" s="129">
        <v>767</v>
      </c>
      <c r="M10" s="131">
        <v>3236305</v>
      </c>
      <c r="N10" s="14" t="s">
        <v>99</v>
      </c>
    </row>
    <row r="11" spans="1:14" ht="15.75" customHeight="1">
      <c r="A11" s="13" t="s">
        <v>82</v>
      </c>
      <c r="B11" s="129">
        <f>_xlfn.COMPOUNDVALUE(225)</f>
        <v>1089</v>
      </c>
      <c r="C11" s="130">
        <v>4307971</v>
      </c>
      <c r="D11" s="129">
        <f>_xlfn.COMPOUNDVALUE(226)</f>
        <v>399</v>
      </c>
      <c r="E11" s="130">
        <v>220436</v>
      </c>
      <c r="F11" s="129">
        <f>_xlfn.COMPOUNDVALUE(227)</f>
        <v>1488</v>
      </c>
      <c r="G11" s="130">
        <v>4528407</v>
      </c>
      <c r="H11" s="129">
        <f>_xlfn.COMPOUNDVALUE(228)</f>
        <v>60</v>
      </c>
      <c r="I11" s="131">
        <v>121532</v>
      </c>
      <c r="J11" s="129">
        <v>109</v>
      </c>
      <c r="K11" s="131">
        <v>33653</v>
      </c>
      <c r="L11" s="129">
        <v>1562</v>
      </c>
      <c r="M11" s="131">
        <v>4440528</v>
      </c>
      <c r="N11" s="14" t="s">
        <v>100</v>
      </c>
    </row>
    <row r="12" spans="1:14" ht="15.75" customHeight="1">
      <c r="A12" s="13" t="s">
        <v>83</v>
      </c>
      <c r="B12" s="129">
        <f>_xlfn.COMPOUNDVALUE(229)</f>
        <v>1745</v>
      </c>
      <c r="C12" s="130">
        <v>21341095</v>
      </c>
      <c r="D12" s="129">
        <f>_xlfn.COMPOUNDVALUE(230)</f>
        <v>653</v>
      </c>
      <c r="E12" s="130">
        <v>421513</v>
      </c>
      <c r="F12" s="129">
        <f>_xlfn.COMPOUNDVALUE(231)</f>
        <v>2398</v>
      </c>
      <c r="G12" s="130">
        <v>21762608</v>
      </c>
      <c r="H12" s="129">
        <f>_xlfn.COMPOUNDVALUE(232)</f>
        <v>106</v>
      </c>
      <c r="I12" s="131">
        <v>2546428</v>
      </c>
      <c r="J12" s="129">
        <v>158</v>
      </c>
      <c r="K12" s="131">
        <v>36601</v>
      </c>
      <c r="L12" s="129">
        <v>2512</v>
      </c>
      <c r="M12" s="131">
        <v>19252782</v>
      </c>
      <c r="N12" s="14" t="s">
        <v>101</v>
      </c>
    </row>
    <row r="13" spans="1:14" s="17" customFormat="1" ht="15.75" customHeight="1">
      <c r="A13" s="13" t="s">
        <v>24</v>
      </c>
      <c r="B13" s="129">
        <f>_xlfn.COMPOUNDVALUE(233)</f>
        <v>573</v>
      </c>
      <c r="C13" s="130">
        <v>2934426</v>
      </c>
      <c r="D13" s="129">
        <f>_xlfn.COMPOUNDVALUE(234)</f>
        <v>182</v>
      </c>
      <c r="E13" s="130">
        <v>119465</v>
      </c>
      <c r="F13" s="129">
        <f>_xlfn.COMPOUNDVALUE(235)</f>
        <v>755</v>
      </c>
      <c r="G13" s="130">
        <v>3053891</v>
      </c>
      <c r="H13" s="129">
        <f>_xlfn.COMPOUNDVALUE(236)</f>
        <v>25</v>
      </c>
      <c r="I13" s="131">
        <v>218824</v>
      </c>
      <c r="J13" s="129">
        <v>26</v>
      </c>
      <c r="K13" s="131">
        <v>9581</v>
      </c>
      <c r="L13" s="129">
        <v>791</v>
      </c>
      <c r="M13" s="131">
        <v>2844649</v>
      </c>
      <c r="N13" s="14" t="s">
        <v>24</v>
      </c>
    </row>
    <row r="14" spans="1:14" s="28" customFormat="1" ht="15.75" customHeight="1">
      <c r="A14" s="15" t="s">
        <v>187</v>
      </c>
      <c r="B14" s="132">
        <v>10672</v>
      </c>
      <c r="C14" s="133">
        <v>78903449</v>
      </c>
      <c r="D14" s="132">
        <v>4016</v>
      </c>
      <c r="E14" s="133">
        <v>2474799</v>
      </c>
      <c r="F14" s="132">
        <v>14688</v>
      </c>
      <c r="G14" s="133">
        <v>81378247</v>
      </c>
      <c r="H14" s="132">
        <v>632</v>
      </c>
      <c r="I14" s="134">
        <v>7604435</v>
      </c>
      <c r="J14" s="132">
        <v>896</v>
      </c>
      <c r="K14" s="134">
        <v>104252</v>
      </c>
      <c r="L14" s="132">
        <v>15411</v>
      </c>
      <c r="M14" s="134">
        <v>73878064</v>
      </c>
      <c r="N14" s="16" t="s">
        <v>95</v>
      </c>
    </row>
    <row r="15" spans="1:14" s="17" customFormat="1" ht="15.75" customHeight="1">
      <c r="A15" s="182"/>
      <c r="B15" s="190"/>
      <c r="C15" s="181"/>
      <c r="D15" s="187"/>
      <c r="E15" s="189"/>
      <c r="F15" s="187"/>
      <c r="G15" s="189"/>
      <c r="H15" s="187"/>
      <c r="I15" s="189"/>
      <c r="J15" s="187"/>
      <c r="K15" s="185"/>
      <c r="L15" s="190"/>
      <c r="M15" s="181"/>
      <c r="N15" s="183"/>
    </row>
    <row r="16" spans="1:14" ht="15.75" customHeight="1">
      <c r="A16" s="11" t="s">
        <v>188</v>
      </c>
      <c r="B16" s="126">
        <f>_xlfn.COMPOUNDVALUE(237)</f>
        <v>3827</v>
      </c>
      <c r="C16" s="127">
        <v>30748384</v>
      </c>
      <c r="D16" s="126">
        <f>_xlfn.COMPOUNDVALUE(238)</f>
        <v>1577</v>
      </c>
      <c r="E16" s="127">
        <v>987824</v>
      </c>
      <c r="F16" s="126">
        <f>_xlfn.COMPOUNDVALUE(239)</f>
        <v>5404</v>
      </c>
      <c r="G16" s="127">
        <v>31736209</v>
      </c>
      <c r="H16" s="126">
        <f>_xlfn.COMPOUNDVALUE(240)</f>
        <v>200</v>
      </c>
      <c r="I16" s="128">
        <v>961388</v>
      </c>
      <c r="J16" s="126">
        <v>435</v>
      </c>
      <c r="K16" s="128">
        <v>149011</v>
      </c>
      <c r="L16" s="126">
        <v>5660</v>
      </c>
      <c r="M16" s="128">
        <v>30923832</v>
      </c>
      <c r="N16" s="24" t="s">
        <v>102</v>
      </c>
    </row>
    <row r="17" spans="1:14" ht="15.75" customHeight="1">
      <c r="A17" s="13" t="s">
        <v>189</v>
      </c>
      <c r="B17" s="129">
        <f>_xlfn.COMPOUNDVALUE(241)</f>
        <v>652</v>
      </c>
      <c r="C17" s="130">
        <v>3880463</v>
      </c>
      <c r="D17" s="129">
        <f>_xlfn.COMPOUNDVALUE(242)</f>
        <v>210</v>
      </c>
      <c r="E17" s="130">
        <v>127471</v>
      </c>
      <c r="F17" s="129">
        <f>_xlfn.COMPOUNDVALUE(243)</f>
        <v>862</v>
      </c>
      <c r="G17" s="130">
        <v>4007933</v>
      </c>
      <c r="H17" s="129">
        <f>_xlfn.COMPOUNDVALUE(244)</f>
        <v>42</v>
      </c>
      <c r="I17" s="131">
        <v>182498</v>
      </c>
      <c r="J17" s="129">
        <v>40</v>
      </c>
      <c r="K17" s="131">
        <v>17959</v>
      </c>
      <c r="L17" s="129">
        <v>910</v>
      </c>
      <c r="M17" s="131">
        <v>3843394</v>
      </c>
      <c r="N17" s="14" t="s">
        <v>103</v>
      </c>
    </row>
    <row r="18" spans="1:14" ht="15.75" customHeight="1">
      <c r="A18" s="13" t="s">
        <v>190</v>
      </c>
      <c r="B18" s="129">
        <f>_xlfn.COMPOUNDVALUE(245)</f>
        <v>551</v>
      </c>
      <c r="C18" s="130">
        <v>4188640</v>
      </c>
      <c r="D18" s="129">
        <f>_xlfn.COMPOUNDVALUE(246)</f>
        <v>168</v>
      </c>
      <c r="E18" s="130">
        <v>99510</v>
      </c>
      <c r="F18" s="129">
        <f>_xlfn.COMPOUNDVALUE(247)</f>
        <v>719</v>
      </c>
      <c r="G18" s="130">
        <v>4288150</v>
      </c>
      <c r="H18" s="129">
        <f>_xlfn.COMPOUNDVALUE(248)</f>
        <v>46</v>
      </c>
      <c r="I18" s="131">
        <v>423898</v>
      </c>
      <c r="J18" s="129">
        <v>56</v>
      </c>
      <c r="K18" s="131">
        <v>-15242</v>
      </c>
      <c r="L18" s="129">
        <v>772</v>
      </c>
      <c r="M18" s="131">
        <v>3849010</v>
      </c>
      <c r="N18" s="14" t="s">
        <v>104</v>
      </c>
    </row>
    <row r="19" spans="1:14" ht="15.75" customHeight="1">
      <c r="A19" s="13" t="s">
        <v>191</v>
      </c>
      <c r="B19" s="129">
        <f>_xlfn.COMPOUNDVALUE(249)</f>
        <v>1004</v>
      </c>
      <c r="C19" s="130">
        <v>7050527</v>
      </c>
      <c r="D19" s="129">
        <f>_xlfn.COMPOUNDVALUE(250)</f>
        <v>383</v>
      </c>
      <c r="E19" s="130">
        <v>231508</v>
      </c>
      <c r="F19" s="129">
        <f>_xlfn.COMPOUNDVALUE(251)</f>
        <v>1387</v>
      </c>
      <c r="G19" s="130">
        <v>7282034</v>
      </c>
      <c r="H19" s="129">
        <f>_xlfn.COMPOUNDVALUE(252)</f>
        <v>70</v>
      </c>
      <c r="I19" s="131">
        <v>384604</v>
      </c>
      <c r="J19" s="129">
        <v>79</v>
      </c>
      <c r="K19" s="131">
        <v>3116</v>
      </c>
      <c r="L19" s="129">
        <v>1468</v>
      </c>
      <c r="M19" s="131">
        <v>6900546</v>
      </c>
      <c r="N19" s="14" t="s">
        <v>105</v>
      </c>
    </row>
    <row r="20" spans="1:14" ht="15.75" customHeight="1">
      <c r="A20" s="13" t="s">
        <v>192</v>
      </c>
      <c r="B20" s="129">
        <f>_xlfn.COMPOUNDVALUE(253)</f>
        <v>1485</v>
      </c>
      <c r="C20" s="130">
        <v>12236605</v>
      </c>
      <c r="D20" s="129">
        <f>_xlfn.COMPOUNDVALUE(254)</f>
        <v>559</v>
      </c>
      <c r="E20" s="130">
        <v>329320</v>
      </c>
      <c r="F20" s="129">
        <f>_xlfn.COMPOUNDVALUE(255)</f>
        <v>2044</v>
      </c>
      <c r="G20" s="130">
        <v>12565925</v>
      </c>
      <c r="H20" s="129">
        <f>_xlfn.COMPOUNDVALUE(256)</f>
        <v>103</v>
      </c>
      <c r="I20" s="131">
        <v>586000</v>
      </c>
      <c r="J20" s="129">
        <v>163</v>
      </c>
      <c r="K20" s="131">
        <v>30839</v>
      </c>
      <c r="L20" s="129">
        <v>2164</v>
      </c>
      <c r="M20" s="131">
        <v>12010764</v>
      </c>
      <c r="N20" s="14" t="s">
        <v>106</v>
      </c>
    </row>
    <row r="21" spans="1:14" ht="15.75" customHeight="1">
      <c r="A21" s="13" t="s">
        <v>193</v>
      </c>
      <c r="B21" s="129">
        <f>_xlfn.COMPOUNDVALUE(257)</f>
        <v>488</v>
      </c>
      <c r="C21" s="130">
        <v>2641741</v>
      </c>
      <c r="D21" s="129">
        <f>_xlfn.COMPOUNDVALUE(258)</f>
        <v>162</v>
      </c>
      <c r="E21" s="130">
        <v>103183</v>
      </c>
      <c r="F21" s="129">
        <f>_xlfn.COMPOUNDVALUE(259)</f>
        <v>650</v>
      </c>
      <c r="G21" s="130">
        <v>2744925</v>
      </c>
      <c r="H21" s="129">
        <f>_xlfn.COMPOUNDVALUE(260)</f>
        <v>38</v>
      </c>
      <c r="I21" s="131">
        <v>300842</v>
      </c>
      <c r="J21" s="129">
        <v>37</v>
      </c>
      <c r="K21" s="131">
        <v>1001</v>
      </c>
      <c r="L21" s="129">
        <v>692</v>
      </c>
      <c r="M21" s="131">
        <v>2445084</v>
      </c>
      <c r="N21" s="14" t="s">
        <v>107</v>
      </c>
    </row>
    <row r="22" spans="1:14" ht="15.75" customHeight="1">
      <c r="A22" s="13" t="s">
        <v>194</v>
      </c>
      <c r="B22" s="129">
        <f>_xlfn.COMPOUNDVALUE(261)</f>
        <v>918</v>
      </c>
      <c r="C22" s="130">
        <v>6628167</v>
      </c>
      <c r="D22" s="129">
        <f>_xlfn.COMPOUNDVALUE(262)</f>
        <v>372</v>
      </c>
      <c r="E22" s="130">
        <v>202388</v>
      </c>
      <c r="F22" s="129">
        <f>_xlfn.COMPOUNDVALUE(263)</f>
        <v>1290</v>
      </c>
      <c r="G22" s="130">
        <v>6830555</v>
      </c>
      <c r="H22" s="129">
        <f>_xlfn.COMPOUNDVALUE(264)</f>
        <v>47</v>
      </c>
      <c r="I22" s="131">
        <v>125736</v>
      </c>
      <c r="J22" s="129">
        <v>62</v>
      </c>
      <c r="K22" s="131">
        <v>6422</v>
      </c>
      <c r="L22" s="129">
        <v>1341</v>
      </c>
      <c r="M22" s="131">
        <v>6711241</v>
      </c>
      <c r="N22" s="14" t="s">
        <v>108</v>
      </c>
    </row>
    <row r="23" spans="1:14" ht="15.75" customHeight="1">
      <c r="A23" s="13" t="s">
        <v>195</v>
      </c>
      <c r="B23" s="129">
        <f>_xlfn.COMPOUNDVALUE(265)</f>
        <v>639</v>
      </c>
      <c r="C23" s="130">
        <v>3824563</v>
      </c>
      <c r="D23" s="129">
        <f>_xlfn.COMPOUNDVALUE(266)</f>
        <v>237</v>
      </c>
      <c r="E23" s="130">
        <v>128339</v>
      </c>
      <c r="F23" s="129">
        <f>_xlfn.COMPOUNDVALUE(267)</f>
        <v>876</v>
      </c>
      <c r="G23" s="130">
        <v>3952902</v>
      </c>
      <c r="H23" s="129">
        <f>_xlfn.COMPOUNDVALUE(268)</f>
        <v>50</v>
      </c>
      <c r="I23" s="131">
        <v>178742</v>
      </c>
      <c r="J23" s="129">
        <v>46</v>
      </c>
      <c r="K23" s="131">
        <v>9521</v>
      </c>
      <c r="L23" s="129">
        <v>937</v>
      </c>
      <c r="M23" s="131">
        <v>3783682</v>
      </c>
      <c r="N23" s="14" t="s">
        <v>109</v>
      </c>
    </row>
    <row r="24" spans="1:14" ht="15.75" customHeight="1">
      <c r="A24" s="13" t="s">
        <v>196</v>
      </c>
      <c r="B24" s="129">
        <f>_xlfn.COMPOUNDVALUE(269)</f>
        <v>466</v>
      </c>
      <c r="C24" s="130">
        <v>2898191</v>
      </c>
      <c r="D24" s="129">
        <f>_xlfn.COMPOUNDVALUE(270)</f>
        <v>130</v>
      </c>
      <c r="E24" s="130">
        <v>83782</v>
      </c>
      <c r="F24" s="129">
        <f>_xlfn.COMPOUNDVALUE(271)</f>
        <v>596</v>
      </c>
      <c r="G24" s="130">
        <v>2981973</v>
      </c>
      <c r="H24" s="129">
        <f>_xlfn.COMPOUNDVALUE(272)</f>
        <v>36</v>
      </c>
      <c r="I24" s="131">
        <v>332596</v>
      </c>
      <c r="J24" s="129">
        <v>30</v>
      </c>
      <c r="K24" s="131">
        <v>16460</v>
      </c>
      <c r="L24" s="129">
        <v>639</v>
      </c>
      <c r="M24" s="131">
        <v>2665836</v>
      </c>
      <c r="N24" s="14" t="s">
        <v>110</v>
      </c>
    </row>
    <row r="25" spans="1:14" ht="15.75" customHeight="1">
      <c r="A25" s="15" t="s">
        <v>197</v>
      </c>
      <c r="B25" s="132">
        <v>10030</v>
      </c>
      <c r="C25" s="133">
        <v>74097281</v>
      </c>
      <c r="D25" s="132">
        <v>3798</v>
      </c>
      <c r="E25" s="133">
        <v>2293325</v>
      </c>
      <c r="F25" s="132">
        <v>13828</v>
      </c>
      <c r="G25" s="133">
        <v>76390606</v>
      </c>
      <c r="H25" s="132">
        <v>632</v>
      </c>
      <c r="I25" s="134">
        <v>3476304</v>
      </c>
      <c r="J25" s="132">
        <v>948</v>
      </c>
      <c r="K25" s="134">
        <v>219087</v>
      </c>
      <c r="L25" s="132">
        <v>14583</v>
      </c>
      <c r="M25" s="134">
        <v>73133390</v>
      </c>
      <c r="N25" s="16" t="s">
        <v>111</v>
      </c>
    </row>
    <row r="26" spans="1:14" ht="15.75" customHeight="1">
      <c r="A26" s="182"/>
      <c r="B26" s="190"/>
      <c r="C26" s="181"/>
      <c r="D26" s="187"/>
      <c r="E26" s="189"/>
      <c r="F26" s="187"/>
      <c r="G26" s="189"/>
      <c r="H26" s="187"/>
      <c r="I26" s="189"/>
      <c r="J26" s="187"/>
      <c r="K26" s="185"/>
      <c r="L26" s="190"/>
      <c r="M26" s="181"/>
      <c r="N26" s="183"/>
    </row>
    <row r="27" spans="1:14" ht="15.75" customHeight="1">
      <c r="A27" s="11" t="s">
        <v>198</v>
      </c>
      <c r="B27" s="126">
        <f>_xlfn.COMPOUNDVALUE(273)</f>
        <v>5140</v>
      </c>
      <c r="C27" s="127">
        <v>71352355</v>
      </c>
      <c r="D27" s="126">
        <f>_xlfn.COMPOUNDVALUE(274)</f>
        <v>2270</v>
      </c>
      <c r="E27" s="127">
        <v>1437808</v>
      </c>
      <c r="F27" s="126">
        <f>_xlfn.COMPOUNDVALUE(275)</f>
        <v>7410</v>
      </c>
      <c r="G27" s="127">
        <v>72790163</v>
      </c>
      <c r="H27" s="126">
        <f>_xlfn.COMPOUNDVALUE(276)</f>
        <v>432</v>
      </c>
      <c r="I27" s="128">
        <v>2170982</v>
      </c>
      <c r="J27" s="126">
        <v>498</v>
      </c>
      <c r="K27" s="128">
        <v>22789</v>
      </c>
      <c r="L27" s="126">
        <v>7909</v>
      </c>
      <c r="M27" s="128">
        <v>70641970</v>
      </c>
      <c r="N27" s="24" t="s">
        <v>112</v>
      </c>
    </row>
    <row r="28" spans="1:14" ht="15.75" customHeight="1">
      <c r="A28" s="13" t="s">
        <v>199</v>
      </c>
      <c r="B28" s="129">
        <f>_xlfn.COMPOUNDVALUE(277)</f>
        <v>4948</v>
      </c>
      <c r="C28" s="130">
        <v>57888254</v>
      </c>
      <c r="D28" s="129">
        <f>_xlfn.COMPOUNDVALUE(278)</f>
        <v>1650</v>
      </c>
      <c r="E28" s="130">
        <v>1116277</v>
      </c>
      <c r="F28" s="129">
        <f>_xlfn.COMPOUNDVALUE(279)</f>
        <v>6598</v>
      </c>
      <c r="G28" s="130">
        <v>59004531</v>
      </c>
      <c r="H28" s="129">
        <f>_xlfn.COMPOUNDVALUE(280)</f>
        <v>342</v>
      </c>
      <c r="I28" s="131">
        <v>3797208</v>
      </c>
      <c r="J28" s="129">
        <v>498</v>
      </c>
      <c r="K28" s="131">
        <v>86759</v>
      </c>
      <c r="L28" s="129">
        <v>6988</v>
      </c>
      <c r="M28" s="131">
        <v>55294082</v>
      </c>
      <c r="N28" s="14" t="s">
        <v>113</v>
      </c>
    </row>
    <row r="29" spans="1:14" ht="15.75" customHeight="1">
      <c r="A29" s="13" t="s">
        <v>200</v>
      </c>
      <c r="B29" s="129">
        <f>_xlfn.COMPOUNDVALUE(281)</f>
        <v>2559</v>
      </c>
      <c r="C29" s="130">
        <v>18469264</v>
      </c>
      <c r="D29" s="129">
        <f>_xlfn.COMPOUNDVALUE(282)</f>
        <v>1088</v>
      </c>
      <c r="E29" s="130">
        <v>676759</v>
      </c>
      <c r="F29" s="129">
        <f>_xlfn.COMPOUNDVALUE(283)</f>
        <v>3647</v>
      </c>
      <c r="G29" s="130">
        <v>19146022</v>
      </c>
      <c r="H29" s="129">
        <f>_xlfn.COMPOUNDVALUE(284)</f>
        <v>182</v>
      </c>
      <c r="I29" s="131">
        <v>626610</v>
      </c>
      <c r="J29" s="129">
        <v>162</v>
      </c>
      <c r="K29" s="131">
        <v>27494</v>
      </c>
      <c r="L29" s="129">
        <v>3858</v>
      </c>
      <c r="M29" s="131">
        <v>18546906</v>
      </c>
      <c r="N29" s="14" t="s">
        <v>114</v>
      </c>
    </row>
    <row r="30" spans="1:14" ht="15.75" customHeight="1">
      <c r="A30" s="13" t="s">
        <v>201</v>
      </c>
      <c r="B30" s="129">
        <f>_xlfn.COMPOUNDVALUE(285)</f>
        <v>2128</v>
      </c>
      <c r="C30" s="130">
        <v>12350521</v>
      </c>
      <c r="D30" s="129">
        <f>_xlfn.COMPOUNDVALUE(286)</f>
        <v>724</v>
      </c>
      <c r="E30" s="130">
        <v>467539</v>
      </c>
      <c r="F30" s="129">
        <f>_xlfn.COMPOUNDVALUE(287)</f>
        <v>2852</v>
      </c>
      <c r="G30" s="130">
        <v>12818060</v>
      </c>
      <c r="H30" s="129">
        <f>_xlfn.COMPOUNDVALUE(288)</f>
        <v>190</v>
      </c>
      <c r="I30" s="131">
        <v>4070554</v>
      </c>
      <c r="J30" s="129">
        <v>128</v>
      </c>
      <c r="K30" s="131">
        <v>571</v>
      </c>
      <c r="L30" s="129">
        <v>3062</v>
      </c>
      <c r="M30" s="131">
        <v>8748077</v>
      </c>
      <c r="N30" s="14" t="s">
        <v>115</v>
      </c>
    </row>
    <row r="31" spans="1:14" ht="15.75" customHeight="1">
      <c r="A31" s="13" t="s">
        <v>202</v>
      </c>
      <c r="B31" s="129">
        <f>_xlfn.COMPOUNDVALUE(289)</f>
        <v>1485</v>
      </c>
      <c r="C31" s="130">
        <v>7260140</v>
      </c>
      <c r="D31" s="129">
        <f>_xlfn.COMPOUNDVALUE(290)</f>
        <v>607</v>
      </c>
      <c r="E31" s="130">
        <v>354436</v>
      </c>
      <c r="F31" s="129">
        <f>_xlfn.COMPOUNDVALUE(291)</f>
        <v>2092</v>
      </c>
      <c r="G31" s="130">
        <v>7614576</v>
      </c>
      <c r="H31" s="129">
        <f>_xlfn.COMPOUNDVALUE(292)</f>
        <v>106</v>
      </c>
      <c r="I31" s="131">
        <v>718000</v>
      </c>
      <c r="J31" s="129">
        <v>118</v>
      </c>
      <c r="K31" s="131">
        <v>17319</v>
      </c>
      <c r="L31" s="129">
        <v>2218</v>
      </c>
      <c r="M31" s="131">
        <v>6913895</v>
      </c>
      <c r="N31" s="14" t="s">
        <v>116</v>
      </c>
    </row>
    <row r="32" spans="1:14" ht="15.75" customHeight="1">
      <c r="A32" s="13" t="s">
        <v>203</v>
      </c>
      <c r="B32" s="129">
        <f>_xlfn.COMPOUNDVALUE(293)</f>
        <v>1626</v>
      </c>
      <c r="C32" s="130">
        <v>8593282</v>
      </c>
      <c r="D32" s="129">
        <f>_xlfn.COMPOUNDVALUE(294)</f>
        <v>665</v>
      </c>
      <c r="E32" s="130">
        <v>393131</v>
      </c>
      <c r="F32" s="129">
        <f>_xlfn.COMPOUNDVALUE(295)</f>
        <v>2291</v>
      </c>
      <c r="G32" s="130">
        <v>8986413</v>
      </c>
      <c r="H32" s="129">
        <f>_xlfn.COMPOUNDVALUE(296)</f>
        <v>115</v>
      </c>
      <c r="I32" s="131">
        <v>585152</v>
      </c>
      <c r="J32" s="129">
        <v>117</v>
      </c>
      <c r="K32" s="131">
        <v>54930</v>
      </c>
      <c r="L32" s="129">
        <v>2448</v>
      </c>
      <c r="M32" s="131">
        <v>8456191</v>
      </c>
      <c r="N32" s="14" t="s">
        <v>117</v>
      </c>
    </row>
    <row r="33" spans="1:14" ht="15.75" customHeight="1">
      <c r="A33" s="13" t="s">
        <v>204</v>
      </c>
      <c r="B33" s="129">
        <f>_xlfn.COMPOUNDVALUE(297)</f>
        <v>826</v>
      </c>
      <c r="C33" s="130">
        <v>4521968</v>
      </c>
      <c r="D33" s="129">
        <f>_xlfn.COMPOUNDVALUE(298)</f>
        <v>260</v>
      </c>
      <c r="E33" s="130">
        <v>151764</v>
      </c>
      <c r="F33" s="129">
        <f>_xlfn.COMPOUNDVALUE(299)</f>
        <v>1086</v>
      </c>
      <c r="G33" s="130">
        <v>4673732</v>
      </c>
      <c r="H33" s="129">
        <f>_xlfn.COMPOUNDVALUE(300)</f>
        <v>80</v>
      </c>
      <c r="I33" s="131">
        <v>714478</v>
      </c>
      <c r="J33" s="129">
        <v>71</v>
      </c>
      <c r="K33" s="131">
        <v>15430</v>
      </c>
      <c r="L33" s="129">
        <v>1174</v>
      </c>
      <c r="M33" s="131">
        <v>3974684</v>
      </c>
      <c r="N33" s="14" t="s">
        <v>118</v>
      </c>
    </row>
    <row r="34" spans="1:14" ht="15.75" customHeight="1">
      <c r="A34" s="13" t="s">
        <v>205</v>
      </c>
      <c r="B34" s="129">
        <f>_xlfn.COMPOUNDVALUE(301)</f>
        <v>1229</v>
      </c>
      <c r="C34" s="130">
        <v>6287923</v>
      </c>
      <c r="D34" s="129">
        <f>_xlfn.COMPOUNDVALUE(302)</f>
        <v>506</v>
      </c>
      <c r="E34" s="130">
        <v>281027</v>
      </c>
      <c r="F34" s="129">
        <f>_xlfn.COMPOUNDVALUE(303)</f>
        <v>1735</v>
      </c>
      <c r="G34" s="130">
        <v>6568950</v>
      </c>
      <c r="H34" s="129">
        <f>_xlfn.COMPOUNDVALUE(304)</f>
        <v>66</v>
      </c>
      <c r="I34" s="131">
        <v>367905</v>
      </c>
      <c r="J34" s="129">
        <v>97</v>
      </c>
      <c r="K34" s="131">
        <v>20835</v>
      </c>
      <c r="L34" s="129">
        <v>1814</v>
      </c>
      <c r="M34" s="131">
        <v>6221880</v>
      </c>
      <c r="N34" s="14" t="s">
        <v>119</v>
      </c>
    </row>
    <row r="35" spans="1:14" ht="15.75" customHeight="1">
      <c r="A35" s="13" t="s">
        <v>206</v>
      </c>
      <c r="B35" s="129">
        <f>_xlfn.COMPOUNDVALUE(305)</f>
        <v>591</v>
      </c>
      <c r="C35" s="130">
        <v>3369859</v>
      </c>
      <c r="D35" s="129">
        <f>_xlfn.COMPOUNDVALUE(306)</f>
        <v>217</v>
      </c>
      <c r="E35" s="130">
        <v>131689</v>
      </c>
      <c r="F35" s="129">
        <f>_xlfn.COMPOUNDVALUE(307)</f>
        <v>808</v>
      </c>
      <c r="G35" s="130">
        <v>3501548</v>
      </c>
      <c r="H35" s="129">
        <f>_xlfn.COMPOUNDVALUE(308)</f>
        <v>51</v>
      </c>
      <c r="I35" s="131">
        <v>877753</v>
      </c>
      <c r="J35" s="129">
        <v>65</v>
      </c>
      <c r="K35" s="131">
        <v>-7501</v>
      </c>
      <c r="L35" s="129">
        <v>866</v>
      </c>
      <c r="M35" s="131">
        <v>2616294</v>
      </c>
      <c r="N35" s="14" t="s">
        <v>120</v>
      </c>
    </row>
    <row r="36" spans="1:14" ht="15.75" customHeight="1">
      <c r="A36" s="13" t="s">
        <v>207</v>
      </c>
      <c r="B36" s="129">
        <f>_xlfn.COMPOUNDVALUE(309)</f>
        <v>741</v>
      </c>
      <c r="C36" s="130">
        <v>4635626</v>
      </c>
      <c r="D36" s="129">
        <f>_xlfn.COMPOUNDVALUE(310)</f>
        <v>304</v>
      </c>
      <c r="E36" s="130">
        <v>184859</v>
      </c>
      <c r="F36" s="129">
        <f>_xlfn.COMPOUNDVALUE(311)</f>
        <v>1045</v>
      </c>
      <c r="G36" s="130">
        <v>4820485</v>
      </c>
      <c r="H36" s="129">
        <f>_xlfn.COMPOUNDVALUE(312)</f>
        <v>45</v>
      </c>
      <c r="I36" s="131">
        <v>161602</v>
      </c>
      <c r="J36" s="129">
        <v>76</v>
      </c>
      <c r="K36" s="131">
        <v>20045</v>
      </c>
      <c r="L36" s="129">
        <v>1106</v>
      </c>
      <c r="M36" s="131">
        <v>4678928</v>
      </c>
      <c r="N36" s="14" t="s">
        <v>121</v>
      </c>
    </row>
    <row r="37" spans="1:14" ht="15.75" customHeight="1">
      <c r="A37" s="15" t="s">
        <v>208</v>
      </c>
      <c r="B37" s="132">
        <v>21273</v>
      </c>
      <c r="C37" s="133">
        <v>194729190</v>
      </c>
      <c r="D37" s="132">
        <v>8291</v>
      </c>
      <c r="E37" s="133">
        <v>5195290</v>
      </c>
      <c r="F37" s="132">
        <v>29564</v>
      </c>
      <c r="G37" s="133">
        <v>199924480</v>
      </c>
      <c r="H37" s="132">
        <v>1609</v>
      </c>
      <c r="I37" s="134">
        <v>14090242</v>
      </c>
      <c r="J37" s="132">
        <v>1830</v>
      </c>
      <c r="K37" s="134">
        <v>258671</v>
      </c>
      <c r="L37" s="132">
        <v>31443</v>
      </c>
      <c r="M37" s="134">
        <v>186092909</v>
      </c>
      <c r="N37" s="16" t="s">
        <v>122</v>
      </c>
    </row>
    <row r="38" spans="1:14" ht="15.75" customHeight="1">
      <c r="A38" s="182"/>
      <c r="B38" s="190"/>
      <c r="C38" s="181"/>
      <c r="D38" s="187"/>
      <c r="E38" s="189"/>
      <c r="F38" s="187"/>
      <c r="G38" s="189"/>
      <c r="H38" s="187"/>
      <c r="I38" s="189"/>
      <c r="J38" s="187"/>
      <c r="K38" s="185"/>
      <c r="L38" s="190"/>
      <c r="M38" s="181"/>
      <c r="N38" s="183"/>
    </row>
    <row r="39" spans="1:14" ht="15.75" customHeight="1">
      <c r="A39" s="11" t="s">
        <v>209</v>
      </c>
      <c r="B39" s="126">
        <f>_xlfn.COMPOUNDVALUE(313)</f>
        <v>2224</v>
      </c>
      <c r="C39" s="127">
        <v>17040124</v>
      </c>
      <c r="D39" s="126">
        <f>_xlfn.COMPOUNDVALUE(314)</f>
        <v>968</v>
      </c>
      <c r="E39" s="127">
        <v>592929</v>
      </c>
      <c r="F39" s="126">
        <f>_xlfn.COMPOUNDVALUE(315)</f>
        <v>3192</v>
      </c>
      <c r="G39" s="127">
        <v>17633053</v>
      </c>
      <c r="H39" s="126">
        <f>_xlfn.COMPOUNDVALUE(316)</f>
        <v>107</v>
      </c>
      <c r="I39" s="128">
        <v>879079</v>
      </c>
      <c r="J39" s="126">
        <v>239</v>
      </c>
      <c r="K39" s="128">
        <v>-14108</v>
      </c>
      <c r="L39" s="126">
        <v>3316</v>
      </c>
      <c r="M39" s="128">
        <v>16739866</v>
      </c>
      <c r="N39" s="12" t="s">
        <v>123</v>
      </c>
    </row>
    <row r="40" spans="1:14" ht="15.75" customHeight="1">
      <c r="A40" s="13" t="s">
        <v>210</v>
      </c>
      <c r="B40" s="129">
        <f>_xlfn.COMPOUNDVALUE(317)</f>
        <v>1074</v>
      </c>
      <c r="C40" s="130">
        <v>6632804</v>
      </c>
      <c r="D40" s="129">
        <f>_xlfn.COMPOUNDVALUE(318)</f>
        <v>488</v>
      </c>
      <c r="E40" s="130">
        <v>272886</v>
      </c>
      <c r="F40" s="129">
        <f>_xlfn.COMPOUNDVALUE(319)</f>
        <v>1562</v>
      </c>
      <c r="G40" s="130">
        <v>6905689</v>
      </c>
      <c r="H40" s="129">
        <f>_xlfn.COMPOUNDVALUE(320)</f>
        <v>66</v>
      </c>
      <c r="I40" s="131">
        <v>167716</v>
      </c>
      <c r="J40" s="129">
        <v>70</v>
      </c>
      <c r="K40" s="131">
        <v>2429</v>
      </c>
      <c r="L40" s="129">
        <v>1649</v>
      </c>
      <c r="M40" s="131">
        <v>6740402</v>
      </c>
      <c r="N40" s="14" t="s">
        <v>124</v>
      </c>
    </row>
    <row r="41" spans="1:14" ht="15.75" customHeight="1">
      <c r="A41" s="13" t="s">
        <v>211</v>
      </c>
      <c r="B41" s="129">
        <f>_xlfn.COMPOUNDVALUE(321)</f>
        <v>650</v>
      </c>
      <c r="C41" s="130">
        <v>3025276</v>
      </c>
      <c r="D41" s="129">
        <f>_xlfn.COMPOUNDVALUE(322)</f>
        <v>281</v>
      </c>
      <c r="E41" s="130">
        <v>157446</v>
      </c>
      <c r="F41" s="129">
        <f>_xlfn.COMPOUNDVALUE(323)</f>
        <v>931</v>
      </c>
      <c r="G41" s="130">
        <v>3182722</v>
      </c>
      <c r="H41" s="129">
        <f>_xlfn.COMPOUNDVALUE(324)</f>
        <v>37</v>
      </c>
      <c r="I41" s="131">
        <v>111961</v>
      </c>
      <c r="J41" s="129">
        <v>62</v>
      </c>
      <c r="K41" s="131">
        <v>11857</v>
      </c>
      <c r="L41" s="129">
        <v>981</v>
      </c>
      <c r="M41" s="131">
        <v>3082618</v>
      </c>
      <c r="N41" s="14" t="s">
        <v>125</v>
      </c>
    </row>
    <row r="42" spans="1:14" ht="15.75" customHeight="1">
      <c r="A42" s="13" t="s">
        <v>212</v>
      </c>
      <c r="B42" s="129">
        <f>_xlfn.COMPOUNDVALUE(325)</f>
        <v>702</v>
      </c>
      <c r="C42" s="130">
        <v>3276496</v>
      </c>
      <c r="D42" s="129">
        <f>_xlfn.COMPOUNDVALUE(326)</f>
        <v>306</v>
      </c>
      <c r="E42" s="130">
        <v>183138</v>
      </c>
      <c r="F42" s="129">
        <f>_xlfn.COMPOUNDVALUE(327)</f>
        <v>1008</v>
      </c>
      <c r="G42" s="130">
        <v>3459634</v>
      </c>
      <c r="H42" s="129">
        <f>_xlfn.COMPOUNDVALUE(328)</f>
        <v>48</v>
      </c>
      <c r="I42" s="131">
        <v>229623</v>
      </c>
      <c r="J42" s="129">
        <v>48</v>
      </c>
      <c r="K42" s="131">
        <v>36072</v>
      </c>
      <c r="L42" s="129">
        <v>1069</v>
      </c>
      <c r="M42" s="131">
        <v>3266082</v>
      </c>
      <c r="N42" s="14" t="s">
        <v>126</v>
      </c>
    </row>
    <row r="43" spans="1:14" ht="15.75" customHeight="1">
      <c r="A43" s="13" t="s">
        <v>213</v>
      </c>
      <c r="B43" s="129">
        <f>_xlfn.COMPOUNDVALUE(329)</f>
        <v>1183</v>
      </c>
      <c r="C43" s="130">
        <v>7266085</v>
      </c>
      <c r="D43" s="129">
        <f>_xlfn.COMPOUNDVALUE(330)</f>
        <v>446</v>
      </c>
      <c r="E43" s="130">
        <v>251516</v>
      </c>
      <c r="F43" s="129">
        <f>_xlfn.COMPOUNDVALUE(331)</f>
        <v>1629</v>
      </c>
      <c r="G43" s="130">
        <v>7517601</v>
      </c>
      <c r="H43" s="129">
        <f>_xlfn.COMPOUNDVALUE(332)</f>
        <v>85</v>
      </c>
      <c r="I43" s="131">
        <v>234086</v>
      </c>
      <c r="J43" s="129">
        <v>72</v>
      </c>
      <c r="K43" s="131">
        <v>3709</v>
      </c>
      <c r="L43" s="129">
        <v>1726</v>
      </c>
      <c r="M43" s="131">
        <v>7287224</v>
      </c>
      <c r="N43" s="14" t="s">
        <v>127</v>
      </c>
    </row>
    <row r="44" spans="1:14" ht="15.75" customHeight="1">
      <c r="A44" s="13" t="s">
        <v>214</v>
      </c>
      <c r="B44" s="129">
        <f>_xlfn.COMPOUNDVALUE(333)</f>
        <v>758</v>
      </c>
      <c r="C44" s="130">
        <v>6296904</v>
      </c>
      <c r="D44" s="129">
        <f>_xlfn.COMPOUNDVALUE(334)</f>
        <v>302</v>
      </c>
      <c r="E44" s="130">
        <v>172118</v>
      </c>
      <c r="F44" s="129">
        <f>_xlfn.COMPOUNDVALUE(335)</f>
        <v>1060</v>
      </c>
      <c r="G44" s="130">
        <v>6469022</v>
      </c>
      <c r="H44" s="129">
        <f>_xlfn.COMPOUNDVALUE(336)</f>
        <v>50</v>
      </c>
      <c r="I44" s="131">
        <v>228935</v>
      </c>
      <c r="J44" s="129">
        <v>60</v>
      </c>
      <c r="K44" s="131">
        <v>6247</v>
      </c>
      <c r="L44" s="129">
        <v>1114</v>
      </c>
      <c r="M44" s="131">
        <v>6246334</v>
      </c>
      <c r="N44" s="14" t="s">
        <v>128</v>
      </c>
    </row>
    <row r="45" spans="1:14" ht="15.75" customHeight="1">
      <c r="A45" s="13" t="s">
        <v>215</v>
      </c>
      <c r="B45" s="129">
        <f>_xlfn.COMPOUNDVALUE(337)</f>
        <v>486</v>
      </c>
      <c r="C45" s="130">
        <v>2911202</v>
      </c>
      <c r="D45" s="129">
        <f>_xlfn.COMPOUNDVALUE(338)</f>
        <v>179</v>
      </c>
      <c r="E45" s="130">
        <v>99485</v>
      </c>
      <c r="F45" s="129">
        <f>_xlfn.COMPOUNDVALUE(339)</f>
        <v>665</v>
      </c>
      <c r="G45" s="130">
        <v>3010687</v>
      </c>
      <c r="H45" s="129">
        <f>_xlfn.COMPOUNDVALUE(340)</f>
        <v>40</v>
      </c>
      <c r="I45" s="131">
        <v>715650</v>
      </c>
      <c r="J45" s="129">
        <v>22</v>
      </c>
      <c r="K45" s="131">
        <v>-3113</v>
      </c>
      <c r="L45" s="129">
        <v>706</v>
      </c>
      <c r="M45" s="131">
        <v>2291924</v>
      </c>
      <c r="N45" s="14" t="s">
        <v>129</v>
      </c>
    </row>
    <row r="46" spans="1:14" ht="15.75" customHeight="1">
      <c r="A46" s="13" t="s">
        <v>216</v>
      </c>
      <c r="B46" s="129">
        <f>_xlfn.COMPOUNDVALUE(341)</f>
        <v>1071</v>
      </c>
      <c r="C46" s="130">
        <v>5282147</v>
      </c>
      <c r="D46" s="129">
        <f>_xlfn.COMPOUNDVALUE(342)</f>
        <v>425</v>
      </c>
      <c r="E46" s="130">
        <v>256155</v>
      </c>
      <c r="F46" s="129">
        <f>_xlfn.COMPOUNDVALUE(343)</f>
        <v>1496</v>
      </c>
      <c r="G46" s="130">
        <v>5538302</v>
      </c>
      <c r="H46" s="129">
        <f>_xlfn.COMPOUNDVALUE(344)</f>
        <v>69</v>
      </c>
      <c r="I46" s="131">
        <v>212710</v>
      </c>
      <c r="J46" s="129">
        <v>88</v>
      </c>
      <c r="K46" s="131">
        <v>21583</v>
      </c>
      <c r="L46" s="129">
        <v>1582</v>
      </c>
      <c r="M46" s="131">
        <v>5347176</v>
      </c>
      <c r="N46" s="14" t="s">
        <v>130</v>
      </c>
    </row>
    <row r="47" spans="1:14" ht="15.75" customHeight="1">
      <c r="A47" s="15" t="s">
        <v>217</v>
      </c>
      <c r="B47" s="132">
        <v>8148</v>
      </c>
      <c r="C47" s="133">
        <v>51731037</v>
      </c>
      <c r="D47" s="132">
        <v>3395</v>
      </c>
      <c r="E47" s="133">
        <v>1985673</v>
      </c>
      <c r="F47" s="132">
        <v>11543</v>
      </c>
      <c r="G47" s="133">
        <v>53716710</v>
      </c>
      <c r="H47" s="132">
        <v>502</v>
      </c>
      <c r="I47" s="134">
        <v>2779760</v>
      </c>
      <c r="J47" s="132">
        <v>661</v>
      </c>
      <c r="K47" s="134">
        <v>64676</v>
      </c>
      <c r="L47" s="132">
        <v>12143</v>
      </c>
      <c r="M47" s="134">
        <v>51001626</v>
      </c>
      <c r="N47" s="16" t="s">
        <v>131</v>
      </c>
    </row>
    <row r="48" spans="1:14" ht="15.75" customHeight="1">
      <c r="A48" s="182"/>
      <c r="B48" s="190"/>
      <c r="C48" s="181"/>
      <c r="D48" s="187"/>
      <c r="E48" s="189"/>
      <c r="F48" s="187"/>
      <c r="G48" s="189"/>
      <c r="H48" s="187"/>
      <c r="I48" s="189"/>
      <c r="J48" s="187"/>
      <c r="K48" s="185"/>
      <c r="L48" s="190"/>
      <c r="M48" s="181"/>
      <c r="N48" s="183"/>
    </row>
    <row r="49" spans="1:14" ht="15.75" customHeight="1">
      <c r="A49" s="11" t="s">
        <v>218</v>
      </c>
      <c r="B49" s="126">
        <f>_xlfn.COMPOUNDVALUE(345)</f>
        <v>3469</v>
      </c>
      <c r="C49" s="127">
        <v>28614892</v>
      </c>
      <c r="D49" s="126">
        <f>_xlfn.COMPOUNDVALUE(346)</f>
        <v>1572</v>
      </c>
      <c r="E49" s="127">
        <v>888046</v>
      </c>
      <c r="F49" s="126">
        <f>_xlfn.COMPOUNDVALUE(347)</f>
        <v>5041</v>
      </c>
      <c r="G49" s="127">
        <v>29502938</v>
      </c>
      <c r="H49" s="126">
        <f>_xlfn.COMPOUNDVALUE(348)</f>
        <v>172</v>
      </c>
      <c r="I49" s="128">
        <v>916392</v>
      </c>
      <c r="J49" s="126">
        <v>303</v>
      </c>
      <c r="K49" s="128">
        <v>31343</v>
      </c>
      <c r="L49" s="126">
        <v>5252</v>
      </c>
      <c r="M49" s="128">
        <v>28617889</v>
      </c>
      <c r="N49" s="24" t="s">
        <v>132</v>
      </c>
    </row>
    <row r="50" spans="1:14" ht="15.75" customHeight="1">
      <c r="A50" s="13" t="s">
        <v>219</v>
      </c>
      <c r="B50" s="129">
        <f>_xlfn.COMPOUNDVALUE(349)</f>
        <v>1440</v>
      </c>
      <c r="C50" s="130">
        <v>9158953</v>
      </c>
      <c r="D50" s="129">
        <f>_xlfn.COMPOUNDVALUE(350)</f>
        <v>638</v>
      </c>
      <c r="E50" s="130">
        <v>366664</v>
      </c>
      <c r="F50" s="129">
        <f>_xlfn.COMPOUNDVALUE(351)</f>
        <v>2078</v>
      </c>
      <c r="G50" s="130">
        <v>9525616</v>
      </c>
      <c r="H50" s="129">
        <f>_xlfn.COMPOUNDVALUE(352)</f>
        <v>99</v>
      </c>
      <c r="I50" s="131">
        <v>1509908</v>
      </c>
      <c r="J50" s="129">
        <v>75</v>
      </c>
      <c r="K50" s="131">
        <v>17186</v>
      </c>
      <c r="L50" s="129">
        <v>2197</v>
      </c>
      <c r="M50" s="131">
        <v>8032894</v>
      </c>
      <c r="N50" s="14" t="s">
        <v>133</v>
      </c>
    </row>
    <row r="51" spans="1:14" ht="15.75" customHeight="1">
      <c r="A51" s="13" t="s">
        <v>220</v>
      </c>
      <c r="B51" s="129">
        <f>_xlfn.COMPOUNDVALUE(353)</f>
        <v>1290</v>
      </c>
      <c r="C51" s="130">
        <v>8020801</v>
      </c>
      <c r="D51" s="129">
        <f>_xlfn.COMPOUNDVALUE(354)</f>
        <v>556</v>
      </c>
      <c r="E51" s="130">
        <v>316672</v>
      </c>
      <c r="F51" s="129">
        <f>_xlfn.COMPOUNDVALUE(355)</f>
        <v>1846</v>
      </c>
      <c r="G51" s="130">
        <v>8337473</v>
      </c>
      <c r="H51" s="129">
        <f>_xlfn.COMPOUNDVALUE(356)</f>
        <v>82</v>
      </c>
      <c r="I51" s="131">
        <v>282493</v>
      </c>
      <c r="J51" s="129">
        <v>76</v>
      </c>
      <c r="K51" s="131">
        <v>6866</v>
      </c>
      <c r="L51" s="129">
        <v>1938</v>
      </c>
      <c r="M51" s="131">
        <v>8061845</v>
      </c>
      <c r="N51" s="14" t="s">
        <v>134</v>
      </c>
    </row>
    <row r="52" spans="1:14" ht="15.75" customHeight="1">
      <c r="A52" s="13" t="s">
        <v>221</v>
      </c>
      <c r="B52" s="129">
        <f>_xlfn.COMPOUNDVALUE(357)</f>
        <v>1080</v>
      </c>
      <c r="C52" s="130">
        <v>7146159</v>
      </c>
      <c r="D52" s="129">
        <f>_xlfn.COMPOUNDVALUE(358)</f>
        <v>534</v>
      </c>
      <c r="E52" s="130">
        <v>283016</v>
      </c>
      <c r="F52" s="129">
        <f>_xlfn.COMPOUNDVALUE(359)</f>
        <v>1614</v>
      </c>
      <c r="G52" s="130">
        <v>7429175</v>
      </c>
      <c r="H52" s="129">
        <f>_xlfn.COMPOUNDVALUE(360)</f>
        <v>68</v>
      </c>
      <c r="I52" s="131">
        <v>495836</v>
      </c>
      <c r="J52" s="129">
        <v>83</v>
      </c>
      <c r="K52" s="131">
        <v>-218</v>
      </c>
      <c r="L52" s="129">
        <v>1695</v>
      </c>
      <c r="M52" s="131">
        <v>6933121</v>
      </c>
      <c r="N52" s="14" t="s">
        <v>135</v>
      </c>
    </row>
    <row r="53" spans="1:14" ht="15.75" customHeight="1">
      <c r="A53" s="13" t="s">
        <v>222</v>
      </c>
      <c r="B53" s="129">
        <f>_xlfn.COMPOUNDVALUE(361)</f>
        <v>644</v>
      </c>
      <c r="C53" s="130">
        <v>3453989</v>
      </c>
      <c r="D53" s="129">
        <f>_xlfn.COMPOUNDVALUE(362)</f>
        <v>258</v>
      </c>
      <c r="E53" s="130">
        <v>153928</v>
      </c>
      <c r="F53" s="129">
        <f>_xlfn.COMPOUNDVALUE(363)</f>
        <v>902</v>
      </c>
      <c r="G53" s="130">
        <v>3607918</v>
      </c>
      <c r="H53" s="129">
        <f>_xlfn.COMPOUNDVALUE(364)</f>
        <v>34</v>
      </c>
      <c r="I53" s="131">
        <v>129251</v>
      </c>
      <c r="J53" s="129">
        <v>75</v>
      </c>
      <c r="K53" s="131">
        <v>15763</v>
      </c>
      <c r="L53" s="129">
        <v>951</v>
      </c>
      <c r="M53" s="131">
        <v>3494429</v>
      </c>
      <c r="N53" s="14" t="s">
        <v>136</v>
      </c>
    </row>
    <row r="54" spans="1:14" ht="15.75" customHeight="1">
      <c r="A54" s="13" t="s">
        <v>223</v>
      </c>
      <c r="B54" s="129">
        <f>_xlfn.COMPOUNDVALUE(365)</f>
        <v>684</v>
      </c>
      <c r="C54" s="130">
        <v>4887506</v>
      </c>
      <c r="D54" s="129">
        <f>_xlfn.COMPOUNDVALUE(366)</f>
        <v>275</v>
      </c>
      <c r="E54" s="130">
        <v>148996</v>
      </c>
      <c r="F54" s="129">
        <f>_xlfn.COMPOUNDVALUE(367)</f>
        <v>959</v>
      </c>
      <c r="G54" s="130">
        <v>5036502</v>
      </c>
      <c r="H54" s="129">
        <f>_xlfn.COMPOUNDVALUE(368)</f>
        <v>30</v>
      </c>
      <c r="I54" s="131">
        <v>138319</v>
      </c>
      <c r="J54" s="129">
        <v>22</v>
      </c>
      <c r="K54" s="131">
        <v>4722</v>
      </c>
      <c r="L54" s="129">
        <v>992</v>
      </c>
      <c r="M54" s="131">
        <v>4902905</v>
      </c>
      <c r="N54" s="14" t="s">
        <v>137</v>
      </c>
    </row>
    <row r="55" spans="1:14" ht="15.75" customHeight="1">
      <c r="A55" s="13" t="s">
        <v>224</v>
      </c>
      <c r="B55" s="129">
        <f>_xlfn.COMPOUNDVALUE(369)</f>
        <v>732</v>
      </c>
      <c r="C55" s="130">
        <v>4665050</v>
      </c>
      <c r="D55" s="129">
        <f>_xlfn.COMPOUNDVALUE(370)</f>
        <v>235</v>
      </c>
      <c r="E55" s="130">
        <v>139574</v>
      </c>
      <c r="F55" s="129">
        <f>_xlfn.COMPOUNDVALUE(371)</f>
        <v>967</v>
      </c>
      <c r="G55" s="130">
        <v>4804624</v>
      </c>
      <c r="H55" s="129">
        <f>_xlfn.COMPOUNDVALUE(372)</f>
        <v>45</v>
      </c>
      <c r="I55" s="131">
        <v>833715</v>
      </c>
      <c r="J55" s="129">
        <v>40</v>
      </c>
      <c r="K55" s="131">
        <v>4218</v>
      </c>
      <c r="L55" s="129">
        <v>1018</v>
      </c>
      <c r="M55" s="131">
        <v>3975127</v>
      </c>
      <c r="N55" s="14" t="s">
        <v>138</v>
      </c>
    </row>
    <row r="56" spans="1:14" ht="15.75" customHeight="1">
      <c r="A56" s="13" t="s">
        <v>225</v>
      </c>
      <c r="B56" s="129">
        <f>_xlfn.COMPOUNDVALUE(373)</f>
        <v>539</v>
      </c>
      <c r="C56" s="130">
        <v>3642466</v>
      </c>
      <c r="D56" s="129">
        <f>_xlfn.COMPOUNDVALUE(374)</f>
        <v>213</v>
      </c>
      <c r="E56" s="130">
        <v>125030</v>
      </c>
      <c r="F56" s="129">
        <f>_xlfn.COMPOUNDVALUE(375)</f>
        <v>752</v>
      </c>
      <c r="G56" s="130">
        <v>3767496</v>
      </c>
      <c r="H56" s="129">
        <f>_xlfn.COMPOUNDVALUE(376)</f>
        <v>37</v>
      </c>
      <c r="I56" s="131">
        <v>292243</v>
      </c>
      <c r="J56" s="129">
        <v>41</v>
      </c>
      <c r="K56" s="131">
        <v>5854</v>
      </c>
      <c r="L56" s="129">
        <v>795</v>
      </c>
      <c r="M56" s="131">
        <v>3481107</v>
      </c>
      <c r="N56" s="14" t="s">
        <v>139</v>
      </c>
    </row>
    <row r="57" spans="1:14" ht="15.75" customHeight="1">
      <c r="A57" s="15" t="s">
        <v>226</v>
      </c>
      <c r="B57" s="132">
        <v>9878</v>
      </c>
      <c r="C57" s="133">
        <v>69589814</v>
      </c>
      <c r="D57" s="132">
        <v>4281</v>
      </c>
      <c r="E57" s="133">
        <v>2421926</v>
      </c>
      <c r="F57" s="132">
        <v>14159</v>
      </c>
      <c r="G57" s="133">
        <v>72011741</v>
      </c>
      <c r="H57" s="132">
        <v>567</v>
      </c>
      <c r="I57" s="134">
        <v>4598158</v>
      </c>
      <c r="J57" s="132">
        <v>715</v>
      </c>
      <c r="K57" s="134">
        <v>85734</v>
      </c>
      <c r="L57" s="132">
        <v>14838</v>
      </c>
      <c r="M57" s="134">
        <v>67499317</v>
      </c>
      <c r="N57" s="16" t="s">
        <v>140</v>
      </c>
    </row>
    <row r="58" spans="1:14" ht="15.75" customHeight="1">
      <c r="A58" s="182"/>
      <c r="B58" s="190"/>
      <c r="C58" s="181"/>
      <c r="D58" s="187"/>
      <c r="E58" s="189"/>
      <c r="F58" s="187"/>
      <c r="G58" s="189"/>
      <c r="H58" s="187"/>
      <c r="I58" s="189"/>
      <c r="J58" s="187"/>
      <c r="K58" s="185"/>
      <c r="L58" s="190"/>
      <c r="M58" s="181"/>
      <c r="N58" s="183"/>
    </row>
    <row r="59" spans="1:14" ht="15.75" customHeight="1">
      <c r="A59" s="11" t="s">
        <v>227</v>
      </c>
      <c r="B59" s="126">
        <f>_xlfn.COMPOUNDVALUE(377)</f>
        <v>3548</v>
      </c>
      <c r="C59" s="127">
        <v>27366739</v>
      </c>
      <c r="D59" s="126">
        <f>_xlfn.COMPOUNDVALUE(378)</f>
        <v>1495</v>
      </c>
      <c r="E59" s="127">
        <v>868536</v>
      </c>
      <c r="F59" s="126">
        <f>_xlfn.COMPOUNDVALUE(379)</f>
        <v>5043</v>
      </c>
      <c r="G59" s="127">
        <v>28235274</v>
      </c>
      <c r="H59" s="126">
        <f>_xlfn.COMPOUNDVALUE(380)</f>
        <v>196</v>
      </c>
      <c r="I59" s="128">
        <v>1842945</v>
      </c>
      <c r="J59" s="126">
        <v>269</v>
      </c>
      <c r="K59" s="128">
        <v>146211</v>
      </c>
      <c r="L59" s="126">
        <v>5282</v>
      </c>
      <c r="M59" s="128">
        <v>26538540</v>
      </c>
      <c r="N59" s="24" t="s">
        <v>142</v>
      </c>
    </row>
    <row r="60" spans="1:14" ht="15.75" customHeight="1">
      <c r="A60" s="11" t="s">
        <v>228</v>
      </c>
      <c r="B60" s="126">
        <f>_xlfn.COMPOUNDVALUE(381)</f>
        <v>1699</v>
      </c>
      <c r="C60" s="127">
        <v>10050885</v>
      </c>
      <c r="D60" s="126">
        <f>_xlfn.COMPOUNDVALUE(382)</f>
        <v>929</v>
      </c>
      <c r="E60" s="127">
        <v>507874</v>
      </c>
      <c r="F60" s="126">
        <f>_xlfn.COMPOUNDVALUE(383)</f>
        <v>2628</v>
      </c>
      <c r="G60" s="127">
        <v>10558759</v>
      </c>
      <c r="H60" s="126">
        <f>_xlfn.COMPOUNDVALUE(384)</f>
        <v>87</v>
      </c>
      <c r="I60" s="128">
        <v>223140</v>
      </c>
      <c r="J60" s="126">
        <v>143</v>
      </c>
      <c r="K60" s="128">
        <v>11988</v>
      </c>
      <c r="L60" s="126">
        <v>2740</v>
      </c>
      <c r="M60" s="128">
        <v>10347607</v>
      </c>
      <c r="N60" s="12" t="s">
        <v>143</v>
      </c>
    </row>
    <row r="61" spans="1:14" ht="15.75" customHeight="1">
      <c r="A61" s="11" t="s">
        <v>229</v>
      </c>
      <c r="B61" s="126">
        <f>_xlfn.COMPOUNDVALUE(385)</f>
        <v>4609</v>
      </c>
      <c r="C61" s="127">
        <v>38204718</v>
      </c>
      <c r="D61" s="126">
        <f>_xlfn.COMPOUNDVALUE(386)</f>
        <v>1962</v>
      </c>
      <c r="E61" s="127">
        <v>1197781</v>
      </c>
      <c r="F61" s="126">
        <f>_xlfn.COMPOUNDVALUE(387)</f>
        <v>6571</v>
      </c>
      <c r="G61" s="127">
        <v>39402498</v>
      </c>
      <c r="H61" s="126">
        <f>_xlfn.COMPOUNDVALUE(388)</f>
        <v>216</v>
      </c>
      <c r="I61" s="128">
        <v>666580</v>
      </c>
      <c r="J61" s="126">
        <v>375</v>
      </c>
      <c r="K61" s="128">
        <v>183847</v>
      </c>
      <c r="L61" s="126">
        <v>6837</v>
      </c>
      <c r="M61" s="128">
        <v>38919765</v>
      </c>
      <c r="N61" s="12" t="s">
        <v>144</v>
      </c>
    </row>
    <row r="62" spans="1:14" ht="15.75" customHeight="1">
      <c r="A62" s="13" t="s">
        <v>68</v>
      </c>
      <c r="B62" s="129">
        <f>_xlfn.COMPOUNDVALUE(389)</f>
        <v>3695</v>
      </c>
      <c r="C62" s="130">
        <v>22828226</v>
      </c>
      <c r="D62" s="129">
        <f>_xlfn.COMPOUNDVALUE(390)</f>
        <v>1610</v>
      </c>
      <c r="E62" s="130">
        <v>994481</v>
      </c>
      <c r="F62" s="129">
        <f>_xlfn.COMPOUNDVALUE(391)</f>
        <v>5305</v>
      </c>
      <c r="G62" s="130">
        <v>23822707</v>
      </c>
      <c r="H62" s="129">
        <f>_xlfn.COMPOUNDVALUE(392)</f>
        <v>216</v>
      </c>
      <c r="I62" s="131">
        <v>2631438</v>
      </c>
      <c r="J62" s="129">
        <v>282</v>
      </c>
      <c r="K62" s="131">
        <v>110315</v>
      </c>
      <c r="L62" s="129">
        <v>5560</v>
      </c>
      <c r="M62" s="131">
        <v>21301584</v>
      </c>
      <c r="N62" s="14" t="s">
        <v>68</v>
      </c>
    </row>
    <row r="63" spans="1:14" ht="15.75" customHeight="1">
      <c r="A63" s="13" t="s">
        <v>230</v>
      </c>
      <c r="B63" s="129">
        <f>_xlfn.COMPOUNDVALUE(393)</f>
        <v>1269</v>
      </c>
      <c r="C63" s="130">
        <v>7845806</v>
      </c>
      <c r="D63" s="129">
        <f>_xlfn.COMPOUNDVALUE(394)</f>
        <v>475</v>
      </c>
      <c r="E63" s="130">
        <v>279072</v>
      </c>
      <c r="F63" s="129">
        <f>_xlfn.COMPOUNDVALUE(395)</f>
        <v>1744</v>
      </c>
      <c r="G63" s="130">
        <v>8124878</v>
      </c>
      <c r="H63" s="129">
        <f>_xlfn.COMPOUNDVALUE(396)</f>
        <v>68</v>
      </c>
      <c r="I63" s="131">
        <v>216315</v>
      </c>
      <c r="J63" s="129">
        <v>63</v>
      </c>
      <c r="K63" s="131">
        <v>24863</v>
      </c>
      <c r="L63" s="129">
        <v>1827</v>
      </c>
      <c r="M63" s="131">
        <v>7933426</v>
      </c>
      <c r="N63" s="14" t="s">
        <v>145</v>
      </c>
    </row>
    <row r="64" spans="1:14" ht="15.75" customHeight="1">
      <c r="A64" s="13" t="s">
        <v>231</v>
      </c>
      <c r="B64" s="129">
        <f>_xlfn.COMPOUNDVALUE(397)</f>
        <v>1249</v>
      </c>
      <c r="C64" s="130">
        <v>7081699</v>
      </c>
      <c r="D64" s="129">
        <f>_xlfn.COMPOUNDVALUE(398)</f>
        <v>565</v>
      </c>
      <c r="E64" s="130">
        <v>311928</v>
      </c>
      <c r="F64" s="129">
        <f>_xlfn.COMPOUNDVALUE(399)</f>
        <v>1814</v>
      </c>
      <c r="G64" s="130">
        <v>7393627</v>
      </c>
      <c r="H64" s="129">
        <f>_xlfn.COMPOUNDVALUE(400)</f>
        <v>61</v>
      </c>
      <c r="I64" s="131">
        <v>436628</v>
      </c>
      <c r="J64" s="129">
        <v>85</v>
      </c>
      <c r="K64" s="131">
        <v>9224</v>
      </c>
      <c r="L64" s="129">
        <v>1890</v>
      </c>
      <c r="M64" s="131">
        <v>6966223</v>
      </c>
      <c r="N64" s="14" t="s">
        <v>146</v>
      </c>
    </row>
    <row r="65" spans="1:14" ht="15.75" customHeight="1">
      <c r="A65" s="13" t="s">
        <v>232</v>
      </c>
      <c r="B65" s="129">
        <f>_xlfn.COMPOUNDVALUE(401)</f>
        <v>433</v>
      </c>
      <c r="C65" s="130">
        <v>2083455</v>
      </c>
      <c r="D65" s="129">
        <f>_xlfn.COMPOUNDVALUE(402)</f>
        <v>282</v>
      </c>
      <c r="E65" s="130">
        <v>161754</v>
      </c>
      <c r="F65" s="129">
        <f>_xlfn.COMPOUNDVALUE(403)</f>
        <v>715</v>
      </c>
      <c r="G65" s="130">
        <v>2245209</v>
      </c>
      <c r="H65" s="129">
        <f>_xlfn.COMPOUNDVALUE(404)</f>
        <v>25</v>
      </c>
      <c r="I65" s="131">
        <v>61555</v>
      </c>
      <c r="J65" s="129">
        <v>38</v>
      </c>
      <c r="K65" s="131">
        <v>-17927</v>
      </c>
      <c r="L65" s="129">
        <v>747</v>
      </c>
      <c r="M65" s="131">
        <v>2165727</v>
      </c>
      <c r="N65" s="14" t="s">
        <v>147</v>
      </c>
    </row>
    <row r="66" spans="1:14" ht="15.75" customHeight="1">
      <c r="A66" s="13" t="s">
        <v>233</v>
      </c>
      <c r="B66" s="129">
        <f>_xlfn.COMPOUNDVALUE(405)</f>
        <v>1635</v>
      </c>
      <c r="C66" s="130">
        <v>13672718</v>
      </c>
      <c r="D66" s="129">
        <f>_xlfn.COMPOUNDVALUE(406)</f>
        <v>532</v>
      </c>
      <c r="E66" s="130">
        <v>327935</v>
      </c>
      <c r="F66" s="129">
        <f>_xlfn.COMPOUNDVALUE(407)</f>
        <v>2167</v>
      </c>
      <c r="G66" s="130">
        <v>14000653</v>
      </c>
      <c r="H66" s="129">
        <f>_xlfn.COMPOUNDVALUE(408)</f>
        <v>181</v>
      </c>
      <c r="I66" s="131">
        <v>6065655</v>
      </c>
      <c r="J66" s="129">
        <v>200</v>
      </c>
      <c r="K66" s="131">
        <v>95253</v>
      </c>
      <c r="L66" s="129">
        <v>2418</v>
      </c>
      <c r="M66" s="131">
        <v>8030251</v>
      </c>
      <c r="N66" s="14" t="s">
        <v>148</v>
      </c>
    </row>
    <row r="67" spans="1:14" ht="15.75" customHeight="1">
      <c r="A67" s="13" t="s">
        <v>234</v>
      </c>
      <c r="B67" s="129">
        <f>_xlfn.COMPOUNDVALUE(409)</f>
        <v>892</v>
      </c>
      <c r="C67" s="130">
        <v>5833060</v>
      </c>
      <c r="D67" s="129">
        <f>_xlfn.COMPOUNDVALUE(410)</f>
        <v>322</v>
      </c>
      <c r="E67" s="130">
        <v>183267</v>
      </c>
      <c r="F67" s="129">
        <f>_xlfn.COMPOUNDVALUE(411)</f>
        <v>1214</v>
      </c>
      <c r="G67" s="130">
        <v>6016327</v>
      </c>
      <c r="H67" s="129">
        <f>_xlfn.COMPOUNDVALUE(412)</f>
        <v>47</v>
      </c>
      <c r="I67" s="131">
        <v>111516</v>
      </c>
      <c r="J67" s="129">
        <v>79</v>
      </c>
      <c r="K67" s="131">
        <v>25064</v>
      </c>
      <c r="L67" s="129">
        <v>1268</v>
      </c>
      <c r="M67" s="131">
        <v>5929875</v>
      </c>
      <c r="N67" s="14" t="s">
        <v>149</v>
      </c>
    </row>
    <row r="68" spans="1:14" ht="15.75" customHeight="1">
      <c r="A68" s="13" t="s">
        <v>235</v>
      </c>
      <c r="B68" s="129">
        <f>_xlfn.COMPOUNDVALUE(413)</f>
        <v>292</v>
      </c>
      <c r="C68" s="130">
        <v>1215344</v>
      </c>
      <c r="D68" s="129">
        <f>_xlfn.COMPOUNDVALUE(414)</f>
        <v>127</v>
      </c>
      <c r="E68" s="130">
        <v>81615</v>
      </c>
      <c r="F68" s="129">
        <f>_xlfn.COMPOUNDVALUE(415)</f>
        <v>419</v>
      </c>
      <c r="G68" s="130">
        <v>1296958</v>
      </c>
      <c r="H68" s="129">
        <f>_xlfn.COMPOUNDVALUE(416)</f>
        <v>15</v>
      </c>
      <c r="I68" s="131">
        <v>13405</v>
      </c>
      <c r="J68" s="129">
        <v>20</v>
      </c>
      <c r="K68" s="131">
        <v>4839</v>
      </c>
      <c r="L68" s="129">
        <v>437</v>
      </c>
      <c r="M68" s="131">
        <v>1288391</v>
      </c>
      <c r="N68" s="14" t="s">
        <v>150</v>
      </c>
    </row>
    <row r="69" spans="1:14" ht="15.75" customHeight="1">
      <c r="A69" s="15" t="s">
        <v>236</v>
      </c>
      <c r="B69" s="132">
        <v>19321</v>
      </c>
      <c r="C69" s="133">
        <v>136182649</v>
      </c>
      <c r="D69" s="132">
        <v>8299</v>
      </c>
      <c r="E69" s="133">
        <v>4914242</v>
      </c>
      <c r="F69" s="132">
        <v>27620</v>
      </c>
      <c r="G69" s="133">
        <v>141096891</v>
      </c>
      <c r="H69" s="132">
        <v>1112</v>
      </c>
      <c r="I69" s="134">
        <v>12269178</v>
      </c>
      <c r="J69" s="132">
        <v>1554</v>
      </c>
      <c r="K69" s="134">
        <v>593677</v>
      </c>
      <c r="L69" s="132">
        <v>29006</v>
      </c>
      <c r="M69" s="134">
        <v>129421390</v>
      </c>
      <c r="N69" s="16" t="s">
        <v>151</v>
      </c>
    </row>
    <row r="70" spans="1:14" ht="15.75" customHeight="1" thickBot="1">
      <c r="A70" s="18"/>
      <c r="B70" s="138"/>
      <c r="C70" s="139"/>
      <c r="D70" s="138"/>
      <c r="E70" s="139"/>
      <c r="F70" s="140"/>
      <c r="G70" s="139"/>
      <c r="H70" s="140"/>
      <c r="I70" s="139"/>
      <c r="J70" s="140"/>
      <c r="K70" s="139"/>
      <c r="L70" s="140"/>
      <c r="M70" s="139"/>
      <c r="N70" s="19"/>
    </row>
    <row r="71" spans="1:14" ht="15.75" customHeight="1" thickBot="1" thickTop="1">
      <c r="A71" s="21" t="s">
        <v>237</v>
      </c>
      <c r="B71" s="141">
        <v>79322</v>
      </c>
      <c r="C71" s="142">
        <v>605233420</v>
      </c>
      <c r="D71" s="141">
        <v>32080</v>
      </c>
      <c r="E71" s="142">
        <v>19285255</v>
      </c>
      <c r="F71" s="141">
        <v>111402</v>
      </c>
      <c r="G71" s="142">
        <v>624518675</v>
      </c>
      <c r="H71" s="141">
        <v>5054</v>
      </c>
      <c r="I71" s="143">
        <v>44818077</v>
      </c>
      <c r="J71" s="141">
        <v>6604</v>
      </c>
      <c r="K71" s="143">
        <v>1326097</v>
      </c>
      <c r="L71" s="141">
        <v>117424</v>
      </c>
      <c r="M71" s="143">
        <v>581026696</v>
      </c>
      <c r="N71" s="22" t="s">
        <v>94</v>
      </c>
    </row>
    <row r="72" spans="1:14" ht="13.5">
      <c r="A72" s="228" t="s">
        <v>242</v>
      </c>
      <c r="B72" s="228"/>
      <c r="C72" s="228"/>
      <c r="D72" s="228"/>
      <c r="E72" s="228"/>
      <c r="F72" s="228"/>
      <c r="G72" s="228"/>
      <c r="H72" s="228"/>
      <c r="I72" s="228"/>
      <c r="J72" s="25"/>
      <c r="K72" s="25"/>
      <c r="L72" s="2"/>
      <c r="M72" s="2"/>
      <c r="N72" s="2"/>
    </row>
  </sheetData>
  <sheetProtection/>
  <mergeCells count="11">
    <mergeCell ref="L3:M4"/>
    <mergeCell ref="A72:I72"/>
    <mergeCell ref="A2:I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(H29)</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workbookViewId="0" topLeftCell="A1">
      <selection activeCell="A1" sqref="A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247</v>
      </c>
      <c r="B1" s="1"/>
      <c r="C1" s="1"/>
      <c r="D1" s="1"/>
      <c r="E1" s="1"/>
      <c r="F1" s="1"/>
      <c r="G1" s="1"/>
      <c r="H1" s="1"/>
      <c r="I1" s="1"/>
      <c r="J1" s="1"/>
      <c r="K1" s="1"/>
      <c r="L1" s="2"/>
      <c r="M1" s="2"/>
      <c r="N1" s="2"/>
      <c r="O1" s="2"/>
      <c r="P1" s="2"/>
    </row>
    <row r="2" spans="1:16" ht="14.25" thickBot="1">
      <c r="A2" s="243" t="s">
        <v>84</v>
      </c>
      <c r="B2" s="243"/>
      <c r="C2" s="243"/>
      <c r="D2" s="243"/>
      <c r="E2" s="243"/>
      <c r="F2" s="243"/>
      <c r="G2" s="243"/>
      <c r="H2" s="243"/>
      <c r="I2" s="243"/>
      <c r="J2" s="25"/>
      <c r="K2" s="25"/>
      <c r="L2" s="2"/>
      <c r="M2" s="2"/>
      <c r="N2" s="2"/>
      <c r="O2" s="2"/>
      <c r="P2" s="2"/>
    </row>
    <row r="3" spans="1:18" ht="19.5" customHeight="1">
      <c r="A3" s="229" t="s">
        <v>1</v>
      </c>
      <c r="B3" s="232" t="s">
        <v>2</v>
      </c>
      <c r="C3" s="232"/>
      <c r="D3" s="232"/>
      <c r="E3" s="232"/>
      <c r="F3" s="232"/>
      <c r="G3" s="232"/>
      <c r="H3" s="232" t="s">
        <v>3</v>
      </c>
      <c r="I3" s="232"/>
      <c r="J3" s="249" t="s">
        <v>4</v>
      </c>
      <c r="K3" s="232"/>
      <c r="L3" s="232" t="s">
        <v>5</v>
      </c>
      <c r="M3" s="232"/>
      <c r="N3" s="250" t="s">
        <v>85</v>
      </c>
      <c r="O3" s="251"/>
      <c r="P3" s="251"/>
      <c r="Q3" s="251"/>
      <c r="R3" s="237" t="s">
        <v>77</v>
      </c>
    </row>
    <row r="4" spans="1:18" ht="17.25" customHeight="1">
      <c r="A4" s="230"/>
      <c r="B4" s="240" t="s">
        <v>7</v>
      </c>
      <c r="C4" s="240"/>
      <c r="D4" s="240" t="s">
        <v>8</v>
      </c>
      <c r="E4" s="240"/>
      <c r="F4" s="240" t="s">
        <v>9</v>
      </c>
      <c r="G4" s="240"/>
      <c r="H4" s="240"/>
      <c r="I4" s="240"/>
      <c r="J4" s="240"/>
      <c r="K4" s="240"/>
      <c r="L4" s="240"/>
      <c r="M4" s="240"/>
      <c r="N4" s="252" t="s">
        <v>86</v>
      </c>
      <c r="O4" s="244" t="s">
        <v>87</v>
      </c>
      <c r="P4" s="246" t="s">
        <v>88</v>
      </c>
      <c r="Q4" s="236" t="s">
        <v>89</v>
      </c>
      <c r="R4" s="238"/>
    </row>
    <row r="5" spans="1:18" ht="28.5" customHeight="1">
      <c r="A5" s="231"/>
      <c r="B5" s="33" t="s">
        <v>10</v>
      </c>
      <c r="C5" s="34" t="s">
        <v>11</v>
      </c>
      <c r="D5" s="33" t="s">
        <v>10</v>
      </c>
      <c r="E5" s="34" t="s">
        <v>11</v>
      </c>
      <c r="F5" s="33" t="s">
        <v>10</v>
      </c>
      <c r="G5" s="34" t="s">
        <v>12</v>
      </c>
      <c r="H5" s="33" t="s">
        <v>10</v>
      </c>
      <c r="I5" s="34" t="s">
        <v>13</v>
      </c>
      <c r="J5" s="33" t="s">
        <v>10</v>
      </c>
      <c r="K5" s="34" t="s">
        <v>14</v>
      </c>
      <c r="L5" s="33" t="s">
        <v>10</v>
      </c>
      <c r="M5" s="29" t="s">
        <v>93</v>
      </c>
      <c r="N5" s="253"/>
      <c r="O5" s="245"/>
      <c r="P5" s="247"/>
      <c r="Q5" s="248"/>
      <c r="R5" s="239"/>
    </row>
    <row r="6" spans="1:18" s="27" customFormat="1" ht="10.5">
      <c r="A6" s="5"/>
      <c r="B6" s="6" t="s">
        <v>15</v>
      </c>
      <c r="C6" s="7" t="s">
        <v>16</v>
      </c>
      <c r="D6" s="6" t="s">
        <v>15</v>
      </c>
      <c r="E6" s="7" t="s">
        <v>16</v>
      </c>
      <c r="F6" s="6" t="s">
        <v>15</v>
      </c>
      <c r="G6" s="7" t="s">
        <v>16</v>
      </c>
      <c r="H6" s="6" t="s">
        <v>15</v>
      </c>
      <c r="I6" s="7" t="s">
        <v>16</v>
      </c>
      <c r="J6" s="6" t="s">
        <v>15</v>
      </c>
      <c r="K6" s="7" t="s">
        <v>16</v>
      </c>
      <c r="L6" s="6" t="s">
        <v>245</v>
      </c>
      <c r="M6" s="7" t="s">
        <v>16</v>
      </c>
      <c r="N6" s="6" t="s">
        <v>15</v>
      </c>
      <c r="O6" s="30" t="s">
        <v>15</v>
      </c>
      <c r="P6" s="30" t="s">
        <v>15</v>
      </c>
      <c r="Q6" s="31" t="s">
        <v>15</v>
      </c>
      <c r="R6" s="9"/>
    </row>
    <row r="7" spans="1:18" ht="15.75" customHeight="1">
      <c r="A7" s="11" t="s">
        <v>18</v>
      </c>
      <c r="B7" s="126">
        <f>_xlfn.COMPOUNDVALUE(417)</f>
        <v>3503</v>
      </c>
      <c r="C7" s="127">
        <v>17210106</v>
      </c>
      <c r="D7" s="126">
        <f>_xlfn.COMPOUNDVALUE(418)</f>
        <v>2657</v>
      </c>
      <c r="E7" s="127">
        <v>1305419</v>
      </c>
      <c r="F7" s="126">
        <f>_xlfn.COMPOUNDVALUE(419)</f>
        <v>6160</v>
      </c>
      <c r="G7" s="127">
        <v>18515524</v>
      </c>
      <c r="H7" s="126">
        <f>_xlfn.COMPOUNDVALUE(420)</f>
        <v>202</v>
      </c>
      <c r="I7" s="128">
        <v>782490</v>
      </c>
      <c r="J7" s="126">
        <v>526</v>
      </c>
      <c r="K7" s="128">
        <v>49524</v>
      </c>
      <c r="L7" s="126">
        <v>6436</v>
      </c>
      <c r="M7" s="128">
        <v>17782558</v>
      </c>
      <c r="N7" s="126">
        <v>6370</v>
      </c>
      <c r="O7" s="144">
        <v>180</v>
      </c>
      <c r="P7" s="144">
        <v>10</v>
      </c>
      <c r="Q7" s="145">
        <v>6560</v>
      </c>
      <c r="R7" s="12" t="s">
        <v>96</v>
      </c>
    </row>
    <row r="8" spans="1:18" ht="15.75" customHeight="1">
      <c r="A8" s="13" t="s">
        <v>19</v>
      </c>
      <c r="B8" s="129">
        <f>_xlfn.COMPOUNDVALUE(421)</f>
        <v>2138</v>
      </c>
      <c r="C8" s="130">
        <v>9500152</v>
      </c>
      <c r="D8" s="129">
        <f>_xlfn.COMPOUNDVALUE(422)</f>
        <v>1825</v>
      </c>
      <c r="E8" s="130">
        <v>769570</v>
      </c>
      <c r="F8" s="129">
        <f>_xlfn.COMPOUNDVALUE(423)</f>
        <v>3963</v>
      </c>
      <c r="G8" s="130">
        <v>10269722</v>
      </c>
      <c r="H8" s="129">
        <f>_xlfn.COMPOUNDVALUE(424)</f>
        <v>137</v>
      </c>
      <c r="I8" s="131">
        <v>703754</v>
      </c>
      <c r="J8" s="129">
        <v>265</v>
      </c>
      <c r="K8" s="131">
        <v>4843</v>
      </c>
      <c r="L8" s="129">
        <v>4154</v>
      </c>
      <c r="M8" s="131">
        <v>9570810</v>
      </c>
      <c r="N8" s="126">
        <v>4054</v>
      </c>
      <c r="O8" s="144">
        <v>87</v>
      </c>
      <c r="P8" s="144">
        <v>4</v>
      </c>
      <c r="Q8" s="145">
        <v>4145</v>
      </c>
      <c r="R8" s="14" t="s">
        <v>97</v>
      </c>
    </row>
    <row r="9" spans="1:18" ht="15.75" customHeight="1">
      <c r="A9" s="13" t="s">
        <v>20</v>
      </c>
      <c r="B9" s="129">
        <f>_xlfn.COMPOUNDVALUE(425)</f>
        <v>3724</v>
      </c>
      <c r="C9" s="130">
        <v>22002275</v>
      </c>
      <c r="D9" s="129">
        <f>_xlfn.COMPOUNDVALUE(426)</f>
        <v>2628</v>
      </c>
      <c r="E9" s="130">
        <v>1235123</v>
      </c>
      <c r="F9" s="129">
        <f>_xlfn.COMPOUNDVALUE(427)</f>
        <v>6352</v>
      </c>
      <c r="G9" s="130">
        <v>23237397</v>
      </c>
      <c r="H9" s="129">
        <f>_xlfn.COMPOUNDVALUE(428)</f>
        <v>196</v>
      </c>
      <c r="I9" s="131">
        <v>3185723</v>
      </c>
      <c r="J9" s="129">
        <v>374</v>
      </c>
      <c r="K9" s="131">
        <v>78812</v>
      </c>
      <c r="L9" s="129">
        <v>6644</v>
      </c>
      <c r="M9" s="131">
        <v>20130487</v>
      </c>
      <c r="N9" s="126">
        <v>6445</v>
      </c>
      <c r="O9" s="144">
        <v>161</v>
      </c>
      <c r="P9" s="144">
        <v>16</v>
      </c>
      <c r="Q9" s="145">
        <v>6622</v>
      </c>
      <c r="R9" s="14" t="s">
        <v>98</v>
      </c>
    </row>
    <row r="10" spans="1:18" ht="15.75" customHeight="1">
      <c r="A10" s="13" t="s">
        <v>21</v>
      </c>
      <c r="B10" s="129">
        <f>_xlfn.COMPOUNDVALUE(429)</f>
        <v>880</v>
      </c>
      <c r="C10" s="130">
        <v>3426569</v>
      </c>
      <c r="D10" s="129">
        <f>_xlfn.COMPOUNDVALUE(430)</f>
        <v>927</v>
      </c>
      <c r="E10" s="130">
        <v>350603</v>
      </c>
      <c r="F10" s="129">
        <f>_xlfn.COMPOUNDVALUE(431)</f>
        <v>1807</v>
      </c>
      <c r="G10" s="130">
        <v>3777172</v>
      </c>
      <c r="H10" s="129">
        <f>_xlfn.COMPOUNDVALUE(432)</f>
        <v>52</v>
      </c>
      <c r="I10" s="131">
        <v>106962</v>
      </c>
      <c r="J10" s="129">
        <v>114</v>
      </c>
      <c r="K10" s="131">
        <v>32500</v>
      </c>
      <c r="L10" s="129">
        <v>1880</v>
      </c>
      <c r="M10" s="131">
        <v>3702710</v>
      </c>
      <c r="N10" s="126">
        <v>2105</v>
      </c>
      <c r="O10" s="144">
        <v>28</v>
      </c>
      <c r="P10" s="144">
        <v>5</v>
      </c>
      <c r="Q10" s="145">
        <v>2138</v>
      </c>
      <c r="R10" s="14" t="s">
        <v>99</v>
      </c>
    </row>
    <row r="11" spans="1:18" ht="15.75" customHeight="1">
      <c r="A11" s="13" t="s">
        <v>22</v>
      </c>
      <c r="B11" s="129">
        <f>_xlfn.COMPOUNDVALUE(433)</f>
        <v>1683</v>
      </c>
      <c r="C11" s="130">
        <v>4638519</v>
      </c>
      <c r="D11" s="129">
        <f>_xlfn.COMPOUNDVALUE(434)</f>
        <v>1688</v>
      </c>
      <c r="E11" s="130">
        <v>645565</v>
      </c>
      <c r="F11" s="129">
        <f>_xlfn.COMPOUNDVALUE(435)</f>
        <v>3371</v>
      </c>
      <c r="G11" s="130">
        <v>5284084</v>
      </c>
      <c r="H11" s="129">
        <f>_xlfn.COMPOUNDVALUE(436)</f>
        <v>94</v>
      </c>
      <c r="I11" s="131">
        <v>137185</v>
      </c>
      <c r="J11" s="129">
        <v>225</v>
      </c>
      <c r="K11" s="131">
        <v>49825</v>
      </c>
      <c r="L11" s="129">
        <v>3531</v>
      </c>
      <c r="M11" s="131">
        <v>5196724</v>
      </c>
      <c r="N11" s="126">
        <v>3528</v>
      </c>
      <c r="O11" s="144">
        <v>80</v>
      </c>
      <c r="P11" s="144">
        <v>4</v>
      </c>
      <c r="Q11" s="145">
        <v>3612</v>
      </c>
      <c r="R11" s="14" t="s">
        <v>100</v>
      </c>
    </row>
    <row r="12" spans="1:18" ht="15.75" customHeight="1">
      <c r="A12" s="13" t="s">
        <v>23</v>
      </c>
      <c r="B12" s="129">
        <f>_xlfn.COMPOUNDVALUE(437)</f>
        <v>2678</v>
      </c>
      <c r="C12" s="130">
        <v>21923940</v>
      </c>
      <c r="D12" s="129">
        <f>_xlfn.COMPOUNDVALUE(438)</f>
        <v>2763</v>
      </c>
      <c r="E12" s="130">
        <v>1254191</v>
      </c>
      <c r="F12" s="129">
        <f>_xlfn.COMPOUNDVALUE(439)</f>
        <v>5441</v>
      </c>
      <c r="G12" s="130">
        <v>23178131</v>
      </c>
      <c r="H12" s="129">
        <f>_xlfn.COMPOUNDVALUE(440)</f>
        <v>191</v>
      </c>
      <c r="I12" s="131">
        <v>2585643</v>
      </c>
      <c r="J12" s="129">
        <v>271</v>
      </c>
      <c r="K12" s="131">
        <v>48713</v>
      </c>
      <c r="L12" s="129">
        <v>5677</v>
      </c>
      <c r="M12" s="131">
        <v>20641201</v>
      </c>
      <c r="N12" s="126">
        <v>5607</v>
      </c>
      <c r="O12" s="144">
        <v>114</v>
      </c>
      <c r="P12" s="144">
        <v>8</v>
      </c>
      <c r="Q12" s="145">
        <v>5729</v>
      </c>
      <c r="R12" s="14" t="s">
        <v>101</v>
      </c>
    </row>
    <row r="13" spans="1:18" ht="15.75" customHeight="1">
      <c r="A13" s="13" t="s">
        <v>24</v>
      </c>
      <c r="B13" s="129">
        <f>_xlfn.COMPOUNDVALUE(441)</f>
        <v>843</v>
      </c>
      <c r="C13" s="130">
        <v>3103303</v>
      </c>
      <c r="D13" s="129">
        <f>_xlfn.COMPOUNDVALUE(442)</f>
        <v>815</v>
      </c>
      <c r="E13" s="130">
        <v>363322</v>
      </c>
      <c r="F13" s="129">
        <f>_xlfn.COMPOUNDVALUE(443)</f>
        <v>1658</v>
      </c>
      <c r="G13" s="130">
        <v>3466625</v>
      </c>
      <c r="H13" s="129">
        <f>_xlfn.COMPOUNDVALUE(444)</f>
        <v>46</v>
      </c>
      <c r="I13" s="131">
        <v>225631</v>
      </c>
      <c r="J13" s="129">
        <v>46</v>
      </c>
      <c r="K13" s="131">
        <v>21358</v>
      </c>
      <c r="L13" s="129">
        <v>1724</v>
      </c>
      <c r="M13" s="131">
        <v>3262351</v>
      </c>
      <c r="N13" s="126">
        <v>1707</v>
      </c>
      <c r="O13" s="144">
        <v>31</v>
      </c>
      <c r="P13" s="144">
        <v>0</v>
      </c>
      <c r="Q13" s="145">
        <v>1738</v>
      </c>
      <c r="R13" s="14" t="s">
        <v>24</v>
      </c>
    </row>
    <row r="14" spans="1:18" ht="15.75" customHeight="1">
      <c r="A14" s="92" t="s">
        <v>25</v>
      </c>
      <c r="B14" s="146">
        <v>15449</v>
      </c>
      <c r="C14" s="147">
        <v>81804864</v>
      </c>
      <c r="D14" s="146">
        <v>13303</v>
      </c>
      <c r="E14" s="147">
        <v>5923792</v>
      </c>
      <c r="F14" s="146">
        <v>28752</v>
      </c>
      <c r="G14" s="147">
        <v>87728655</v>
      </c>
      <c r="H14" s="146">
        <v>918</v>
      </c>
      <c r="I14" s="148">
        <v>7727389</v>
      </c>
      <c r="J14" s="146">
        <v>1821</v>
      </c>
      <c r="K14" s="148">
        <v>285575</v>
      </c>
      <c r="L14" s="146">
        <v>30046</v>
      </c>
      <c r="M14" s="148">
        <v>80286841</v>
      </c>
      <c r="N14" s="146">
        <v>29816</v>
      </c>
      <c r="O14" s="149">
        <v>681</v>
      </c>
      <c r="P14" s="149">
        <v>47</v>
      </c>
      <c r="Q14" s="150">
        <v>30544</v>
      </c>
      <c r="R14" s="94" t="s">
        <v>95</v>
      </c>
    </row>
    <row r="15" spans="1:18" ht="15.75" customHeight="1">
      <c r="A15" s="96"/>
      <c r="B15" s="151"/>
      <c r="C15" s="152"/>
      <c r="D15" s="151"/>
      <c r="E15" s="152"/>
      <c r="F15" s="153"/>
      <c r="G15" s="152"/>
      <c r="H15" s="153"/>
      <c r="I15" s="152"/>
      <c r="J15" s="153"/>
      <c r="K15" s="152"/>
      <c r="L15" s="153"/>
      <c r="M15" s="152"/>
      <c r="N15" s="154"/>
      <c r="O15" s="155"/>
      <c r="P15" s="155"/>
      <c r="Q15" s="156"/>
      <c r="R15" s="97"/>
    </row>
    <row r="16" spans="1:18" ht="15.75" customHeight="1">
      <c r="A16" s="98" t="s">
        <v>26</v>
      </c>
      <c r="B16" s="157">
        <f>_xlfn.COMPOUNDVALUE(445)</f>
        <v>5393</v>
      </c>
      <c r="C16" s="158">
        <v>31714470</v>
      </c>
      <c r="D16" s="157">
        <f>_xlfn.COMPOUNDVALUE(446)</f>
        <v>3713</v>
      </c>
      <c r="E16" s="158">
        <v>1878824</v>
      </c>
      <c r="F16" s="157">
        <f>_xlfn.COMPOUNDVALUE(447)</f>
        <v>9106</v>
      </c>
      <c r="G16" s="158">
        <v>33593294</v>
      </c>
      <c r="H16" s="157">
        <f>_xlfn.COMPOUNDVALUE(448)</f>
        <v>336</v>
      </c>
      <c r="I16" s="159">
        <v>1046230</v>
      </c>
      <c r="J16" s="157">
        <v>798</v>
      </c>
      <c r="K16" s="159">
        <v>214568</v>
      </c>
      <c r="L16" s="157">
        <v>9611</v>
      </c>
      <c r="M16" s="159">
        <v>32761631</v>
      </c>
      <c r="N16" s="157">
        <v>9474</v>
      </c>
      <c r="O16" s="160">
        <v>244</v>
      </c>
      <c r="P16" s="160">
        <v>31</v>
      </c>
      <c r="Q16" s="161">
        <v>9749</v>
      </c>
      <c r="R16" s="99" t="s">
        <v>102</v>
      </c>
    </row>
    <row r="17" spans="1:18" ht="15.75" customHeight="1">
      <c r="A17" s="13" t="s">
        <v>27</v>
      </c>
      <c r="B17" s="129">
        <f>_xlfn.COMPOUNDVALUE(449)</f>
        <v>973</v>
      </c>
      <c r="C17" s="130">
        <v>4101680</v>
      </c>
      <c r="D17" s="129">
        <f>_xlfn.COMPOUNDVALUE(450)</f>
        <v>776</v>
      </c>
      <c r="E17" s="130">
        <v>351633</v>
      </c>
      <c r="F17" s="129">
        <f>_xlfn.COMPOUNDVALUE(451)</f>
        <v>1749</v>
      </c>
      <c r="G17" s="130">
        <v>4453313</v>
      </c>
      <c r="H17" s="129">
        <f>_xlfn.COMPOUNDVALUE(452)</f>
        <v>72</v>
      </c>
      <c r="I17" s="131">
        <v>214190</v>
      </c>
      <c r="J17" s="129">
        <v>147</v>
      </c>
      <c r="K17" s="131">
        <v>28822</v>
      </c>
      <c r="L17" s="129">
        <v>1846</v>
      </c>
      <c r="M17" s="131">
        <v>4267945</v>
      </c>
      <c r="N17" s="126">
        <v>1819</v>
      </c>
      <c r="O17" s="144">
        <v>38</v>
      </c>
      <c r="P17" s="144">
        <v>1</v>
      </c>
      <c r="Q17" s="145">
        <v>1858</v>
      </c>
      <c r="R17" s="14" t="s">
        <v>103</v>
      </c>
    </row>
    <row r="18" spans="1:18" ht="15.75" customHeight="1">
      <c r="A18" s="13" t="s">
        <v>28</v>
      </c>
      <c r="B18" s="129">
        <f>_xlfn.COMPOUNDVALUE(453)</f>
        <v>906</v>
      </c>
      <c r="C18" s="130">
        <v>4455793</v>
      </c>
      <c r="D18" s="129">
        <f>_xlfn.COMPOUNDVALUE(454)</f>
        <v>622</v>
      </c>
      <c r="E18" s="130">
        <v>275737</v>
      </c>
      <c r="F18" s="129">
        <f>_xlfn.COMPOUNDVALUE(455)</f>
        <v>1528</v>
      </c>
      <c r="G18" s="130">
        <v>4731531</v>
      </c>
      <c r="H18" s="129">
        <f>_xlfn.COMPOUNDVALUE(456)</f>
        <v>80</v>
      </c>
      <c r="I18" s="131">
        <v>450759</v>
      </c>
      <c r="J18" s="129">
        <v>139</v>
      </c>
      <c r="K18" s="131">
        <v>-3223</v>
      </c>
      <c r="L18" s="129">
        <v>1626</v>
      </c>
      <c r="M18" s="131">
        <v>4277548</v>
      </c>
      <c r="N18" s="126">
        <v>1551</v>
      </c>
      <c r="O18" s="144">
        <v>76</v>
      </c>
      <c r="P18" s="144">
        <v>6</v>
      </c>
      <c r="Q18" s="145">
        <v>1633</v>
      </c>
      <c r="R18" s="14" t="s">
        <v>104</v>
      </c>
    </row>
    <row r="19" spans="1:18" ht="15.75" customHeight="1">
      <c r="A19" s="13" t="s">
        <v>29</v>
      </c>
      <c r="B19" s="129">
        <f>_xlfn.COMPOUNDVALUE(457)</f>
        <v>1517</v>
      </c>
      <c r="C19" s="130">
        <v>7368312</v>
      </c>
      <c r="D19" s="129">
        <f>_xlfn.COMPOUNDVALUE(458)</f>
        <v>1047</v>
      </c>
      <c r="E19" s="130">
        <v>492803</v>
      </c>
      <c r="F19" s="129">
        <f>_xlfn.COMPOUNDVALUE(459)</f>
        <v>2564</v>
      </c>
      <c r="G19" s="130">
        <v>7861115</v>
      </c>
      <c r="H19" s="129">
        <f>_xlfn.COMPOUNDVALUE(460)</f>
        <v>131</v>
      </c>
      <c r="I19" s="131">
        <v>414743</v>
      </c>
      <c r="J19" s="129">
        <v>219</v>
      </c>
      <c r="K19" s="131">
        <v>22181</v>
      </c>
      <c r="L19" s="129">
        <v>2742</v>
      </c>
      <c r="M19" s="131">
        <v>7468553</v>
      </c>
      <c r="N19" s="126">
        <v>2671</v>
      </c>
      <c r="O19" s="144">
        <v>51</v>
      </c>
      <c r="P19" s="144">
        <v>5</v>
      </c>
      <c r="Q19" s="145">
        <v>2727</v>
      </c>
      <c r="R19" s="14" t="s">
        <v>105</v>
      </c>
    </row>
    <row r="20" spans="1:18" ht="15.75" customHeight="1">
      <c r="A20" s="13" t="s">
        <v>30</v>
      </c>
      <c r="B20" s="129">
        <f>_xlfn.COMPOUNDVALUE(461)</f>
        <v>2099</v>
      </c>
      <c r="C20" s="130">
        <v>12615305</v>
      </c>
      <c r="D20" s="129">
        <f>_xlfn.COMPOUNDVALUE(462)</f>
        <v>1331</v>
      </c>
      <c r="E20" s="130">
        <v>624907</v>
      </c>
      <c r="F20" s="129">
        <f>_xlfn.COMPOUNDVALUE(463)</f>
        <v>3430</v>
      </c>
      <c r="G20" s="130">
        <v>13240212</v>
      </c>
      <c r="H20" s="129">
        <f>_xlfn.COMPOUNDVALUE(464)</f>
        <v>164</v>
      </c>
      <c r="I20" s="131">
        <v>612804</v>
      </c>
      <c r="J20" s="129">
        <v>244</v>
      </c>
      <c r="K20" s="131">
        <v>46521</v>
      </c>
      <c r="L20" s="129">
        <v>3634</v>
      </c>
      <c r="M20" s="131">
        <v>12673929</v>
      </c>
      <c r="N20" s="126">
        <v>3515</v>
      </c>
      <c r="O20" s="144">
        <v>115</v>
      </c>
      <c r="P20" s="144">
        <v>6</v>
      </c>
      <c r="Q20" s="145">
        <v>3636</v>
      </c>
      <c r="R20" s="14" t="s">
        <v>106</v>
      </c>
    </row>
    <row r="21" spans="1:18" ht="15.75" customHeight="1">
      <c r="A21" s="13" t="s">
        <v>31</v>
      </c>
      <c r="B21" s="129">
        <f>_xlfn.COMPOUNDVALUE(465)</f>
        <v>860</v>
      </c>
      <c r="C21" s="130">
        <v>2860142</v>
      </c>
      <c r="D21" s="129">
        <f>_xlfn.COMPOUNDVALUE(466)</f>
        <v>495</v>
      </c>
      <c r="E21" s="130">
        <v>228669</v>
      </c>
      <c r="F21" s="129">
        <f>_xlfn.COMPOUNDVALUE(467)</f>
        <v>1355</v>
      </c>
      <c r="G21" s="130">
        <v>3088811</v>
      </c>
      <c r="H21" s="129">
        <f>_xlfn.COMPOUNDVALUE(468)</f>
        <v>62</v>
      </c>
      <c r="I21" s="131">
        <v>315444</v>
      </c>
      <c r="J21" s="129">
        <v>96</v>
      </c>
      <c r="K21" s="131">
        <v>17138</v>
      </c>
      <c r="L21" s="129">
        <v>1440</v>
      </c>
      <c r="M21" s="131">
        <v>2790505</v>
      </c>
      <c r="N21" s="126">
        <v>1364</v>
      </c>
      <c r="O21" s="144">
        <v>39</v>
      </c>
      <c r="P21" s="144">
        <v>2</v>
      </c>
      <c r="Q21" s="145">
        <v>1405</v>
      </c>
      <c r="R21" s="14" t="s">
        <v>107</v>
      </c>
    </row>
    <row r="22" spans="1:18" ht="15.75" customHeight="1">
      <c r="A22" s="13" t="s">
        <v>32</v>
      </c>
      <c r="B22" s="129">
        <f>_xlfn.COMPOUNDVALUE(469)</f>
        <v>1385</v>
      </c>
      <c r="C22" s="130">
        <v>6875692</v>
      </c>
      <c r="D22" s="129">
        <f>_xlfn.COMPOUNDVALUE(470)</f>
        <v>948</v>
      </c>
      <c r="E22" s="130">
        <v>416933</v>
      </c>
      <c r="F22" s="129">
        <f>_xlfn.COMPOUNDVALUE(471)</f>
        <v>2333</v>
      </c>
      <c r="G22" s="130">
        <v>7292625</v>
      </c>
      <c r="H22" s="129">
        <f>_xlfn.COMPOUNDVALUE(472)</f>
        <v>94</v>
      </c>
      <c r="I22" s="131">
        <v>143221</v>
      </c>
      <c r="J22" s="129">
        <v>181</v>
      </c>
      <c r="K22" s="131">
        <v>32348</v>
      </c>
      <c r="L22" s="129">
        <v>2465</v>
      </c>
      <c r="M22" s="131">
        <v>7181751</v>
      </c>
      <c r="N22" s="126">
        <v>2388</v>
      </c>
      <c r="O22" s="144">
        <v>43</v>
      </c>
      <c r="P22" s="144">
        <v>2</v>
      </c>
      <c r="Q22" s="145">
        <v>2433</v>
      </c>
      <c r="R22" s="14" t="s">
        <v>108</v>
      </c>
    </row>
    <row r="23" spans="1:18" ht="15.75" customHeight="1">
      <c r="A23" s="13" t="s">
        <v>33</v>
      </c>
      <c r="B23" s="129">
        <f>_xlfn.COMPOUNDVALUE(473)</f>
        <v>907</v>
      </c>
      <c r="C23" s="130">
        <v>4047129</v>
      </c>
      <c r="D23" s="129">
        <f>_xlfn.COMPOUNDVALUE(474)</f>
        <v>621</v>
      </c>
      <c r="E23" s="130">
        <v>278542</v>
      </c>
      <c r="F23" s="129">
        <f>_xlfn.COMPOUNDVALUE(475)</f>
        <v>1528</v>
      </c>
      <c r="G23" s="130">
        <v>4325670</v>
      </c>
      <c r="H23" s="129">
        <f>_xlfn.COMPOUNDVALUE(476)</f>
        <v>74</v>
      </c>
      <c r="I23" s="131">
        <v>203082</v>
      </c>
      <c r="J23" s="129">
        <v>123</v>
      </c>
      <c r="K23" s="131">
        <v>20845</v>
      </c>
      <c r="L23" s="129">
        <v>1633</v>
      </c>
      <c r="M23" s="131">
        <v>4143434</v>
      </c>
      <c r="N23" s="126">
        <v>1551</v>
      </c>
      <c r="O23" s="144">
        <v>60</v>
      </c>
      <c r="P23" s="144">
        <v>1</v>
      </c>
      <c r="Q23" s="145">
        <v>1612</v>
      </c>
      <c r="R23" s="14" t="s">
        <v>109</v>
      </c>
    </row>
    <row r="24" spans="1:18" ht="15.75" customHeight="1">
      <c r="A24" s="13" t="s">
        <v>34</v>
      </c>
      <c r="B24" s="129">
        <f>_xlfn.COMPOUNDVALUE(477)</f>
        <v>795</v>
      </c>
      <c r="C24" s="130">
        <v>3127972</v>
      </c>
      <c r="D24" s="129">
        <f>_xlfn.COMPOUNDVALUE(478)</f>
        <v>551</v>
      </c>
      <c r="E24" s="130">
        <v>231416</v>
      </c>
      <c r="F24" s="129">
        <f>_xlfn.COMPOUNDVALUE(479)</f>
        <v>1346</v>
      </c>
      <c r="G24" s="130">
        <v>3359388</v>
      </c>
      <c r="H24" s="129">
        <f>_xlfn.COMPOUNDVALUE(480)</f>
        <v>62</v>
      </c>
      <c r="I24" s="131">
        <v>374793</v>
      </c>
      <c r="J24" s="129">
        <v>59</v>
      </c>
      <c r="K24" s="131">
        <v>21924</v>
      </c>
      <c r="L24" s="129">
        <v>1422</v>
      </c>
      <c r="M24" s="131">
        <v>3006518</v>
      </c>
      <c r="N24" s="126">
        <v>1449</v>
      </c>
      <c r="O24" s="144">
        <v>54</v>
      </c>
      <c r="P24" s="144">
        <v>1</v>
      </c>
      <c r="Q24" s="145">
        <v>1504</v>
      </c>
      <c r="R24" s="14" t="s">
        <v>110</v>
      </c>
    </row>
    <row r="25" spans="1:18" ht="15.75" customHeight="1">
      <c r="A25" s="95" t="s">
        <v>90</v>
      </c>
      <c r="B25" s="146">
        <v>14835</v>
      </c>
      <c r="C25" s="147">
        <v>77166495</v>
      </c>
      <c r="D25" s="146">
        <v>10104</v>
      </c>
      <c r="E25" s="147">
        <v>4779463</v>
      </c>
      <c r="F25" s="146">
        <v>24939</v>
      </c>
      <c r="G25" s="147">
        <v>81945958</v>
      </c>
      <c r="H25" s="146">
        <v>1075</v>
      </c>
      <c r="I25" s="148">
        <v>3775265</v>
      </c>
      <c r="J25" s="146">
        <v>2006</v>
      </c>
      <c r="K25" s="148">
        <v>401123</v>
      </c>
      <c r="L25" s="146">
        <v>26419</v>
      </c>
      <c r="M25" s="148">
        <v>78571815</v>
      </c>
      <c r="N25" s="146">
        <v>25782</v>
      </c>
      <c r="O25" s="149">
        <v>720</v>
      </c>
      <c r="P25" s="149">
        <v>55</v>
      </c>
      <c r="Q25" s="150">
        <v>26557</v>
      </c>
      <c r="R25" s="94" t="s">
        <v>111</v>
      </c>
    </row>
    <row r="26" spans="1:18" ht="15.75" customHeight="1">
      <c r="A26" s="96"/>
      <c r="B26" s="151"/>
      <c r="C26" s="152"/>
      <c r="D26" s="151"/>
      <c r="E26" s="152"/>
      <c r="F26" s="153"/>
      <c r="G26" s="152"/>
      <c r="H26" s="153"/>
      <c r="I26" s="152"/>
      <c r="J26" s="153"/>
      <c r="K26" s="152"/>
      <c r="L26" s="153"/>
      <c r="M26" s="152"/>
      <c r="N26" s="154"/>
      <c r="O26" s="155"/>
      <c r="P26" s="155"/>
      <c r="Q26" s="156"/>
      <c r="R26" s="97"/>
    </row>
    <row r="27" spans="1:18" ht="15.75" customHeight="1">
      <c r="A27" s="98" t="s">
        <v>36</v>
      </c>
      <c r="B27" s="157">
        <f>_xlfn.COMPOUNDVALUE(481)</f>
        <v>6944</v>
      </c>
      <c r="C27" s="158">
        <v>72473098</v>
      </c>
      <c r="D27" s="157">
        <f>_xlfn.COMPOUNDVALUE(482)</f>
        <v>4359</v>
      </c>
      <c r="E27" s="158">
        <v>2411180</v>
      </c>
      <c r="F27" s="157">
        <f>_xlfn.COMPOUNDVALUE(483)</f>
        <v>11303</v>
      </c>
      <c r="G27" s="158">
        <v>74884277</v>
      </c>
      <c r="H27" s="157">
        <f>_xlfn.COMPOUNDVALUE(484)</f>
        <v>565</v>
      </c>
      <c r="I27" s="159">
        <v>2365992</v>
      </c>
      <c r="J27" s="157">
        <v>1029</v>
      </c>
      <c r="K27" s="159">
        <v>132628</v>
      </c>
      <c r="L27" s="157">
        <v>12156</v>
      </c>
      <c r="M27" s="159">
        <v>72650914</v>
      </c>
      <c r="N27" s="157">
        <v>12382</v>
      </c>
      <c r="O27" s="160">
        <v>429</v>
      </c>
      <c r="P27" s="160">
        <v>44</v>
      </c>
      <c r="Q27" s="161">
        <v>12855</v>
      </c>
      <c r="R27" s="99" t="s">
        <v>112</v>
      </c>
    </row>
    <row r="28" spans="1:18" ht="15.75" customHeight="1">
      <c r="A28" s="13" t="s">
        <v>37</v>
      </c>
      <c r="B28" s="129">
        <f>_xlfn.COMPOUNDVALUE(485)</f>
        <v>5827</v>
      </c>
      <c r="C28" s="130">
        <v>58485774</v>
      </c>
      <c r="D28" s="129">
        <f>_xlfn.COMPOUNDVALUE(486)</f>
        <v>2850</v>
      </c>
      <c r="E28" s="130">
        <v>1698920</v>
      </c>
      <c r="F28" s="129">
        <f>_xlfn.COMPOUNDVALUE(487)</f>
        <v>8677</v>
      </c>
      <c r="G28" s="130">
        <v>60184694</v>
      </c>
      <c r="H28" s="129">
        <f>_xlfn.COMPOUNDVALUE(488)</f>
        <v>395</v>
      </c>
      <c r="I28" s="131">
        <v>3850693</v>
      </c>
      <c r="J28" s="129">
        <v>719</v>
      </c>
      <c r="K28" s="131">
        <v>132368</v>
      </c>
      <c r="L28" s="129">
        <v>9234</v>
      </c>
      <c r="M28" s="131">
        <v>56466369</v>
      </c>
      <c r="N28" s="126">
        <v>9207</v>
      </c>
      <c r="O28" s="144">
        <v>321</v>
      </c>
      <c r="P28" s="144">
        <v>75</v>
      </c>
      <c r="Q28" s="145">
        <v>9603</v>
      </c>
      <c r="R28" s="14" t="s">
        <v>113</v>
      </c>
    </row>
    <row r="29" spans="1:18" ht="15.75" customHeight="1">
      <c r="A29" s="13" t="s">
        <v>38</v>
      </c>
      <c r="B29" s="129">
        <f>_xlfn.COMPOUNDVALUE(489)</f>
        <v>3481</v>
      </c>
      <c r="C29" s="130">
        <v>18996349</v>
      </c>
      <c r="D29" s="129">
        <f>_xlfn.COMPOUNDVALUE(490)</f>
        <v>2610</v>
      </c>
      <c r="E29" s="130">
        <v>1268351</v>
      </c>
      <c r="F29" s="129">
        <f>_xlfn.COMPOUNDVALUE(491)</f>
        <v>6091</v>
      </c>
      <c r="G29" s="130">
        <v>20264700</v>
      </c>
      <c r="H29" s="129">
        <f>_xlfn.COMPOUNDVALUE(492)</f>
        <v>253</v>
      </c>
      <c r="I29" s="131">
        <v>716926</v>
      </c>
      <c r="J29" s="129">
        <v>402</v>
      </c>
      <c r="K29" s="131">
        <v>73714</v>
      </c>
      <c r="L29" s="129">
        <v>6470</v>
      </c>
      <c r="M29" s="131">
        <v>19621488</v>
      </c>
      <c r="N29" s="126">
        <v>6544</v>
      </c>
      <c r="O29" s="144">
        <v>198</v>
      </c>
      <c r="P29" s="144">
        <v>20</v>
      </c>
      <c r="Q29" s="145">
        <v>6762</v>
      </c>
      <c r="R29" s="14" t="s">
        <v>114</v>
      </c>
    </row>
    <row r="30" spans="1:18" ht="15.75" customHeight="1">
      <c r="A30" s="13" t="s">
        <v>39</v>
      </c>
      <c r="B30" s="129">
        <f>_xlfn.COMPOUNDVALUE(493)</f>
        <v>2984</v>
      </c>
      <c r="C30" s="130">
        <v>12976061</v>
      </c>
      <c r="D30" s="129">
        <f>_xlfn.COMPOUNDVALUE(494)</f>
        <v>2256</v>
      </c>
      <c r="E30" s="130">
        <v>1086571</v>
      </c>
      <c r="F30" s="129">
        <f>_xlfn.COMPOUNDVALUE(495)</f>
        <v>5240</v>
      </c>
      <c r="G30" s="130">
        <v>14062632</v>
      </c>
      <c r="H30" s="129">
        <f>_xlfn.COMPOUNDVALUE(496)</f>
        <v>258</v>
      </c>
      <c r="I30" s="131">
        <v>4147185</v>
      </c>
      <c r="J30" s="129">
        <v>419</v>
      </c>
      <c r="K30" s="131">
        <v>77554</v>
      </c>
      <c r="L30" s="129">
        <v>5626</v>
      </c>
      <c r="M30" s="131">
        <v>9993002</v>
      </c>
      <c r="N30" s="126">
        <v>5413</v>
      </c>
      <c r="O30" s="144">
        <v>150</v>
      </c>
      <c r="P30" s="144">
        <v>9</v>
      </c>
      <c r="Q30" s="145">
        <v>5572</v>
      </c>
      <c r="R30" s="14" t="s">
        <v>115</v>
      </c>
    </row>
    <row r="31" spans="1:18" ht="15.75" customHeight="1">
      <c r="A31" s="13" t="s">
        <v>40</v>
      </c>
      <c r="B31" s="129">
        <f>_xlfn.COMPOUNDVALUE(497)</f>
        <v>2024</v>
      </c>
      <c r="C31" s="130">
        <v>7528071</v>
      </c>
      <c r="D31" s="129">
        <f>_xlfn.COMPOUNDVALUE(498)</f>
        <v>1397</v>
      </c>
      <c r="E31" s="130">
        <v>643425</v>
      </c>
      <c r="F31" s="129">
        <f>_xlfn.COMPOUNDVALUE(499)</f>
        <v>3421</v>
      </c>
      <c r="G31" s="130">
        <v>8171496</v>
      </c>
      <c r="H31" s="129">
        <f>_xlfn.COMPOUNDVALUE(500)</f>
        <v>155</v>
      </c>
      <c r="I31" s="131">
        <v>746354</v>
      </c>
      <c r="J31" s="129">
        <v>327</v>
      </c>
      <c r="K31" s="131">
        <v>40046</v>
      </c>
      <c r="L31" s="129">
        <v>3712</v>
      </c>
      <c r="M31" s="131">
        <v>7465188</v>
      </c>
      <c r="N31" s="126">
        <v>3536</v>
      </c>
      <c r="O31" s="144">
        <v>94</v>
      </c>
      <c r="P31" s="144">
        <v>7</v>
      </c>
      <c r="Q31" s="145">
        <v>3637</v>
      </c>
      <c r="R31" s="14" t="s">
        <v>116</v>
      </c>
    </row>
    <row r="32" spans="1:18" ht="15.75" customHeight="1">
      <c r="A32" s="13" t="s">
        <v>41</v>
      </c>
      <c r="B32" s="129">
        <f>_xlfn.COMPOUNDVALUE(501)</f>
        <v>2434</v>
      </c>
      <c r="C32" s="130">
        <v>9041424</v>
      </c>
      <c r="D32" s="129">
        <f>_xlfn.COMPOUNDVALUE(502)</f>
        <v>1941</v>
      </c>
      <c r="E32" s="130">
        <v>876306</v>
      </c>
      <c r="F32" s="129">
        <f>_xlfn.COMPOUNDVALUE(503)</f>
        <v>4375</v>
      </c>
      <c r="G32" s="130">
        <v>9917730</v>
      </c>
      <c r="H32" s="129">
        <f>_xlfn.COMPOUNDVALUE(504)</f>
        <v>213</v>
      </c>
      <c r="I32" s="131">
        <v>639191</v>
      </c>
      <c r="J32" s="129">
        <v>288</v>
      </c>
      <c r="K32" s="131">
        <v>84049</v>
      </c>
      <c r="L32" s="129">
        <v>4702</v>
      </c>
      <c r="M32" s="131">
        <v>9362588</v>
      </c>
      <c r="N32" s="126">
        <v>4583</v>
      </c>
      <c r="O32" s="144">
        <v>127</v>
      </c>
      <c r="P32" s="144">
        <v>9</v>
      </c>
      <c r="Q32" s="145">
        <v>4719</v>
      </c>
      <c r="R32" s="14" t="s">
        <v>117</v>
      </c>
    </row>
    <row r="33" spans="1:18" ht="15.75" customHeight="1">
      <c r="A33" s="13" t="s">
        <v>42</v>
      </c>
      <c r="B33" s="129">
        <f>_xlfn.COMPOUNDVALUE(505)</f>
        <v>1210</v>
      </c>
      <c r="C33" s="130">
        <v>4786341</v>
      </c>
      <c r="D33" s="129">
        <f>_xlfn.COMPOUNDVALUE(506)</f>
        <v>798</v>
      </c>
      <c r="E33" s="130">
        <v>361021</v>
      </c>
      <c r="F33" s="129">
        <f>_xlfn.COMPOUNDVALUE(507)</f>
        <v>2008</v>
      </c>
      <c r="G33" s="130">
        <v>5147363</v>
      </c>
      <c r="H33" s="129">
        <f>_xlfn.COMPOUNDVALUE(508)</f>
        <v>114</v>
      </c>
      <c r="I33" s="131">
        <v>769883</v>
      </c>
      <c r="J33" s="129">
        <v>156</v>
      </c>
      <c r="K33" s="131">
        <v>26079</v>
      </c>
      <c r="L33" s="129">
        <v>2147</v>
      </c>
      <c r="M33" s="131">
        <v>4403559</v>
      </c>
      <c r="N33" s="126">
        <v>2161</v>
      </c>
      <c r="O33" s="144">
        <v>65</v>
      </c>
      <c r="P33" s="144">
        <v>3</v>
      </c>
      <c r="Q33" s="145">
        <v>2229</v>
      </c>
      <c r="R33" s="14" t="s">
        <v>118</v>
      </c>
    </row>
    <row r="34" spans="1:18" ht="15.75" customHeight="1">
      <c r="A34" s="13" t="s">
        <v>43</v>
      </c>
      <c r="B34" s="129">
        <f>_xlfn.COMPOUNDVALUE(509)</f>
        <v>1825</v>
      </c>
      <c r="C34" s="130">
        <v>6624769</v>
      </c>
      <c r="D34" s="129">
        <f>_xlfn.COMPOUNDVALUE(510)</f>
        <v>1349</v>
      </c>
      <c r="E34" s="130">
        <v>588722</v>
      </c>
      <c r="F34" s="129">
        <f>_xlfn.COMPOUNDVALUE(511)</f>
        <v>3174</v>
      </c>
      <c r="G34" s="130">
        <v>7213491</v>
      </c>
      <c r="H34" s="129">
        <f>_xlfn.COMPOUNDVALUE(512)</f>
        <v>121</v>
      </c>
      <c r="I34" s="131">
        <v>402331</v>
      </c>
      <c r="J34" s="129">
        <v>265</v>
      </c>
      <c r="K34" s="131">
        <v>40216</v>
      </c>
      <c r="L34" s="129">
        <v>3366</v>
      </c>
      <c r="M34" s="131">
        <v>6851376</v>
      </c>
      <c r="N34" s="126">
        <v>3249</v>
      </c>
      <c r="O34" s="144">
        <v>80</v>
      </c>
      <c r="P34" s="144">
        <v>4</v>
      </c>
      <c r="Q34" s="145">
        <v>3333</v>
      </c>
      <c r="R34" s="14" t="s">
        <v>119</v>
      </c>
    </row>
    <row r="35" spans="1:18" ht="15.75" customHeight="1">
      <c r="A35" s="13" t="s">
        <v>44</v>
      </c>
      <c r="B35" s="129">
        <f>_xlfn.COMPOUNDVALUE(513)</f>
        <v>922</v>
      </c>
      <c r="C35" s="130">
        <v>3544008</v>
      </c>
      <c r="D35" s="129">
        <f>_xlfn.COMPOUNDVALUE(514)</f>
        <v>614</v>
      </c>
      <c r="E35" s="130">
        <v>278975</v>
      </c>
      <c r="F35" s="129">
        <f>_xlfn.COMPOUNDVALUE(515)</f>
        <v>1536</v>
      </c>
      <c r="G35" s="130">
        <v>3822983</v>
      </c>
      <c r="H35" s="129">
        <f>_xlfn.COMPOUNDVALUE(516)</f>
        <v>78</v>
      </c>
      <c r="I35" s="131">
        <v>897951</v>
      </c>
      <c r="J35" s="129">
        <v>199</v>
      </c>
      <c r="K35" s="131">
        <v>-9240</v>
      </c>
      <c r="L35" s="129">
        <v>1647</v>
      </c>
      <c r="M35" s="131">
        <v>2915791</v>
      </c>
      <c r="N35" s="126">
        <v>1579</v>
      </c>
      <c r="O35" s="144">
        <v>49</v>
      </c>
      <c r="P35" s="144">
        <v>6</v>
      </c>
      <c r="Q35" s="145">
        <v>1634</v>
      </c>
      <c r="R35" s="14" t="s">
        <v>120</v>
      </c>
    </row>
    <row r="36" spans="1:18" ht="15.75" customHeight="1">
      <c r="A36" s="13" t="s">
        <v>45</v>
      </c>
      <c r="B36" s="129">
        <f>_xlfn.COMPOUNDVALUE(517)</f>
        <v>1191</v>
      </c>
      <c r="C36" s="130">
        <v>4876685</v>
      </c>
      <c r="D36" s="129">
        <f>_xlfn.COMPOUNDVALUE(518)</f>
        <v>928</v>
      </c>
      <c r="E36" s="130">
        <v>410124</v>
      </c>
      <c r="F36" s="129">
        <f>_xlfn.COMPOUNDVALUE(519)</f>
        <v>2119</v>
      </c>
      <c r="G36" s="130">
        <v>5286809</v>
      </c>
      <c r="H36" s="129">
        <f>_xlfn.COMPOUNDVALUE(520)</f>
        <v>96</v>
      </c>
      <c r="I36" s="131">
        <v>183612</v>
      </c>
      <c r="J36" s="129">
        <v>130</v>
      </c>
      <c r="K36" s="131">
        <v>28280</v>
      </c>
      <c r="L36" s="129">
        <v>2248</v>
      </c>
      <c r="M36" s="131">
        <v>5131478</v>
      </c>
      <c r="N36" s="126">
        <v>2157</v>
      </c>
      <c r="O36" s="144">
        <v>57</v>
      </c>
      <c r="P36" s="144">
        <v>4</v>
      </c>
      <c r="Q36" s="145">
        <v>2218</v>
      </c>
      <c r="R36" s="14" t="s">
        <v>121</v>
      </c>
    </row>
    <row r="37" spans="1:18" ht="15.75" customHeight="1">
      <c r="A37" s="95" t="s">
        <v>46</v>
      </c>
      <c r="B37" s="146">
        <v>28842</v>
      </c>
      <c r="C37" s="147">
        <v>199332580</v>
      </c>
      <c r="D37" s="146">
        <v>19102</v>
      </c>
      <c r="E37" s="147">
        <v>9623596</v>
      </c>
      <c r="F37" s="146">
        <v>47944</v>
      </c>
      <c r="G37" s="147">
        <v>208956176</v>
      </c>
      <c r="H37" s="146">
        <v>2248</v>
      </c>
      <c r="I37" s="148">
        <v>14720119</v>
      </c>
      <c r="J37" s="146">
        <v>3934</v>
      </c>
      <c r="K37" s="148">
        <v>625695</v>
      </c>
      <c r="L37" s="146">
        <v>51308</v>
      </c>
      <c r="M37" s="148">
        <v>194861752</v>
      </c>
      <c r="N37" s="146">
        <v>50811</v>
      </c>
      <c r="O37" s="149">
        <v>1570</v>
      </c>
      <c r="P37" s="149">
        <v>181</v>
      </c>
      <c r="Q37" s="150">
        <v>52562</v>
      </c>
      <c r="R37" s="94" t="s">
        <v>122</v>
      </c>
    </row>
    <row r="38" spans="1:18" ht="15.75" customHeight="1">
      <c r="A38" s="100"/>
      <c r="B38" s="162"/>
      <c r="C38" s="163"/>
      <c r="D38" s="162"/>
      <c r="E38" s="163"/>
      <c r="F38" s="164"/>
      <c r="G38" s="163"/>
      <c r="H38" s="164"/>
      <c r="I38" s="163"/>
      <c r="J38" s="164"/>
      <c r="K38" s="163"/>
      <c r="L38" s="164"/>
      <c r="M38" s="163"/>
      <c r="N38" s="165"/>
      <c r="O38" s="166"/>
      <c r="P38" s="166"/>
      <c r="Q38" s="167"/>
      <c r="R38" s="101"/>
    </row>
    <row r="39" spans="1:18" ht="15.75" customHeight="1">
      <c r="A39" s="11" t="s">
        <v>47</v>
      </c>
      <c r="B39" s="126">
        <f>_xlfn.COMPOUNDVALUE(521)</f>
        <v>2910</v>
      </c>
      <c r="C39" s="127">
        <v>17411478</v>
      </c>
      <c r="D39" s="126">
        <f>_xlfn.COMPOUNDVALUE(522)</f>
        <v>1890</v>
      </c>
      <c r="E39" s="127">
        <v>984754</v>
      </c>
      <c r="F39" s="126">
        <f>_xlfn.COMPOUNDVALUE(523)</f>
        <v>4800</v>
      </c>
      <c r="G39" s="127">
        <v>18396232</v>
      </c>
      <c r="H39" s="126">
        <f>_xlfn.COMPOUNDVALUE(524)</f>
        <v>137</v>
      </c>
      <c r="I39" s="128">
        <v>883224</v>
      </c>
      <c r="J39" s="126">
        <v>388</v>
      </c>
      <c r="K39" s="128">
        <v>27949</v>
      </c>
      <c r="L39" s="126">
        <v>5018</v>
      </c>
      <c r="M39" s="128">
        <v>17540957</v>
      </c>
      <c r="N39" s="126">
        <v>4922</v>
      </c>
      <c r="O39" s="144">
        <v>126</v>
      </c>
      <c r="P39" s="144">
        <v>12</v>
      </c>
      <c r="Q39" s="145">
        <v>5060</v>
      </c>
      <c r="R39" s="12" t="s">
        <v>123</v>
      </c>
    </row>
    <row r="40" spans="1:18" ht="15.75" customHeight="1">
      <c r="A40" s="13" t="s">
        <v>48</v>
      </c>
      <c r="B40" s="129">
        <f>_xlfn.COMPOUNDVALUE(525)</f>
        <v>1489</v>
      </c>
      <c r="C40" s="130">
        <v>6857399</v>
      </c>
      <c r="D40" s="129">
        <f>_xlfn.COMPOUNDVALUE(526)</f>
        <v>1641</v>
      </c>
      <c r="E40" s="130">
        <v>721803</v>
      </c>
      <c r="F40" s="129">
        <f>_xlfn.COMPOUNDVALUE(527)</f>
        <v>3130</v>
      </c>
      <c r="G40" s="130">
        <v>7579202</v>
      </c>
      <c r="H40" s="129">
        <f>_xlfn.COMPOUNDVALUE(528)</f>
        <v>92</v>
      </c>
      <c r="I40" s="131">
        <v>175696</v>
      </c>
      <c r="J40" s="129">
        <v>150</v>
      </c>
      <c r="K40" s="131">
        <v>34909</v>
      </c>
      <c r="L40" s="129">
        <v>3289</v>
      </c>
      <c r="M40" s="131">
        <v>7438415</v>
      </c>
      <c r="N40" s="126">
        <v>3258</v>
      </c>
      <c r="O40" s="144">
        <v>67</v>
      </c>
      <c r="P40" s="144">
        <v>7</v>
      </c>
      <c r="Q40" s="145">
        <v>3332</v>
      </c>
      <c r="R40" s="14" t="s">
        <v>124</v>
      </c>
    </row>
    <row r="41" spans="1:18" ht="15.75" customHeight="1">
      <c r="A41" s="13" t="s">
        <v>49</v>
      </c>
      <c r="B41" s="129">
        <f>_xlfn.COMPOUNDVALUE(529)</f>
        <v>964</v>
      </c>
      <c r="C41" s="130">
        <v>3223583</v>
      </c>
      <c r="D41" s="129">
        <f>_xlfn.COMPOUNDVALUE(530)</f>
        <v>887</v>
      </c>
      <c r="E41" s="130">
        <v>379493</v>
      </c>
      <c r="F41" s="129">
        <f>_xlfn.COMPOUNDVALUE(531)</f>
        <v>1851</v>
      </c>
      <c r="G41" s="130">
        <v>3603076</v>
      </c>
      <c r="H41" s="129">
        <f>_xlfn.COMPOUNDVALUE(532)</f>
        <v>66</v>
      </c>
      <c r="I41" s="131">
        <v>126038</v>
      </c>
      <c r="J41" s="129">
        <v>118</v>
      </c>
      <c r="K41" s="131">
        <v>21058</v>
      </c>
      <c r="L41" s="129">
        <v>1943</v>
      </c>
      <c r="M41" s="131">
        <v>3498096</v>
      </c>
      <c r="N41" s="126">
        <v>1924</v>
      </c>
      <c r="O41" s="144">
        <v>65</v>
      </c>
      <c r="P41" s="144">
        <v>2</v>
      </c>
      <c r="Q41" s="145">
        <v>1991</v>
      </c>
      <c r="R41" s="14" t="s">
        <v>125</v>
      </c>
    </row>
    <row r="42" spans="1:18" ht="15.75" customHeight="1">
      <c r="A42" s="13" t="s">
        <v>50</v>
      </c>
      <c r="B42" s="129">
        <f>_xlfn.COMPOUNDVALUE(533)</f>
        <v>1013</v>
      </c>
      <c r="C42" s="130">
        <v>3423705</v>
      </c>
      <c r="D42" s="129">
        <f>_xlfn.COMPOUNDVALUE(534)</f>
        <v>889</v>
      </c>
      <c r="E42" s="130">
        <v>384403</v>
      </c>
      <c r="F42" s="129">
        <f>_xlfn.COMPOUNDVALUE(535)</f>
        <v>1902</v>
      </c>
      <c r="G42" s="130">
        <v>3808108</v>
      </c>
      <c r="H42" s="129">
        <f>_xlfn.COMPOUNDVALUE(536)</f>
        <v>77</v>
      </c>
      <c r="I42" s="131">
        <v>240937</v>
      </c>
      <c r="J42" s="129">
        <v>117</v>
      </c>
      <c r="K42" s="131">
        <v>42733</v>
      </c>
      <c r="L42" s="129">
        <v>2019</v>
      </c>
      <c r="M42" s="131">
        <v>3609904</v>
      </c>
      <c r="N42" s="126">
        <v>1968</v>
      </c>
      <c r="O42" s="144">
        <v>54</v>
      </c>
      <c r="P42" s="144">
        <v>2</v>
      </c>
      <c r="Q42" s="145">
        <v>2024</v>
      </c>
      <c r="R42" s="14" t="s">
        <v>126</v>
      </c>
    </row>
    <row r="43" spans="1:18" ht="15.75" customHeight="1">
      <c r="A43" s="13" t="s">
        <v>51</v>
      </c>
      <c r="B43" s="129">
        <f>_xlfn.COMPOUNDVALUE(537)</f>
        <v>1596</v>
      </c>
      <c r="C43" s="130">
        <v>7499124</v>
      </c>
      <c r="D43" s="129">
        <f>_xlfn.COMPOUNDVALUE(538)</f>
        <v>1182</v>
      </c>
      <c r="E43" s="130">
        <v>521616</v>
      </c>
      <c r="F43" s="129">
        <f>_xlfn.COMPOUNDVALUE(539)</f>
        <v>2778</v>
      </c>
      <c r="G43" s="130">
        <v>8020740</v>
      </c>
      <c r="H43" s="129">
        <f>_xlfn.COMPOUNDVALUE(540)</f>
        <v>115</v>
      </c>
      <c r="I43" s="131">
        <v>246916</v>
      </c>
      <c r="J43" s="129">
        <v>167</v>
      </c>
      <c r="K43" s="131">
        <v>26072</v>
      </c>
      <c r="L43" s="129">
        <v>2946</v>
      </c>
      <c r="M43" s="131">
        <v>7799896</v>
      </c>
      <c r="N43" s="126">
        <v>2812</v>
      </c>
      <c r="O43" s="144">
        <v>99</v>
      </c>
      <c r="P43" s="144">
        <v>7</v>
      </c>
      <c r="Q43" s="145">
        <v>2918</v>
      </c>
      <c r="R43" s="14" t="s">
        <v>127</v>
      </c>
    </row>
    <row r="44" spans="1:18" ht="15.75" customHeight="1">
      <c r="A44" s="13" t="s">
        <v>52</v>
      </c>
      <c r="B44" s="129">
        <f>_xlfn.COMPOUNDVALUE(541)</f>
        <v>1095</v>
      </c>
      <c r="C44" s="130">
        <v>6501526</v>
      </c>
      <c r="D44" s="129">
        <f>_xlfn.COMPOUNDVALUE(542)</f>
        <v>885</v>
      </c>
      <c r="E44" s="130">
        <v>377875</v>
      </c>
      <c r="F44" s="129">
        <f>_xlfn.COMPOUNDVALUE(543)</f>
        <v>1980</v>
      </c>
      <c r="G44" s="130">
        <v>6879401</v>
      </c>
      <c r="H44" s="129">
        <f>_xlfn.COMPOUNDVALUE(544)</f>
        <v>76</v>
      </c>
      <c r="I44" s="131">
        <v>248398</v>
      </c>
      <c r="J44" s="129">
        <v>127</v>
      </c>
      <c r="K44" s="131">
        <v>21350</v>
      </c>
      <c r="L44" s="129">
        <v>2087</v>
      </c>
      <c r="M44" s="131">
        <v>6652354</v>
      </c>
      <c r="N44" s="126">
        <v>1977</v>
      </c>
      <c r="O44" s="144">
        <v>58</v>
      </c>
      <c r="P44" s="144">
        <v>7</v>
      </c>
      <c r="Q44" s="145">
        <v>2042</v>
      </c>
      <c r="R44" s="14" t="s">
        <v>128</v>
      </c>
    </row>
    <row r="45" spans="1:18" ht="15.75" customHeight="1">
      <c r="A45" s="13" t="s">
        <v>53</v>
      </c>
      <c r="B45" s="129">
        <f>_xlfn.COMPOUNDVALUE(545)</f>
        <v>777</v>
      </c>
      <c r="C45" s="130">
        <v>3072117</v>
      </c>
      <c r="D45" s="129">
        <f>_xlfn.COMPOUNDVALUE(546)</f>
        <v>599</v>
      </c>
      <c r="E45" s="130">
        <v>245174</v>
      </c>
      <c r="F45" s="129">
        <f>_xlfn.COMPOUNDVALUE(547)</f>
        <v>1376</v>
      </c>
      <c r="G45" s="130">
        <v>3317291</v>
      </c>
      <c r="H45" s="129">
        <f>_xlfn.COMPOUNDVALUE(548)</f>
        <v>59</v>
      </c>
      <c r="I45" s="131">
        <v>721835</v>
      </c>
      <c r="J45" s="129">
        <v>43</v>
      </c>
      <c r="K45" s="131">
        <v>-1586</v>
      </c>
      <c r="L45" s="129">
        <v>1437</v>
      </c>
      <c r="M45" s="131">
        <v>2593871</v>
      </c>
      <c r="N45" s="126">
        <v>1380</v>
      </c>
      <c r="O45" s="144">
        <v>38</v>
      </c>
      <c r="P45" s="144">
        <v>1</v>
      </c>
      <c r="Q45" s="145">
        <v>1419</v>
      </c>
      <c r="R45" s="14" t="s">
        <v>129</v>
      </c>
    </row>
    <row r="46" spans="1:18" ht="15.75" customHeight="1">
      <c r="A46" s="13" t="s">
        <v>54</v>
      </c>
      <c r="B46" s="129">
        <f>_xlfn.COMPOUNDVALUE(549)</f>
        <v>1467</v>
      </c>
      <c r="C46" s="130">
        <v>5484491</v>
      </c>
      <c r="D46" s="129">
        <f>_xlfn.COMPOUNDVALUE(550)</f>
        <v>1258</v>
      </c>
      <c r="E46" s="130">
        <v>563710</v>
      </c>
      <c r="F46" s="129">
        <f>_xlfn.COMPOUNDVALUE(551)</f>
        <v>2725</v>
      </c>
      <c r="G46" s="130">
        <v>6048200</v>
      </c>
      <c r="H46" s="129">
        <f>_xlfn.COMPOUNDVALUE(552)</f>
        <v>97</v>
      </c>
      <c r="I46" s="131">
        <v>223673</v>
      </c>
      <c r="J46" s="129">
        <v>157</v>
      </c>
      <c r="K46" s="131">
        <v>35709</v>
      </c>
      <c r="L46" s="129">
        <v>2852</v>
      </c>
      <c r="M46" s="131">
        <v>5860237</v>
      </c>
      <c r="N46" s="126">
        <v>2878</v>
      </c>
      <c r="O46" s="144">
        <v>59</v>
      </c>
      <c r="P46" s="144">
        <v>4</v>
      </c>
      <c r="Q46" s="145">
        <v>2941</v>
      </c>
      <c r="R46" s="14" t="s">
        <v>130</v>
      </c>
    </row>
    <row r="47" spans="1:18" ht="15.75" customHeight="1">
      <c r="A47" s="95" t="s">
        <v>55</v>
      </c>
      <c r="B47" s="146">
        <v>11311</v>
      </c>
      <c r="C47" s="147">
        <v>53473424</v>
      </c>
      <c r="D47" s="146">
        <v>9231</v>
      </c>
      <c r="E47" s="147">
        <v>4178827</v>
      </c>
      <c r="F47" s="146">
        <v>20542</v>
      </c>
      <c r="G47" s="147">
        <v>57652252</v>
      </c>
      <c r="H47" s="146">
        <v>719</v>
      </c>
      <c r="I47" s="148">
        <v>2866717</v>
      </c>
      <c r="J47" s="146">
        <v>1267</v>
      </c>
      <c r="K47" s="148">
        <v>208195</v>
      </c>
      <c r="L47" s="146">
        <v>21591</v>
      </c>
      <c r="M47" s="148">
        <v>54993729</v>
      </c>
      <c r="N47" s="146">
        <v>21119</v>
      </c>
      <c r="O47" s="149">
        <v>566</v>
      </c>
      <c r="P47" s="149">
        <v>42</v>
      </c>
      <c r="Q47" s="150">
        <v>21727</v>
      </c>
      <c r="R47" s="94" t="s">
        <v>131</v>
      </c>
    </row>
    <row r="48" spans="1:18" ht="15.75" customHeight="1">
      <c r="A48" s="96"/>
      <c r="B48" s="151"/>
      <c r="C48" s="152"/>
      <c r="D48" s="151"/>
      <c r="E48" s="152"/>
      <c r="F48" s="153"/>
      <c r="G48" s="152"/>
      <c r="H48" s="153"/>
      <c r="I48" s="152"/>
      <c r="J48" s="153"/>
      <c r="K48" s="152"/>
      <c r="L48" s="153"/>
      <c r="M48" s="152"/>
      <c r="N48" s="154"/>
      <c r="O48" s="155"/>
      <c r="P48" s="155"/>
      <c r="Q48" s="156"/>
      <c r="R48" s="97"/>
    </row>
    <row r="49" spans="1:18" ht="15.75" customHeight="1">
      <c r="A49" s="98" t="s">
        <v>56</v>
      </c>
      <c r="B49" s="157">
        <f>_xlfn.COMPOUNDVALUE(553)</f>
        <v>4500</v>
      </c>
      <c r="C49" s="158">
        <v>29205444</v>
      </c>
      <c r="D49" s="157">
        <f>_xlfn.COMPOUNDVALUE(554)</f>
        <v>3651</v>
      </c>
      <c r="E49" s="158">
        <v>1694788</v>
      </c>
      <c r="F49" s="157">
        <f>_xlfn.COMPOUNDVALUE(555)</f>
        <v>8151</v>
      </c>
      <c r="G49" s="158">
        <v>30900233</v>
      </c>
      <c r="H49" s="157">
        <f>_xlfn.COMPOUNDVALUE(556)</f>
        <v>221</v>
      </c>
      <c r="I49" s="159">
        <v>945109</v>
      </c>
      <c r="J49" s="157">
        <v>578</v>
      </c>
      <c r="K49" s="159">
        <v>78013</v>
      </c>
      <c r="L49" s="157">
        <v>8513</v>
      </c>
      <c r="M49" s="159">
        <v>30033137</v>
      </c>
      <c r="N49" s="157">
        <v>8420</v>
      </c>
      <c r="O49" s="160">
        <v>170</v>
      </c>
      <c r="P49" s="160">
        <v>17</v>
      </c>
      <c r="Q49" s="161">
        <v>8607</v>
      </c>
      <c r="R49" s="99" t="s">
        <v>132</v>
      </c>
    </row>
    <row r="50" spans="1:18" ht="15.75" customHeight="1">
      <c r="A50" s="13" t="s">
        <v>57</v>
      </c>
      <c r="B50" s="129">
        <f>_xlfn.COMPOUNDVALUE(557)</f>
        <v>2046</v>
      </c>
      <c r="C50" s="130">
        <v>9518461</v>
      </c>
      <c r="D50" s="129">
        <f>_xlfn.COMPOUNDVALUE(558)</f>
        <v>1668</v>
      </c>
      <c r="E50" s="130">
        <v>743057</v>
      </c>
      <c r="F50" s="129">
        <f>_xlfn.COMPOUNDVALUE(559)</f>
        <v>3714</v>
      </c>
      <c r="G50" s="130">
        <v>10261518</v>
      </c>
      <c r="H50" s="129">
        <f>_xlfn.COMPOUNDVALUE(560)</f>
        <v>134</v>
      </c>
      <c r="I50" s="131">
        <v>1521744</v>
      </c>
      <c r="J50" s="129">
        <v>189</v>
      </c>
      <c r="K50" s="131">
        <v>34748</v>
      </c>
      <c r="L50" s="129">
        <v>3908</v>
      </c>
      <c r="M50" s="131">
        <v>8774522</v>
      </c>
      <c r="N50" s="126">
        <v>3703</v>
      </c>
      <c r="O50" s="144">
        <v>84</v>
      </c>
      <c r="P50" s="144">
        <v>8</v>
      </c>
      <c r="Q50" s="145">
        <v>3795</v>
      </c>
      <c r="R50" s="14" t="s">
        <v>133</v>
      </c>
    </row>
    <row r="51" spans="1:18" ht="15.75" customHeight="1">
      <c r="A51" s="13" t="s">
        <v>58</v>
      </c>
      <c r="B51" s="129">
        <f>_xlfn.COMPOUNDVALUE(561)</f>
        <v>1819</v>
      </c>
      <c r="C51" s="130">
        <v>8349633</v>
      </c>
      <c r="D51" s="129">
        <f>_xlfn.COMPOUNDVALUE(562)</f>
        <v>1783</v>
      </c>
      <c r="E51" s="130">
        <v>727005</v>
      </c>
      <c r="F51" s="129">
        <f>_xlfn.COMPOUNDVALUE(563)</f>
        <v>3602</v>
      </c>
      <c r="G51" s="130">
        <v>9076638</v>
      </c>
      <c r="H51" s="129">
        <f>_xlfn.COMPOUNDVALUE(564)</f>
        <v>124</v>
      </c>
      <c r="I51" s="131">
        <v>305195</v>
      </c>
      <c r="J51" s="129">
        <v>191</v>
      </c>
      <c r="K51" s="131">
        <v>21598</v>
      </c>
      <c r="L51" s="129">
        <v>3774</v>
      </c>
      <c r="M51" s="131">
        <v>8793041</v>
      </c>
      <c r="N51" s="126">
        <v>3807</v>
      </c>
      <c r="O51" s="144">
        <v>63</v>
      </c>
      <c r="P51" s="144">
        <v>6</v>
      </c>
      <c r="Q51" s="145">
        <v>3876</v>
      </c>
      <c r="R51" s="14" t="s">
        <v>134</v>
      </c>
    </row>
    <row r="52" spans="1:18" ht="15.75" customHeight="1">
      <c r="A52" s="13" t="s">
        <v>59</v>
      </c>
      <c r="B52" s="129">
        <f>_xlfn.COMPOUNDVALUE(565)</f>
        <v>1471</v>
      </c>
      <c r="C52" s="130">
        <v>7343845</v>
      </c>
      <c r="D52" s="129">
        <f>_xlfn.COMPOUNDVALUE(566)</f>
        <v>1326</v>
      </c>
      <c r="E52" s="130">
        <v>536927</v>
      </c>
      <c r="F52" s="129">
        <f>_xlfn.COMPOUNDVALUE(567)</f>
        <v>2797</v>
      </c>
      <c r="G52" s="130">
        <v>7880772</v>
      </c>
      <c r="H52" s="129">
        <f>_xlfn.COMPOUNDVALUE(568)</f>
        <v>96</v>
      </c>
      <c r="I52" s="131">
        <v>502911</v>
      </c>
      <c r="J52" s="129">
        <v>161</v>
      </c>
      <c r="K52" s="131">
        <v>2998</v>
      </c>
      <c r="L52" s="129">
        <v>2922</v>
      </c>
      <c r="M52" s="131">
        <v>7380859</v>
      </c>
      <c r="N52" s="126">
        <v>2788</v>
      </c>
      <c r="O52" s="144">
        <v>51</v>
      </c>
      <c r="P52" s="144">
        <v>2</v>
      </c>
      <c r="Q52" s="145">
        <v>2841</v>
      </c>
      <c r="R52" s="14" t="s">
        <v>135</v>
      </c>
    </row>
    <row r="53" spans="1:18" ht="15.75" customHeight="1">
      <c r="A53" s="13" t="s">
        <v>60</v>
      </c>
      <c r="B53" s="129">
        <f>_xlfn.COMPOUNDVALUE(569)</f>
        <v>1010</v>
      </c>
      <c r="C53" s="130">
        <v>3671145</v>
      </c>
      <c r="D53" s="129">
        <f>_xlfn.COMPOUNDVALUE(570)</f>
        <v>957</v>
      </c>
      <c r="E53" s="130">
        <v>409015</v>
      </c>
      <c r="F53" s="129">
        <f>_xlfn.COMPOUNDVALUE(571)</f>
        <v>1967</v>
      </c>
      <c r="G53" s="130">
        <v>4080160</v>
      </c>
      <c r="H53" s="129">
        <f>_xlfn.COMPOUNDVALUE(572)</f>
        <v>57</v>
      </c>
      <c r="I53" s="131">
        <v>133785</v>
      </c>
      <c r="J53" s="129">
        <v>147</v>
      </c>
      <c r="K53" s="131">
        <v>21115</v>
      </c>
      <c r="L53" s="129">
        <v>2052</v>
      </c>
      <c r="M53" s="131">
        <v>3967490</v>
      </c>
      <c r="N53" s="126">
        <v>2026</v>
      </c>
      <c r="O53" s="144">
        <v>42</v>
      </c>
      <c r="P53" s="144">
        <v>5</v>
      </c>
      <c r="Q53" s="145">
        <v>2073</v>
      </c>
      <c r="R53" s="14" t="s">
        <v>136</v>
      </c>
    </row>
    <row r="54" spans="1:18" ht="15.75" customHeight="1">
      <c r="A54" s="13" t="s">
        <v>61</v>
      </c>
      <c r="B54" s="129">
        <f>_xlfn.COMPOUNDVALUE(573)</f>
        <v>975</v>
      </c>
      <c r="C54" s="130">
        <v>5052760</v>
      </c>
      <c r="D54" s="129">
        <f>_xlfn.COMPOUNDVALUE(574)</f>
        <v>908</v>
      </c>
      <c r="E54" s="130">
        <v>368178</v>
      </c>
      <c r="F54" s="129">
        <f>_xlfn.COMPOUNDVALUE(575)</f>
        <v>1883</v>
      </c>
      <c r="G54" s="130">
        <v>5420938</v>
      </c>
      <c r="H54" s="129">
        <f>_xlfn.COMPOUNDVALUE(576)</f>
        <v>46</v>
      </c>
      <c r="I54" s="131">
        <v>142368</v>
      </c>
      <c r="J54" s="129">
        <v>90</v>
      </c>
      <c r="K54" s="131">
        <v>14032</v>
      </c>
      <c r="L54" s="129">
        <v>1970</v>
      </c>
      <c r="M54" s="131">
        <v>5292602</v>
      </c>
      <c r="N54" s="126">
        <v>1871</v>
      </c>
      <c r="O54" s="144">
        <v>34</v>
      </c>
      <c r="P54" s="144">
        <v>4</v>
      </c>
      <c r="Q54" s="145">
        <v>1909</v>
      </c>
      <c r="R54" s="14" t="s">
        <v>137</v>
      </c>
    </row>
    <row r="55" spans="1:18" ht="15.75" customHeight="1">
      <c r="A55" s="13" t="s">
        <v>62</v>
      </c>
      <c r="B55" s="129">
        <f>_xlfn.COMPOUNDVALUE(577)</f>
        <v>1226</v>
      </c>
      <c r="C55" s="130">
        <v>4937434</v>
      </c>
      <c r="D55" s="129">
        <f>_xlfn.COMPOUNDVALUE(578)</f>
        <v>1099</v>
      </c>
      <c r="E55" s="130">
        <v>447081</v>
      </c>
      <c r="F55" s="129">
        <f>_xlfn.COMPOUNDVALUE(579)</f>
        <v>2325</v>
      </c>
      <c r="G55" s="130">
        <v>5384515</v>
      </c>
      <c r="H55" s="129">
        <f>_xlfn.COMPOUNDVALUE(580)</f>
        <v>69</v>
      </c>
      <c r="I55" s="131">
        <v>846563</v>
      </c>
      <c r="J55" s="129">
        <v>113</v>
      </c>
      <c r="K55" s="131">
        <v>30641</v>
      </c>
      <c r="L55" s="129">
        <v>2435</v>
      </c>
      <c r="M55" s="131">
        <v>4568592</v>
      </c>
      <c r="N55" s="126">
        <v>2310</v>
      </c>
      <c r="O55" s="144">
        <v>43</v>
      </c>
      <c r="P55" s="144">
        <v>3</v>
      </c>
      <c r="Q55" s="145">
        <v>2356</v>
      </c>
      <c r="R55" s="14" t="s">
        <v>138</v>
      </c>
    </row>
    <row r="56" spans="1:18" ht="15.75" customHeight="1">
      <c r="A56" s="13" t="s">
        <v>63</v>
      </c>
      <c r="B56" s="129">
        <f>_xlfn.COMPOUNDVALUE(581)</f>
        <v>785</v>
      </c>
      <c r="C56" s="130">
        <v>3760912</v>
      </c>
      <c r="D56" s="129">
        <f>_xlfn.COMPOUNDVALUE(582)</f>
        <v>594</v>
      </c>
      <c r="E56" s="130">
        <v>257071</v>
      </c>
      <c r="F56" s="129">
        <f>_xlfn.COMPOUNDVALUE(583)</f>
        <v>1379</v>
      </c>
      <c r="G56" s="130">
        <v>4017982</v>
      </c>
      <c r="H56" s="129">
        <f>_xlfn.COMPOUNDVALUE(584)</f>
        <v>63</v>
      </c>
      <c r="I56" s="131">
        <v>306140</v>
      </c>
      <c r="J56" s="129">
        <v>69</v>
      </c>
      <c r="K56" s="131">
        <v>7982</v>
      </c>
      <c r="L56" s="129">
        <v>1456</v>
      </c>
      <c r="M56" s="131">
        <v>3719824</v>
      </c>
      <c r="N56" s="126">
        <v>1419</v>
      </c>
      <c r="O56" s="144">
        <v>33</v>
      </c>
      <c r="P56" s="144">
        <v>3</v>
      </c>
      <c r="Q56" s="145">
        <v>1455</v>
      </c>
      <c r="R56" s="14" t="s">
        <v>139</v>
      </c>
    </row>
    <row r="57" spans="1:18" ht="15.75" customHeight="1">
      <c r="A57" s="95" t="s">
        <v>64</v>
      </c>
      <c r="B57" s="146">
        <v>13832</v>
      </c>
      <c r="C57" s="147">
        <v>71839634</v>
      </c>
      <c r="D57" s="146">
        <v>11986</v>
      </c>
      <c r="E57" s="147">
        <v>5183121</v>
      </c>
      <c r="F57" s="146">
        <v>25818</v>
      </c>
      <c r="G57" s="147">
        <v>77022755</v>
      </c>
      <c r="H57" s="146">
        <v>810</v>
      </c>
      <c r="I57" s="148">
        <v>4703815</v>
      </c>
      <c r="J57" s="146">
        <v>1538</v>
      </c>
      <c r="K57" s="148">
        <v>211128</v>
      </c>
      <c r="L57" s="146">
        <v>27030</v>
      </c>
      <c r="M57" s="148">
        <v>72530068</v>
      </c>
      <c r="N57" s="146">
        <v>26344</v>
      </c>
      <c r="O57" s="149">
        <v>520</v>
      </c>
      <c r="P57" s="149">
        <v>48</v>
      </c>
      <c r="Q57" s="150">
        <v>26912</v>
      </c>
      <c r="R57" s="94" t="s">
        <v>140</v>
      </c>
    </row>
    <row r="58" spans="1:18" ht="15.75" customHeight="1">
      <c r="A58" s="96"/>
      <c r="B58" s="151"/>
      <c r="C58" s="152"/>
      <c r="D58" s="151"/>
      <c r="E58" s="152"/>
      <c r="F58" s="153"/>
      <c r="G58" s="152"/>
      <c r="H58" s="153"/>
      <c r="I58" s="152"/>
      <c r="J58" s="153"/>
      <c r="K58" s="152"/>
      <c r="L58" s="153"/>
      <c r="M58" s="152"/>
      <c r="N58" s="154"/>
      <c r="O58" s="155"/>
      <c r="P58" s="155"/>
      <c r="Q58" s="156"/>
      <c r="R58" s="97" t="s">
        <v>141</v>
      </c>
    </row>
    <row r="59" spans="1:18" ht="15.75" customHeight="1">
      <c r="A59" s="98" t="s">
        <v>65</v>
      </c>
      <c r="B59" s="157">
        <f>_xlfn.COMPOUNDVALUE(585)</f>
        <v>4447</v>
      </c>
      <c r="C59" s="158">
        <v>27835703</v>
      </c>
      <c r="D59" s="157">
        <f>_xlfn.COMPOUNDVALUE(586)</f>
        <v>3261</v>
      </c>
      <c r="E59" s="158">
        <v>1525114</v>
      </c>
      <c r="F59" s="157">
        <f>_xlfn.COMPOUNDVALUE(587)</f>
        <v>7708</v>
      </c>
      <c r="G59" s="158">
        <v>29360817</v>
      </c>
      <c r="H59" s="157">
        <f>_xlfn.COMPOUNDVALUE(588)</f>
        <v>248</v>
      </c>
      <c r="I59" s="159">
        <v>1859344</v>
      </c>
      <c r="J59" s="157">
        <v>591</v>
      </c>
      <c r="K59" s="159">
        <v>249507</v>
      </c>
      <c r="L59" s="157">
        <v>8139</v>
      </c>
      <c r="M59" s="159">
        <v>27750980</v>
      </c>
      <c r="N59" s="157">
        <v>8006</v>
      </c>
      <c r="O59" s="160">
        <v>180</v>
      </c>
      <c r="P59" s="160">
        <v>27</v>
      </c>
      <c r="Q59" s="161">
        <v>8213</v>
      </c>
      <c r="R59" s="99" t="s">
        <v>142</v>
      </c>
    </row>
    <row r="60" spans="1:18" ht="15.75" customHeight="1">
      <c r="A60" s="11" t="s">
        <v>66</v>
      </c>
      <c r="B60" s="126">
        <f>_xlfn.COMPOUNDVALUE(589)</f>
        <v>2230</v>
      </c>
      <c r="C60" s="127">
        <v>10366260</v>
      </c>
      <c r="D60" s="126">
        <f>_xlfn.COMPOUNDVALUE(590)</f>
        <v>2057</v>
      </c>
      <c r="E60" s="127">
        <v>902821</v>
      </c>
      <c r="F60" s="126">
        <f>_xlfn.COMPOUNDVALUE(591)</f>
        <v>4287</v>
      </c>
      <c r="G60" s="127">
        <v>11269081</v>
      </c>
      <c r="H60" s="126">
        <f>_xlfn.COMPOUNDVALUE(592)</f>
        <v>113</v>
      </c>
      <c r="I60" s="128">
        <v>238729</v>
      </c>
      <c r="J60" s="126">
        <v>288</v>
      </c>
      <c r="K60" s="128">
        <v>25493</v>
      </c>
      <c r="L60" s="126">
        <v>4479</v>
      </c>
      <c r="M60" s="128">
        <v>11055844</v>
      </c>
      <c r="N60" s="126">
        <v>4405</v>
      </c>
      <c r="O60" s="144">
        <v>89</v>
      </c>
      <c r="P60" s="144">
        <v>12</v>
      </c>
      <c r="Q60" s="145">
        <v>4506</v>
      </c>
      <c r="R60" s="14" t="s">
        <v>143</v>
      </c>
    </row>
    <row r="61" spans="1:18" ht="15.75" customHeight="1">
      <c r="A61" s="11" t="s">
        <v>67</v>
      </c>
      <c r="B61" s="126">
        <f>_xlfn.COMPOUNDVALUE(593)</f>
        <v>5671</v>
      </c>
      <c r="C61" s="127">
        <v>38748525</v>
      </c>
      <c r="D61" s="126">
        <f>_xlfn.COMPOUNDVALUE(594)</f>
        <v>3711</v>
      </c>
      <c r="E61" s="127">
        <v>1889813</v>
      </c>
      <c r="F61" s="126">
        <f>_xlfn.COMPOUNDVALUE(595)</f>
        <v>9382</v>
      </c>
      <c r="G61" s="127">
        <v>40638338</v>
      </c>
      <c r="H61" s="126">
        <f>_xlfn.COMPOUNDVALUE(596)</f>
        <v>302</v>
      </c>
      <c r="I61" s="128">
        <v>722942</v>
      </c>
      <c r="J61" s="126">
        <v>693</v>
      </c>
      <c r="K61" s="128">
        <v>249158</v>
      </c>
      <c r="L61" s="126">
        <v>9874</v>
      </c>
      <c r="M61" s="128">
        <v>40164554</v>
      </c>
      <c r="N61" s="126">
        <v>9935</v>
      </c>
      <c r="O61" s="144">
        <v>242</v>
      </c>
      <c r="P61" s="144">
        <v>35</v>
      </c>
      <c r="Q61" s="145">
        <v>10212</v>
      </c>
      <c r="R61" s="14" t="s">
        <v>144</v>
      </c>
    </row>
    <row r="62" spans="1:18" ht="15.75" customHeight="1">
      <c r="A62" s="13" t="s">
        <v>68</v>
      </c>
      <c r="B62" s="129">
        <f>_xlfn.COMPOUNDVALUE(597)</f>
        <v>4656</v>
      </c>
      <c r="C62" s="130">
        <v>23336751</v>
      </c>
      <c r="D62" s="129">
        <f>_xlfn.COMPOUNDVALUE(598)</f>
        <v>2970</v>
      </c>
      <c r="E62" s="130">
        <v>1551942</v>
      </c>
      <c r="F62" s="129">
        <f>_xlfn.COMPOUNDVALUE(599)</f>
        <v>7626</v>
      </c>
      <c r="G62" s="130">
        <v>24888693</v>
      </c>
      <c r="H62" s="129">
        <f>_xlfn.COMPOUNDVALUE(600)</f>
        <v>289</v>
      </c>
      <c r="I62" s="131">
        <v>2698576</v>
      </c>
      <c r="J62" s="129">
        <v>650</v>
      </c>
      <c r="K62" s="131">
        <v>144725</v>
      </c>
      <c r="L62" s="129">
        <v>8032</v>
      </c>
      <c r="M62" s="131">
        <v>22334842</v>
      </c>
      <c r="N62" s="126">
        <v>7902</v>
      </c>
      <c r="O62" s="144">
        <v>212</v>
      </c>
      <c r="P62" s="144">
        <v>28</v>
      </c>
      <c r="Q62" s="145">
        <v>8142</v>
      </c>
      <c r="R62" s="14" t="s">
        <v>68</v>
      </c>
    </row>
    <row r="63" spans="1:18" ht="15.75" customHeight="1">
      <c r="A63" s="13" t="s">
        <v>69</v>
      </c>
      <c r="B63" s="129">
        <f>_xlfn.COMPOUNDVALUE(601)</f>
        <v>1807</v>
      </c>
      <c r="C63" s="130">
        <v>8128119</v>
      </c>
      <c r="D63" s="129">
        <f>_xlfn.COMPOUNDVALUE(602)</f>
        <v>1380</v>
      </c>
      <c r="E63" s="130">
        <v>612740</v>
      </c>
      <c r="F63" s="129">
        <f>_xlfn.COMPOUNDVALUE(603)</f>
        <v>3187</v>
      </c>
      <c r="G63" s="130">
        <v>8740859</v>
      </c>
      <c r="H63" s="129">
        <f>_xlfn.COMPOUNDVALUE(604)</f>
        <v>111</v>
      </c>
      <c r="I63" s="131">
        <v>240040</v>
      </c>
      <c r="J63" s="129">
        <v>205</v>
      </c>
      <c r="K63" s="131">
        <v>52465</v>
      </c>
      <c r="L63" s="129">
        <v>3380</v>
      </c>
      <c r="M63" s="131">
        <v>8553284</v>
      </c>
      <c r="N63" s="126">
        <v>3229</v>
      </c>
      <c r="O63" s="144">
        <v>91</v>
      </c>
      <c r="P63" s="144">
        <v>3</v>
      </c>
      <c r="Q63" s="145">
        <v>3323</v>
      </c>
      <c r="R63" s="14" t="s">
        <v>145</v>
      </c>
    </row>
    <row r="64" spans="1:18" ht="15.75" customHeight="1">
      <c r="A64" s="13" t="s">
        <v>70</v>
      </c>
      <c r="B64" s="129">
        <f>_xlfn.COMPOUNDVALUE(605)</f>
        <v>1664</v>
      </c>
      <c r="C64" s="130">
        <v>7257083</v>
      </c>
      <c r="D64" s="129">
        <f>_xlfn.COMPOUNDVALUE(606)</f>
        <v>1368</v>
      </c>
      <c r="E64" s="130">
        <v>592457</v>
      </c>
      <c r="F64" s="129">
        <f>_xlfn.COMPOUNDVALUE(607)</f>
        <v>3032</v>
      </c>
      <c r="G64" s="130">
        <v>7849540</v>
      </c>
      <c r="H64" s="129">
        <f>_xlfn.COMPOUNDVALUE(608)</f>
        <v>105</v>
      </c>
      <c r="I64" s="131">
        <v>450912</v>
      </c>
      <c r="J64" s="129">
        <v>200</v>
      </c>
      <c r="K64" s="131">
        <v>37898</v>
      </c>
      <c r="L64" s="129">
        <v>3207</v>
      </c>
      <c r="M64" s="131">
        <v>7436527</v>
      </c>
      <c r="N64" s="126">
        <v>3152</v>
      </c>
      <c r="O64" s="144">
        <v>72</v>
      </c>
      <c r="P64" s="144">
        <v>4</v>
      </c>
      <c r="Q64" s="145">
        <v>3228</v>
      </c>
      <c r="R64" s="14" t="s">
        <v>146</v>
      </c>
    </row>
    <row r="65" spans="1:18" ht="15.75" customHeight="1">
      <c r="A65" s="13" t="s">
        <v>71</v>
      </c>
      <c r="B65" s="129">
        <f>_xlfn.COMPOUNDVALUE(609)</f>
        <v>628</v>
      </c>
      <c r="C65" s="130">
        <v>2182144</v>
      </c>
      <c r="D65" s="129">
        <f>_xlfn.COMPOUNDVALUE(610)</f>
        <v>641</v>
      </c>
      <c r="E65" s="130">
        <v>281029</v>
      </c>
      <c r="F65" s="129">
        <f>_xlfn.COMPOUNDVALUE(611)</f>
        <v>1269</v>
      </c>
      <c r="G65" s="130">
        <v>2463174</v>
      </c>
      <c r="H65" s="129">
        <f>_xlfn.COMPOUNDVALUE(612)</f>
        <v>47</v>
      </c>
      <c r="I65" s="131">
        <v>68965</v>
      </c>
      <c r="J65" s="129">
        <v>84</v>
      </c>
      <c r="K65" s="131">
        <v>-9405</v>
      </c>
      <c r="L65" s="129">
        <v>1333</v>
      </c>
      <c r="M65" s="131">
        <v>2384804</v>
      </c>
      <c r="N65" s="126">
        <v>1287</v>
      </c>
      <c r="O65" s="144">
        <v>29</v>
      </c>
      <c r="P65" s="144">
        <v>4</v>
      </c>
      <c r="Q65" s="145">
        <v>1320</v>
      </c>
      <c r="R65" s="14" t="s">
        <v>147</v>
      </c>
    </row>
    <row r="66" spans="1:18" ht="15.75" customHeight="1">
      <c r="A66" s="13" t="s">
        <v>72</v>
      </c>
      <c r="B66" s="129">
        <f>_xlfn.COMPOUNDVALUE(613)</f>
        <v>2202</v>
      </c>
      <c r="C66" s="130">
        <v>14061980</v>
      </c>
      <c r="D66" s="129">
        <f>_xlfn.COMPOUNDVALUE(614)</f>
        <v>1257</v>
      </c>
      <c r="E66" s="130">
        <v>612386</v>
      </c>
      <c r="F66" s="129">
        <f>_xlfn.COMPOUNDVALUE(615)</f>
        <v>3459</v>
      </c>
      <c r="G66" s="130">
        <v>14674367</v>
      </c>
      <c r="H66" s="129">
        <f>_xlfn.COMPOUNDVALUE(616)</f>
        <v>279</v>
      </c>
      <c r="I66" s="131">
        <v>6199811</v>
      </c>
      <c r="J66" s="129">
        <v>375</v>
      </c>
      <c r="K66" s="131">
        <v>117093</v>
      </c>
      <c r="L66" s="129">
        <v>3868</v>
      </c>
      <c r="M66" s="131">
        <v>8591649</v>
      </c>
      <c r="N66" s="126">
        <v>3973</v>
      </c>
      <c r="O66" s="144">
        <v>209</v>
      </c>
      <c r="P66" s="144">
        <v>26</v>
      </c>
      <c r="Q66" s="145">
        <v>4208</v>
      </c>
      <c r="R66" s="14" t="s">
        <v>148</v>
      </c>
    </row>
    <row r="67" spans="1:18" ht="15.75" customHeight="1">
      <c r="A67" s="13" t="s">
        <v>73</v>
      </c>
      <c r="B67" s="129">
        <f>_xlfn.COMPOUNDVALUE(617)</f>
        <v>1216</v>
      </c>
      <c r="C67" s="130">
        <v>6000613</v>
      </c>
      <c r="D67" s="129">
        <f>_xlfn.COMPOUNDVALUE(618)</f>
        <v>815</v>
      </c>
      <c r="E67" s="130">
        <v>352416</v>
      </c>
      <c r="F67" s="129">
        <f>_xlfn.COMPOUNDVALUE(619)</f>
        <v>2031</v>
      </c>
      <c r="G67" s="130">
        <v>6353029</v>
      </c>
      <c r="H67" s="129">
        <f>_xlfn.COMPOUNDVALUE(620)</f>
        <v>77</v>
      </c>
      <c r="I67" s="131">
        <v>129203</v>
      </c>
      <c r="J67" s="129">
        <v>169</v>
      </c>
      <c r="K67" s="131">
        <v>32296</v>
      </c>
      <c r="L67" s="129">
        <v>2146</v>
      </c>
      <c r="M67" s="131">
        <v>6256121</v>
      </c>
      <c r="N67" s="126">
        <v>2054</v>
      </c>
      <c r="O67" s="144">
        <v>67</v>
      </c>
      <c r="P67" s="144">
        <v>8</v>
      </c>
      <c r="Q67" s="145">
        <v>2129</v>
      </c>
      <c r="R67" s="14" t="s">
        <v>149</v>
      </c>
    </row>
    <row r="68" spans="1:18" ht="15.75" customHeight="1">
      <c r="A68" s="13" t="s">
        <v>74</v>
      </c>
      <c r="B68" s="129">
        <f>_xlfn.COMPOUNDVALUE(621)</f>
        <v>405</v>
      </c>
      <c r="C68" s="130">
        <v>1287396</v>
      </c>
      <c r="D68" s="129">
        <f>_xlfn.COMPOUNDVALUE(622)</f>
        <v>343</v>
      </c>
      <c r="E68" s="130">
        <v>155442</v>
      </c>
      <c r="F68" s="129">
        <f>_xlfn.COMPOUNDVALUE(623)</f>
        <v>748</v>
      </c>
      <c r="G68" s="130">
        <v>1442838</v>
      </c>
      <c r="H68" s="129">
        <f>_xlfn.COMPOUNDVALUE(624)</f>
        <v>24</v>
      </c>
      <c r="I68" s="131">
        <v>25993</v>
      </c>
      <c r="J68" s="129">
        <v>27</v>
      </c>
      <c r="K68" s="131">
        <v>6911</v>
      </c>
      <c r="L68" s="129">
        <v>778</v>
      </c>
      <c r="M68" s="131">
        <v>1423756</v>
      </c>
      <c r="N68" s="126">
        <v>744</v>
      </c>
      <c r="O68" s="144">
        <v>16</v>
      </c>
      <c r="P68" s="144">
        <v>1</v>
      </c>
      <c r="Q68" s="145">
        <v>761</v>
      </c>
      <c r="R68" s="14" t="s">
        <v>150</v>
      </c>
    </row>
    <row r="69" spans="1:18" ht="15.75" customHeight="1">
      <c r="A69" s="95" t="s">
        <v>75</v>
      </c>
      <c r="B69" s="146">
        <v>24926</v>
      </c>
      <c r="C69" s="147">
        <v>139204574</v>
      </c>
      <c r="D69" s="146">
        <v>17803</v>
      </c>
      <c r="E69" s="147">
        <v>8476160</v>
      </c>
      <c r="F69" s="146">
        <v>42729</v>
      </c>
      <c r="G69" s="147">
        <v>147680734</v>
      </c>
      <c r="H69" s="146">
        <v>1595</v>
      </c>
      <c r="I69" s="148">
        <v>12634514</v>
      </c>
      <c r="J69" s="146">
        <v>3282</v>
      </c>
      <c r="K69" s="148">
        <v>906142</v>
      </c>
      <c r="L69" s="146">
        <v>45236</v>
      </c>
      <c r="M69" s="148">
        <v>135952362</v>
      </c>
      <c r="N69" s="146">
        <v>44687</v>
      </c>
      <c r="O69" s="149">
        <v>1207</v>
      </c>
      <c r="P69" s="149">
        <v>148</v>
      </c>
      <c r="Q69" s="150">
        <v>46042</v>
      </c>
      <c r="R69" s="94" t="s">
        <v>151</v>
      </c>
    </row>
    <row r="70" spans="1:18" ht="15.75" customHeight="1" thickBot="1">
      <c r="A70" s="18"/>
      <c r="B70" s="168"/>
      <c r="C70" s="169"/>
      <c r="D70" s="168"/>
      <c r="E70" s="169"/>
      <c r="F70" s="170"/>
      <c r="G70" s="169"/>
      <c r="H70" s="170"/>
      <c r="I70" s="169"/>
      <c r="J70" s="170"/>
      <c r="K70" s="169"/>
      <c r="L70" s="170"/>
      <c r="M70" s="169"/>
      <c r="N70" s="171"/>
      <c r="O70" s="172"/>
      <c r="P70" s="172"/>
      <c r="Q70" s="173"/>
      <c r="R70" s="93"/>
    </row>
    <row r="71" spans="1:18" ht="15.75" customHeight="1" thickBot="1" thickTop="1">
      <c r="A71" s="21" t="s">
        <v>94</v>
      </c>
      <c r="B71" s="141">
        <v>109195</v>
      </c>
      <c r="C71" s="142">
        <v>622821571</v>
      </c>
      <c r="D71" s="141">
        <v>81529</v>
      </c>
      <c r="E71" s="142">
        <v>38164959</v>
      </c>
      <c r="F71" s="141">
        <v>190724</v>
      </c>
      <c r="G71" s="142">
        <v>660986530</v>
      </c>
      <c r="H71" s="141">
        <v>7365</v>
      </c>
      <c r="I71" s="143">
        <v>46427819</v>
      </c>
      <c r="J71" s="141">
        <v>13848</v>
      </c>
      <c r="K71" s="143">
        <v>2637856</v>
      </c>
      <c r="L71" s="141">
        <v>201630</v>
      </c>
      <c r="M71" s="143">
        <v>617196567</v>
      </c>
      <c r="N71" s="174">
        <v>198559</v>
      </c>
      <c r="O71" s="175">
        <v>5264</v>
      </c>
      <c r="P71" s="175">
        <v>521</v>
      </c>
      <c r="Q71" s="176">
        <v>204344</v>
      </c>
      <c r="R71" s="32" t="s">
        <v>94</v>
      </c>
    </row>
    <row r="72" spans="1:10" ht="19.5" customHeight="1">
      <c r="A72" s="226" t="s">
        <v>243</v>
      </c>
      <c r="B72" s="226"/>
      <c r="C72" s="226"/>
      <c r="D72" s="226"/>
      <c r="E72" s="226"/>
      <c r="F72" s="226"/>
      <c r="G72" s="226"/>
      <c r="H72" s="226"/>
      <c r="I72" s="226"/>
      <c r="J72" s="226"/>
    </row>
  </sheetData>
  <sheetProtection/>
  <mergeCells count="16">
    <mergeCell ref="A2:I2"/>
    <mergeCell ref="A3:A5"/>
    <mergeCell ref="B3:G3"/>
    <mergeCell ref="H3:I4"/>
    <mergeCell ref="R3:R5"/>
    <mergeCell ref="B4:C4"/>
    <mergeCell ref="D4:E4"/>
    <mergeCell ref="F4:G4"/>
    <mergeCell ref="N4:N5"/>
    <mergeCell ref="A72:J72"/>
    <mergeCell ref="O4:O5"/>
    <mergeCell ref="P4:P5"/>
    <mergeCell ref="Q4:Q5"/>
    <mergeCell ref="J3:K4"/>
    <mergeCell ref="L3:M4"/>
    <mergeCell ref="N3:Q3"/>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(H29)</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2018-05-07T08:30:59Z</cp:lastPrinted>
  <dcterms:created xsi:type="dcterms:W3CDTF">2011-12-09T10:59:54Z</dcterms:created>
  <dcterms:modified xsi:type="dcterms:W3CDTF">2019-05-13T02:08:29Z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