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activeTab="0"/>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'(4)税務署別(個人事業者）'!$A$1:$N$72</definedName>
    <definedName name="_xlnm.Print_Titles" localSheetId="3">'(4)税務署別(個人事業者）'!$3:$6</definedName>
    <definedName name="_xlnm.Print_Titles" localSheetId="5">'(4)税務署別（合計）'!$3:$6</definedName>
    <definedName name="_xlnm.Print_Titles" localSheetId="4">'(4)税務署別（法人）'!$3:$6</definedName>
  </definedNames>
  <calcPr fullCalcOnLoad="1"/>
</workbook>
</file>

<file path=xl/sharedStrings.xml><?xml version="1.0" encoding="utf-8"?>
<sst xmlns="http://schemas.openxmlformats.org/spreadsheetml/2006/main" count="552" uniqueCount="252">
  <si>
    <t>(4)　税務署別課税状況</t>
  </si>
  <si>
    <t>　イ　個人事業者</t>
  </si>
  <si>
    <t>税務署名</t>
  </si>
  <si>
    <t>納　　　税　　　申　　　告　　　及　　　び　　　処　　　理</t>
  </si>
  <si>
    <t>還付申告及び処理</t>
  </si>
  <si>
    <t>既往年分の
申告及び処理</t>
  </si>
  <si>
    <t>合　　　　　　計</t>
  </si>
  <si>
    <t>税務署名</t>
  </si>
  <si>
    <t>一般申告及び処理</t>
  </si>
  <si>
    <t>簡易申告及び処理</t>
  </si>
  <si>
    <t>小　　　　　　計</t>
  </si>
  <si>
    <t>件数</t>
  </si>
  <si>
    <t>税額</t>
  </si>
  <si>
    <t>税　額　①</t>
  </si>
  <si>
    <t>税　額　②</t>
  </si>
  <si>
    <t>税　額　③</t>
  </si>
  <si>
    <t>件</t>
  </si>
  <si>
    <t>千円</t>
  </si>
  <si>
    <t>総　計</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</si>
  <si>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</si>
  <si>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</si>
  <si>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</si>
  <si>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</si>
  <si>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</si>
  <si>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</si>
  <si>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</si>
  <si>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</si>
  <si>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</si>
  <si>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</si>
  <si>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</si>
  <si>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</si>
  <si>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</si>
  <si>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</si>
  <si>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</si>
  <si>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</si>
  <si>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</si>
  <si>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</si>
  <si>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</si>
  <si>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</si>
  <si>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</si>
  <si>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</si>
  <si>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</si>
  <si>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</si>
  <si>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</si>
  <si>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</si>
  <si>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</si>
  <si>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</si>
  <si>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</si>
  <si>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</si>
  <si>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</si>
  <si>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</si>
  <si>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</si>
  <si>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</si>
  <si>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</si>
  <si>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</si>
  <si>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</si>
  <si>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</si>
  <si>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</si>
  <si>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</si>
  <si>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</si>
  <si>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</si>
  <si>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</si>
  <si>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</si>
  <si>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</si>
  <si>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</si>
  <si>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</si>
  <si>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</si>
  <si>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</si>
  <si>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</si>
  <si>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</si>
  <si>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</si>
  <si>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</si>
  <si>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</si>
  <si>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</si>
  <si>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</si>
  <si>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</si>
  <si>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</si>
  <si>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(4)　税務署別課税状況（続）</t>
  </si>
  <si>
    <t>　ロ　法　　　人</t>
  </si>
  <si>
    <t>税務署名</t>
  </si>
  <si>
    <t>青森</t>
  </si>
  <si>
    <t>弘前</t>
  </si>
  <si>
    <t>八戸</t>
  </si>
  <si>
    <t>黒石</t>
  </si>
  <si>
    <t>五所川原</t>
  </si>
  <si>
    <t>十和田</t>
  </si>
  <si>
    <t>　ハ　個人事業者と法人の合計</t>
  </si>
  <si>
    <t>課　税　事　業　者　等　届　出　件　数</t>
  </si>
  <si>
    <t>課税事業者
届出</t>
  </si>
  <si>
    <t>課税事業者
選択届出</t>
  </si>
  <si>
    <t>新設法人に
該当する旨
の届出</t>
  </si>
  <si>
    <t>合　　　計</t>
  </si>
  <si>
    <t>岩手県計</t>
  </si>
  <si>
    <t>件数</t>
  </si>
  <si>
    <t>税　　　額
(①－②＋③)</t>
  </si>
  <si>
    <t>税　　額
(①－②＋③)</t>
  </si>
  <si>
    <t>総　計</t>
  </si>
  <si>
    <t>青森県計</t>
  </si>
  <si>
    <t>青森</t>
  </si>
  <si>
    <t>弘前</t>
  </si>
  <si>
    <t>八戸</t>
  </si>
  <si>
    <t>黒石</t>
  </si>
  <si>
    <t>五所川原</t>
  </si>
  <si>
    <t>十和田</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</si>
  <si>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</si>
  <si>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</si>
  <si>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</si>
  <si>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</si>
  <si>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</si>
  <si>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</si>
  <si>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</si>
  <si>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</si>
  <si>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</si>
  <si>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</si>
  <si>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</si>
  <si>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</si>
  <si>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</si>
  <si>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</si>
  <si>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</si>
  <si>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</si>
  <si>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</si>
  <si>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</si>
  <si>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</si>
  <si>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</si>
  <si>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</si>
  <si>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</si>
  <si>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</si>
  <si>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</si>
  <si>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</si>
  <si>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</si>
  <si>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</si>
  <si>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</si>
  <si>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</si>
  <si>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</si>
  <si>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</si>
  <si>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</si>
  <si>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</si>
  <si>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</si>
  <si>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</si>
  <si>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</si>
  <si>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</si>
  <si>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</si>
  <si>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</si>
  <si>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
  </si>
  <si>
    <t>福島</t>
  </si>
  <si>
    <t>会津若松</t>
  </si>
  <si>
    <t>郡山</t>
  </si>
  <si>
    <t>白河</t>
  </si>
  <si>
    <t>須賀川</t>
  </si>
  <si>
    <t>喜多方</t>
  </si>
  <si>
    <t>相馬</t>
  </si>
  <si>
    <t>二本松</t>
  </si>
  <si>
    <t>田島</t>
  </si>
  <si>
    <t>福島県計</t>
  </si>
  <si>
    <t>区　　　分</t>
  </si>
  <si>
    <t>件　　　数</t>
  </si>
  <si>
    <t>税　　　額</t>
  </si>
  <si>
    <t>件</t>
  </si>
  <si>
    <t>千円</t>
  </si>
  <si>
    <t>差引計</t>
  </si>
  <si>
    <t>実</t>
  </si>
  <si>
    <t>加算税</t>
  </si>
  <si>
    <t>(2)　課税状況の累年比較</t>
  </si>
  <si>
    <t>納税申告計</t>
  </si>
  <si>
    <t>平成23年度</t>
  </si>
  <si>
    <t>(3)　課税事業者等届出件数</t>
  </si>
  <si>
    <t>課税事業者届出書</t>
  </si>
  <si>
    <t>課税事業者選択届出書</t>
  </si>
  <si>
    <t>新設法人に該当する旨の届出書</t>
  </si>
  <si>
    <t>合計</t>
  </si>
  <si>
    <t>（注）　納税義務者でなくなった旨の届出書又は課税事業者選択不適用届出書を提出した者は含まない。</t>
  </si>
  <si>
    <t>平成25年度</t>
  </si>
  <si>
    <t>調査対象等：</t>
  </si>
  <si>
    <t>（注）１　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</si>
  <si>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</si>
  <si>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</si>
  <si>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</si>
  <si>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</si>
  <si>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</si>
  <si>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</si>
  <si>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</si>
  <si>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</si>
  <si>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</si>
  <si>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</si>
  <si>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</si>
  <si>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</si>
  <si>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法　　　　　　　人</t>
  </si>
  <si>
    <t>合　　　　　　　計</t>
  </si>
  <si>
    <t>件　　数</t>
  </si>
  <si>
    <t>税　　額</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</si>
  <si>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</si>
  <si>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</si>
  <si>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</si>
  <si>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</si>
  <si>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</si>
  <si>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</si>
  <si>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</si>
  <si>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</si>
  <si>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</si>
  <si>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</si>
  <si>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</si>
  <si>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</si>
  <si>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</si>
  <si>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</si>
  <si>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</si>
  <si>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</si>
  <si>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</si>
  <si>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</si>
  <si>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</si>
  <si>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</si>
  <si>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</si>
  <si>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</si>
  <si>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</si>
  <si>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</si>
  <si>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</si>
  <si>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</si>
  <si>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</si>
  <si>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</si>
  <si>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</si>
  <si>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</si>
  <si>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</si>
  <si>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</si>
  <si>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</si>
  <si>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</si>
  <si>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</si>
  <si>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</si>
  <si>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</si>
  <si>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</si>
  <si>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</si>
  <si>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</si>
  <si>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</si>
  <si>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</si>
  <si>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</si>
  <si>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白河</t>
  </si>
  <si>
    <t>須賀川</t>
  </si>
  <si>
    <t>喜多方</t>
  </si>
  <si>
    <t>相馬</t>
  </si>
  <si>
    <t>二本松</t>
  </si>
  <si>
    <t>田島</t>
  </si>
  <si>
    <t>福島県計</t>
  </si>
  <si>
    <t>総　計</t>
  </si>
  <si>
    <t>平成24年度</t>
  </si>
  <si>
    <t>平成26年度</t>
  </si>
  <si>
    <t>　　　２　「件数」欄の「実」は、実件数を示す。</t>
  </si>
  <si>
    <t>　「現年分」は、平成27年４月１日から平成28年３月31日までに終了した課税期間について、平成28年６月30日現在の申告（国・地方公共団体等については平成28年９月30日までの申告を含む。）及び処理（更正、決定等）による課税事績を「申告書及び決議書」に基づいて作成した。</t>
  </si>
  <si>
    <t>　「既往年分」は、平成27年３月31日以前に終了した課税期間について、平成27年７月１日から平成28年６月30日までの間の申告（平成27年７月１日から同年９月30日までの間の国・地方公共団体等に係る申告を除く。）及び処理（更正、決定等）による課税事績を「申告書及び決議書」に基づいて作成した。</t>
  </si>
  <si>
    <t>平成27年度</t>
  </si>
  <si>
    <t>調査対象等：　平成27年度末（平成28年３月31日現在）の届出件数を示している。</t>
  </si>
  <si>
    <t>－</t>
  </si>
  <si>
    <t>７　消　費　税</t>
  </si>
  <si>
    <t>（注）　この表は、「(1)　課税状況」の現年分及び既往年分を税務署別に示したものである（加算税を除く。）。</t>
  </si>
  <si>
    <t>（注）　この表は、「(1)　課税状況」の現年分及び既往年分並びに「(3)　課税事業者等届出件数」を税務署別に示したものである（加算税を除く。）。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</si>
</sst>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6">
    <font>
      <sz val="11"/>
      <color theme="1"/>
      <name val="Calibri"/>
      <family val="3"/>
    </font>
    <font>
      <sz val="11"/>
      <color indexed="8"/>
      <name val="ＭＳ Ｐゴシック"/>
      <family val="3"/>
    </font>
    <font>
      <sz val="11"/>
      <name val="ＭＳ Ｐゴシック"/>
      <family val="3"/>
    </font>
    <font>
      <sz val="9"/>
      <name val="ＭＳ 明朝"/>
      <family val="1"/>
    </font>
    <font>
      <sz val="6"/>
      <name val="ＭＳ Ｐゴシック"/>
      <family val="3"/>
    </font>
    <font>
      <sz val="8"/>
      <name val="ＭＳ 明朝"/>
      <family val="1"/>
    </font>
    <font>
      <sz val="8"/>
      <name val="ＭＳ Ｐゴシック"/>
      <family val="3"/>
    </font>
    <font>
      <u val="single"/>
      <sz val="16.5"/>
      <color indexed="12"/>
      <name val="ＭＳ Ｐゴシック"/>
      <family val="3"/>
    </font>
    <font>
      <sz val="9"/>
      <name val="ＭＳ ゴシック"/>
      <family val="3"/>
    </font>
    <font>
      <sz val="11"/>
      <name val="ＭＳ ゴシック"/>
      <family val="3"/>
    </font>
    <font>
      <b/>
      <sz val="9"/>
      <name val="ＭＳ 明朝"/>
      <family val="1"/>
    </font>
    <font>
      <b/>
      <sz val="11"/>
      <name val="ＭＳ Ｐゴシック"/>
      <family val="3"/>
    </font>
    <font>
      <b/>
      <sz val="11"/>
      <name val="ＭＳ ゴシック"/>
      <family val="3"/>
    </font>
    <font>
      <sz val="13"/>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s>
  <borders count="1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thin"/>
      <right style="hair"/>
      <top style="thin"/>
      <bottom/>
    </border>
    <border>
      <left style="hair"/>
      <right style="thin"/>
      <top style="thin"/>
      <bottom/>
    </border>
    <border>
      <left style="hair"/>
      <right/>
      <top style="thin"/>
      <bottom/>
    </border>
    <border>
      <left style="thin"/>
      <right style="medium"/>
      <top style="thin"/>
      <bottom/>
    </border>
    <border>
      <left style="medium"/>
      <right/>
      <top/>
      <bottom style="hair">
        <color indexed="55"/>
      </bottom>
    </border>
    <border>
      <left style="thin"/>
      <right style="medium"/>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style="medium"/>
      <top/>
      <bottom style="double"/>
    </border>
    <border>
      <left style="medium"/>
      <right/>
      <top/>
      <bottom style="medium"/>
    </border>
    <border>
      <left style="thin"/>
      <right style="medium"/>
      <top/>
      <bottom style="medium"/>
    </border>
    <border>
      <left style="medium"/>
      <right/>
      <top style="thin">
        <color indexed="55"/>
      </top>
      <bottom style="thin">
        <color indexed="55"/>
      </bottom>
    </border>
    <border>
      <left style="thin"/>
      <right style="medium"/>
      <top style="thin">
        <color indexed="55"/>
      </top>
      <bottom style="hair">
        <color indexed="55"/>
      </bottom>
    </border>
    <border>
      <left style="hair"/>
      <right style="thin"/>
      <top style="hair"/>
      <bottom style="thin"/>
    </border>
    <border>
      <left style="hair"/>
      <right style="hair"/>
      <top style="thin"/>
      <bottom/>
    </border>
    <border>
      <left style="thin"/>
      <right style="medium"/>
      <top style="double"/>
      <bottom style="medium"/>
    </border>
    <border>
      <left style="thin"/>
      <right style="hair"/>
      <top style="hair"/>
      <bottom style="thin"/>
    </border>
    <border>
      <left style="hair"/>
      <right/>
      <top style="hair"/>
      <bottom style="thin"/>
    </border>
    <border>
      <left style="hair"/>
      <right style="medium"/>
      <top style="thin"/>
      <bottom/>
    </border>
    <border>
      <left style="hair"/>
      <right style="thin"/>
      <top/>
      <bottom style="hair">
        <color indexed="55"/>
      </bottom>
    </border>
    <border>
      <left style="thin"/>
      <right style="hair"/>
      <top/>
      <bottom/>
    </border>
    <border>
      <left style="hair"/>
      <right style="medium"/>
      <top/>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hair"/>
      <right style="thin"/>
      <top style="thin"/>
      <bottom style="hair">
        <color indexed="55"/>
      </bottom>
    </border>
    <border>
      <left style="hair"/>
      <right style="medium"/>
      <top style="thin"/>
      <bottom style="hair">
        <color indexed="55"/>
      </bottom>
    </border>
    <border>
      <left style="thin"/>
      <right style="hair"/>
      <top style="thin"/>
      <bottom style="thin"/>
    </border>
    <border>
      <left style="thin"/>
      <right style="hair"/>
      <top/>
      <bottom style="medium"/>
    </border>
    <border>
      <left/>
      <right style="thin"/>
      <top style="thin"/>
      <bottom/>
    </border>
    <border>
      <left/>
      <right style="medium"/>
      <top style="thin"/>
      <bottom/>
    </border>
    <border>
      <left style="thin"/>
      <right style="hair"/>
      <top/>
      <bottom style="hair">
        <color indexed="55"/>
      </bottom>
    </border>
    <border>
      <left style="thin"/>
      <right style="hair"/>
      <top style="hair">
        <color indexed="55"/>
      </top>
      <bottom style="thin"/>
    </border>
    <border>
      <left style="hair"/>
      <right style="medium"/>
      <top style="hair">
        <color indexed="55"/>
      </top>
      <bottom style="thin"/>
    </border>
    <border>
      <left style="thin"/>
      <right style="hair"/>
      <top style="thin"/>
      <bottom style="hair">
        <color indexed="55"/>
      </bottom>
    </border>
    <border>
      <left style="hair"/>
      <right style="thin"/>
      <top style="hair">
        <color indexed="55"/>
      </top>
      <bottom style="medium"/>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medium"/>
      <right style="thin"/>
      <top style="thin"/>
      <bottom/>
    </border>
    <border>
      <left style="thin"/>
      <right style="thin"/>
      <top style="thin"/>
      <bottom/>
    </border>
    <border>
      <left style="thin"/>
      <right/>
      <top style="thin"/>
      <bottom/>
    </border>
    <border>
      <left style="medium"/>
      <right style="thin"/>
      <top style="hair">
        <color indexed="55"/>
      </top>
      <bottom style="thin">
        <color theme="0" tint="-0.3499799966812134"/>
      </bottom>
    </border>
    <border>
      <left style="thin"/>
      <right style="medium"/>
      <top/>
      <bottom style="thin">
        <color indexed="23"/>
      </bottom>
    </border>
    <border>
      <left style="thin"/>
      <right style="medium"/>
      <top style="hair">
        <color indexed="55"/>
      </top>
      <bottom style="thin">
        <color theme="0" tint="-0.3499799966812134"/>
      </bottom>
    </border>
    <border>
      <left style="medium"/>
      <right/>
      <top style="hair">
        <color indexed="55"/>
      </top>
      <bottom style="thin">
        <color theme="0" tint="-0.3499799966812134"/>
      </bottom>
    </border>
    <border>
      <left style="medium"/>
      <right/>
      <top/>
      <bottom/>
    </border>
    <border>
      <left style="thin"/>
      <right style="medium"/>
      <top/>
      <bottom/>
    </border>
    <border>
      <left style="medium"/>
      <right/>
      <top style="thin">
        <color theme="0" tint="-0.3499799966812134"/>
      </top>
      <bottom style="hair">
        <color indexed="55"/>
      </bottom>
    </border>
    <border>
      <left style="thin"/>
      <right style="medium"/>
      <top style="thin">
        <color theme="0" tint="-0.3499799966812134"/>
      </top>
      <bottom style="hair">
        <color indexed="55"/>
      </bottom>
    </border>
    <border>
      <left style="medium"/>
      <right/>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top style="thin">
        <color indexed="55"/>
      </top>
      <bottom style="thin">
        <color theme="0" tint="-0.3499799966812134"/>
      </bottom>
    </border>
    <border>
      <left style="thin"/>
      <right style="medium"/>
      <top style="thin">
        <color indexed="55"/>
      </top>
      <bottom style="thin">
        <color theme="0" tint="-0.3499799966812134"/>
      </bottom>
    </border>
    <border>
      <left style="hair"/>
      <right style="hair"/>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border>
    <border>
      <left style="hair"/>
      <right style="thin"/>
      <top style="hair">
        <color indexed="55"/>
      </top>
      <bottom/>
    </border>
    <border>
      <left style="hair"/>
      <right style="medium"/>
      <top style="hair">
        <color indexed="55"/>
      </top>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bottom style="medium"/>
    </border>
    <border>
      <left style="hair"/>
      <right style="thin"/>
      <top/>
      <bottom style="medium"/>
    </border>
    <border>
      <left style="hair"/>
      <right style="medium"/>
      <top/>
      <bottom style="medium"/>
    </border>
    <border>
      <left style="thin"/>
      <right style="hair"/>
      <top style="hair">
        <color indexed="55"/>
      </top>
      <bottom style="medium"/>
    </border>
    <border>
      <left style="hair"/>
      <right style="medium"/>
      <top style="hair">
        <color indexed="55"/>
      </top>
      <bottom style="medium"/>
    </border>
    <border>
      <left style="medium"/>
      <right style="thin"/>
      <top/>
      <bottom style="medium"/>
    </border>
    <border>
      <left style="thin"/>
      <right style="thin"/>
      <top/>
      <bottom style="medium"/>
    </border>
    <border>
      <left style="thin"/>
      <right/>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thin">
        <color theme="0" tint="-0.3499799966812134"/>
      </bottom>
    </border>
    <border>
      <left style="hair"/>
      <right style="thin"/>
      <top style="thin">
        <color indexed="55"/>
      </top>
      <bottom style="thin">
        <color theme="0" tint="-0.3499799966812134"/>
      </bottom>
    </border>
    <border>
      <left style="thin"/>
      <right style="hair"/>
      <top style="thin">
        <color indexed="55"/>
      </top>
      <bottom style="thin">
        <color theme="0" tint="-0.3499799966812134"/>
      </bottom>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hair"/>
      <right/>
      <top/>
      <bottom style="medium"/>
    </border>
    <border>
      <left style="thin"/>
      <right style="hair"/>
      <top style="hair">
        <color indexed="55"/>
      </top>
      <bottom style="thin">
        <color theme="0" tint="-0.3499799966812134"/>
      </bottom>
    </border>
    <border>
      <left style="hair"/>
      <right style="thin"/>
      <top style="hair">
        <color indexed="55"/>
      </top>
      <bottom style="thin">
        <color theme="0" tint="-0.3499799966812134"/>
      </bottom>
    </border>
    <border>
      <left style="hair"/>
      <right/>
      <top style="hair">
        <color indexed="55"/>
      </top>
      <bottom style="thin">
        <color theme="0" tint="-0.3499799966812134"/>
      </bottom>
    </border>
    <border>
      <left style="hair"/>
      <right style="hair"/>
      <top style="hair">
        <color indexed="55"/>
      </top>
      <bottom style="thin">
        <color theme="0" tint="-0.3499799966812134"/>
      </bottom>
    </border>
    <border>
      <left style="thin"/>
      <right/>
      <top/>
      <bottom/>
    </border>
    <border>
      <left style="hair"/>
      <right style="thin"/>
      <top/>
      <bottom/>
    </border>
    <border>
      <left style="hair"/>
      <right style="hair"/>
      <top/>
      <bottom/>
    </border>
    <border>
      <left style="hair"/>
      <right/>
      <top/>
      <bottom/>
    </border>
    <border>
      <left style="thin"/>
      <right style="hair"/>
      <top style="thin">
        <color theme="0" tint="-0.3499799966812134"/>
      </top>
      <bottom style="hair">
        <color indexed="55"/>
      </bottom>
    </border>
    <border>
      <left style="hair"/>
      <right style="thin"/>
      <top style="thin">
        <color theme="0" tint="-0.3499799966812134"/>
      </top>
      <bottom style="hair">
        <color indexed="55"/>
      </bottom>
    </border>
    <border>
      <left style="hair"/>
      <right/>
      <top style="thin">
        <color theme="0" tint="-0.3499799966812134"/>
      </top>
      <bottom style="hair">
        <color indexed="55"/>
      </bottom>
    </border>
    <border>
      <left style="hair"/>
      <right style="hair"/>
      <top style="thin">
        <color theme="0" tint="-0.3499799966812134"/>
      </top>
      <bottom style="hair">
        <color indexed="55"/>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top style="thin">
        <color theme="0" tint="-0.3499799966812134"/>
      </top>
      <bottom style="thin">
        <color theme="0" tint="-0.3499799966812134"/>
      </bottom>
    </border>
    <border>
      <left style="thin"/>
      <right/>
      <top/>
      <bottom style="double"/>
    </border>
    <border>
      <left style="hair"/>
      <right style="thin"/>
      <top/>
      <bottom style="double"/>
    </border>
    <border>
      <left style="thin"/>
      <right style="hair"/>
      <top/>
      <bottom style="double"/>
    </border>
    <border>
      <left style="thin"/>
      <right style="hair"/>
      <top/>
      <bottom style="thin">
        <color indexed="55"/>
      </bottom>
    </border>
    <border>
      <left style="hair"/>
      <right style="hair"/>
      <top/>
      <bottom style="thin">
        <color indexed="55"/>
      </bottom>
    </border>
    <border>
      <left style="hair"/>
      <right/>
      <top/>
      <bottom style="thin">
        <color indexed="55"/>
      </bottom>
    </border>
    <border>
      <left style="thin"/>
      <right style="hair"/>
      <top style="double"/>
      <bottom style="medium"/>
    </border>
    <border>
      <left style="hair"/>
      <right style="hair"/>
      <top style="double"/>
      <bottom style="medium"/>
    </border>
    <border>
      <left style="hair"/>
      <right/>
      <top style="double"/>
      <bottom style="medium"/>
    </border>
    <border>
      <left/>
      <right/>
      <top style="medium"/>
      <bottom/>
    </border>
    <border>
      <left>
        <color indexed="63"/>
      </left>
      <right/>
      <top style="thin">
        <color indexed="55"/>
      </top>
      <bottom style="thin">
        <color indexed="55"/>
      </bottom>
    </border>
    <border>
      <left style="medium"/>
      <right style="thin"/>
      <top style="thin">
        <color indexed="55"/>
      </top>
      <bottom style="thin">
        <color indexed="55"/>
      </bottom>
    </border>
    <border>
      <left style="thin"/>
      <right style="medium"/>
      <top style="thin">
        <color indexed="55"/>
      </top>
      <bottom style="thin">
        <color indexed="55"/>
      </bottom>
    </border>
    <border>
      <left style="hair"/>
      <right style="thin"/>
      <top style="thin">
        <color indexed="55"/>
      </top>
      <bottom style="thin">
        <color indexed="55"/>
      </bottom>
    </border>
    <border>
      <left>
        <color indexed="63"/>
      </left>
      <right style="thin"/>
      <top style="thin">
        <color indexed="55"/>
      </top>
      <bottom style="thin">
        <color indexed="55"/>
      </bottom>
    </border>
    <border>
      <left style="thin"/>
      <right style="hair"/>
      <top style="thin">
        <color indexed="55"/>
      </top>
      <bottom style="thin">
        <color indexed="55"/>
      </bottom>
    </border>
    <border>
      <left style="hair"/>
      <right/>
      <top style="thin">
        <color indexed="55"/>
      </top>
      <bottom style="thin">
        <color indexed="55"/>
      </bottom>
    </border>
    <border>
      <left>
        <color indexed="63"/>
      </left>
      <right style="hair"/>
      <top style="thin">
        <color indexed="55"/>
      </top>
      <bottom style="thin">
        <color indexed="55"/>
      </bottom>
    </border>
    <border>
      <left style="medium"/>
      <right style="hair"/>
      <top/>
      <bottom/>
    </border>
    <border>
      <left style="medium"/>
      <right style="hair"/>
      <top/>
      <bottom style="thin"/>
    </border>
    <border>
      <left style="medium"/>
      <right style="hair"/>
      <top style="thin"/>
      <bottom style="hair"/>
    </border>
    <border>
      <left style="medium"/>
      <right style="hair"/>
      <top style="hair"/>
      <bottom style="hair"/>
    </border>
    <border>
      <left style="medium"/>
      <right/>
      <top style="thin"/>
      <bottom style="thin"/>
    </border>
    <border>
      <left/>
      <right style="thin"/>
      <top style="thin"/>
      <bottom style="thin"/>
    </border>
    <border>
      <left/>
      <right style="thin"/>
      <top/>
      <bottom style="medium"/>
    </border>
    <border>
      <left style="medium"/>
      <right/>
      <top style="medium"/>
      <bottom/>
    </border>
    <border>
      <left/>
      <right style="thin"/>
      <top style="medium"/>
      <bottom/>
    </border>
    <border>
      <left/>
      <right style="thin"/>
      <top/>
      <botto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style="medium"/>
      <right style="hair"/>
      <top style="thin"/>
      <bottom/>
    </border>
    <border>
      <left style="medium"/>
      <right style="hair"/>
      <top style="hair"/>
      <bottom style="medium"/>
    </border>
    <border>
      <left style="thin"/>
      <right style="thin"/>
      <top style="medium"/>
      <bottom style="thin"/>
    </border>
    <border>
      <left/>
      <right style="medium"/>
      <top style="medium"/>
      <bottom/>
    </border>
    <border>
      <left style="medium"/>
      <right style="hair"/>
      <top/>
      <bottom style="hair"/>
    </border>
    <border>
      <left style="medium"/>
      <right style="hair"/>
      <top style="hair"/>
      <bottom style="thin"/>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medium"/>
      <right/>
      <top/>
      <bottom style="thin"/>
    </border>
    <border>
      <left style="thin"/>
      <right style="thin"/>
      <top style="medium"/>
      <bottom style="hair"/>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
      <left style="thin"/>
      <right/>
      <top style="medium"/>
      <bottom style="hair"/>
    </border>
    <border>
      <left/>
      <right/>
      <top style="medium"/>
      <bottom style="hair"/>
    </border>
    <border>
      <left style="thin"/>
      <right style="hair"/>
      <top style="hair"/>
      <bottom/>
    </border>
    <border>
      <left style="thin"/>
      <right style="hair"/>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lignment/>
      <protection/>
    </xf>
    <xf numFmtId="0" fontId="45" fillId="32" borderId="0" applyNumberFormat="0" applyBorder="0" applyAlignment="0" applyProtection="0"/>
  </cellStyleXfs>
  <cellXfs count="255">
    <xf numFmtId="0" fontId="0" fillId="0" borderId="0" xfId="0" applyFont="1" applyAlignment="1">
      <alignment vertical="center"/>
    </xf>
    <xf numFmtId="0" fontId="3" fillId="0" borderId="0" xfId="60" applyFont="1" applyAlignment="1">
      <alignment horizontal="left" vertical="center"/>
      <protection/>
    </xf>
    <xf numFmtId="0" fontId="3" fillId="0" borderId="0" xfId="60" applyFont="1" applyAlignment="1">
      <alignment horizontal="left" vertical="top"/>
      <protection/>
    </xf>
    <xf numFmtId="0" fontId="2" fillId="0" borderId="0" xfId="60" applyFont="1">
      <alignment/>
      <protection/>
    </xf>
    <xf numFmtId="0" fontId="2" fillId="0" borderId="0" xfId="60" applyFont="1" applyAlignment="1">
      <alignment horizontal="center"/>
      <protection/>
    </xf>
    <xf numFmtId="0" fontId="5" fillId="33" borderId="10" xfId="60" applyFont="1" applyFill="1" applyBorder="1" applyAlignment="1">
      <alignment horizontal="distributed" vertical="top"/>
      <protection/>
    </xf>
    <xf numFmtId="0" fontId="5" fillId="34" borderId="11" xfId="60" applyFont="1" applyFill="1" applyBorder="1" applyAlignment="1">
      <alignment horizontal="right" vertical="top"/>
      <protection/>
    </xf>
    <xf numFmtId="0" fontId="5" fillId="35" borderId="12" xfId="60" applyFont="1" applyFill="1" applyBorder="1" applyAlignment="1">
      <alignment horizontal="right" vertical="top"/>
      <protection/>
    </xf>
    <xf numFmtId="0" fontId="5" fillId="35" borderId="13" xfId="60" applyFont="1" applyFill="1" applyBorder="1" applyAlignment="1">
      <alignment horizontal="right" vertical="top"/>
      <protection/>
    </xf>
    <xf numFmtId="0" fontId="5" fillId="33" borderId="14" xfId="60" applyFont="1" applyFill="1" applyBorder="1" applyAlignment="1">
      <alignment horizontal="distributed" vertical="top"/>
      <protection/>
    </xf>
    <xf numFmtId="0" fontId="6" fillId="0" borderId="0" xfId="60" applyFont="1" applyAlignment="1">
      <alignment horizontal="right" vertical="top"/>
      <protection/>
    </xf>
    <xf numFmtId="0" fontId="3" fillId="36" borderId="15" xfId="60" applyFont="1" applyFill="1" applyBorder="1" applyAlignment="1">
      <alignment horizontal="distributed" vertical="center"/>
      <protection/>
    </xf>
    <xf numFmtId="0" fontId="3" fillId="36" borderId="16" xfId="60" applyFont="1" applyFill="1" applyBorder="1" applyAlignment="1">
      <alignment horizontal="distributed" vertical="center"/>
      <protection/>
    </xf>
    <xf numFmtId="0" fontId="3" fillId="36" borderId="17" xfId="60" applyFont="1" applyFill="1" applyBorder="1" applyAlignment="1">
      <alignment horizontal="distributed" vertical="center"/>
      <protection/>
    </xf>
    <xf numFmtId="0" fontId="3" fillId="36" borderId="18" xfId="60" applyFont="1" applyFill="1" applyBorder="1" applyAlignment="1">
      <alignment horizontal="distributed" vertical="center"/>
      <protection/>
    </xf>
    <xf numFmtId="0" fontId="8" fillId="36" borderId="19" xfId="60" applyFont="1" applyFill="1" applyBorder="1" applyAlignment="1">
      <alignment horizontal="distributed" vertical="center"/>
      <protection/>
    </xf>
    <xf numFmtId="0" fontId="8" fillId="36" borderId="20" xfId="60" applyFont="1" applyFill="1" applyBorder="1" applyAlignment="1">
      <alignment horizontal="distributed" vertical="center"/>
      <protection/>
    </xf>
    <xf numFmtId="0" fontId="9" fillId="0" borderId="0" xfId="60" applyFont="1">
      <alignment/>
      <protection/>
    </xf>
    <xf numFmtId="0" fontId="10" fillId="0" borderId="21" xfId="60" applyFont="1" applyFill="1" applyBorder="1" applyAlignment="1">
      <alignment horizontal="distributed" vertical="center"/>
      <protection/>
    </xf>
    <xf numFmtId="0" fontId="10" fillId="0" borderId="22" xfId="60" applyFont="1" applyFill="1" applyBorder="1" applyAlignment="1">
      <alignment horizontal="center" vertical="center"/>
      <protection/>
    </xf>
    <xf numFmtId="0" fontId="11" fillId="0" borderId="0" xfId="60" applyFont="1" applyFill="1">
      <alignment/>
      <protection/>
    </xf>
    <xf numFmtId="0" fontId="8" fillId="0" borderId="23" xfId="60" applyFont="1" applyBorder="1" applyAlignment="1">
      <alignment horizontal="center" vertical="center"/>
      <protection/>
    </xf>
    <xf numFmtId="0" fontId="8" fillId="0" borderId="24" xfId="60" applyFont="1" applyBorder="1" applyAlignment="1">
      <alignment horizontal="center" vertical="center"/>
      <protection/>
    </xf>
    <xf numFmtId="0" fontId="10" fillId="0" borderId="25" xfId="60" applyFont="1" applyFill="1" applyBorder="1" applyAlignment="1">
      <alignment horizontal="distributed" vertical="center"/>
      <protection/>
    </xf>
    <xf numFmtId="0" fontId="3" fillId="36" borderId="26" xfId="60" applyFont="1" applyFill="1" applyBorder="1" applyAlignment="1">
      <alignment horizontal="distributed" vertical="center"/>
      <protection/>
    </xf>
    <xf numFmtId="0" fontId="3" fillId="0" borderId="0" xfId="60" applyFont="1" applyBorder="1" applyAlignment="1">
      <alignment horizontal="left" vertical="center"/>
      <protection/>
    </xf>
    <xf numFmtId="0" fontId="2" fillId="0" borderId="0" xfId="60" applyFont="1" applyBorder="1">
      <alignment/>
      <protection/>
    </xf>
    <xf numFmtId="0" fontId="6" fillId="0" borderId="0" xfId="60" applyFont="1" applyAlignment="1">
      <alignment vertical="top"/>
      <protection/>
    </xf>
    <xf numFmtId="0" fontId="2" fillId="0" borderId="0" xfId="60" applyFont="1" applyFill="1">
      <alignment/>
      <protection/>
    </xf>
    <xf numFmtId="0" fontId="3" fillId="0" borderId="27" xfId="60" applyFont="1" applyBorder="1" applyAlignment="1">
      <alignment horizontal="center" vertical="center" wrapText="1"/>
      <protection/>
    </xf>
    <xf numFmtId="0" fontId="5" fillId="34" borderId="28" xfId="60" applyFont="1" applyFill="1" applyBorder="1" applyAlignment="1">
      <alignment horizontal="right" vertical="top"/>
      <protection/>
    </xf>
    <xf numFmtId="0" fontId="5" fillId="34" borderId="13" xfId="60" applyFont="1" applyFill="1" applyBorder="1" applyAlignment="1">
      <alignment horizontal="right" vertical="top"/>
      <protection/>
    </xf>
    <xf numFmtId="0" fontId="8" fillId="0" borderId="29" xfId="60" applyFont="1" applyBorder="1" applyAlignment="1">
      <alignment horizontal="center" vertical="center"/>
      <protection/>
    </xf>
    <xf numFmtId="0" fontId="3" fillId="0" borderId="30" xfId="60" applyFont="1" applyBorder="1" applyAlignment="1">
      <alignment horizontal="distributed" vertical="center" indent="1"/>
      <protection/>
    </xf>
    <xf numFmtId="0" fontId="3" fillId="0" borderId="27" xfId="60" applyFont="1" applyBorder="1" applyAlignment="1">
      <alignment horizontal="distributed" vertical="center" indent="1"/>
      <protection/>
    </xf>
    <xf numFmtId="0" fontId="3" fillId="0" borderId="31" xfId="60" applyFont="1" applyBorder="1" applyAlignment="1">
      <alignment horizontal="centerContinuous" vertical="center" wrapText="1"/>
      <protection/>
    </xf>
    <xf numFmtId="0" fontId="12" fillId="0" borderId="0" xfId="60" applyFont="1">
      <alignment/>
      <protection/>
    </xf>
    <xf numFmtId="0" fontId="3" fillId="0" borderId="31" xfId="60" applyFont="1" applyBorder="1" applyAlignment="1">
      <alignment horizontal="center" vertical="center"/>
      <protection/>
    </xf>
    <xf numFmtId="0" fontId="3" fillId="0" borderId="27" xfId="60" applyFont="1" applyBorder="1" applyAlignment="1">
      <alignment horizontal="center" vertical="center"/>
      <protection/>
    </xf>
    <xf numFmtId="0" fontId="13" fillId="0" borderId="0" xfId="60" applyFont="1" applyAlignment="1">
      <alignment horizontal="center" vertical="top"/>
      <protection/>
    </xf>
    <xf numFmtId="0" fontId="3" fillId="0" borderId="12" xfId="60" applyFont="1" applyBorder="1" applyAlignment="1">
      <alignment horizontal="center" vertical="center"/>
      <protection/>
    </xf>
    <xf numFmtId="0" fontId="3" fillId="0" borderId="32" xfId="60" applyFont="1" applyBorder="1" applyAlignment="1">
      <alignment horizontal="center" vertical="center"/>
      <protection/>
    </xf>
    <xf numFmtId="0" fontId="5" fillId="0" borderId="10" xfId="60" applyFont="1" applyFill="1" applyBorder="1" applyAlignment="1">
      <alignment horizontal="center" vertical="center"/>
      <protection/>
    </xf>
    <xf numFmtId="0" fontId="5" fillId="0" borderId="12" xfId="60" applyFont="1" applyFill="1" applyBorder="1" applyAlignment="1">
      <alignment horizontal="center" vertical="center"/>
      <protection/>
    </xf>
    <xf numFmtId="0" fontId="5" fillId="0" borderId="11" xfId="60" applyFont="1" applyFill="1" applyBorder="1" applyAlignment="1">
      <alignment horizontal="right" vertical="top"/>
      <protection/>
    </xf>
    <xf numFmtId="0" fontId="5" fillId="35" borderId="32" xfId="60" applyFont="1" applyFill="1" applyBorder="1" applyAlignment="1">
      <alignment horizontal="right" vertical="top"/>
      <protection/>
    </xf>
    <xf numFmtId="0" fontId="3" fillId="0" borderId="33" xfId="60" applyFont="1" applyBorder="1" applyAlignment="1">
      <alignment horizontal="distributed" vertical="center"/>
      <protection/>
    </xf>
    <xf numFmtId="0" fontId="3" fillId="0" borderId="34" xfId="60" applyFont="1" applyBorder="1" applyAlignment="1">
      <alignment horizontal="right" vertical="center"/>
      <protection/>
    </xf>
    <xf numFmtId="3" fontId="3" fillId="35" borderId="33" xfId="60" applyNumberFormat="1" applyFont="1" applyFill="1" applyBorder="1" applyAlignment="1">
      <alignment horizontal="right" vertical="center"/>
      <protection/>
    </xf>
    <xf numFmtId="3" fontId="3" fillId="0" borderId="34" xfId="60" applyNumberFormat="1" applyFont="1" applyBorder="1" applyAlignment="1">
      <alignment horizontal="right" vertical="center"/>
      <protection/>
    </xf>
    <xf numFmtId="3" fontId="3" fillId="35" borderId="35" xfId="60" applyNumberFormat="1" applyFont="1" applyFill="1" applyBorder="1" applyAlignment="1">
      <alignment horizontal="right" vertical="center"/>
      <protection/>
    </xf>
    <xf numFmtId="0" fontId="3" fillId="0" borderId="36" xfId="60" applyFont="1" applyBorder="1" applyAlignment="1">
      <alignment horizontal="distributed" vertical="center"/>
      <protection/>
    </xf>
    <xf numFmtId="0" fontId="8" fillId="0" borderId="36" xfId="60" applyFont="1" applyBorder="1" applyAlignment="1">
      <alignment horizontal="distributed" vertical="center"/>
      <protection/>
    </xf>
    <xf numFmtId="0" fontId="8" fillId="0" borderId="34" xfId="60" applyFont="1" applyBorder="1" applyAlignment="1">
      <alignment horizontal="right" vertical="center"/>
      <protection/>
    </xf>
    <xf numFmtId="0" fontId="8" fillId="0" borderId="0" xfId="60" applyFont="1" applyAlignment="1">
      <alignment horizontal="left" vertical="top"/>
      <protection/>
    </xf>
    <xf numFmtId="0" fontId="3" fillId="0" borderId="37" xfId="60" applyFont="1" applyBorder="1" applyAlignment="1">
      <alignment horizontal="distributed" vertical="center"/>
      <protection/>
    </xf>
    <xf numFmtId="0" fontId="3" fillId="0" borderId="38" xfId="60" applyFont="1" applyBorder="1" applyAlignment="1">
      <alignment horizontal="distributed" vertical="center" wrapText="1"/>
      <protection/>
    </xf>
    <xf numFmtId="0" fontId="3" fillId="0" borderId="11" xfId="60" applyFont="1" applyBorder="1" applyAlignment="1">
      <alignment horizontal="center" vertical="center"/>
      <protection/>
    </xf>
    <xf numFmtId="3" fontId="3" fillId="35" borderId="38" xfId="60" applyNumberFormat="1" applyFont="1" applyFill="1" applyBorder="1" applyAlignment="1">
      <alignment horizontal="right" vertical="center"/>
      <protection/>
    </xf>
    <xf numFmtId="3" fontId="3" fillId="0" borderId="11" xfId="60" applyNumberFormat="1" applyFont="1" applyBorder="1" applyAlignment="1">
      <alignment horizontal="center" vertical="center"/>
      <protection/>
    </xf>
    <xf numFmtId="3" fontId="3" fillId="35" borderId="39" xfId="60" applyNumberFormat="1" applyFont="1" applyFill="1" applyBorder="1" applyAlignment="1">
      <alignment horizontal="right" vertical="center"/>
      <protection/>
    </xf>
    <xf numFmtId="0" fontId="3" fillId="0" borderId="36" xfId="60" applyFont="1" applyBorder="1" applyAlignment="1">
      <alignment horizontal="distributed" vertical="center" wrapText="1"/>
      <protection/>
    </xf>
    <xf numFmtId="0" fontId="3" fillId="0" borderId="34" xfId="60" applyFont="1" applyBorder="1" applyAlignment="1">
      <alignment horizontal="center" vertical="center"/>
      <protection/>
    </xf>
    <xf numFmtId="3" fontId="3" fillId="0" borderId="34" xfId="60" applyNumberFormat="1" applyFont="1" applyBorder="1" applyAlignment="1">
      <alignment horizontal="center" vertical="center"/>
      <protection/>
    </xf>
    <xf numFmtId="0" fontId="8" fillId="0" borderId="40" xfId="60" applyFont="1" applyBorder="1" applyAlignment="1">
      <alignment horizontal="right" vertical="center"/>
      <protection/>
    </xf>
    <xf numFmtId="0" fontId="3" fillId="0" borderId="41" xfId="60" applyFont="1" applyBorder="1" applyAlignment="1">
      <alignment horizontal="right" vertical="center"/>
      <protection/>
    </xf>
    <xf numFmtId="3" fontId="3" fillId="0" borderId="41" xfId="60" applyNumberFormat="1" applyFont="1" applyBorder="1" applyAlignment="1">
      <alignment horizontal="right" vertical="center"/>
      <protection/>
    </xf>
    <xf numFmtId="0" fontId="3" fillId="0" borderId="42" xfId="60" applyFont="1" applyBorder="1" applyAlignment="1">
      <alignment horizontal="center" vertical="center"/>
      <protection/>
    </xf>
    <xf numFmtId="0" fontId="3" fillId="0" borderId="43" xfId="60" applyFont="1" applyBorder="1" applyAlignment="1">
      <alignment horizontal="center" vertical="center"/>
      <protection/>
    </xf>
    <xf numFmtId="0" fontId="3" fillId="0" borderId="10" xfId="60" applyFont="1" applyBorder="1" applyAlignment="1">
      <alignment horizontal="center" vertical="center"/>
      <protection/>
    </xf>
    <xf numFmtId="0" fontId="5" fillId="34" borderId="11" xfId="60" applyFont="1" applyFill="1" applyBorder="1" applyAlignment="1">
      <alignment horizontal="right"/>
      <protection/>
    </xf>
    <xf numFmtId="0" fontId="5" fillId="35" borderId="12" xfId="60" applyFont="1" applyFill="1" applyBorder="1" applyAlignment="1">
      <alignment horizontal="right"/>
      <protection/>
    </xf>
    <xf numFmtId="0" fontId="5" fillId="35" borderId="32" xfId="60" applyFont="1" applyFill="1" applyBorder="1" applyAlignment="1">
      <alignment horizontal="right"/>
      <protection/>
    </xf>
    <xf numFmtId="0" fontId="3" fillId="0" borderId="0" xfId="60" applyFont="1" applyAlignment="1">
      <alignment horizontal="left"/>
      <protection/>
    </xf>
    <xf numFmtId="3" fontId="3" fillId="34" borderId="44" xfId="60" applyNumberFormat="1" applyFont="1" applyFill="1" applyBorder="1" applyAlignment="1">
      <alignment horizontal="right" vertical="center"/>
      <protection/>
    </xf>
    <xf numFmtId="0" fontId="3" fillId="0" borderId="0" xfId="60" applyFont="1" applyBorder="1" applyAlignment="1">
      <alignment horizontal="left" vertical="top"/>
      <protection/>
    </xf>
    <xf numFmtId="3" fontId="3" fillId="34" borderId="45" xfId="60" applyNumberFormat="1" applyFont="1" applyFill="1" applyBorder="1" applyAlignment="1">
      <alignment horizontal="right" vertical="center"/>
      <protection/>
    </xf>
    <xf numFmtId="3" fontId="3" fillId="35" borderId="37" xfId="60" applyNumberFormat="1" applyFont="1" applyFill="1" applyBorder="1" applyAlignment="1">
      <alignment horizontal="right" vertical="center"/>
      <protection/>
    </xf>
    <xf numFmtId="3" fontId="3" fillId="35" borderId="46" xfId="60" applyNumberFormat="1" applyFont="1" applyFill="1" applyBorder="1" applyAlignment="1">
      <alignment horizontal="right" vertical="center"/>
      <protection/>
    </xf>
    <xf numFmtId="0" fontId="3" fillId="0" borderId="38" xfId="60" applyFont="1" applyBorder="1" applyAlignment="1">
      <alignment horizontal="distributed" vertical="center"/>
      <protection/>
    </xf>
    <xf numFmtId="3" fontId="3" fillId="34" borderId="47" xfId="60" applyNumberFormat="1" applyFont="1" applyFill="1" applyBorder="1" applyAlignment="1">
      <alignment horizontal="right" vertical="center"/>
      <protection/>
    </xf>
    <xf numFmtId="0" fontId="3" fillId="0" borderId="48" xfId="60" applyFont="1" applyBorder="1" applyAlignment="1">
      <alignment horizontal="distributed" vertical="center"/>
      <protection/>
    </xf>
    <xf numFmtId="3" fontId="3" fillId="0" borderId="0" xfId="60" applyNumberFormat="1" applyFont="1" applyAlignment="1">
      <alignment horizontal="left" vertical="top"/>
      <protection/>
    </xf>
    <xf numFmtId="0" fontId="3" fillId="0" borderId="49" xfId="60" applyFont="1" applyBorder="1" applyAlignment="1">
      <alignment horizontal="distributed" vertical="center"/>
      <protection/>
    </xf>
    <xf numFmtId="0" fontId="3" fillId="0" borderId="50" xfId="60" applyFont="1" applyBorder="1" applyAlignment="1">
      <alignment horizontal="distributed" vertical="center"/>
      <protection/>
    </xf>
    <xf numFmtId="0" fontId="3" fillId="0" borderId="51" xfId="60" applyFont="1" applyBorder="1" applyAlignment="1">
      <alignment horizontal="center" vertical="center"/>
      <protection/>
    </xf>
    <xf numFmtId="0" fontId="3" fillId="0" borderId="52" xfId="60" applyFont="1" applyBorder="1" applyAlignment="1">
      <alignment horizontal="distributed" vertical="center" indent="1"/>
      <protection/>
    </xf>
    <xf numFmtId="0" fontId="5" fillId="34" borderId="53" xfId="60" applyFont="1" applyFill="1" applyBorder="1" applyAlignment="1">
      <alignment horizontal="right"/>
      <protection/>
    </xf>
    <xf numFmtId="0" fontId="5" fillId="34" borderId="54" xfId="60" applyFont="1" applyFill="1" applyBorder="1" applyAlignment="1">
      <alignment horizontal="right"/>
      <protection/>
    </xf>
    <xf numFmtId="0" fontId="5" fillId="34" borderId="55" xfId="60" applyFont="1" applyFill="1" applyBorder="1" applyAlignment="1">
      <alignment horizontal="right"/>
      <protection/>
    </xf>
    <xf numFmtId="0" fontId="5" fillId="34" borderId="14" xfId="60" applyFont="1" applyFill="1" applyBorder="1" applyAlignment="1">
      <alignment horizontal="right"/>
      <protection/>
    </xf>
    <xf numFmtId="3" fontId="3" fillId="0" borderId="0" xfId="60" applyNumberFormat="1" applyFont="1" applyAlignment="1">
      <alignment horizontal="left" vertical="center"/>
      <protection/>
    </xf>
    <xf numFmtId="0" fontId="8" fillId="36" borderId="56" xfId="60" applyFont="1" applyFill="1" applyBorder="1" applyAlignment="1">
      <alignment horizontal="distributed" vertical="center"/>
      <protection/>
    </xf>
    <xf numFmtId="0" fontId="10" fillId="0" borderId="57" xfId="60" applyFont="1" applyFill="1" applyBorder="1" applyAlignment="1">
      <alignment horizontal="center" vertical="center"/>
      <protection/>
    </xf>
    <xf numFmtId="0" fontId="8" fillId="36" borderId="58" xfId="60" applyFont="1" applyFill="1" applyBorder="1" applyAlignment="1">
      <alignment horizontal="distributed" vertical="center"/>
      <protection/>
    </xf>
    <xf numFmtId="0" fontId="8" fillId="36" borderId="59" xfId="60" applyFont="1" applyFill="1" applyBorder="1" applyAlignment="1">
      <alignment horizontal="distributed" vertical="center"/>
      <protection/>
    </xf>
    <xf numFmtId="0" fontId="10" fillId="0" borderId="60" xfId="60" applyFont="1" applyFill="1" applyBorder="1" applyAlignment="1">
      <alignment horizontal="distributed" vertical="center"/>
      <protection/>
    </xf>
    <xf numFmtId="0" fontId="10" fillId="0" borderId="61" xfId="60" applyFont="1" applyFill="1" applyBorder="1" applyAlignment="1">
      <alignment horizontal="center" vertical="center"/>
      <protection/>
    </xf>
    <xf numFmtId="0" fontId="3" fillId="36" borderId="62" xfId="60" applyFont="1" applyFill="1" applyBorder="1" applyAlignment="1">
      <alignment horizontal="distributed" vertical="center"/>
      <protection/>
    </xf>
    <xf numFmtId="0" fontId="3" fillId="36" borderId="63" xfId="60" applyFont="1" applyFill="1" applyBorder="1" applyAlignment="1">
      <alignment horizontal="distributed" vertical="center"/>
      <protection/>
    </xf>
    <xf numFmtId="0" fontId="10" fillId="0" borderId="64" xfId="60" applyFont="1" applyFill="1" applyBorder="1" applyAlignment="1">
      <alignment horizontal="distributed" vertical="center"/>
      <protection/>
    </xf>
    <xf numFmtId="0" fontId="10" fillId="0" borderId="65" xfId="60" applyFont="1" applyFill="1" applyBorder="1" applyAlignment="1">
      <alignment horizontal="center" vertical="center"/>
      <protection/>
    </xf>
    <xf numFmtId="0" fontId="10" fillId="0" borderId="66" xfId="60" applyFont="1" applyFill="1" applyBorder="1" applyAlignment="1">
      <alignment horizontal="distributed" vertical="center"/>
      <protection/>
    </xf>
    <xf numFmtId="0" fontId="10" fillId="0" borderId="67" xfId="60" applyFont="1" applyFill="1" applyBorder="1" applyAlignment="1">
      <alignment horizontal="center" vertical="center"/>
      <protection/>
    </xf>
    <xf numFmtId="3" fontId="3" fillId="34" borderId="68" xfId="60" applyNumberFormat="1" applyFont="1" applyFill="1" applyBorder="1" applyAlignment="1">
      <alignment horizontal="right" vertical="center"/>
      <protection/>
    </xf>
    <xf numFmtId="3" fontId="3" fillId="34" borderId="69" xfId="60" applyNumberFormat="1" applyFont="1" applyFill="1" applyBorder="1" applyAlignment="1">
      <alignment horizontal="right" vertical="center"/>
      <protection/>
    </xf>
    <xf numFmtId="3" fontId="3" fillId="35" borderId="36" xfId="60" applyNumberFormat="1" applyFont="1" applyFill="1" applyBorder="1" applyAlignment="1">
      <alignment horizontal="right" vertical="center"/>
      <protection/>
    </xf>
    <xf numFmtId="3" fontId="3" fillId="35" borderId="70" xfId="60" applyNumberFormat="1" applyFont="1" applyFill="1" applyBorder="1" applyAlignment="1">
      <alignment horizontal="right" vertical="center"/>
      <protection/>
    </xf>
    <xf numFmtId="3" fontId="8" fillId="34" borderId="69" xfId="60" applyNumberFormat="1" applyFont="1" applyFill="1" applyBorder="1" applyAlignment="1">
      <alignment horizontal="right" vertical="center"/>
      <protection/>
    </xf>
    <xf numFmtId="3" fontId="8" fillId="35" borderId="36" xfId="60" applyNumberFormat="1" applyFont="1" applyFill="1" applyBorder="1" applyAlignment="1">
      <alignment horizontal="right" vertical="center"/>
      <protection/>
    </xf>
    <xf numFmtId="3" fontId="8" fillId="35" borderId="70" xfId="60" applyNumberFormat="1" applyFont="1" applyFill="1" applyBorder="1" applyAlignment="1">
      <alignment horizontal="right" vertical="center"/>
      <protection/>
    </xf>
    <xf numFmtId="3" fontId="3" fillId="34" borderId="71" xfId="60" applyNumberFormat="1" applyFont="1" applyFill="1" applyBorder="1" applyAlignment="1">
      <alignment horizontal="right" vertical="center"/>
      <protection/>
    </xf>
    <xf numFmtId="3" fontId="3" fillId="35" borderId="72" xfId="60" applyNumberFormat="1" applyFont="1" applyFill="1" applyBorder="1" applyAlignment="1">
      <alignment horizontal="right" vertical="center"/>
      <protection/>
    </xf>
    <xf numFmtId="3" fontId="3" fillId="35" borderId="73" xfId="60" applyNumberFormat="1" applyFont="1" applyFill="1" applyBorder="1" applyAlignment="1">
      <alignment horizontal="right" vertical="center"/>
      <protection/>
    </xf>
    <xf numFmtId="3" fontId="3" fillId="34" borderId="74" xfId="60" applyNumberFormat="1" applyFont="1" applyFill="1" applyBorder="1" applyAlignment="1">
      <alignment horizontal="right" vertical="center"/>
      <protection/>
    </xf>
    <xf numFmtId="3" fontId="3" fillId="34" borderId="74" xfId="60" applyNumberFormat="1" applyFont="1" applyFill="1" applyBorder="1" applyAlignment="1">
      <alignment vertical="center"/>
      <protection/>
    </xf>
    <xf numFmtId="3" fontId="3" fillId="34" borderId="69" xfId="60" applyNumberFormat="1" applyFont="1" applyFill="1" applyBorder="1" applyAlignment="1">
      <alignment vertical="center"/>
      <protection/>
    </xf>
    <xf numFmtId="3" fontId="8" fillId="34" borderId="75" xfId="60" applyNumberFormat="1" applyFont="1" applyFill="1" applyBorder="1" applyAlignment="1">
      <alignment horizontal="right" vertical="center"/>
      <protection/>
    </xf>
    <xf numFmtId="3" fontId="8" fillId="35" borderId="76" xfId="60" applyNumberFormat="1" applyFont="1" applyFill="1" applyBorder="1" applyAlignment="1">
      <alignment horizontal="right" vertical="center"/>
      <protection/>
    </xf>
    <xf numFmtId="3" fontId="8" fillId="35" borderId="77" xfId="60" applyNumberFormat="1" applyFont="1" applyFill="1" applyBorder="1" applyAlignment="1">
      <alignment horizontal="right" vertical="center"/>
      <protection/>
    </xf>
    <xf numFmtId="3" fontId="3" fillId="34" borderId="78" xfId="60" applyNumberFormat="1" applyFont="1" applyFill="1" applyBorder="1" applyAlignment="1">
      <alignment horizontal="right" vertical="center"/>
      <protection/>
    </xf>
    <xf numFmtId="3" fontId="3" fillId="35" borderId="79" xfId="60" applyNumberFormat="1" applyFont="1" applyFill="1" applyBorder="1" applyAlignment="1">
      <alignment horizontal="right" vertical="center"/>
      <protection/>
    </xf>
    <xf numFmtId="3" fontId="3" fillId="35" borderId="80" xfId="60" applyNumberFormat="1" applyFont="1" applyFill="1" applyBorder="1" applyAlignment="1">
      <alignment horizontal="right" vertical="center"/>
      <protection/>
    </xf>
    <xf numFmtId="3" fontId="3" fillId="34" borderId="81" xfId="60" applyNumberFormat="1" applyFont="1" applyFill="1" applyBorder="1" applyAlignment="1">
      <alignment horizontal="right" vertical="center"/>
      <protection/>
    </xf>
    <xf numFmtId="3" fontId="3" fillId="35" borderId="48" xfId="60" applyNumberFormat="1" applyFont="1" applyFill="1" applyBorder="1" applyAlignment="1">
      <alignment horizontal="right" vertical="center"/>
      <protection/>
    </xf>
    <xf numFmtId="3" fontId="3" fillId="35" borderId="82" xfId="60" applyNumberFormat="1" applyFont="1" applyFill="1" applyBorder="1" applyAlignment="1">
      <alignment horizontal="right" vertical="center"/>
      <protection/>
    </xf>
    <xf numFmtId="3" fontId="3" fillId="34" borderId="83" xfId="60" applyNumberFormat="1" applyFont="1" applyFill="1" applyBorder="1" applyAlignment="1">
      <alignment horizontal="right" vertical="center" indent="1"/>
      <protection/>
    </xf>
    <xf numFmtId="3" fontId="3" fillId="34" borderId="84" xfId="60" applyNumberFormat="1" applyFont="1" applyFill="1" applyBorder="1" applyAlignment="1">
      <alignment horizontal="right" vertical="center" indent="1"/>
      <protection/>
    </xf>
    <xf numFmtId="3" fontId="3" fillId="34" borderId="85" xfId="60" applyNumberFormat="1" applyFont="1" applyFill="1" applyBorder="1" applyAlignment="1">
      <alignment horizontal="right" vertical="center" indent="1"/>
      <protection/>
    </xf>
    <xf numFmtId="3" fontId="3" fillId="34" borderId="24" xfId="60" applyNumberFormat="1" applyFont="1" applyFill="1" applyBorder="1" applyAlignment="1">
      <alignment horizontal="right" vertical="center" indent="1"/>
      <protection/>
    </xf>
    <xf numFmtId="176" fontId="3" fillId="34" borderId="44" xfId="60" applyNumberFormat="1" applyFont="1" applyFill="1" applyBorder="1" applyAlignment="1">
      <alignment horizontal="right" vertical="center"/>
      <protection/>
    </xf>
    <xf numFmtId="176" fontId="3" fillId="35" borderId="33" xfId="60" applyNumberFormat="1" applyFont="1" applyFill="1" applyBorder="1" applyAlignment="1">
      <alignment horizontal="right" vertical="center"/>
      <protection/>
    </xf>
    <xf numFmtId="176" fontId="3" fillId="35" borderId="86" xfId="60" applyNumberFormat="1" applyFont="1" applyFill="1" applyBorder="1" applyAlignment="1">
      <alignment horizontal="right" vertical="center"/>
      <protection/>
    </xf>
    <xf numFmtId="176" fontId="3" fillId="34" borderId="87" xfId="60" applyNumberFormat="1" applyFont="1" applyFill="1" applyBorder="1" applyAlignment="1">
      <alignment horizontal="right" vertical="center"/>
      <protection/>
    </xf>
    <xf numFmtId="176" fontId="3" fillId="35" borderId="36" xfId="60" applyNumberFormat="1" applyFont="1" applyFill="1" applyBorder="1" applyAlignment="1">
      <alignment horizontal="right" vertical="center"/>
      <protection/>
    </xf>
    <xf numFmtId="176" fontId="3" fillId="35" borderId="88" xfId="60" applyNumberFormat="1" applyFont="1" applyFill="1" applyBorder="1" applyAlignment="1">
      <alignment horizontal="right" vertical="center"/>
      <protection/>
    </xf>
    <xf numFmtId="176" fontId="8" fillId="34" borderId="89" xfId="60" applyNumberFormat="1" applyFont="1" applyFill="1" applyBorder="1" applyAlignment="1">
      <alignment horizontal="right" vertical="center"/>
      <protection/>
    </xf>
    <xf numFmtId="176" fontId="8" fillId="35" borderId="90" xfId="60" applyNumberFormat="1" applyFont="1" applyFill="1" applyBorder="1" applyAlignment="1">
      <alignment horizontal="right" vertical="center"/>
      <protection/>
    </xf>
    <xf numFmtId="176" fontId="8" fillId="35" borderId="91" xfId="60" applyNumberFormat="1" applyFont="1" applyFill="1" applyBorder="1" applyAlignment="1">
      <alignment horizontal="right" vertical="center"/>
      <protection/>
    </xf>
    <xf numFmtId="176" fontId="10" fillId="0" borderId="92" xfId="60" applyNumberFormat="1" applyFont="1" applyFill="1" applyBorder="1" applyAlignment="1">
      <alignment horizontal="right" vertical="center"/>
      <protection/>
    </xf>
    <xf numFmtId="176" fontId="10" fillId="0" borderId="93" xfId="60" applyNumberFormat="1" applyFont="1" applyFill="1" applyBorder="1" applyAlignment="1">
      <alignment horizontal="right" vertical="center"/>
      <protection/>
    </xf>
    <xf numFmtId="176" fontId="10" fillId="0" borderId="94" xfId="60" applyNumberFormat="1" applyFont="1" applyFill="1" applyBorder="1" applyAlignment="1">
      <alignment horizontal="right" vertical="center"/>
      <protection/>
    </xf>
    <xf numFmtId="176" fontId="3" fillId="0" borderId="95" xfId="60" applyNumberFormat="1" applyFont="1" applyFill="1" applyBorder="1" applyAlignment="1">
      <alignment horizontal="right" vertical="center"/>
      <protection/>
    </xf>
    <xf numFmtId="176" fontId="3" fillId="0" borderId="96" xfId="60" applyNumberFormat="1" applyFont="1" applyFill="1" applyBorder="1" applyAlignment="1">
      <alignment horizontal="right" vertical="center"/>
      <protection/>
    </xf>
    <xf numFmtId="176" fontId="3" fillId="0" borderId="97" xfId="60" applyNumberFormat="1" applyFont="1" applyFill="1" applyBorder="1" applyAlignment="1">
      <alignment horizontal="right" vertical="center"/>
      <protection/>
    </xf>
    <xf numFmtId="176" fontId="8" fillId="34" borderId="41" xfId="60" applyNumberFormat="1" applyFont="1" applyFill="1" applyBorder="1" applyAlignment="1">
      <alignment horizontal="right" vertical="center"/>
      <protection/>
    </xf>
    <xf numFmtId="176" fontId="8" fillId="35" borderId="79" xfId="60" applyNumberFormat="1" applyFont="1" applyFill="1" applyBorder="1" applyAlignment="1">
      <alignment horizontal="right" vertical="center"/>
      <protection/>
    </xf>
    <xf numFmtId="176" fontId="8" fillId="35" borderId="98" xfId="60" applyNumberFormat="1" applyFont="1" applyFill="1" applyBorder="1" applyAlignment="1">
      <alignment horizontal="right" vertical="center"/>
      <protection/>
    </xf>
    <xf numFmtId="176" fontId="3" fillId="34" borderId="68" xfId="60" applyNumberFormat="1" applyFont="1" applyFill="1" applyBorder="1" applyAlignment="1">
      <alignment horizontal="right" vertical="center"/>
      <protection/>
    </xf>
    <xf numFmtId="176" fontId="3" fillId="34" borderId="86" xfId="60" applyNumberFormat="1" applyFont="1" applyFill="1" applyBorder="1" applyAlignment="1">
      <alignment horizontal="right" vertical="center"/>
      <protection/>
    </xf>
    <xf numFmtId="176" fontId="8" fillId="34" borderId="99" xfId="60" applyNumberFormat="1" applyFont="1" applyFill="1" applyBorder="1" applyAlignment="1">
      <alignment horizontal="right" vertical="center"/>
      <protection/>
    </xf>
    <xf numFmtId="176" fontId="8" fillId="35" borderId="100" xfId="60" applyNumberFormat="1" applyFont="1" applyFill="1" applyBorder="1" applyAlignment="1">
      <alignment horizontal="right" vertical="center"/>
      <protection/>
    </xf>
    <xf numFmtId="176" fontId="8" fillId="35" borderId="101" xfId="60" applyNumberFormat="1" applyFont="1" applyFill="1" applyBorder="1" applyAlignment="1">
      <alignment horizontal="right" vertical="center"/>
      <protection/>
    </xf>
    <xf numFmtId="176" fontId="8" fillId="34" borderId="102" xfId="60" applyNumberFormat="1" applyFont="1" applyFill="1" applyBorder="1" applyAlignment="1">
      <alignment horizontal="right" vertical="center"/>
      <protection/>
    </xf>
    <xf numFmtId="176" fontId="8" fillId="34" borderId="101" xfId="60" applyNumberFormat="1" applyFont="1" applyFill="1" applyBorder="1" applyAlignment="1">
      <alignment horizontal="right" vertical="center"/>
      <protection/>
    </xf>
    <xf numFmtId="176" fontId="10" fillId="0" borderId="103" xfId="60" applyNumberFormat="1" applyFont="1" applyFill="1" applyBorder="1" applyAlignment="1">
      <alignment horizontal="right" vertical="center"/>
      <protection/>
    </xf>
    <xf numFmtId="176" fontId="10" fillId="0" borderId="104" xfId="60" applyNumberFormat="1" applyFont="1" applyFill="1" applyBorder="1" applyAlignment="1">
      <alignment horizontal="right" vertical="center"/>
      <protection/>
    </xf>
    <xf numFmtId="176" fontId="10" fillId="0" borderId="34" xfId="60" applyNumberFormat="1" applyFont="1" applyFill="1" applyBorder="1" applyAlignment="1">
      <alignment horizontal="right" vertical="center"/>
      <protection/>
    </xf>
    <xf numFmtId="176" fontId="3" fillId="0" borderId="34" xfId="60" applyNumberFormat="1" applyFont="1" applyFill="1" applyBorder="1" applyAlignment="1">
      <alignment horizontal="right" vertical="center"/>
      <protection/>
    </xf>
    <xf numFmtId="176" fontId="3" fillId="0" borderId="105" xfId="60" applyNumberFormat="1" applyFont="1" applyFill="1" applyBorder="1" applyAlignment="1">
      <alignment horizontal="right" vertical="center"/>
      <protection/>
    </xf>
    <xf numFmtId="176" fontId="3" fillId="0" borderId="106" xfId="60" applyNumberFormat="1" applyFont="1" applyFill="1" applyBorder="1" applyAlignment="1">
      <alignment horizontal="right" vertical="center"/>
      <protection/>
    </xf>
    <xf numFmtId="176" fontId="3" fillId="34" borderId="107" xfId="60" applyNumberFormat="1" applyFont="1" applyFill="1" applyBorder="1" applyAlignment="1">
      <alignment horizontal="right" vertical="center"/>
      <protection/>
    </xf>
    <xf numFmtId="176" fontId="3" fillId="35" borderId="108" xfId="60" applyNumberFormat="1" applyFont="1" applyFill="1" applyBorder="1" applyAlignment="1">
      <alignment horizontal="right" vertical="center"/>
      <protection/>
    </xf>
    <xf numFmtId="176" fontId="3" fillId="35" borderId="109" xfId="60" applyNumberFormat="1" applyFont="1" applyFill="1" applyBorder="1" applyAlignment="1">
      <alignment horizontal="right" vertical="center"/>
      <protection/>
    </xf>
    <xf numFmtId="176" fontId="3" fillId="34" borderId="110" xfId="60" applyNumberFormat="1" applyFont="1" applyFill="1" applyBorder="1" applyAlignment="1">
      <alignment horizontal="right" vertical="center"/>
      <protection/>
    </xf>
    <xf numFmtId="176" fontId="3" fillId="34" borderId="109" xfId="60" applyNumberFormat="1" applyFont="1" applyFill="1" applyBorder="1" applyAlignment="1">
      <alignment horizontal="right" vertical="center"/>
      <protection/>
    </xf>
    <xf numFmtId="176" fontId="10" fillId="0" borderId="111" xfId="60" applyNumberFormat="1" applyFont="1" applyFill="1" applyBorder="1" applyAlignment="1">
      <alignment horizontal="right" vertical="center"/>
      <protection/>
    </xf>
    <xf numFmtId="176" fontId="10" fillId="0" borderId="112" xfId="60" applyNumberFormat="1" applyFont="1" applyFill="1" applyBorder="1" applyAlignment="1">
      <alignment horizontal="right" vertical="center"/>
      <protection/>
    </xf>
    <xf numFmtId="176" fontId="10" fillId="0" borderId="113" xfId="60" applyNumberFormat="1" applyFont="1" applyFill="1" applyBorder="1" applyAlignment="1">
      <alignment horizontal="right" vertical="center"/>
      <protection/>
    </xf>
    <xf numFmtId="176" fontId="3" fillId="0" borderId="113" xfId="60" applyNumberFormat="1" applyFont="1" applyFill="1" applyBorder="1" applyAlignment="1">
      <alignment horizontal="right" vertical="center"/>
      <protection/>
    </xf>
    <xf numFmtId="176" fontId="3" fillId="0" borderId="114" xfId="60" applyNumberFormat="1" applyFont="1" applyFill="1" applyBorder="1" applyAlignment="1">
      <alignment horizontal="right" vertical="center"/>
      <protection/>
    </xf>
    <xf numFmtId="176" fontId="3" fillId="0" borderId="115" xfId="60" applyNumberFormat="1" applyFont="1" applyFill="1" applyBorder="1" applyAlignment="1">
      <alignment horizontal="right" vertical="center"/>
      <protection/>
    </xf>
    <xf numFmtId="176" fontId="3" fillId="0" borderId="116" xfId="60" applyNumberFormat="1" applyFont="1" applyFill="1" applyBorder="1" applyAlignment="1">
      <alignment horizontal="right" vertical="center"/>
      <protection/>
    </xf>
    <xf numFmtId="176" fontId="3" fillId="0" borderId="117" xfId="60" applyNumberFormat="1" applyFont="1" applyFill="1" applyBorder="1" applyAlignment="1">
      <alignment horizontal="right" vertical="center"/>
      <protection/>
    </xf>
    <xf numFmtId="176" fontId="3" fillId="0" borderId="118" xfId="60" applyNumberFormat="1" applyFont="1" applyFill="1" applyBorder="1" applyAlignment="1">
      <alignment horizontal="right" vertical="center"/>
      <protection/>
    </xf>
    <xf numFmtId="176" fontId="3" fillId="0" borderId="119" xfId="60" applyNumberFormat="1" applyFont="1" applyFill="1" applyBorder="1" applyAlignment="1">
      <alignment horizontal="right" vertical="center"/>
      <protection/>
    </xf>
    <xf numFmtId="176" fontId="3" fillId="0" borderId="120" xfId="60" applyNumberFormat="1" applyFont="1" applyFill="1" applyBorder="1" applyAlignment="1">
      <alignment horizontal="right" vertical="center"/>
      <protection/>
    </xf>
    <xf numFmtId="176" fontId="3" fillId="0" borderId="121" xfId="60" applyNumberFormat="1" applyFont="1" applyFill="1" applyBorder="1" applyAlignment="1">
      <alignment horizontal="right" vertical="center"/>
      <protection/>
    </xf>
    <xf numFmtId="176" fontId="8" fillId="34" borderId="122" xfId="60" applyNumberFormat="1" applyFont="1" applyFill="1" applyBorder="1" applyAlignment="1">
      <alignment horizontal="right" vertical="center"/>
      <protection/>
    </xf>
    <xf numFmtId="176" fontId="8" fillId="34" borderId="123" xfId="60" applyNumberFormat="1" applyFont="1" applyFill="1" applyBorder="1" applyAlignment="1">
      <alignment horizontal="right" vertical="center"/>
      <protection/>
    </xf>
    <xf numFmtId="176" fontId="8" fillId="34" borderId="124" xfId="60" applyNumberFormat="1" applyFont="1" applyFill="1" applyBorder="1" applyAlignment="1">
      <alignment horizontal="right" vertical="center"/>
      <protection/>
    </xf>
    <xf numFmtId="0" fontId="3" fillId="0" borderId="0" xfId="60" applyFont="1" applyBorder="1" applyAlignment="1">
      <alignment horizontal="right" vertical="top" wrapText="1"/>
      <protection/>
    </xf>
    <xf numFmtId="0" fontId="3" fillId="0" borderId="125" xfId="60" applyFont="1" applyFill="1" applyBorder="1" applyAlignment="1">
      <alignment horizontal="distributed" vertical="center"/>
      <protection/>
    </xf>
    <xf numFmtId="0" fontId="3" fillId="0" borderId="125" xfId="60" applyFont="1" applyFill="1" applyBorder="1" applyAlignment="1">
      <alignment horizontal="right" vertical="center"/>
      <protection/>
    </xf>
    <xf numFmtId="3" fontId="3" fillId="0" borderId="125" xfId="60" applyNumberFormat="1" applyFont="1" applyFill="1" applyBorder="1" applyAlignment="1">
      <alignment horizontal="right" vertical="center"/>
      <protection/>
    </xf>
    <xf numFmtId="0" fontId="10" fillId="0" borderId="126" xfId="60" applyFont="1" applyFill="1" applyBorder="1" applyAlignment="1">
      <alignment horizontal="distributed" vertical="center"/>
      <protection/>
    </xf>
    <xf numFmtId="0" fontId="10" fillId="0" borderId="127" xfId="60" applyFont="1" applyFill="1" applyBorder="1" applyAlignment="1">
      <alignment horizontal="distributed" vertical="center"/>
      <protection/>
    </xf>
    <xf numFmtId="0" fontId="10" fillId="0" borderId="128" xfId="60" applyFont="1" applyFill="1" applyBorder="1" applyAlignment="1">
      <alignment horizontal="distributed" vertical="center"/>
      <protection/>
    </xf>
    <xf numFmtId="0" fontId="11" fillId="0" borderId="60" xfId="60" applyFont="1" applyFill="1" applyBorder="1">
      <alignment/>
      <protection/>
    </xf>
    <xf numFmtId="0" fontId="10" fillId="0" borderId="129" xfId="60" applyFont="1" applyFill="1" applyBorder="1" applyAlignment="1">
      <alignment horizontal="distributed" vertical="center"/>
      <protection/>
    </xf>
    <xf numFmtId="0" fontId="10" fillId="0" borderId="130" xfId="60" applyFont="1" applyFill="1" applyBorder="1" applyAlignment="1">
      <alignment horizontal="distributed" vertical="center"/>
      <protection/>
    </xf>
    <xf numFmtId="0" fontId="10" fillId="0" borderId="131" xfId="60" applyFont="1" applyFill="1" applyBorder="1" applyAlignment="1">
      <alignment horizontal="distributed" vertical="center"/>
      <protection/>
    </xf>
    <xf numFmtId="0" fontId="9" fillId="0" borderId="60" xfId="60" applyFont="1" applyBorder="1">
      <alignment/>
      <protection/>
    </xf>
    <xf numFmtId="0" fontId="10" fillId="0" borderId="132" xfId="60" applyFont="1" applyFill="1" applyBorder="1" applyAlignment="1">
      <alignment horizontal="distributed" vertical="center"/>
      <protection/>
    </xf>
    <xf numFmtId="0" fontId="10" fillId="0" borderId="133" xfId="60" applyFont="1" applyFill="1" applyBorder="1" applyAlignment="1">
      <alignment horizontal="distributed" vertical="center"/>
      <protection/>
    </xf>
    <xf numFmtId="0" fontId="3" fillId="0" borderId="134" xfId="60" applyFont="1" applyBorder="1" applyAlignment="1">
      <alignment horizontal="distributed" vertical="center" wrapText="1"/>
      <protection/>
    </xf>
    <xf numFmtId="0" fontId="3" fillId="0" borderId="134" xfId="60" applyFont="1" applyBorder="1" applyAlignment="1">
      <alignment horizontal="distributed" vertical="center"/>
      <protection/>
    </xf>
    <xf numFmtId="0" fontId="3" fillId="0" borderId="135" xfId="60" applyFont="1" applyBorder="1" applyAlignment="1">
      <alignment horizontal="distributed" vertical="center"/>
      <protection/>
    </xf>
    <xf numFmtId="0" fontId="3" fillId="0" borderId="136" xfId="60" applyFont="1" applyBorder="1" applyAlignment="1">
      <alignment horizontal="distributed" vertical="center" wrapText="1"/>
      <protection/>
    </xf>
    <xf numFmtId="0" fontId="3" fillId="0" borderId="137" xfId="60" applyFont="1" applyBorder="1" applyAlignment="1">
      <alignment horizontal="distributed" vertical="center"/>
      <protection/>
    </xf>
    <xf numFmtId="0" fontId="8" fillId="0" borderId="138" xfId="60" applyFont="1" applyBorder="1" applyAlignment="1">
      <alignment horizontal="distributed" vertical="center"/>
      <protection/>
    </xf>
    <xf numFmtId="0" fontId="8" fillId="0" borderId="139" xfId="60" applyFont="1" applyBorder="1" applyAlignment="1">
      <alignment horizontal="distributed" vertical="center"/>
      <protection/>
    </xf>
    <xf numFmtId="0" fontId="3" fillId="0" borderId="23" xfId="60" applyFont="1" applyBorder="1" applyAlignment="1">
      <alignment horizontal="distributed" vertical="center"/>
      <protection/>
    </xf>
    <xf numFmtId="0" fontId="3" fillId="0" borderId="140" xfId="60" applyFont="1" applyBorder="1" applyAlignment="1">
      <alignment horizontal="distributed" vertical="center"/>
      <protection/>
    </xf>
    <xf numFmtId="0" fontId="3" fillId="0" borderId="0" xfId="60" applyFont="1" applyBorder="1" applyAlignment="1">
      <alignment horizontal="justify" vertical="top" wrapText="1"/>
      <protection/>
    </xf>
    <xf numFmtId="0" fontId="3" fillId="0" borderId="0" xfId="60" applyFont="1" applyAlignment="1">
      <alignment horizontal="justify" vertical="top" wrapText="1"/>
      <protection/>
    </xf>
    <xf numFmtId="0" fontId="13" fillId="0" borderId="0" xfId="60" applyFont="1" applyAlignment="1">
      <alignment horizontal="center" vertical="top"/>
      <protection/>
    </xf>
    <xf numFmtId="0" fontId="3" fillId="0" borderId="0" xfId="60" applyFont="1" applyAlignment="1">
      <alignment horizontal="left" vertical="top"/>
      <protection/>
    </xf>
    <xf numFmtId="0" fontId="3" fillId="0" borderId="141" xfId="60" applyFont="1" applyBorder="1" applyAlignment="1">
      <alignment horizontal="center" vertical="center"/>
      <protection/>
    </xf>
    <xf numFmtId="0" fontId="3" fillId="0" borderId="142" xfId="60" applyFont="1" applyBorder="1" applyAlignment="1">
      <alignment horizontal="center" vertical="center"/>
      <protection/>
    </xf>
    <xf numFmtId="0" fontId="3" fillId="0" borderId="60" xfId="60" applyFont="1" applyBorder="1" applyAlignment="1">
      <alignment horizontal="center" vertical="center"/>
      <protection/>
    </xf>
    <xf numFmtId="0" fontId="3" fillId="0" borderId="143" xfId="60" applyFont="1" applyBorder="1" applyAlignment="1">
      <alignment horizontal="center" vertical="center"/>
      <protection/>
    </xf>
    <xf numFmtId="0" fontId="3" fillId="0" borderId="144" xfId="60" applyFont="1" applyBorder="1" applyAlignment="1">
      <alignment horizontal="center" vertical="center"/>
      <protection/>
    </xf>
    <xf numFmtId="0" fontId="3" fillId="0" borderId="145" xfId="60" applyFont="1" applyBorder="1" applyAlignment="1">
      <alignment horizontal="center" vertical="center"/>
      <protection/>
    </xf>
    <xf numFmtId="0" fontId="3" fillId="0" borderId="146" xfId="60" applyFont="1" applyBorder="1" applyAlignment="1">
      <alignment horizontal="center" vertical="center"/>
      <protection/>
    </xf>
    <xf numFmtId="0" fontId="3" fillId="0" borderId="147" xfId="60" applyFont="1" applyBorder="1" applyAlignment="1">
      <alignment horizontal="center" vertical="center"/>
      <protection/>
    </xf>
    <xf numFmtId="0" fontId="3" fillId="0" borderId="11" xfId="60" applyFont="1" applyBorder="1" applyAlignment="1">
      <alignment horizontal="center" vertical="center"/>
      <protection/>
    </xf>
    <xf numFmtId="0" fontId="3" fillId="0" borderId="28" xfId="60" applyFont="1" applyBorder="1" applyAlignment="1">
      <alignment horizontal="center" vertical="center"/>
      <protection/>
    </xf>
    <xf numFmtId="0" fontId="3" fillId="0" borderId="148" xfId="60" applyFont="1" applyBorder="1" applyAlignment="1">
      <alignment horizontal="center" vertical="center"/>
      <protection/>
    </xf>
    <xf numFmtId="0" fontId="3" fillId="0" borderId="135" xfId="60" applyFont="1" applyBorder="1" applyAlignment="1">
      <alignment horizontal="center" vertical="center"/>
      <protection/>
    </xf>
    <xf numFmtId="0" fontId="3" fillId="0" borderId="136" xfId="60" applyFont="1" applyBorder="1" applyAlignment="1">
      <alignment horizontal="center" vertical="center"/>
      <protection/>
    </xf>
    <xf numFmtId="0" fontId="3" fillId="0" borderId="149" xfId="60" applyFont="1" applyBorder="1" applyAlignment="1">
      <alignment horizontal="center" vertical="center"/>
      <protection/>
    </xf>
    <xf numFmtId="0" fontId="3" fillId="0" borderId="150" xfId="60" applyFont="1" applyBorder="1" applyAlignment="1">
      <alignment horizontal="center" vertical="center"/>
      <protection/>
    </xf>
    <xf numFmtId="0" fontId="3" fillId="0" borderId="125" xfId="60" applyFont="1" applyBorder="1" applyAlignment="1">
      <alignment horizontal="center" vertical="center"/>
      <protection/>
    </xf>
    <xf numFmtId="0" fontId="3" fillId="0" borderId="151" xfId="60" applyFont="1" applyBorder="1" applyAlignment="1">
      <alignment horizontal="center" vertical="center"/>
      <protection/>
    </xf>
    <xf numFmtId="0" fontId="3" fillId="0" borderId="152" xfId="60" applyFont="1" applyBorder="1" applyAlignment="1">
      <alignment horizontal="center" vertical="center"/>
      <protection/>
    </xf>
    <xf numFmtId="0" fontId="3" fillId="0" borderId="153" xfId="60" applyFont="1" applyBorder="1" applyAlignment="1">
      <alignment horizontal="center" vertical="center"/>
      <protection/>
    </xf>
    <xf numFmtId="0" fontId="3" fillId="0" borderId="125" xfId="60" applyFont="1" applyBorder="1" applyAlignment="1">
      <alignment horizontal="left" vertical="center"/>
      <protection/>
    </xf>
    <xf numFmtId="0" fontId="3" fillId="0" borderId="0" xfId="60" applyFont="1" applyAlignment="1">
      <alignment horizontal="left" vertical="center"/>
      <protection/>
    </xf>
    <xf numFmtId="0" fontId="3" fillId="0" borderId="154" xfId="60" applyFont="1" applyBorder="1" applyAlignment="1">
      <alignment horizontal="center" vertical="center"/>
      <protection/>
    </xf>
    <xf numFmtId="0" fontId="3" fillId="0" borderId="155" xfId="60" applyFont="1" applyBorder="1" applyAlignment="1">
      <alignment horizontal="center" vertical="center"/>
      <protection/>
    </xf>
    <xf numFmtId="0" fontId="3" fillId="0" borderId="156" xfId="60" applyFont="1" applyBorder="1" applyAlignment="1">
      <alignment horizontal="center" vertical="center"/>
      <protection/>
    </xf>
    <xf numFmtId="0" fontId="3" fillId="0" borderId="157" xfId="60" applyFont="1" applyBorder="1" applyAlignment="1">
      <alignment horizontal="center" vertical="center"/>
      <protection/>
    </xf>
    <xf numFmtId="0" fontId="3" fillId="0" borderId="125" xfId="60" applyFont="1" applyBorder="1" applyAlignment="1">
      <alignment horizontal="left"/>
      <protection/>
    </xf>
    <xf numFmtId="0" fontId="3" fillId="0" borderId="141" xfId="60" applyFont="1" applyBorder="1" applyAlignment="1">
      <alignment horizontal="distributed" vertical="center"/>
      <protection/>
    </xf>
    <xf numFmtId="0" fontId="3" fillId="0" borderId="60" xfId="60" applyFont="1" applyBorder="1" applyAlignment="1">
      <alignment horizontal="distributed" vertical="center"/>
      <protection/>
    </xf>
    <xf numFmtId="0" fontId="3" fillId="0" borderId="158" xfId="60" applyFont="1" applyBorder="1" applyAlignment="1">
      <alignment horizontal="distributed" vertical="center"/>
      <protection/>
    </xf>
    <xf numFmtId="0" fontId="3" fillId="0" borderId="159" xfId="60" applyFont="1" applyBorder="1" applyAlignment="1">
      <alignment horizontal="center" vertical="center"/>
      <protection/>
    </xf>
    <xf numFmtId="0" fontId="3" fillId="0" borderId="52" xfId="60" applyFont="1" applyBorder="1" applyAlignment="1">
      <alignment horizontal="distributed" vertical="center" wrapText="1"/>
      <protection/>
    </xf>
    <xf numFmtId="0" fontId="3" fillId="0" borderId="61" xfId="60" applyFont="1" applyBorder="1" applyAlignment="1">
      <alignment horizontal="distributed" vertical="center" wrapText="1"/>
      <protection/>
    </xf>
    <xf numFmtId="0" fontId="3" fillId="0" borderId="160" xfId="60" applyFont="1" applyBorder="1" applyAlignment="1">
      <alignment horizontal="distributed" vertical="center" wrapText="1"/>
      <protection/>
    </xf>
    <xf numFmtId="0" fontId="3" fillId="0" borderId="161" xfId="60" applyFont="1" applyBorder="1" applyAlignment="1">
      <alignment horizontal="center" vertical="center"/>
      <protection/>
    </xf>
    <xf numFmtId="0" fontId="3" fillId="0" borderId="162" xfId="60" applyFont="1" applyBorder="1" applyAlignment="1">
      <alignment horizontal="center" vertical="center"/>
      <protection/>
    </xf>
    <xf numFmtId="0" fontId="3" fillId="0" borderId="154" xfId="60" applyFont="1" applyBorder="1" applyAlignment="1">
      <alignment horizontal="center" vertical="center" wrapText="1"/>
      <protection/>
    </xf>
    <xf numFmtId="0" fontId="3" fillId="0" borderId="163" xfId="60" applyFont="1" applyBorder="1" applyAlignment="1">
      <alignment horizontal="left" vertical="center"/>
      <protection/>
    </xf>
    <xf numFmtId="0" fontId="3" fillId="0" borderId="164" xfId="60" applyFont="1" applyBorder="1" applyAlignment="1">
      <alignment horizontal="distributed" vertical="center" wrapText="1"/>
      <protection/>
    </xf>
    <xf numFmtId="0" fontId="3" fillId="0" borderId="165" xfId="60" applyFont="1" applyBorder="1" applyAlignment="1">
      <alignment horizontal="distributed" vertical="center"/>
      <protection/>
    </xf>
    <xf numFmtId="0" fontId="3" fillId="0" borderId="166" xfId="60" applyFont="1" applyBorder="1" applyAlignment="1">
      <alignment horizontal="distributed" vertical="center" wrapText="1"/>
      <protection/>
    </xf>
    <xf numFmtId="0" fontId="3" fillId="0" borderId="167" xfId="60" applyFont="1" applyBorder="1" applyAlignment="1">
      <alignment horizontal="distributed" vertical="center" wrapText="1"/>
      <protection/>
    </xf>
    <xf numFmtId="0" fontId="3" fillId="0" borderId="31" xfId="60" applyFont="1" applyBorder="1" applyAlignment="1">
      <alignment horizontal="center" vertical="center"/>
      <protection/>
    </xf>
    <xf numFmtId="0" fontId="3" fillId="0" borderId="159" xfId="60" applyFont="1" applyBorder="1" applyAlignment="1">
      <alignment horizontal="center" vertical="center" wrapText="1"/>
      <protection/>
    </xf>
    <xf numFmtId="0" fontId="3" fillId="0" borderId="168" xfId="60" applyFont="1" applyBorder="1" applyAlignment="1">
      <alignment horizontal="center" vertical="center"/>
      <protection/>
    </xf>
    <xf numFmtId="0" fontId="3" fillId="0" borderId="169" xfId="60" applyFont="1" applyBorder="1" applyAlignment="1">
      <alignment horizontal="center" vertical="center"/>
      <protection/>
    </xf>
    <xf numFmtId="0" fontId="3" fillId="0" borderId="170" xfId="60" applyFont="1" applyBorder="1" applyAlignment="1">
      <alignment horizontal="distributed" vertical="center" wrapText="1"/>
      <protection/>
    </xf>
    <xf numFmtId="0" fontId="3" fillId="0" borderId="171" xfId="60" applyFont="1" applyBorder="1" applyAlignment="1">
      <alignment horizontal="distributed"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9"/>
  <sheetViews>
    <sheetView showGridLines="0" tabSelected="1" zoomScalePageLayoutView="0" workbookViewId="0" topLeftCell="A1">
      <selection activeCell="A1" sqref="A1:K1"/>
    </sheetView>
  </sheetViews>
  <sheetFormatPr defaultColWidth="5.8515625" defaultRowHeight="15"/>
  <cols>
    <col min="1" max="1" width="10.57421875" style="2" customWidth="1"/>
    <col min="2" max="2" width="16.00390625" style="2" customWidth="1"/>
    <col min="3" max="3" width="3.00390625" style="2" customWidth="1"/>
    <col min="4" max="4" width="6.7109375" style="2" customWidth="1"/>
    <col min="5" max="5" width="9.7109375" style="2" customWidth="1"/>
    <col min="6" max="6" width="3.00390625" style="2" customWidth="1"/>
    <col min="7" max="7" width="6.7109375" style="2" customWidth="1"/>
    <col min="8" max="8" width="11.421875" style="2" bestFit="1" customWidth="1"/>
    <col min="9" max="9" width="3.00390625" style="2" customWidth="1"/>
    <col min="10" max="10" width="6.7109375" style="2" customWidth="1"/>
    <col min="11" max="11" width="11.421875" style="2" bestFit="1" customWidth="1"/>
    <col min="12" max="16384" width="5.8515625" style="2" customWidth="1"/>
  </cols>
  <sheetData>
    <row r="1" spans="1:11" ht="15">
      <c r="A1" s="206" t="s">
        <v>249</v>
      </c>
      <c r="B1" s="206"/>
      <c r="C1" s="206"/>
      <c r="D1" s="206"/>
      <c r="E1" s="206"/>
      <c r="F1" s="206"/>
      <c r="G1" s="206"/>
      <c r="H1" s="206"/>
      <c r="I1" s="206"/>
      <c r="J1" s="206"/>
      <c r="K1" s="206"/>
    </row>
    <row r="2" spans="1:11" ht="15">
      <c r="A2" s="39"/>
      <c r="B2" s="39"/>
      <c r="C2" s="39"/>
      <c r="D2" s="39"/>
      <c r="E2" s="39"/>
      <c r="F2" s="39"/>
      <c r="G2" s="39"/>
      <c r="H2" s="39"/>
      <c r="I2" s="39"/>
      <c r="J2" s="39"/>
      <c r="K2" s="39"/>
    </row>
    <row r="3" spans="1:11" ht="12" thickBot="1">
      <c r="A3" s="207" t="s">
        <v>174</v>
      </c>
      <c r="B3" s="207"/>
      <c r="C3" s="207"/>
      <c r="D3" s="207"/>
      <c r="E3" s="207"/>
      <c r="F3" s="207"/>
      <c r="G3" s="207"/>
      <c r="H3" s="207"/>
      <c r="I3" s="207"/>
      <c r="J3" s="207"/>
      <c r="K3" s="207"/>
    </row>
    <row r="4" spans="1:11" ht="24" customHeight="1">
      <c r="A4" s="208" t="s">
        <v>154</v>
      </c>
      <c r="B4" s="209"/>
      <c r="C4" s="212" t="s">
        <v>175</v>
      </c>
      <c r="D4" s="213"/>
      <c r="E4" s="214"/>
      <c r="F4" s="212" t="s">
        <v>176</v>
      </c>
      <c r="G4" s="213"/>
      <c r="H4" s="214"/>
      <c r="I4" s="212" t="s">
        <v>177</v>
      </c>
      <c r="J4" s="213"/>
      <c r="K4" s="215"/>
    </row>
    <row r="5" spans="1:11" ht="24" customHeight="1">
      <c r="A5" s="210"/>
      <c r="B5" s="211"/>
      <c r="C5" s="216" t="s">
        <v>155</v>
      </c>
      <c r="D5" s="217"/>
      <c r="E5" s="40" t="s">
        <v>156</v>
      </c>
      <c r="F5" s="216" t="s">
        <v>155</v>
      </c>
      <c r="G5" s="217"/>
      <c r="H5" s="40" t="s">
        <v>156</v>
      </c>
      <c r="I5" s="216" t="s">
        <v>155</v>
      </c>
      <c r="J5" s="217"/>
      <c r="K5" s="41" t="s">
        <v>156</v>
      </c>
    </row>
    <row r="6" spans="1:11" ht="12" customHeight="1">
      <c r="A6" s="42"/>
      <c r="B6" s="43"/>
      <c r="C6" s="44"/>
      <c r="D6" s="30" t="s">
        <v>157</v>
      </c>
      <c r="E6" s="7" t="s">
        <v>158</v>
      </c>
      <c r="F6" s="44"/>
      <c r="G6" s="30" t="s">
        <v>157</v>
      </c>
      <c r="H6" s="7" t="s">
        <v>158</v>
      </c>
      <c r="I6" s="44"/>
      <c r="J6" s="30" t="s">
        <v>157</v>
      </c>
      <c r="K6" s="45" t="s">
        <v>158</v>
      </c>
    </row>
    <row r="7" spans="1:11" ht="30" customHeight="1">
      <c r="A7" s="195" t="s">
        <v>178</v>
      </c>
      <c r="B7" s="46" t="s">
        <v>179</v>
      </c>
      <c r="C7" s="47"/>
      <c r="D7" s="104">
        <v>30341</v>
      </c>
      <c r="E7" s="48">
        <v>17966429</v>
      </c>
      <c r="F7" s="49"/>
      <c r="G7" s="104">
        <v>77908</v>
      </c>
      <c r="H7" s="48">
        <v>577598128</v>
      </c>
      <c r="I7" s="49"/>
      <c r="J7" s="104">
        <v>108249</v>
      </c>
      <c r="K7" s="50">
        <v>595564557</v>
      </c>
    </row>
    <row r="8" spans="1:11" ht="30" customHeight="1">
      <c r="A8" s="196"/>
      <c r="B8" s="51" t="s">
        <v>180</v>
      </c>
      <c r="C8" s="47"/>
      <c r="D8" s="105">
        <v>50951</v>
      </c>
      <c r="E8" s="106">
        <v>19216013</v>
      </c>
      <c r="F8" s="49"/>
      <c r="G8" s="105">
        <v>32324</v>
      </c>
      <c r="H8" s="106">
        <v>19500464</v>
      </c>
      <c r="I8" s="49"/>
      <c r="J8" s="105">
        <v>83275</v>
      </c>
      <c r="K8" s="107">
        <v>38716477</v>
      </c>
    </row>
    <row r="9" spans="1:11" s="54" customFormat="1" ht="30" customHeight="1">
      <c r="A9" s="196"/>
      <c r="B9" s="52" t="s">
        <v>181</v>
      </c>
      <c r="C9" s="53"/>
      <c r="D9" s="108">
        <v>81292</v>
      </c>
      <c r="E9" s="109">
        <v>37182441</v>
      </c>
      <c r="F9" s="53"/>
      <c r="G9" s="108">
        <v>110232</v>
      </c>
      <c r="H9" s="109">
        <v>597098593</v>
      </c>
      <c r="I9" s="53"/>
      <c r="J9" s="108">
        <v>191524</v>
      </c>
      <c r="K9" s="110">
        <v>634281034</v>
      </c>
    </row>
    <row r="10" spans="1:11" ht="30" customHeight="1">
      <c r="A10" s="197"/>
      <c r="B10" s="55" t="s">
        <v>182</v>
      </c>
      <c r="C10" s="47"/>
      <c r="D10" s="111">
        <v>2280</v>
      </c>
      <c r="E10" s="112">
        <v>1510872</v>
      </c>
      <c r="F10" s="47"/>
      <c r="G10" s="111">
        <v>4737</v>
      </c>
      <c r="H10" s="112">
        <v>35901272</v>
      </c>
      <c r="I10" s="47"/>
      <c r="J10" s="111">
        <v>7017</v>
      </c>
      <c r="K10" s="113">
        <v>37412144</v>
      </c>
    </row>
    <row r="11" spans="1:11" ht="30" customHeight="1">
      <c r="A11" s="198" t="s">
        <v>183</v>
      </c>
      <c r="B11" s="56" t="s">
        <v>184</v>
      </c>
      <c r="C11" s="57"/>
      <c r="D11" s="114">
        <v>5165</v>
      </c>
      <c r="E11" s="58">
        <v>1145738</v>
      </c>
      <c r="F11" s="59"/>
      <c r="G11" s="115">
        <v>4484</v>
      </c>
      <c r="H11" s="58">
        <v>2199024</v>
      </c>
      <c r="I11" s="59"/>
      <c r="J11" s="115">
        <v>9649</v>
      </c>
      <c r="K11" s="60">
        <v>3344761</v>
      </c>
    </row>
    <row r="12" spans="1:11" ht="30" customHeight="1">
      <c r="A12" s="199"/>
      <c r="B12" s="61" t="s">
        <v>185</v>
      </c>
      <c r="C12" s="62"/>
      <c r="D12" s="105">
        <v>983</v>
      </c>
      <c r="E12" s="106">
        <v>186461</v>
      </c>
      <c r="F12" s="63"/>
      <c r="G12" s="116">
        <v>949</v>
      </c>
      <c r="H12" s="106">
        <v>935199</v>
      </c>
      <c r="I12" s="63"/>
      <c r="J12" s="116">
        <v>1932</v>
      </c>
      <c r="K12" s="107">
        <v>1121661</v>
      </c>
    </row>
    <row r="13" spans="1:11" s="54" customFormat="1" ht="30" customHeight="1">
      <c r="A13" s="200" t="s">
        <v>159</v>
      </c>
      <c r="B13" s="201"/>
      <c r="C13" s="64" t="s">
        <v>160</v>
      </c>
      <c r="D13" s="117">
        <v>86070</v>
      </c>
      <c r="E13" s="118">
        <v>36630846</v>
      </c>
      <c r="F13" s="64" t="s">
        <v>160</v>
      </c>
      <c r="G13" s="117">
        <v>115999</v>
      </c>
      <c r="H13" s="118">
        <v>562461144</v>
      </c>
      <c r="I13" s="64" t="s">
        <v>160</v>
      </c>
      <c r="J13" s="117">
        <v>202069</v>
      </c>
      <c r="K13" s="119">
        <v>599091990</v>
      </c>
    </row>
    <row r="14" spans="1:11" ht="30" customHeight="1" thickBot="1">
      <c r="A14" s="202" t="s">
        <v>161</v>
      </c>
      <c r="B14" s="203"/>
      <c r="C14" s="65"/>
      <c r="D14" s="120">
        <v>4638</v>
      </c>
      <c r="E14" s="121">
        <v>183284</v>
      </c>
      <c r="F14" s="66"/>
      <c r="G14" s="120">
        <v>4000</v>
      </c>
      <c r="H14" s="121">
        <v>357536</v>
      </c>
      <c r="I14" s="66"/>
      <c r="J14" s="120">
        <v>8638</v>
      </c>
      <c r="K14" s="122">
        <v>540820</v>
      </c>
    </row>
    <row r="15" spans="1:11" ht="2.25" customHeight="1">
      <c r="A15" s="182"/>
      <c r="B15" s="182"/>
      <c r="C15" s="183"/>
      <c r="D15" s="184"/>
      <c r="E15" s="184"/>
      <c r="F15" s="184"/>
      <c r="G15" s="184"/>
      <c r="H15" s="184"/>
      <c r="I15" s="184"/>
      <c r="J15" s="184"/>
      <c r="K15" s="184"/>
    </row>
    <row r="16" spans="1:11" s="1" customFormat="1" ht="34.5" customHeight="1">
      <c r="A16" s="181" t="s">
        <v>172</v>
      </c>
      <c r="B16" s="204" t="s">
        <v>244</v>
      </c>
      <c r="C16" s="204"/>
      <c r="D16" s="204"/>
      <c r="E16" s="204"/>
      <c r="F16" s="204"/>
      <c r="G16" s="204"/>
      <c r="H16" s="204"/>
      <c r="I16" s="204"/>
      <c r="J16" s="204"/>
      <c r="K16" s="204"/>
    </row>
    <row r="17" spans="2:11" ht="45" customHeight="1">
      <c r="B17" s="205" t="s">
        <v>245</v>
      </c>
      <c r="C17" s="205"/>
      <c r="D17" s="205"/>
      <c r="E17" s="205"/>
      <c r="F17" s="205"/>
      <c r="G17" s="205"/>
      <c r="H17" s="205"/>
      <c r="I17" s="205"/>
      <c r="J17" s="205"/>
      <c r="K17" s="205"/>
    </row>
    <row r="18" ht="14.25" customHeight="1">
      <c r="A18" s="2" t="s">
        <v>173</v>
      </c>
    </row>
    <row r="19" ht="11.25">
      <c r="A19" s="2" t="s">
        <v>243</v>
      </c>
    </row>
  </sheetData>
  <sheetProtection/>
  <mergeCells count="15">
    <mergeCell ref="A1:K1"/>
    <mergeCell ref="A3:K3"/>
    <mergeCell ref="A4:B5"/>
    <mergeCell ref="C4:E4"/>
    <mergeCell ref="F4:H4"/>
    <mergeCell ref="I4:K4"/>
    <mergeCell ref="C5:D5"/>
    <mergeCell ref="F5:G5"/>
    <mergeCell ref="I5:J5"/>
    <mergeCell ref="A7:A10"/>
    <mergeCell ref="A11:A12"/>
    <mergeCell ref="A13:B13"/>
    <mergeCell ref="A14:B14"/>
    <mergeCell ref="B16:K16"/>
    <mergeCell ref="B17:K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(H27)</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zoomScalePageLayoutView="0" workbookViewId="0" topLeftCell="A1">
      <selection activeCell="A1" sqref="A1"/>
    </sheetView>
  </sheetViews>
  <sheetFormatPr defaultColWidth="9.140625" defaultRowHeight="15"/>
  <cols>
    <col min="1" max="1" width="10.57421875" style="3" customWidth="1"/>
    <col min="2" max="2" width="15.57421875" style="3" customWidth="1"/>
    <col min="3" max="3" width="8.57421875" style="3" customWidth="1"/>
    <col min="4" max="4" width="10.57421875" style="3" customWidth="1"/>
    <col min="5" max="5" width="8.57421875" style="3" customWidth="1"/>
    <col min="6" max="6" width="12.8515625" style="3" bestFit="1" customWidth="1"/>
    <col min="7" max="7" width="8.57421875" style="3" customWidth="1"/>
    <col min="8" max="8" width="12.8515625" style="3" bestFit="1" customWidth="1"/>
    <col min="9" max="16384" width="9.00390625" style="3" customWidth="1"/>
  </cols>
  <sheetData>
    <row r="1" s="2" customFormat="1" ht="12" thickBot="1">
      <c r="A1" s="2" t="s">
        <v>162</v>
      </c>
    </row>
    <row r="2" spans="1:8" s="2" customFormat="1" ht="15" customHeight="1">
      <c r="A2" s="208" t="s">
        <v>154</v>
      </c>
      <c r="B2" s="209"/>
      <c r="C2" s="222" t="s">
        <v>175</v>
      </c>
      <c r="D2" s="222"/>
      <c r="E2" s="222" t="s">
        <v>186</v>
      </c>
      <c r="F2" s="222"/>
      <c r="G2" s="223" t="s">
        <v>187</v>
      </c>
      <c r="H2" s="224"/>
    </row>
    <row r="3" spans="1:8" s="2" customFormat="1" ht="15" customHeight="1">
      <c r="A3" s="210"/>
      <c r="B3" s="211"/>
      <c r="C3" s="57" t="s">
        <v>188</v>
      </c>
      <c r="D3" s="40" t="s">
        <v>189</v>
      </c>
      <c r="E3" s="57" t="s">
        <v>188</v>
      </c>
      <c r="F3" s="67" t="s">
        <v>189</v>
      </c>
      <c r="G3" s="57" t="s">
        <v>188</v>
      </c>
      <c r="H3" s="68" t="s">
        <v>189</v>
      </c>
    </row>
    <row r="4" spans="1:8" s="73" customFormat="1" ht="15" customHeight="1">
      <c r="A4" s="69"/>
      <c r="B4" s="40"/>
      <c r="C4" s="70" t="s">
        <v>16</v>
      </c>
      <c r="D4" s="71" t="s">
        <v>17</v>
      </c>
      <c r="E4" s="70" t="s">
        <v>16</v>
      </c>
      <c r="F4" s="71" t="s">
        <v>17</v>
      </c>
      <c r="G4" s="70" t="s">
        <v>16</v>
      </c>
      <c r="H4" s="72" t="s">
        <v>17</v>
      </c>
    </row>
    <row r="5" spans="1:8" s="75" customFormat="1" ht="30" customHeight="1">
      <c r="A5" s="225" t="s">
        <v>164</v>
      </c>
      <c r="B5" s="46" t="s">
        <v>163</v>
      </c>
      <c r="C5" s="74">
        <v>79532</v>
      </c>
      <c r="D5" s="48">
        <v>21236019</v>
      </c>
      <c r="E5" s="74">
        <v>108145</v>
      </c>
      <c r="F5" s="48">
        <v>327904963</v>
      </c>
      <c r="G5" s="74">
        <v>187677</v>
      </c>
      <c r="H5" s="50">
        <v>349140982</v>
      </c>
    </row>
    <row r="6" spans="1:8" s="75" customFormat="1" ht="30" customHeight="1">
      <c r="A6" s="226"/>
      <c r="B6" s="55" t="s">
        <v>4</v>
      </c>
      <c r="C6" s="76">
        <v>2849</v>
      </c>
      <c r="D6" s="77">
        <v>987283</v>
      </c>
      <c r="E6" s="76">
        <v>4093</v>
      </c>
      <c r="F6" s="77">
        <v>19629040</v>
      </c>
      <c r="G6" s="76">
        <v>6942</v>
      </c>
      <c r="H6" s="78">
        <v>20616323</v>
      </c>
    </row>
    <row r="7" spans="1:8" s="75" customFormat="1" ht="30" customHeight="1">
      <c r="A7" s="218" t="s">
        <v>241</v>
      </c>
      <c r="B7" s="79" t="s">
        <v>163</v>
      </c>
      <c r="C7" s="80">
        <v>75997</v>
      </c>
      <c r="D7" s="58">
        <v>22203812</v>
      </c>
      <c r="E7" s="80">
        <v>106765</v>
      </c>
      <c r="F7" s="58">
        <v>338647001</v>
      </c>
      <c r="G7" s="80">
        <v>182762</v>
      </c>
      <c r="H7" s="60">
        <v>360850813</v>
      </c>
    </row>
    <row r="8" spans="1:8" s="75" customFormat="1" ht="30" customHeight="1">
      <c r="A8" s="219"/>
      <c r="B8" s="55" t="s">
        <v>4</v>
      </c>
      <c r="C8" s="76">
        <v>2661</v>
      </c>
      <c r="D8" s="77">
        <v>946015</v>
      </c>
      <c r="E8" s="76">
        <v>4467</v>
      </c>
      <c r="F8" s="77">
        <v>24024924</v>
      </c>
      <c r="G8" s="76">
        <v>7128</v>
      </c>
      <c r="H8" s="78">
        <v>24970939</v>
      </c>
    </row>
    <row r="9" spans="1:8" s="75" customFormat="1" ht="30" customHeight="1">
      <c r="A9" s="225" t="s">
        <v>171</v>
      </c>
      <c r="B9" s="79" t="s">
        <v>163</v>
      </c>
      <c r="C9" s="80">
        <v>76038</v>
      </c>
      <c r="D9" s="58">
        <v>22551783</v>
      </c>
      <c r="E9" s="80">
        <v>107000</v>
      </c>
      <c r="F9" s="58">
        <v>353935902</v>
      </c>
      <c r="G9" s="80">
        <v>183038</v>
      </c>
      <c r="H9" s="60">
        <v>376487686</v>
      </c>
    </row>
    <row r="10" spans="1:8" s="75" customFormat="1" ht="30" customHeight="1">
      <c r="A10" s="226"/>
      <c r="B10" s="55" t="s">
        <v>4</v>
      </c>
      <c r="C10" s="76">
        <v>2459</v>
      </c>
      <c r="D10" s="77">
        <v>876644</v>
      </c>
      <c r="E10" s="76">
        <v>4551</v>
      </c>
      <c r="F10" s="77">
        <v>24879163</v>
      </c>
      <c r="G10" s="76">
        <v>7010</v>
      </c>
      <c r="H10" s="78">
        <v>25755807</v>
      </c>
    </row>
    <row r="11" spans="1:8" s="75" customFormat="1" ht="30" customHeight="1">
      <c r="A11" s="218" t="s">
        <v>242</v>
      </c>
      <c r="B11" s="79" t="s">
        <v>163</v>
      </c>
      <c r="C11" s="80">
        <v>81356</v>
      </c>
      <c r="D11" s="58">
        <v>33217122</v>
      </c>
      <c r="E11" s="80">
        <v>108982</v>
      </c>
      <c r="F11" s="58">
        <v>514265631</v>
      </c>
      <c r="G11" s="80">
        <v>190338</v>
      </c>
      <c r="H11" s="60">
        <v>547482754</v>
      </c>
    </row>
    <row r="12" spans="1:8" s="75" customFormat="1" ht="30" customHeight="1">
      <c r="A12" s="219"/>
      <c r="B12" s="55" t="s">
        <v>4</v>
      </c>
      <c r="C12" s="76">
        <v>2588</v>
      </c>
      <c r="D12" s="77">
        <v>1290703</v>
      </c>
      <c r="E12" s="76">
        <v>4731</v>
      </c>
      <c r="F12" s="77">
        <v>35075223</v>
      </c>
      <c r="G12" s="76">
        <v>7319</v>
      </c>
      <c r="H12" s="78">
        <v>36365926</v>
      </c>
    </row>
    <row r="13" spans="1:8" s="2" customFormat="1" ht="30" customHeight="1">
      <c r="A13" s="220" t="s">
        <v>246</v>
      </c>
      <c r="B13" s="79" t="s">
        <v>163</v>
      </c>
      <c r="C13" s="80">
        <v>81292</v>
      </c>
      <c r="D13" s="58">
        <v>37182441</v>
      </c>
      <c r="E13" s="80">
        <v>110232</v>
      </c>
      <c r="F13" s="58">
        <v>597098593</v>
      </c>
      <c r="G13" s="80">
        <v>191524</v>
      </c>
      <c r="H13" s="60">
        <v>634281034</v>
      </c>
    </row>
    <row r="14" spans="1:8" s="2" customFormat="1" ht="30" customHeight="1" thickBot="1">
      <c r="A14" s="221"/>
      <c r="B14" s="81" t="s">
        <v>4</v>
      </c>
      <c r="C14" s="123">
        <v>2280</v>
      </c>
      <c r="D14" s="124">
        <v>1510872</v>
      </c>
      <c r="E14" s="123">
        <v>4737</v>
      </c>
      <c r="F14" s="124">
        <v>35901272</v>
      </c>
      <c r="G14" s="123">
        <v>7017</v>
      </c>
      <c r="H14" s="125">
        <v>37412144</v>
      </c>
    </row>
    <row r="15" spans="5:7" s="2" customFormat="1" ht="11.25">
      <c r="E15" s="82"/>
      <c r="G15" s="82"/>
    </row>
    <row r="16" spans="5:7" s="2" customFormat="1" ht="11.25">
      <c r="E16" s="82"/>
      <c r="G16" s="82"/>
    </row>
    <row r="17" spans="5:7" s="2" customFormat="1" ht="11.25">
      <c r="E17" s="82"/>
      <c r="G17" s="82"/>
    </row>
    <row r="18" spans="5:7" s="2" customFormat="1" ht="11.25">
      <c r="E18" s="82"/>
      <c r="G18" s="82"/>
    </row>
    <row r="19" spans="5:7" s="2" customFormat="1" ht="11.25">
      <c r="E19" s="82"/>
      <c r="G19" s="82"/>
    </row>
    <row r="20" spans="5:7" s="2" customFormat="1" ht="11.25">
      <c r="E20" s="82"/>
      <c r="G20" s="82"/>
    </row>
    <row r="21" spans="5:7" s="2" customFormat="1" ht="11.25">
      <c r="E21" s="82"/>
      <c r="G21" s="82"/>
    </row>
    <row r="22" spans="5:7" s="2" customFormat="1" ht="11.25">
      <c r="E22" s="82"/>
      <c r="G22" s="82"/>
    </row>
  </sheetData>
  <sheetProtection/>
  <mergeCells count="9">
    <mergeCell ref="A11:A12"/>
    <mergeCell ref="A13:A14"/>
    <mergeCell ref="A2:B3"/>
    <mergeCell ref="C2:D2"/>
    <mergeCell ref="E2:F2"/>
    <mergeCell ref="G2:H2"/>
    <mergeCell ref="A5:A6"/>
    <mergeCell ref="A7:A8"/>
    <mergeCell ref="A9:A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&amp;R仙台国税局
消費税
(H27)</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zoomScalePageLayoutView="0" workbookViewId="0" topLeftCell="A1">
      <selection activeCell="A1" sqref="A1"/>
    </sheetView>
  </sheetViews>
  <sheetFormatPr defaultColWidth="9.140625" defaultRowHeight="15"/>
  <cols>
    <col min="1" max="2" width="18.57421875" style="3" customWidth="1"/>
    <col min="3" max="3" width="23.57421875" style="3" customWidth="1"/>
    <col min="4" max="4" width="18.57421875" style="3" customWidth="1"/>
    <col min="5" max="16384" width="9.00390625" style="3" customWidth="1"/>
  </cols>
  <sheetData>
    <row r="1" s="2" customFormat="1" ht="20.25" customHeight="1" thickBot="1">
      <c r="A1" s="2" t="s">
        <v>165</v>
      </c>
    </row>
    <row r="2" spans="1:4" s="1" customFormat="1" ht="19.5" customHeight="1">
      <c r="A2" s="83" t="s">
        <v>166</v>
      </c>
      <c r="B2" s="84" t="s">
        <v>167</v>
      </c>
      <c r="C2" s="85" t="s">
        <v>168</v>
      </c>
      <c r="D2" s="86" t="s">
        <v>169</v>
      </c>
    </row>
    <row r="3" spans="1:4" s="73" customFormat="1" ht="15" customHeight="1">
      <c r="A3" s="87" t="s">
        <v>16</v>
      </c>
      <c r="B3" s="88" t="s">
        <v>16</v>
      </c>
      <c r="C3" s="89" t="s">
        <v>16</v>
      </c>
      <c r="D3" s="90" t="s">
        <v>16</v>
      </c>
    </row>
    <row r="4" spans="1:9" s="1" customFormat="1" ht="30" customHeight="1" thickBot="1">
      <c r="A4" s="126">
        <v>197664</v>
      </c>
      <c r="B4" s="127">
        <v>4846</v>
      </c>
      <c r="C4" s="128">
        <v>575</v>
      </c>
      <c r="D4" s="129">
        <v>203085</v>
      </c>
      <c r="E4" s="91"/>
      <c r="G4" s="91"/>
      <c r="I4" s="91"/>
    </row>
    <row r="5" spans="1:4" s="1" customFormat="1" ht="15" customHeight="1">
      <c r="A5" s="227" t="s">
        <v>247</v>
      </c>
      <c r="B5" s="227"/>
      <c r="C5" s="227"/>
      <c r="D5" s="227"/>
    </row>
    <row r="6" spans="1:4" s="1" customFormat="1" ht="15" customHeight="1">
      <c r="A6" s="228" t="s">
        <v>170</v>
      </c>
      <c r="B6" s="228"/>
      <c r="C6" s="228"/>
      <c r="D6" s="228"/>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&amp;R仙台国税局
消費税
(H27)</oddFooter>
  </headerFooter>
</worksheet>
</file>

<file path=xl/worksheets/sheet4.xml><?xml version="1.0" encoding="utf-8"?>
<worksheet xmlns="http://schemas.openxmlformats.org/spreadsheetml/2006/main" xmlns:r="http://schemas.openxmlformats.org/officeDocument/2006/relationships">
  <dimension ref="A1:O86"/>
  <sheetViews>
    <sheetView showGridLines="0" zoomScalePageLayoutView="0" workbookViewId="0" topLeftCell="A1">
      <selection activeCell="A1" sqref="A1"/>
    </sheetView>
  </sheetViews>
  <sheetFormatPr defaultColWidth="9.140625" defaultRowHeight="15"/>
  <cols>
    <col min="1" max="1" width="11.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4" ht="13.5">
      <c r="A1" s="1" t="s">
        <v>0</v>
      </c>
      <c r="B1" s="1"/>
      <c r="C1" s="1"/>
      <c r="D1" s="1"/>
      <c r="E1" s="1"/>
      <c r="F1" s="1"/>
      <c r="G1" s="1"/>
      <c r="H1" s="2"/>
      <c r="I1" s="2"/>
      <c r="J1" s="2"/>
      <c r="K1" s="2"/>
      <c r="L1" s="2"/>
      <c r="M1" s="2"/>
      <c r="N1" s="2"/>
    </row>
    <row r="2" spans="1:14" ht="14.25" thickBot="1">
      <c r="A2" s="228" t="s">
        <v>1</v>
      </c>
      <c r="B2" s="228"/>
      <c r="C2" s="228"/>
      <c r="D2" s="228"/>
      <c r="E2" s="228"/>
      <c r="F2" s="228"/>
      <c r="G2" s="228"/>
      <c r="H2" s="2"/>
      <c r="I2" s="2"/>
      <c r="J2" s="2"/>
      <c r="K2" s="2"/>
      <c r="L2" s="2"/>
      <c r="M2" s="2"/>
      <c r="N2" s="2"/>
    </row>
    <row r="3" spans="1:14" ht="19.5" customHeight="1">
      <c r="A3" s="234" t="s">
        <v>2</v>
      </c>
      <c r="B3" s="237" t="s">
        <v>3</v>
      </c>
      <c r="C3" s="237"/>
      <c r="D3" s="237"/>
      <c r="E3" s="237"/>
      <c r="F3" s="237"/>
      <c r="G3" s="237"/>
      <c r="H3" s="229" t="s">
        <v>4</v>
      </c>
      <c r="I3" s="230"/>
      <c r="J3" s="243" t="s">
        <v>5</v>
      </c>
      <c r="K3" s="230"/>
      <c r="L3" s="229" t="s">
        <v>6</v>
      </c>
      <c r="M3" s="230"/>
      <c r="N3" s="238" t="s">
        <v>7</v>
      </c>
    </row>
    <row r="4" spans="1:14" ht="17.25" customHeight="1">
      <c r="A4" s="235"/>
      <c r="B4" s="241" t="s">
        <v>8</v>
      </c>
      <c r="C4" s="241"/>
      <c r="D4" s="231" t="s">
        <v>9</v>
      </c>
      <c r="E4" s="242"/>
      <c r="F4" s="231" t="s">
        <v>10</v>
      </c>
      <c r="G4" s="242"/>
      <c r="H4" s="231"/>
      <c r="I4" s="232"/>
      <c r="J4" s="231"/>
      <c r="K4" s="232"/>
      <c r="L4" s="231"/>
      <c r="M4" s="232"/>
      <c r="N4" s="239"/>
    </row>
    <row r="5" spans="1:14" s="4" customFormat="1" ht="28.5" customHeight="1">
      <c r="A5" s="236"/>
      <c r="B5" s="33" t="s">
        <v>11</v>
      </c>
      <c r="C5" s="34" t="s">
        <v>12</v>
      </c>
      <c r="D5" s="33" t="s">
        <v>11</v>
      </c>
      <c r="E5" s="34" t="s">
        <v>12</v>
      </c>
      <c r="F5" s="33" t="s">
        <v>11</v>
      </c>
      <c r="G5" s="38" t="s">
        <v>13</v>
      </c>
      <c r="H5" s="33" t="s">
        <v>93</v>
      </c>
      <c r="I5" s="37" t="s">
        <v>14</v>
      </c>
      <c r="J5" s="33" t="s">
        <v>93</v>
      </c>
      <c r="K5" s="37" t="s">
        <v>15</v>
      </c>
      <c r="L5" s="33" t="s">
        <v>93</v>
      </c>
      <c r="M5" s="35" t="s">
        <v>94</v>
      </c>
      <c r="N5" s="240"/>
    </row>
    <row r="6" spans="1:14" s="10"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19</v>
      </c>
      <c r="B7" s="130">
        <f>_xlfn.COMPOUNDVALUE(1)</f>
        <v>1030</v>
      </c>
      <c r="C7" s="131">
        <v>604501</v>
      </c>
      <c r="D7" s="130">
        <f>_xlfn.COMPOUNDVALUE(2)</f>
        <v>1518</v>
      </c>
      <c r="E7" s="131">
        <v>619515</v>
      </c>
      <c r="F7" s="130">
        <f>_xlfn.COMPOUNDVALUE(3)</f>
        <v>2548</v>
      </c>
      <c r="G7" s="131">
        <v>1224016</v>
      </c>
      <c r="H7" s="130">
        <f>_xlfn.COMPOUNDVALUE(4)</f>
        <v>44</v>
      </c>
      <c r="I7" s="132">
        <v>7313</v>
      </c>
      <c r="J7" s="130">
        <v>220</v>
      </c>
      <c r="K7" s="132">
        <v>35844</v>
      </c>
      <c r="L7" s="130">
        <v>2670</v>
      </c>
      <c r="M7" s="132">
        <v>1252547</v>
      </c>
      <c r="N7" s="12" t="s">
        <v>98</v>
      </c>
    </row>
    <row r="8" spans="1:14" ht="15.75" customHeight="1">
      <c r="A8" s="13" t="s">
        <v>20</v>
      </c>
      <c r="B8" s="133">
        <f>_xlfn.COMPOUNDVALUE(5)</f>
        <v>656</v>
      </c>
      <c r="C8" s="134">
        <v>380295</v>
      </c>
      <c r="D8" s="133">
        <f>_xlfn.COMPOUNDVALUE(6)</f>
        <v>1088</v>
      </c>
      <c r="E8" s="134">
        <v>406543</v>
      </c>
      <c r="F8" s="133">
        <f>_xlfn.COMPOUNDVALUE(7)</f>
        <v>1744</v>
      </c>
      <c r="G8" s="134">
        <v>786839</v>
      </c>
      <c r="H8" s="133">
        <f>_xlfn.COMPOUNDVALUE(8)</f>
        <v>25</v>
      </c>
      <c r="I8" s="135">
        <v>6801</v>
      </c>
      <c r="J8" s="133">
        <v>110</v>
      </c>
      <c r="K8" s="135">
        <v>17964</v>
      </c>
      <c r="L8" s="133">
        <v>1818</v>
      </c>
      <c r="M8" s="135">
        <v>798002</v>
      </c>
      <c r="N8" s="14" t="s">
        <v>99</v>
      </c>
    </row>
    <row r="9" spans="1:14" ht="15.75" customHeight="1">
      <c r="A9" s="13" t="s">
        <v>21</v>
      </c>
      <c r="B9" s="133">
        <f>_xlfn.COMPOUNDVALUE(9)</f>
        <v>964</v>
      </c>
      <c r="C9" s="134">
        <v>588468</v>
      </c>
      <c r="D9" s="133">
        <f>_xlfn.COMPOUNDVALUE(10)</f>
        <v>1559</v>
      </c>
      <c r="E9" s="134">
        <v>599197</v>
      </c>
      <c r="F9" s="133">
        <f>_xlfn.COMPOUNDVALUE(11)</f>
        <v>2523</v>
      </c>
      <c r="G9" s="134">
        <v>1187665</v>
      </c>
      <c r="H9" s="133">
        <f>_xlfn.COMPOUNDVALUE(12)</f>
        <v>65</v>
      </c>
      <c r="I9" s="135">
        <v>25617</v>
      </c>
      <c r="J9" s="133">
        <v>163</v>
      </c>
      <c r="K9" s="135">
        <v>36501</v>
      </c>
      <c r="L9" s="133">
        <v>2654</v>
      </c>
      <c r="M9" s="135">
        <v>1198549</v>
      </c>
      <c r="N9" s="14" t="s">
        <v>100</v>
      </c>
    </row>
    <row r="10" spans="1:14" ht="15.75" customHeight="1">
      <c r="A10" s="13" t="s">
        <v>22</v>
      </c>
      <c r="B10" s="133">
        <f>_xlfn.COMPOUNDVALUE(13)</f>
        <v>341</v>
      </c>
      <c r="C10" s="134">
        <v>226310</v>
      </c>
      <c r="D10" s="133">
        <f>_xlfn.COMPOUNDVALUE(14)</f>
        <v>616</v>
      </c>
      <c r="E10" s="134">
        <v>212946</v>
      </c>
      <c r="F10" s="133">
        <f>_xlfn.COMPOUNDVALUE(15)</f>
        <v>957</v>
      </c>
      <c r="G10" s="134">
        <v>439256</v>
      </c>
      <c r="H10" s="133">
        <f>_xlfn.COMPOUNDVALUE(16)</f>
        <v>14</v>
      </c>
      <c r="I10" s="135">
        <v>3206</v>
      </c>
      <c r="J10" s="133">
        <v>51</v>
      </c>
      <c r="K10" s="135">
        <v>8816</v>
      </c>
      <c r="L10" s="133">
        <v>986</v>
      </c>
      <c r="M10" s="135">
        <v>444866</v>
      </c>
      <c r="N10" s="14" t="s">
        <v>101</v>
      </c>
    </row>
    <row r="11" spans="1:14" ht="15.75" customHeight="1">
      <c r="A11" s="13" t="s">
        <v>23</v>
      </c>
      <c r="B11" s="133">
        <f>_xlfn.COMPOUNDVALUE(17)</f>
        <v>628</v>
      </c>
      <c r="C11" s="134">
        <v>350771</v>
      </c>
      <c r="D11" s="133">
        <f>_xlfn.COMPOUNDVALUE(18)</f>
        <v>1337</v>
      </c>
      <c r="E11" s="134">
        <v>412245</v>
      </c>
      <c r="F11" s="133">
        <f>_xlfn.COMPOUNDVALUE(19)</f>
        <v>1965</v>
      </c>
      <c r="G11" s="134">
        <v>763016</v>
      </c>
      <c r="H11" s="133">
        <f>_xlfn.COMPOUNDVALUE(20)</f>
        <v>38</v>
      </c>
      <c r="I11" s="135">
        <v>19387</v>
      </c>
      <c r="J11" s="133">
        <v>76</v>
      </c>
      <c r="K11" s="135">
        <v>10260</v>
      </c>
      <c r="L11" s="133">
        <v>2038</v>
      </c>
      <c r="M11" s="135">
        <v>753888</v>
      </c>
      <c r="N11" s="14" t="s">
        <v>102</v>
      </c>
    </row>
    <row r="12" spans="1:14" ht="15.75" customHeight="1">
      <c r="A12" s="13" t="s">
        <v>24</v>
      </c>
      <c r="B12" s="133">
        <f>_xlfn.COMPOUNDVALUE(21)</f>
        <v>893</v>
      </c>
      <c r="C12" s="134">
        <v>571286</v>
      </c>
      <c r="D12" s="133">
        <f>_xlfn.COMPOUNDVALUE(22)</f>
        <v>1984</v>
      </c>
      <c r="E12" s="134">
        <v>798784</v>
      </c>
      <c r="F12" s="133">
        <f>_xlfn.COMPOUNDVALUE(23)</f>
        <v>2877</v>
      </c>
      <c r="G12" s="134">
        <v>1370070</v>
      </c>
      <c r="H12" s="133">
        <f>_xlfn.COMPOUNDVALUE(24)</f>
        <v>75</v>
      </c>
      <c r="I12" s="135">
        <v>41411</v>
      </c>
      <c r="J12" s="133">
        <v>168</v>
      </c>
      <c r="K12" s="135">
        <v>27858</v>
      </c>
      <c r="L12" s="133">
        <v>3020</v>
      </c>
      <c r="M12" s="135">
        <v>1356517</v>
      </c>
      <c r="N12" s="14" t="s">
        <v>103</v>
      </c>
    </row>
    <row r="13" spans="1:14" ht="15.75" customHeight="1">
      <c r="A13" s="13" t="s">
        <v>25</v>
      </c>
      <c r="B13" s="133">
        <f>_xlfn.COMPOUNDVALUE(25)</f>
        <v>305</v>
      </c>
      <c r="C13" s="134">
        <v>182990</v>
      </c>
      <c r="D13" s="133">
        <f>_xlfn.COMPOUNDVALUE(26)</f>
        <v>638</v>
      </c>
      <c r="E13" s="134">
        <v>234207</v>
      </c>
      <c r="F13" s="133">
        <f>_xlfn.COMPOUNDVALUE(27)</f>
        <v>943</v>
      </c>
      <c r="G13" s="134">
        <v>417197</v>
      </c>
      <c r="H13" s="133">
        <f>_xlfn.COMPOUNDVALUE(28)</f>
        <v>17</v>
      </c>
      <c r="I13" s="135">
        <v>4328</v>
      </c>
      <c r="J13" s="133">
        <v>27</v>
      </c>
      <c r="K13" s="135">
        <v>6216</v>
      </c>
      <c r="L13" s="133">
        <v>980</v>
      </c>
      <c r="M13" s="135">
        <v>419084</v>
      </c>
      <c r="N13" s="14" t="s">
        <v>25</v>
      </c>
    </row>
    <row r="14" spans="1:14" s="17" customFormat="1" ht="15.75" customHeight="1">
      <c r="A14" s="15" t="s">
        <v>26</v>
      </c>
      <c r="B14" s="136">
        <v>4817</v>
      </c>
      <c r="C14" s="137">
        <v>2904621</v>
      </c>
      <c r="D14" s="136">
        <v>8740</v>
      </c>
      <c r="E14" s="137">
        <v>3283436</v>
      </c>
      <c r="F14" s="136">
        <v>13557</v>
      </c>
      <c r="G14" s="137">
        <v>6188057</v>
      </c>
      <c r="H14" s="136">
        <v>278</v>
      </c>
      <c r="I14" s="138">
        <v>108063</v>
      </c>
      <c r="J14" s="136">
        <v>815</v>
      </c>
      <c r="K14" s="138">
        <v>143459</v>
      </c>
      <c r="L14" s="136">
        <v>14166</v>
      </c>
      <c r="M14" s="138">
        <v>6223453</v>
      </c>
      <c r="N14" s="16" t="s">
        <v>97</v>
      </c>
    </row>
    <row r="15" spans="1:15" s="20" customFormat="1" ht="15.75" customHeight="1">
      <c r="A15" s="186"/>
      <c r="B15" s="185"/>
      <c r="C15" s="189"/>
      <c r="D15" s="185"/>
      <c r="E15" s="189"/>
      <c r="F15" s="185"/>
      <c r="G15" s="189"/>
      <c r="H15" s="191"/>
      <c r="I15" s="190"/>
      <c r="J15" s="185"/>
      <c r="K15" s="189"/>
      <c r="L15" s="191"/>
      <c r="M15" s="190"/>
      <c r="N15" s="187"/>
      <c r="O15" s="188"/>
    </row>
    <row r="16" spans="1:14" ht="15.75" customHeight="1">
      <c r="A16" s="11" t="s">
        <v>27</v>
      </c>
      <c r="B16" s="130">
        <f>_xlfn.COMPOUNDVALUE(29)</f>
        <v>1559</v>
      </c>
      <c r="C16" s="131">
        <v>959869</v>
      </c>
      <c r="D16" s="130">
        <f>_xlfn.COMPOUNDVALUE(30)</f>
        <v>2266</v>
      </c>
      <c r="E16" s="131">
        <v>936930</v>
      </c>
      <c r="F16" s="130">
        <f>_xlfn.COMPOUNDVALUE(31)</f>
        <v>3825</v>
      </c>
      <c r="G16" s="131">
        <v>1896799</v>
      </c>
      <c r="H16" s="130">
        <f>_xlfn.COMPOUNDVALUE(32)</f>
        <v>105</v>
      </c>
      <c r="I16" s="132">
        <v>66696</v>
      </c>
      <c r="J16" s="130">
        <v>378</v>
      </c>
      <c r="K16" s="132">
        <v>47031</v>
      </c>
      <c r="L16" s="130">
        <v>4093</v>
      </c>
      <c r="M16" s="132">
        <v>1877134</v>
      </c>
      <c r="N16" s="24" t="s">
        <v>104</v>
      </c>
    </row>
    <row r="17" spans="1:14" ht="15.75" customHeight="1">
      <c r="A17" s="13" t="s">
        <v>28</v>
      </c>
      <c r="B17" s="133">
        <f>_xlfn.COMPOUNDVALUE(33)</f>
        <v>339</v>
      </c>
      <c r="C17" s="134">
        <v>230625</v>
      </c>
      <c r="D17" s="133">
        <f>_xlfn.COMPOUNDVALUE(34)</f>
        <v>585</v>
      </c>
      <c r="E17" s="134">
        <v>225320</v>
      </c>
      <c r="F17" s="133">
        <f>_xlfn.COMPOUNDVALUE(35)</f>
        <v>924</v>
      </c>
      <c r="G17" s="134">
        <v>455945</v>
      </c>
      <c r="H17" s="133">
        <f>_xlfn.COMPOUNDVALUE(36)</f>
        <v>22</v>
      </c>
      <c r="I17" s="135">
        <v>10921</v>
      </c>
      <c r="J17" s="133">
        <v>117</v>
      </c>
      <c r="K17" s="135">
        <v>13458</v>
      </c>
      <c r="L17" s="133">
        <v>980</v>
      </c>
      <c r="M17" s="135">
        <v>458482</v>
      </c>
      <c r="N17" s="14" t="s">
        <v>105</v>
      </c>
    </row>
    <row r="18" spans="1:14" ht="15.75" customHeight="1">
      <c r="A18" s="13" t="s">
        <v>29</v>
      </c>
      <c r="B18" s="133">
        <f>_xlfn.COMPOUNDVALUE(37)</f>
        <v>364</v>
      </c>
      <c r="C18" s="134">
        <v>309509</v>
      </c>
      <c r="D18" s="133">
        <f>_xlfn.COMPOUNDVALUE(38)</f>
        <v>424</v>
      </c>
      <c r="E18" s="134">
        <v>165485</v>
      </c>
      <c r="F18" s="133">
        <f>_xlfn.COMPOUNDVALUE(39)</f>
        <v>788</v>
      </c>
      <c r="G18" s="134">
        <v>474994</v>
      </c>
      <c r="H18" s="133">
        <f>_xlfn.COMPOUNDVALUE(40)</f>
        <v>23</v>
      </c>
      <c r="I18" s="135">
        <v>39882</v>
      </c>
      <c r="J18" s="133">
        <v>87</v>
      </c>
      <c r="K18" s="135">
        <v>7681</v>
      </c>
      <c r="L18" s="133">
        <v>841</v>
      </c>
      <c r="M18" s="135">
        <v>442793</v>
      </c>
      <c r="N18" s="14" t="s">
        <v>106</v>
      </c>
    </row>
    <row r="19" spans="1:14" ht="15.75" customHeight="1">
      <c r="A19" s="13" t="s">
        <v>30</v>
      </c>
      <c r="B19" s="133">
        <f>_xlfn.COMPOUNDVALUE(41)</f>
        <v>493</v>
      </c>
      <c r="C19" s="134">
        <v>266204</v>
      </c>
      <c r="D19" s="133">
        <f>_xlfn.COMPOUNDVALUE(42)</f>
        <v>662</v>
      </c>
      <c r="E19" s="134">
        <v>261427</v>
      </c>
      <c r="F19" s="133">
        <f>_xlfn.COMPOUNDVALUE(43)</f>
        <v>1155</v>
      </c>
      <c r="G19" s="134">
        <v>527630</v>
      </c>
      <c r="H19" s="133">
        <f>_xlfn.COMPOUNDVALUE(44)</f>
        <v>85</v>
      </c>
      <c r="I19" s="135">
        <v>35584</v>
      </c>
      <c r="J19" s="133">
        <v>87</v>
      </c>
      <c r="K19" s="135">
        <v>8652</v>
      </c>
      <c r="L19" s="133">
        <v>1268</v>
      </c>
      <c r="M19" s="135">
        <v>500698</v>
      </c>
      <c r="N19" s="14" t="s">
        <v>107</v>
      </c>
    </row>
    <row r="20" spans="1:14" ht="15.75" customHeight="1">
      <c r="A20" s="13" t="s">
        <v>31</v>
      </c>
      <c r="B20" s="133">
        <f>_xlfn.COMPOUNDVALUE(45)</f>
        <v>650</v>
      </c>
      <c r="C20" s="134">
        <v>385993</v>
      </c>
      <c r="D20" s="133">
        <f>_xlfn.COMPOUNDVALUE(46)</f>
        <v>794</v>
      </c>
      <c r="E20" s="134">
        <v>310883</v>
      </c>
      <c r="F20" s="133">
        <f>_xlfn.COMPOUNDVALUE(47)</f>
        <v>1444</v>
      </c>
      <c r="G20" s="134">
        <v>696877</v>
      </c>
      <c r="H20" s="133">
        <f>_xlfn.COMPOUNDVALUE(48)</f>
        <v>54</v>
      </c>
      <c r="I20" s="135">
        <v>35739</v>
      </c>
      <c r="J20" s="133">
        <v>81</v>
      </c>
      <c r="K20" s="135">
        <v>6120</v>
      </c>
      <c r="L20" s="133">
        <v>1512</v>
      </c>
      <c r="M20" s="135">
        <v>667258</v>
      </c>
      <c r="N20" s="14" t="s">
        <v>108</v>
      </c>
    </row>
    <row r="21" spans="1:14" ht="15.75" customHeight="1">
      <c r="A21" s="13" t="s">
        <v>32</v>
      </c>
      <c r="B21" s="133">
        <f>_xlfn.COMPOUNDVALUE(49)</f>
        <v>361</v>
      </c>
      <c r="C21" s="134">
        <v>209787</v>
      </c>
      <c r="D21" s="133">
        <f>_xlfn.COMPOUNDVALUE(50)</f>
        <v>320</v>
      </c>
      <c r="E21" s="134">
        <v>136262</v>
      </c>
      <c r="F21" s="133">
        <f>_xlfn.COMPOUNDVALUE(51)</f>
        <v>681</v>
      </c>
      <c r="G21" s="134">
        <v>346049</v>
      </c>
      <c r="H21" s="133">
        <f>_xlfn.COMPOUNDVALUE(52)</f>
        <v>28</v>
      </c>
      <c r="I21" s="135">
        <v>13251</v>
      </c>
      <c r="J21" s="133">
        <v>47</v>
      </c>
      <c r="K21" s="135">
        <v>5675</v>
      </c>
      <c r="L21" s="133">
        <v>721</v>
      </c>
      <c r="M21" s="135">
        <v>338473</v>
      </c>
      <c r="N21" s="14" t="s">
        <v>109</v>
      </c>
    </row>
    <row r="22" spans="1:14" ht="15.75" customHeight="1">
      <c r="A22" s="13" t="s">
        <v>33</v>
      </c>
      <c r="B22" s="133">
        <f>_xlfn.COMPOUNDVALUE(53)</f>
        <v>459</v>
      </c>
      <c r="C22" s="134">
        <v>252528</v>
      </c>
      <c r="D22" s="133">
        <f>_xlfn.COMPOUNDVALUE(54)</f>
        <v>643</v>
      </c>
      <c r="E22" s="134">
        <v>232414</v>
      </c>
      <c r="F22" s="133">
        <f>_xlfn.COMPOUNDVALUE(55)</f>
        <v>1102</v>
      </c>
      <c r="G22" s="134">
        <v>484942</v>
      </c>
      <c r="H22" s="133">
        <f>_xlfn.COMPOUNDVALUE(56)</f>
        <v>52</v>
      </c>
      <c r="I22" s="135">
        <v>19135</v>
      </c>
      <c r="J22" s="133">
        <v>99</v>
      </c>
      <c r="K22" s="135">
        <v>3860</v>
      </c>
      <c r="L22" s="133">
        <v>1182</v>
      </c>
      <c r="M22" s="135">
        <v>469667</v>
      </c>
      <c r="N22" s="14" t="s">
        <v>110</v>
      </c>
    </row>
    <row r="23" spans="1:14" ht="15.75" customHeight="1">
      <c r="A23" s="13" t="s">
        <v>34</v>
      </c>
      <c r="B23" s="133">
        <f>_xlfn.COMPOUNDVALUE(57)</f>
        <v>270</v>
      </c>
      <c r="C23" s="134">
        <v>167239</v>
      </c>
      <c r="D23" s="133">
        <f>_xlfn.COMPOUNDVALUE(58)</f>
        <v>415</v>
      </c>
      <c r="E23" s="134">
        <v>162668</v>
      </c>
      <c r="F23" s="133">
        <f>_xlfn.COMPOUNDVALUE(59)</f>
        <v>685</v>
      </c>
      <c r="G23" s="134">
        <v>329907</v>
      </c>
      <c r="H23" s="133">
        <f>_xlfn.COMPOUNDVALUE(60)</f>
        <v>26</v>
      </c>
      <c r="I23" s="135">
        <v>24705</v>
      </c>
      <c r="J23" s="133">
        <v>103</v>
      </c>
      <c r="K23" s="135">
        <v>16983</v>
      </c>
      <c r="L23" s="133">
        <v>763</v>
      </c>
      <c r="M23" s="135">
        <v>322184</v>
      </c>
      <c r="N23" s="14" t="s">
        <v>111</v>
      </c>
    </row>
    <row r="24" spans="1:14" ht="15.75" customHeight="1">
      <c r="A24" s="13" t="s">
        <v>35</v>
      </c>
      <c r="B24" s="133">
        <f>_xlfn.COMPOUNDVALUE(61)</f>
        <v>315</v>
      </c>
      <c r="C24" s="134">
        <v>225807</v>
      </c>
      <c r="D24" s="133">
        <f>_xlfn.COMPOUNDVALUE(62)</f>
        <v>422</v>
      </c>
      <c r="E24" s="134">
        <v>156908</v>
      </c>
      <c r="F24" s="133">
        <f>_xlfn.COMPOUNDVALUE(63)</f>
        <v>737</v>
      </c>
      <c r="G24" s="134">
        <v>382716</v>
      </c>
      <c r="H24" s="133">
        <f>_xlfn.COMPOUNDVALUE(64)</f>
        <v>26</v>
      </c>
      <c r="I24" s="135">
        <v>5909</v>
      </c>
      <c r="J24" s="133">
        <v>24</v>
      </c>
      <c r="K24" s="135">
        <v>2183</v>
      </c>
      <c r="L24" s="133">
        <v>776</v>
      </c>
      <c r="M24" s="135">
        <v>378990</v>
      </c>
      <c r="N24" s="14" t="s">
        <v>112</v>
      </c>
    </row>
    <row r="25" spans="1:14" s="17" customFormat="1" ht="15.75" customHeight="1">
      <c r="A25" s="15" t="s">
        <v>36</v>
      </c>
      <c r="B25" s="136">
        <v>4810</v>
      </c>
      <c r="C25" s="137">
        <v>3007562</v>
      </c>
      <c r="D25" s="136">
        <v>6531</v>
      </c>
      <c r="E25" s="137">
        <v>2588297</v>
      </c>
      <c r="F25" s="136">
        <v>11341</v>
      </c>
      <c r="G25" s="137">
        <v>5595859</v>
      </c>
      <c r="H25" s="136">
        <v>421</v>
      </c>
      <c r="I25" s="138">
        <v>251823</v>
      </c>
      <c r="J25" s="136">
        <v>1023</v>
      </c>
      <c r="K25" s="138">
        <v>111643</v>
      </c>
      <c r="L25" s="136">
        <v>12136</v>
      </c>
      <c r="M25" s="138">
        <v>5455679</v>
      </c>
      <c r="N25" s="16" t="s">
        <v>113</v>
      </c>
    </row>
    <row r="26" spans="1:15" s="20" customFormat="1" ht="15.75" customHeight="1">
      <c r="A26" s="23"/>
      <c r="B26" s="191"/>
      <c r="C26" s="189"/>
      <c r="D26" s="185"/>
      <c r="E26" s="193"/>
      <c r="F26" s="191"/>
      <c r="G26" s="185"/>
      <c r="H26" s="191"/>
      <c r="I26" s="185"/>
      <c r="J26" s="191"/>
      <c r="K26" s="189"/>
      <c r="L26" s="185"/>
      <c r="M26" s="189"/>
      <c r="N26" s="187"/>
      <c r="O26" s="188"/>
    </row>
    <row r="27" spans="1:14" s="17" customFormat="1" ht="15.75" customHeight="1">
      <c r="A27" s="11" t="s">
        <v>37</v>
      </c>
      <c r="B27" s="130">
        <f>_xlfn.COMPOUNDVALUE(65)</f>
        <v>1750</v>
      </c>
      <c r="C27" s="131">
        <v>1199958</v>
      </c>
      <c r="D27" s="130">
        <f>_xlfn.COMPOUNDVALUE(66)</f>
        <v>2162</v>
      </c>
      <c r="E27" s="131">
        <v>951262</v>
      </c>
      <c r="F27" s="130">
        <f>_xlfn.COMPOUNDVALUE(67)</f>
        <v>3912</v>
      </c>
      <c r="G27" s="131">
        <v>2151220</v>
      </c>
      <c r="H27" s="130">
        <f>_xlfn.COMPOUNDVALUE(68)</f>
        <v>114</v>
      </c>
      <c r="I27" s="132">
        <v>140984</v>
      </c>
      <c r="J27" s="130">
        <v>373</v>
      </c>
      <c r="K27" s="132">
        <v>74709</v>
      </c>
      <c r="L27" s="130">
        <v>4207</v>
      </c>
      <c r="M27" s="132">
        <v>2084945</v>
      </c>
      <c r="N27" s="24" t="s">
        <v>114</v>
      </c>
    </row>
    <row r="28" spans="1:14" s="17" customFormat="1" ht="15.75" customHeight="1">
      <c r="A28" s="13" t="s">
        <v>38</v>
      </c>
      <c r="B28" s="133">
        <f>_xlfn.COMPOUNDVALUE(69)</f>
        <v>834</v>
      </c>
      <c r="C28" s="134">
        <v>639369</v>
      </c>
      <c r="D28" s="133">
        <f>_xlfn.COMPOUNDVALUE(70)</f>
        <v>1252</v>
      </c>
      <c r="E28" s="134">
        <v>578907</v>
      </c>
      <c r="F28" s="133">
        <f>_xlfn.COMPOUNDVALUE(71)</f>
        <v>2086</v>
      </c>
      <c r="G28" s="134">
        <v>1218276</v>
      </c>
      <c r="H28" s="133">
        <f>_xlfn.COMPOUNDVALUE(72)</f>
        <v>50</v>
      </c>
      <c r="I28" s="135">
        <v>162202</v>
      </c>
      <c r="J28" s="133">
        <v>139</v>
      </c>
      <c r="K28" s="135">
        <v>25308</v>
      </c>
      <c r="L28" s="133">
        <v>2191</v>
      </c>
      <c r="M28" s="135">
        <v>1081382</v>
      </c>
      <c r="N28" s="14" t="s">
        <v>115</v>
      </c>
    </row>
    <row r="29" spans="1:14" s="17" customFormat="1" ht="15.75" customHeight="1">
      <c r="A29" s="13" t="s">
        <v>39</v>
      </c>
      <c r="B29" s="133">
        <f>_xlfn.COMPOUNDVALUE(73)</f>
        <v>967</v>
      </c>
      <c r="C29" s="134">
        <v>539903</v>
      </c>
      <c r="D29" s="133">
        <f>_xlfn.COMPOUNDVALUE(74)</f>
        <v>1471</v>
      </c>
      <c r="E29" s="134">
        <v>556641</v>
      </c>
      <c r="F29" s="133">
        <f>_xlfn.COMPOUNDVALUE(75)</f>
        <v>2438</v>
      </c>
      <c r="G29" s="134">
        <v>1096544</v>
      </c>
      <c r="H29" s="133">
        <f>_xlfn.COMPOUNDVALUE(76)</f>
        <v>58</v>
      </c>
      <c r="I29" s="135">
        <v>82615</v>
      </c>
      <c r="J29" s="133">
        <v>236</v>
      </c>
      <c r="K29" s="135">
        <v>50912</v>
      </c>
      <c r="L29" s="133">
        <v>2636</v>
      </c>
      <c r="M29" s="135">
        <v>1064841</v>
      </c>
      <c r="N29" s="14" t="s">
        <v>116</v>
      </c>
    </row>
    <row r="30" spans="1:14" s="17" customFormat="1" ht="15.75" customHeight="1">
      <c r="A30" s="13" t="s">
        <v>40</v>
      </c>
      <c r="B30" s="133">
        <f>_xlfn.COMPOUNDVALUE(77)</f>
        <v>948</v>
      </c>
      <c r="C30" s="134">
        <v>656400</v>
      </c>
      <c r="D30" s="133">
        <f>_xlfn.COMPOUNDVALUE(78)</f>
        <v>1546</v>
      </c>
      <c r="E30" s="134">
        <v>610677</v>
      </c>
      <c r="F30" s="133">
        <f>_xlfn.COMPOUNDVALUE(79)</f>
        <v>2494</v>
      </c>
      <c r="G30" s="134">
        <v>1267077</v>
      </c>
      <c r="H30" s="133">
        <f>_xlfn.COMPOUNDVALUE(80)</f>
        <v>63</v>
      </c>
      <c r="I30" s="135">
        <v>57113</v>
      </c>
      <c r="J30" s="133">
        <v>279</v>
      </c>
      <c r="K30" s="135">
        <v>55969</v>
      </c>
      <c r="L30" s="133">
        <v>2699</v>
      </c>
      <c r="M30" s="135">
        <v>1265933</v>
      </c>
      <c r="N30" s="14" t="s">
        <v>117</v>
      </c>
    </row>
    <row r="31" spans="1:14" s="17" customFormat="1" ht="15.75" customHeight="1">
      <c r="A31" s="13" t="s">
        <v>41</v>
      </c>
      <c r="B31" s="133">
        <f>_xlfn.COMPOUNDVALUE(81)</f>
        <v>550</v>
      </c>
      <c r="C31" s="134">
        <v>298720</v>
      </c>
      <c r="D31" s="133">
        <f>_xlfn.COMPOUNDVALUE(82)</f>
        <v>810</v>
      </c>
      <c r="E31" s="134">
        <v>290626</v>
      </c>
      <c r="F31" s="133">
        <f>_xlfn.COMPOUNDVALUE(83)</f>
        <v>1360</v>
      </c>
      <c r="G31" s="134">
        <v>589346</v>
      </c>
      <c r="H31" s="133">
        <f>_xlfn.COMPOUNDVALUE(84)</f>
        <v>49</v>
      </c>
      <c r="I31" s="135">
        <v>21323</v>
      </c>
      <c r="J31" s="133">
        <v>98</v>
      </c>
      <c r="K31" s="135">
        <v>12750</v>
      </c>
      <c r="L31" s="133">
        <v>1448</v>
      </c>
      <c r="M31" s="135">
        <v>580774</v>
      </c>
      <c r="N31" s="14" t="s">
        <v>118</v>
      </c>
    </row>
    <row r="32" spans="1:14" s="17" customFormat="1" ht="15.75" customHeight="1">
      <c r="A32" s="13" t="s">
        <v>42</v>
      </c>
      <c r="B32" s="133">
        <f>_xlfn.COMPOUNDVALUE(85)</f>
        <v>842</v>
      </c>
      <c r="C32" s="134">
        <v>449380</v>
      </c>
      <c r="D32" s="133">
        <f>_xlfn.COMPOUNDVALUE(86)</f>
        <v>1400</v>
      </c>
      <c r="E32" s="134">
        <v>497360</v>
      </c>
      <c r="F32" s="133">
        <f>_xlfn.COMPOUNDVALUE(87)</f>
        <v>2242</v>
      </c>
      <c r="G32" s="134">
        <v>946740</v>
      </c>
      <c r="H32" s="133">
        <f>_xlfn.COMPOUNDVALUE(88)</f>
        <v>90</v>
      </c>
      <c r="I32" s="135">
        <v>39774</v>
      </c>
      <c r="J32" s="133">
        <v>160</v>
      </c>
      <c r="K32" s="135">
        <v>23678</v>
      </c>
      <c r="L32" s="133">
        <v>2413</v>
      </c>
      <c r="M32" s="135">
        <v>930643</v>
      </c>
      <c r="N32" s="14" t="s">
        <v>119</v>
      </c>
    </row>
    <row r="33" spans="1:14" s="17" customFormat="1" ht="15.75" customHeight="1">
      <c r="A33" s="13" t="s">
        <v>43</v>
      </c>
      <c r="B33" s="133">
        <f>_xlfn.COMPOUNDVALUE(89)</f>
        <v>422</v>
      </c>
      <c r="C33" s="134">
        <v>275978</v>
      </c>
      <c r="D33" s="133">
        <f>_xlfn.COMPOUNDVALUE(90)</f>
        <v>490</v>
      </c>
      <c r="E33" s="134">
        <v>199474</v>
      </c>
      <c r="F33" s="133">
        <f>_xlfn.COMPOUNDVALUE(91)</f>
        <v>912</v>
      </c>
      <c r="G33" s="134">
        <v>475452</v>
      </c>
      <c r="H33" s="133">
        <f>_xlfn.COMPOUNDVALUE(92)</f>
        <v>28</v>
      </c>
      <c r="I33" s="135">
        <v>17200</v>
      </c>
      <c r="J33" s="133">
        <v>74</v>
      </c>
      <c r="K33" s="135">
        <v>12746</v>
      </c>
      <c r="L33" s="133">
        <v>953</v>
      </c>
      <c r="M33" s="135">
        <v>470999</v>
      </c>
      <c r="N33" s="14" t="s">
        <v>120</v>
      </c>
    </row>
    <row r="34" spans="1:14" s="17" customFormat="1" ht="15.75" customHeight="1">
      <c r="A34" s="13" t="s">
        <v>44</v>
      </c>
      <c r="B34" s="133">
        <f>_xlfn.COMPOUNDVALUE(93)</f>
        <v>659</v>
      </c>
      <c r="C34" s="134">
        <v>355420</v>
      </c>
      <c r="D34" s="133">
        <f>_xlfn.COMPOUNDVALUE(94)</f>
        <v>938</v>
      </c>
      <c r="E34" s="134">
        <v>337605</v>
      </c>
      <c r="F34" s="133">
        <f>_xlfn.COMPOUNDVALUE(95)</f>
        <v>1597</v>
      </c>
      <c r="G34" s="134">
        <v>693025</v>
      </c>
      <c r="H34" s="133">
        <f>_xlfn.COMPOUNDVALUE(96)</f>
        <v>67</v>
      </c>
      <c r="I34" s="135">
        <v>41241</v>
      </c>
      <c r="J34" s="133">
        <v>146</v>
      </c>
      <c r="K34" s="135">
        <v>3360</v>
      </c>
      <c r="L34" s="133">
        <v>1708</v>
      </c>
      <c r="M34" s="135">
        <v>655144</v>
      </c>
      <c r="N34" s="14" t="s">
        <v>121</v>
      </c>
    </row>
    <row r="35" spans="1:14" s="17" customFormat="1" ht="15.75" customHeight="1">
      <c r="A35" s="13" t="s">
        <v>45</v>
      </c>
      <c r="B35" s="133">
        <f>_xlfn.COMPOUNDVALUE(97)</f>
        <v>330</v>
      </c>
      <c r="C35" s="134">
        <v>165364</v>
      </c>
      <c r="D35" s="133">
        <f>_xlfn.COMPOUNDVALUE(98)</f>
        <v>455</v>
      </c>
      <c r="E35" s="134">
        <v>157481</v>
      </c>
      <c r="F35" s="133">
        <f>_xlfn.COMPOUNDVALUE(99)</f>
        <v>785</v>
      </c>
      <c r="G35" s="134">
        <v>322845</v>
      </c>
      <c r="H35" s="133">
        <f>_xlfn.COMPOUNDVALUE(100)</f>
        <v>31</v>
      </c>
      <c r="I35" s="135">
        <v>6568</v>
      </c>
      <c r="J35" s="133">
        <v>55</v>
      </c>
      <c r="K35" s="135">
        <v>9403</v>
      </c>
      <c r="L35" s="133">
        <v>844</v>
      </c>
      <c r="M35" s="135">
        <v>325680</v>
      </c>
      <c r="N35" s="14" t="s">
        <v>122</v>
      </c>
    </row>
    <row r="36" spans="1:14" s="17" customFormat="1" ht="15.75" customHeight="1">
      <c r="A36" s="13" t="s">
        <v>46</v>
      </c>
      <c r="B36" s="133">
        <f>_xlfn.COMPOUNDVALUE(101)</f>
        <v>452</v>
      </c>
      <c r="C36" s="134">
        <v>256328</v>
      </c>
      <c r="D36" s="133">
        <f>_xlfn.COMPOUNDVALUE(102)</f>
        <v>687</v>
      </c>
      <c r="E36" s="134">
        <v>245757</v>
      </c>
      <c r="F36" s="133">
        <f>_xlfn.COMPOUNDVALUE(103)</f>
        <v>1139</v>
      </c>
      <c r="G36" s="134">
        <v>502086</v>
      </c>
      <c r="H36" s="133">
        <f>_xlfn.COMPOUNDVALUE(104)</f>
        <v>56</v>
      </c>
      <c r="I36" s="135">
        <v>33746</v>
      </c>
      <c r="J36" s="133">
        <v>78</v>
      </c>
      <c r="K36" s="135">
        <v>20045</v>
      </c>
      <c r="L36" s="133">
        <v>1228</v>
      </c>
      <c r="M36" s="135">
        <v>488385</v>
      </c>
      <c r="N36" s="14" t="s">
        <v>123</v>
      </c>
    </row>
    <row r="37" spans="1:14" s="17" customFormat="1" ht="15.75" customHeight="1">
      <c r="A37" s="15" t="s">
        <v>47</v>
      </c>
      <c r="B37" s="136">
        <v>7754</v>
      </c>
      <c r="C37" s="137">
        <v>4836822</v>
      </c>
      <c r="D37" s="136">
        <v>11211</v>
      </c>
      <c r="E37" s="137">
        <v>4425790</v>
      </c>
      <c r="F37" s="136">
        <v>18965</v>
      </c>
      <c r="G37" s="137">
        <v>9262611</v>
      </c>
      <c r="H37" s="136">
        <v>606</v>
      </c>
      <c r="I37" s="138">
        <v>602765</v>
      </c>
      <c r="J37" s="136">
        <v>1638</v>
      </c>
      <c r="K37" s="138">
        <v>288880</v>
      </c>
      <c r="L37" s="136">
        <v>20327</v>
      </c>
      <c r="M37" s="138">
        <v>8948726</v>
      </c>
      <c r="N37" s="16" t="s">
        <v>124</v>
      </c>
    </row>
    <row r="38" spans="1:14" s="17" customFormat="1" ht="15.75" customHeight="1">
      <c r="A38" s="102"/>
      <c r="B38" s="139"/>
      <c r="C38" s="140"/>
      <c r="D38" s="139"/>
      <c r="E38" s="140"/>
      <c r="F38" s="141"/>
      <c r="G38" s="140"/>
      <c r="H38" s="141"/>
      <c r="I38" s="140"/>
      <c r="J38" s="141"/>
      <c r="K38" s="140"/>
      <c r="L38" s="141"/>
      <c r="M38" s="140"/>
      <c r="N38" s="103"/>
    </row>
    <row r="39" spans="1:14" s="17" customFormat="1" ht="15.75" customHeight="1">
      <c r="A39" s="11" t="s">
        <v>48</v>
      </c>
      <c r="B39" s="130">
        <f>_xlfn.COMPOUNDVALUE(105)</f>
        <v>645</v>
      </c>
      <c r="C39" s="131">
        <v>351725</v>
      </c>
      <c r="D39" s="130">
        <f>_xlfn.COMPOUNDVALUE(106)</f>
        <v>1009</v>
      </c>
      <c r="E39" s="131">
        <v>413987</v>
      </c>
      <c r="F39" s="130">
        <f>_xlfn.COMPOUNDVALUE(107)</f>
        <v>1654</v>
      </c>
      <c r="G39" s="131">
        <v>765712</v>
      </c>
      <c r="H39" s="130">
        <f>_xlfn.COMPOUNDVALUE(108)</f>
        <v>45</v>
      </c>
      <c r="I39" s="132">
        <v>23495</v>
      </c>
      <c r="J39" s="130">
        <v>89</v>
      </c>
      <c r="K39" s="132">
        <v>10803</v>
      </c>
      <c r="L39" s="130">
        <v>1729</v>
      </c>
      <c r="M39" s="132">
        <v>753019</v>
      </c>
      <c r="N39" s="12" t="s">
        <v>125</v>
      </c>
    </row>
    <row r="40" spans="1:14" s="17" customFormat="1" ht="15.75" customHeight="1">
      <c r="A40" s="13" t="s">
        <v>49</v>
      </c>
      <c r="B40" s="133">
        <f>_xlfn.COMPOUNDVALUE(109)</f>
        <v>426</v>
      </c>
      <c r="C40" s="134">
        <v>200602</v>
      </c>
      <c r="D40" s="133">
        <f>_xlfn.COMPOUNDVALUE(110)</f>
        <v>1250</v>
      </c>
      <c r="E40" s="134">
        <v>444611</v>
      </c>
      <c r="F40" s="133">
        <f>_xlfn.COMPOUNDVALUE(111)</f>
        <v>1676</v>
      </c>
      <c r="G40" s="134">
        <v>645213</v>
      </c>
      <c r="H40" s="133">
        <f>_xlfn.COMPOUNDVALUE(112)</f>
        <v>26</v>
      </c>
      <c r="I40" s="135">
        <v>7855</v>
      </c>
      <c r="J40" s="133">
        <v>75</v>
      </c>
      <c r="K40" s="135">
        <v>14341</v>
      </c>
      <c r="L40" s="133">
        <v>1724</v>
      </c>
      <c r="M40" s="135">
        <v>651699</v>
      </c>
      <c r="N40" s="14" t="s">
        <v>126</v>
      </c>
    </row>
    <row r="41" spans="1:14" s="17" customFormat="1" ht="15.75" customHeight="1">
      <c r="A41" s="13" t="s">
        <v>50</v>
      </c>
      <c r="B41" s="133">
        <f>_xlfn.COMPOUNDVALUE(113)</f>
        <v>352</v>
      </c>
      <c r="C41" s="134">
        <v>206897</v>
      </c>
      <c r="D41" s="133">
        <f>_xlfn.COMPOUNDVALUE(114)</f>
        <v>688</v>
      </c>
      <c r="E41" s="134">
        <v>222965</v>
      </c>
      <c r="F41" s="133">
        <f>_xlfn.COMPOUNDVALUE(115)</f>
        <v>1040</v>
      </c>
      <c r="G41" s="134">
        <v>429862</v>
      </c>
      <c r="H41" s="133">
        <f>_xlfn.COMPOUNDVALUE(116)</f>
        <v>23</v>
      </c>
      <c r="I41" s="135">
        <v>10620</v>
      </c>
      <c r="J41" s="133">
        <v>46</v>
      </c>
      <c r="K41" s="135">
        <v>4849</v>
      </c>
      <c r="L41" s="133">
        <v>1085</v>
      </c>
      <c r="M41" s="135">
        <v>424091</v>
      </c>
      <c r="N41" s="14" t="s">
        <v>127</v>
      </c>
    </row>
    <row r="42" spans="1:14" s="17" customFormat="1" ht="15.75" customHeight="1">
      <c r="A42" s="13" t="s">
        <v>51</v>
      </c>
      <c r="B42" s="133">
        <f>_xlfn.COMPOUNDVALUE(117)</f>
        <v>340</v>
      </c>
      <c r="C42" s="134">
        <v>162187</v>
      </c>
      <c r="D42" s="133">
        <f>_xlfn.COMPOUNDVALUE(118)</f>
        <v>664</v>
      </c>
      <c r="E42" s="134">
        <v>218658</v>
      </c>
      <c r="F42" s="133">
        <f>_xlfn.COMPOUNDVALUE(119)</f>
        <v>1004</v>
      </c>
      <c r="G42" s="134">
        <v>380845</v>
      </c>
      <c r="H42" s="133">
        <f>_xlfn.COMPOUNDVALUE(120)</f>
        <v>19</v>
      </c>
      <c r="I42" s="135">
        <v>8191</v>
      </c>
      <c r="J42" s="133">
        <v>63</v>
      </c>
      <c r="K42" s="135">
        <v>3055</v>
      </c>
      <c r="L42" s="133">
        <v>1036</v>
      </c>
      <c r="M42" s="135">
        <v>375709</v>
      </c>
      <c r="N42" s="14" t="s">
        <v>128</v>
      </c>
    </row>
    <row r="43" spans="1:14" s="17" customFormat="1" ht="15.75" customHeight="1">
      <c r="A43" s="13" t="s">
        <v>52</v>
      </c>
      <c r="B43" s="133">
        <f>_xlfn.COMPOUNDVALUE(121)</f>
        <v>407</v>
      </c>
      <c r="C43" s="134">
        <v>218644</v>
      </c>
      <c r="D43" s="133">
        <f>_xlfn.COMPOUNDVALUE(122)</f>
        <v>844</v>
      </c>
      <c r="E43" s="134">
        <v>311785</v>
      </c>
      <c r="F43" s="133">
        <f>_xlfn.COMPOUNDVALUE(123)</f>
        <v>1251</v>
      </c>
      <c r="G43" s="134">
        <v>530430</v>
      </c>
      <c r="H43" s="133">
        <f>_xlfn.COMPOUNDVALUE(124)</f>
        <v>32</v>
      </c>
      <c r="I43" s="135">
        <v>7011</v>
      </c>
      <c r="J43" s="133">
        <v>70</v>
      </c>
      <c r="K43" s="135">
        <v>4133</v>
      </c>
      <c r="L43" s="133">
        <v>1302</v>
      </c>
      <c r="M43" s="135">
        <v>527551</v>
      </c>
      <c r="N43" s="14" t="s">
        <v>129</v>
      </c>
    </row>
    <row r="44" spans="1:14" s="17" customFormat="1" ht="15.75" customHeight="1">
      <c r="A44" s="13" t="s">
        <v>53</v>
      </c>
      <c r="B44" s="133">
        <f>_xlfn.COMPOUNDVALUE(125)</f>
        <v>343</v>
      </c>
      <c r="C44" s="134">
        <v>223054</v>
      </c>
      <c r="D44" s="133">
        <f>_xlfn.COMPOUNDVALUE(126)</f>
        <v>696</v>
      </c>
      <c r="E44" s="134">
        <v>223180</v>
      </c>
      <c r="F44" s="133">
        <f>_xlfn.COMPOUNDVALUE(127)</f>
        <v>1039</v>
      </c>
      <c r="G44" s="134">
        <v>446234</v>
      </c>
      <c r="H44" s="133">
        <f>_xlfn.COMPOUNDVALUE(128)</f>
        <v>15</v>
      </c>
      <c r="I44" s="135">
        <v>6699</v>
      </c>
      <c r="J44" s="133">
        <v>28</v>
      </c>
      <c r="K44" s="135">
        <v>939</v>
      </c>
      <c r="L44" s="133">
        <v>1064</v>
      </c>
      <c r="M44" s="135">
        <v>440474</v>
      </c>
      <c r="N44" s="14" t="s">
        <v>130</v>
      </c>
    </row>
    <row r="45" spans="1:14" s="17" customFormat="1" ht="15.75" customHeight="1">
      <c r="A45" s="13" t="s">
        <v>54</v>
      </c>
      <c r="B45" s="133">
        <f>_xlfn.COMPOUNDVALUE(129)</f>
        <v>310</v>
      </c>
      <c r="C45" s="134">
        <v>153187</v>
      </c>
      <c r="D45" s="133">
        <f>_xlfn.COMPOUNDVALUE(130)</f>
        <v>445</v>
      </c>
      <c r="E45" s="134">
        <v>153067</v>
      </c>
      <c r="F45" s="133">
        <f>_xlfn.COMPOUNDVALUE(131)</f>
        <v>755</v>
      </c>
      <c r="G45" s="134">
        <v>306254</v>
      </c>
      <c r="H45" s="133">
        <f>_xlfn.COMPOUNDVALUE(132)</f>
        <v>20</v>
      </c>
      <c r="I45" s="135">
        <v>7272</v>
      </c>
      <c r="J45" s="133">
        <v>28</v>
      </c>
      <c r="K45" s="135">
        <v>3394</v>
      </c>
      <c r="L45" s="133">
        <v>791</v>
      </c>
      <c r="M45" s="135">
        <v>302375</v>
      </c>
      <c r="N45" s="14" t="s">
        <v>131</v>
      </c>
    </row>
    <row r="46" spans="1:14" s="17" customFormat="1" ht="15.75" customHeight="1">
      <c r="A46" s="13" t="s">
        <v>55</v>
      </c>
      <c r="B46" s="133">
        <f>_xlfn.COMPOUNDVALUE(133)</f>
        <v>446</v>
      </c>
      <c r="C46" s="134">
        <v>226464</v>
      </c>
      <c r="D46" s="133">
        <f>_xlfn.COMPOUNDVALUE(134)</f>
        <v>947</v>
      </c>
      <c r="E46" s="134">
        <v>321225</v>
      </c>
      <c r="F46" s="133">
        <f>_xlfn.COMPOUNDVALUE(135)</f>
        <v>1393</v>
      </c>
      <c r="G46" s="134">
        <v>547689</v>
      </c>
      <c r="H46" s="133">
        <f>_xlfn.COMPOUNDVALUE(136)</f>
        <v>28</v>
      </c>
      <c r="I46" s="135">
        <v>21150</v>
      </c>
      <c r="J46" s="133">
        <v>77</v>
      </c>
      <c r="K46" s="135">
        <v>8363</v>
      </c>
      <c r="L46" s="133">
        <v>1437</v>
      </c>
      <c r="M46" s="135">
        <v>534902</v>
      </c>
      <c r="N46" s="14" t="s">
        <v>132</v>
      </c>
    </row>
    <row r="47" spans="1:14" s="17" customFormat="1" ht="15.75" customHeight="1">
      <c r="A47" s="15" t="s">
        <v>56</v>
      </c>
      <c r="B47" s="136">
        <v>3269</v>
      </c>
      <c r="C47" s="137">
        <v>1742760</v>
      </c>
      <c r="D47" s="136">
        <v>6543</v>
      </c>
      <c r="E47" s="137">
        <v>2309478</v>
      </c>
      <c r="F47" s="136">
        <v>9812</v>
      </c>
      <c r="G47" s="137">
        <v>4052238</v>
      </c>
      <c r="H47" s="136">
        <v>208</v>
      </c>
      <c r="I47" s="138">
        <v>92294</v>
      </c>
      <c r="J47" s="136">
        <v>476</v>
      </c>
      <c r="K47" s="138">
        <v>49876</v>
      </c>
      <c r="L47" s="136">
        <v>10168</v>
      </c>
      <c r="M47" s="138">
        <v>4009820</v>
      </c>
      <c r="N47" s="16" t="s">
        <v>133</v>
      </c>
    </row>
    <row r="48" spans="1:15" s="17" customFormat="1" ht="15.75" customHeight="1">
      <c r="A48" s="23"/>
      <c r="B48" s="191"/>
      <c r="C48" s="189"/>
      <c r="D48" s="185"/>
      <c r="E48" s="189"/>
      <c r="F48" s="194"/>
      <c r="G48" s="185"/>
      <c r="H48" s="191"/>
      <c r="I48" s="193"/>
      <c r="J48" s="191"/>
      <c r="K48" s="189"/>
      <c r="L48" s="185"/>
      <c r="M48" s="189"/>
      <c r="N48" s="187"/>
      <c r="O48" s="192"/>
    </row>
    <row r="49" spans="1:14" s="17" customFormat="1" ht="15.75" customHeight="1">
      <c r="A49" s="11" t="s">
        <v>57</v>
      </c>
      <c r="B49" s="130">
        <f>_xlfn.COMPOUNDVALUE(137)</f>
        <v>1018</v>
      </c>
      <c r="C49" s="131">
        <v>575238</v>
      </c>
      <c r="D49" s="130">
        <f>_xlfn.COMPOUNDVALUE(138)</f>
        <v>2148</v>
      </c>
      <c r="E49" s="131">
        <v>804780</v>
      </c>
      <c r="F49" s="130">
        <f>_xlfn.COMPOUNDVALUE(139)</f>
        <v>3166</v>
      </c>
      <c r="G49" s="131">
        <v>1380018</v>
      </c>
      <c r="H49" s="130">
        <f>_xlfn.COMPOUNDVALUE(140)</f>
        <v>43</v>
      </c>
      <c r="I49" s="132">
        <v>25929</v>
      </c>
      <c r="J49" s="130">
        <v>274</v>
      </c>
      <c r="K49" s="132">
        <v>22873</v>
      </c>
      <c r="L49" s="130">
        <v>3267</v>
      </c>
      <c r="M49" s="132">
        <v>1376963</v>
      </c>
      <c r="N49" s="24" t="s">
        <v>134</v>
      </c>
    </row>
    <row r="50" spans="1:14" s="17" customFormat="1" ht="15.75" customHeight="1">
      <c r="A50" s="13" t="s">
        <v>58</v>
      </c>
      <c r="B50" s="133">
        <f>_xlfn.COMPOUNDVALUE(141)</f>
        <v>623</v>
      </c>
      <c r="C50" s="134">
        <v>365416</v>
      </c>
      <c r="D50" s="133">
        <f>_xlfn.COMPOUNDVALUE(142)</f>
        <v>1092</v>
      </c>
      <c r="E50" s="134">
        <v>385971</v>
      </c>
      <c r="F50" s="133">
        <f>_xlfn.COMPOUNDVALUE(143)</f>
        <v>1715</v>
      </c>
      <c r="G50" s="134">
        <v>751387</v>
      </c>
      <c r="H50" s="133">
        <f>_xlfn.COMPOUNDVALUE(144)</f>
        <v>47</v>
      </c>
      <c r="I50" s="135">
        <v>17362</v>
      </c>
      <c r="J50" s="133">
        <v>115</v>
      </c>
      <c r="K50" s="135">
        <v>34292</v>
      </c>
      <c r="L50" s="133">
        <v>1823</v>
      </c>
      <c r="M50" s="135">
        <v>768317</v>
      </c>
      <c r="N50" s="14" t="s">
        <v>135</v>
      </c>
    </row>
    <row r="51" spans="1:14" s="17" customFormat="1" ht="15.75" customHeight="1">
      <c r="A51" s="13" t="s">
        <v>59</v>
      </c>
      <c r="B51" s="133">
        <f>_xlfn.COMPOUNDVALUE(145)</f>
        <v>536</v>
      </c>
      <c r="C51" s="134">
        <v>328784</v>
      </c>
      <c r="D51" s="133">
        <f>_xlfn.COMPOUNDVALUE(146)</f>
        <v>1417</v>
      </c>
      <c r="E51" s="134">
        <v>464380</v>
      </c>
      <c r="F51" s="133">
        <f>_xlfn.COMPOUNDVALUE(147)</f>
        <v>1953</v>
      </c>
      <c r="G51" s="134">
        <v>793164</v>
      </c>
      <c r="H51" s="133">
        <f>_xlfn.COMPOUNDVALUE(148)</f>
        <v>28</v>
      </c>
      <c r="I51" s="135">
        <v>13155</v>
      </c>
      <c r="J51" s="133">
        <v>115</v>
      </c>
      <c r="K51" s="135">
        <v>16520</v>
      </c>
      <c r="L51" s="133">
        <v>2022</v>
      </c>
      <c r="M51" s="135">
        <v>796528</v>
      </c>
      <c r="N51" s="14" t="s">
        <v>136</v>
      </c>
    </row>
    <row r="52" spans="1:14" s="17" customFormat="1" ht="15.75" customHeight="1">
      <c r="A52" s="13" t="s">
        <v>60</v>
      </c>
      <c r="B52" s="133">
        <f>_xlfn.COMPOUNDVALUE(149)</f>
        <v>423</v>
      </c>
      <c r="C52" s="134">
        <v>213346</v>
      </c>
      <c r="D52" s="133">
        <f>_xlfn.COMPOUNDVALUE(150)</f>
        <v>851</v>
      </c>
      <c r="E52" s="134">
        <v>268074</v>
      </c>
      <c r="F52" s="133">
        <f>_xlfn.COMPOUNDVALUE(151)</f>
        <v>1274</v>
      </c>
      <c r="G52" s="134">
        <v>481420</v>
      </c>
      <c r="H52" s="133">
        <f>_xlfn.COMPOUNDVALUE(152)</f>
        <v>26</v>
      </c>
      <c r="I52" s="135">
        <v>7007</v>
      </c>
      <c r="J52" s="133">
        <v>80</v>
      </c>
      <c r="K52" s="135">
        <v>16288</v>
      </c>
      <c r="L52" s="133">
        <v>1325</v>
      </c>
      <c r="M52" s="135">
        <v>490701</v>
      </c>
      <c r="N52" s="14" t="s">
        <v>137</v>
      </c>
    </row>
    <row r="53" spans="1:14" s="17" customFormat="1" ht="15.75" customHeight="1">
      <c r="A53" s="13" t="s">
        <v>61</v>
      </c>
      <c r="B53" s="133">
        <f>_xlfn.COMPOUNDVALUE(153)</f>
        <v>396</v>
      </c>
      <c r="C53" s="134">
        <v>235494</v>
      </c>
      <c r="D53" s="133">
        <f>_xlfn.COMPOUNDVALUE(154)</f>
        <v>707</v>
      </c>
      <c r="E53" s="134">
        <v>257297</v>
      </c>
      <c r="F53" s="133">
        <f>_xlfn.COMPOUNDVALUE(155)</f>
        <v>1103</v>
      </c>
      <c r="G53" s="134">
        <v>492792</v>
      </c>
      <c r="H53" s="133">
        <f>_xlfn.COMPOUNDVALUE(156)</f>
        <v>23</v>
      </c>
      <c r="I53" s="135">
        <v>3799</v>
      </c>
      <c r="J53" s="133">
        <v>39</v>
      </c>
      <c r="K53" s="135">
        <v>5615</v>
      </c>
      <c r="L53" s="133">
        <v>1138</v>
      </c>
      <c r="M53" s="135">
        <v>494607</v>
      </c>
      <c r="N53" s="14" t="s">
        <v>138</v>
      </c>
    </row>
    <row r="54" spans="1:14" s="17" customFormat="1" ht="15.75" customHeight="1">
      <c r="A54" s="13" t="s">
        <v>62</v>
      </c>
      <c r="B54" s="133">
        <f>_xlfn.COMPOUNDVALUE(157)</f>
        <v>294</v>
      </c>
      <c r="C54" s="134">
        <v>170256</v>
      </c>
      <c r="D54" s="133">
        <f>_xlfn.COMPOUNDVALUE(158)</f>
        <v>689</v>
      </c>
      <c r="E54" s="134">
        <v>238852</v>
      </c>
      <c r="F54" s="133">
        <f>_xlfn.COMPOUNDVALUE(159)</f>
        <v>983</v>
      </c>
      <c r="G54" s="134">
        <v>409108</v>
      </c>
      <c r="H54" s="133">
        <f>_xlfn.COMPOUNDVALUE(160)</f>
        <v>26</v>
      </c>
      <c r="I54" s="135">
        <v>10489</v>
      </c>
      <c r="J54" s="133">
        <v>35</v>
      </c>
      <c r="K54" s="135">
        <v>1401</v>
      </c>
      <c r="L54" s="133">
        <v>1019</v>
      </c>
      <c r="M54" s="135">
        <v>400020</v>
      </c>
      <c r="N54" s="14" t="s">
        <v>139</v>
      </c>
    </row>
    <row r="55" spans="1:14" s="17" customFormat="1" ht="15.75" customHeight="1">
      <c r="A55" s="13" t="s">
        <v>63</v>
      </c>
      <c r="B55" s="133">
        <f>_xlfn.COMPOUNDVALUE(161)</f>
        <v>487</v>
      </c>
      <c r="C55" s="134">
        <v>300964</v>
      </c>
      <c r="D55" s="133">
        <f>_xlfn.COMPOUNDVALUE(162)</f>
        <v>856</v>
      </c>
      <c r="E55" s="134">
        <v>306134</v>
      </c>
      <c r="F55" s="133">
        <f>_xlfn.COMPOUNDVALUE(163)</f>
        <v>1343</v>
      </c>
      <c r="G55" s="134">
        <v>607098</v>
      </c>
      <c r="H55" s="133">
        <f>_xlfn.COMPOUNDVALUE(164)</f>
        <v>24</v>
      </c>
      <c r="I55" s="135">
        <v>14952</v>
      </c>
      <c r="J55" s="133">
        <v>67</v>
      </c>
      <c r="K55" s="135">
        <v>9677</v>
      </c>
      <c r="L55" s="133">
        <v>1392</v>
      </c>
      <c r="M55" s="135">
        <v>601824</v>
      </c>
      <c r="N55" s="14" t="s">
        <v>140</v>
      </c>
    </row>
    <row r="56" spans="1:14" s="17" customFormat="1" ht="15.75" customHeight="1">
      <c r="A56" s="13" t="s">
        <v>64</v>
      </c>
      <c r="B56" s="133">
        <f>_xlfn.COMPOUNDVALUE(165)</f>
        <v>250</v>
      </c>
      <c r="C56" s="134">
        <v>124758</v>
      </c>
      <c r="D56" s="133">
        <f>_xlfn.COMPOUNDVALUE(166)</f>
        <v>416</v>
      </c>
      <c r="E56" s="134">
        <v>144858</v>
      </c>
      <c r="F56" s="133">
        <f>_xlfn.COMPOUNDVALUE(167)</f>
        <v>666</v>
      </c>
      <c r="G56" s="134">
        <v>269616</v>
      </c>
      <c r="H56" s="133">
        <f>_xlfn.COMPOUNDVALUE(168)</f>
        <v>21</v>
      </c>
      <c r="I56" s="135">
        <v>9942</v>
      </c>
      <c r="J56" s="133">
        <v>47</v>
      </c>
      <c r="K56" s="135">
        <v>-1304</v>
      </c>
      <c r="L56" s="133">
        <v>704</v>
      </c>
      <c r="M56" s="135">
        <v>258370</v>
      </c>
      <c r="N56" s="14" t="s">
        <v>141</v>
      </c>
    </row>
    <row r="57" spans="1:14" s="17" customFormat="1" ht="15.75" customHeight="1">
      <c r="A57" s="15" t="s">
        <v>65</v>
      </c>
      <c r="B57" s="136">
        <v>4027</v>
      </c>
      <c r="C57" s="137">
        <v>2314256</v>
      </c>
      <c r="D57" s="136">
        <v>8176</v>
      </c>
      <c r="E57" s="137">
        <v>2870346</v>
      </c>
      <c r="F57" s="136">
        <v>12203</v>
      </c>
      <c r="G57" s="137">
        <v>5184602</v>
      </c>
      <c r="H57" s="136">
        <v>238</v>
      </c>
      <c r="I57" s="138">
        <v>102636</v>
      </c>
      <c r="J57" s="136">
        <v>772</v>
      </c>
      <c r="K57" s="138">
        <v>105363</v>
      </c>
      <c r="L57" s="136">
        <v>12690</v>
      </c>
      <c r="M57" s="138">
        <v>5187329</v>
      </c>
      <c r="N57" s="16" t="s">
        <v>142</v>
      </c>
    </row>
    <row r="58" spans="1:14" s="17" customFormat="1" ht="15.75" customHeight="1">
      <c r="A58" s="186"/>
      <c r="B58" s="185"/>
      <c r="C58" s="189"/>
      <c r="D58" s="185"/>
      <c r="E58" s="193"/>
      <c r="F58" s="191"/>
      <c r="G58" s="193"/>
      <c r="H58" s="191"/>
      <c r="I58" s="185"/>
      <c r="J58" s="191"/>
      <c r="K58" s="189"/>
      <c r="L58" s="185"/>
      <c r="M58" s="189"/>
      <c r="N58" s="187"/>
    </row>
    <row r="59" spans="1:14" s="17" customFormat="1" ht="15.75" customHeight="1">
      <c r="A59" s="11" t="s">
        <v>66</v>
      </c>
      <c r="B59" s="130">
        <f>_xlfn.COMPOUNDVALUE(169)</f>
        <v>910</v>
      </c>
      <c r="C59" s="131">
        <v>493092</v>
      </c>
      <c r="D59" s="130">
        <f>_xlfn.COMPOUNDVALUE(170)</f>
        <v>1739</v>
      </c>
      <c r="E59" s="131">
        <v>676546</v>
      </c>
      <c r="F59" s="130">
        <f>_xlfn.COMPOUNDVALUE(171)</f>
        <v>2649</v>
      </c>
      <c r="G59" s="131">
        <v>1169637</v>
      </c>
      <c r="H59" s="130">
        <f>_xlfn.COMPOUNDVALUE(172)</f>
        <v>60</v>
      </c>
      <c r="I59" s="132">
        <v>45387</v>
      </c>
      <c r="J59" s="130">
        <v>261</v>
      </c>
      <c r="K59" s="132">
        <v>40193</v>
      </c>
      <c r="L59" s="130">
        <v>2819</v>
      </c>
      <c r="M59" s="132">
        <v>1164443</v>
      </c>
      <c r="N59" s="24" t="s">
        <v>144</v>
      </c>
    </row>
    <row r="60" spans="1:14" s="17" customFormat="1" ht="15.75" customHeight="1">
      <c r="A60" s="11" t="s">
        <v>67</v>
      </c>
      <c r="B60" s="130">
        <f>_xlfn.COMPOUNDVALUE(173)</f>
        <v>515</v>
      </c>
      <c r="C60" s="131">
        <v>320266</v>
      </c>
      <c r="D60" s="130">
        <f>_xlfn.COMPOUNDVALUE(174)</f>
        <v>1233</v>
      </c>
      <c r="E60" s="131">
        <v>422164</v>
      </c>
      <c r="F60" s="130">
        <f>_xlfn.COMPOUNDVALUE(175)</f>
        <v>1748</v>
      </c>
      <c r="G60" s="131">
        <v>742430</v>
      </c>
      <c r="H60" s="130">
        <f>_xlfn.COMPOUNDVALUE(176)</f>
        <v>55</v>
      </c>
      <c r="I60" s="132">
        <v>28702</v>
      </c>
      <c r="J60" s="130">
        <v>157</v>
      </c>
      <c r="K60" s="132">
        <v>25184</v>
      </c>
      <c r="L60" s="130">
        <v>1864</v>
      </c>
      <c r="M60" s="132">
        <v>738912</v>
      </c>
      <c r="N60" s="12" t="s">
        <v>145</v>
      </c>
    </row>
    <row r="61" spans="1:14" s="17" customFormat="1" ht="15.75" customHeight="1">
      <c r="A61" s="11" t="s">
        <v>68</v>
      </c>
      <c r="B61" s="130">
        <f>_xlfn.COMPOUNDVALUE(177)</f>
        <v>1117</v>
      </c>
      <c r="C61" s="131">
        <v>580428</v>
      </c>
      <c r="D61" s="130">
        <f>_xlfn.COMPOUNDVALUE(178)</f>
        <v>1779</v>
      </c>
      <c r="E61" s="131">
        <v>690675</v>
      </c>
      <c r="F61" s="130">
        <f>_xlfn.COMPOUNDVALUE(179)</f>
        <v>2896</v>
      </c>
      <c r="G61" s="131">
        <v>1271103</v>
      </c>
      <c r="H61" s="130">
        <f>_xlfn.COMPOUNDVALUE(180)</f>
        <v>86</v>
      </c>
      <c r="I61" s="132">
        <v>71703</v>
      </c>
      <c r="J61" s="130">
        <v>262</v>
      </c>
      <c r="K61" s="132">
        <v>34269</v>
      </c>
      <c r="L61" s="130">
        <v>3098</v>
      </c>
      <c r="M61" s="132">
        <v>1233669</v>
      </c>
      <c r="N61" s="12" t="s">
        <v>146</v>
      </c>
    </row>
    <row r="62" spans="1:14" s="17" customFormat="1" ht="15.75" customHeight="1">
      <c r="A62" s="13" t="s">
        <v>69</v>
      </c>
      <c r="B62" s="133">
        <f>_xlfn.COMPOUNDVALUE(181)</f>
        <v>994</v>
      </c>
      <c r="C62" s="134">
        <v>549293</v>
      </c>
      <c r="D62" s="133">
        <f>_xlfn.COMPOUNDVALUE(182)</f>
        <v>1429</v>
      </c>
      <c r="E62" s="134">
        <v>607152</v>
      </c>
      <c r="F62" s="133">
        <f>_xlfn.COMPOUNDVALUE(183)</f>
        <v>2423</v>
      </c>
      <c r="G62" s="134">
        <v>1156446</v>
      </c>
      <c r="H62" s="133">
        <f>_xlfn.COMPOUNDVALUE(184)</f>
        <v>74</v>
      </c>
      <c r="I62" s="135">
        <v>53061</v>
      </c>
      <c r="J62" s="133">
        <v>249</v>
      </c>
      <c r="K62" s="135">
        <v>58764</v>
      </c>
      <c r="L62" s="133">
        <v>2612</v>
      </c>
      <c r="M62" s="135">
        <v>1162148</v>
      </c>
      <c r="N62" s="14" t="s">
        <v>69</v>
      </c>
    </row>
    <row r="63" spans="1:14" s="17" customFormat="1" ht="15.75" customHeight="1">
      <c r="A63" s="13" t="s">
        <v>70</v>
      </c>
      <c r="B63" s="133">
        <f>_xlfn.COMPOUNDVALUE(185)</f>
        <v>535</v>
      </c>
      <c r="C63" s="134">
        <v>290824</v>
      </c>
      <c r="D63" s="133">
        <f>_xlfn.COMPOUNDVALUE(186)</f>
        <v>952</v>
      </c>
      <c r="E63" s="134">
        <v>357775</v>
      </c>
      <c r="F63" s="133">
        <f>_xlfn.COMPOUNDVALUE(187)</f>
        <v>1487</v>
      </c>
      <c r="G63" s="134">
        <v>648599</v>
      </c>
      <c r="H63" s="133">
        <f>_xlfn.COMPOUNDVALUE(188)</f>
        <v>59</v>
      </c>
      <c r="I63" s="135">
        <v>34403</v>
      </c>
      <c r="J63" s="133">
        <v>112</v>
      </c>
      <c r="K63" s="135">
        <v>19634</v>
      </c>
      <c r="L63" s="133">
        <v>1600</v>
      </c>
      <c r="M63" s="135">
        <v>633830</v>
      </c>
      <c r="N63" s="14" t="s">
        <v>147</v>
      </c>
    </row>
    <row r="64" spans="1:14" s="17" customFormat="1" ht="15.75" customHeight="1">
      <c r="A64" s="13" t="s">
        <v>71</v>
      </c>
      <c r="B64" s="133">
        <f>_xlfn.COMPOUNDVALUE(189)</f>
        <v>472</v>
      </c>
      <c r="C64" s="134">
        <v>196710</v>
      </c>
      <c r="D64" s="133">
        <f>_xlfn.COMPOUNDVALUE(190)</f>
        <v>828</v>
      </c>
      <c r="E64" s="134">
        <v>278206</v>
      </c>
      <c r="F64" s="133">
        <f>_xlfn.COMPOUNDVALUE(191)</f>
        <v>1300</v>
      </c>
      <c r="G64" s="134">
        <v>474917</v>
      </c>
      <c r="H64" s="133">
        <f>_xlfn.COMPOUNDVALUE(192)</f>
        <v>34</v>
      </c>
      <c r="I64" s="135">
        <v>15422</v>
      </c>
      <c r="J64" s="133">
        <v>92</v>
      </c>
      <c r="K64" s="135">
        <v>30394</v>
      </c>
      <c r="L64" s="133">
        <v>1376</v>
      </c>
      <c r="M64" s="135">
        <v>489889</v>
      </c>
      <c r="N64" s="14" t="s">
        <v>148</v>
      </c>
    </row>
    <row r="65" spans="1:14" s="17" customFormat="1" ht="15.75" customHeight="1">
      <c r="A65" s="13" t="s">
        <v>72</v>
      </c>
      <c r="B65" s="133">
        <f>_xlfn.COMPOUNDVALUE(193)</f>
        <v>214</v>
      </c>
      <c r="C65" s="134">
        <v>94288</v>
      </c>
      <c r="D65" s="133">
        <f>_xlfn.COMPOUNDVALUE(194)</f>
        <v>385</v>
      </c>
      <c r="E65" s="134">
        <v>121676</v>
      </c>
      <c r="F65" s="133">
        <f>_xlfn.COMPOUNDVALUE(195)</f>
        <v>599</v>
      </c>
      <c r="G65" s="134">
        <v>215964</v>
      </c>
      <c r="H65" s="133">
        <f>_xlfn.COMPOUNDVALUE(196)</f>
        <v>19</v>
      </c>
      <c r="I65" s="135">
        <v>4067</v>
      </c>
      <c r="J65" s="133">
        <v>37</v>
      </c>
      <c r="K65" s="135">
        <v>6925</v>
      </c>
      <c r="L65" s="133">
        <v>642</v>
      </c>
      <c r="M65" s="135">
        <v>218822</v>
      </c>
      <c r="N65" s="14" t="s">
        <v>149</v>
      </c>
    </row>
    <row r="66" spans="1:14" s="17" customFormat="1" ht="15.75" customHeight="1">
      <c r="A66" s="13" t="s">
        <v>73</v>
      </c>
      <c r="B66" s="133">
        <f>_xlfn.COMPOUNDVALUE(197)</f>
        <v>477</v>
      </c>
      <c r="C66" s="134">
        <v>400253</v>
      </c>
      <c r="D66" s="133">
        <f>_xlfn.COMPOUNDVALUE(198)</f>
        <v>682</v>
      </c>
      <c r="E66" s="134">
        <v>312407</v>
      </c>
      <c r="F66" s="133">
        <f>_xlfn.COMPOUNDVALUE(199)</f>
        <v>1159</v>
      </c>
      <c r="G66" s="134">
        <v>712659</v>
      </c>
      <c r="H66" s="133">
        <f>_xlfn.COMPOUNDVALUE(200)</f>
        <v>99</v>
      </c>
      <c r="I66" s="135">
        <v>70357</v>
      </c>
      <c r="J66" s="133">
        <v>181</v>
      </c>
      <c r="K66" s="135">
        <v>38253</v>
      </c>
      <c r="L66" s="133">
        <v>1351</v>
      </c>
      <c r="M66" s="135">
        <v>680555</v>
      </c>
      <c r="N66" s="14" t="s">
        <v>150</v>
      </c>
    </row>
    <row r="67" spans="1:14" s="17" customFormat="1" ht="15.75" customHeight="1">
      <c r="A67" s="13" t="s">
        <v>74</v>
      </c>
      <c r="B67" s="133">
        <f>_xlfn.COMPOUNDVALUE(201)</f>
        <v>309</v>
      </c>
      <c r="C67" s="134">
        <v>167198</v>
      </c>
      <c r="D67" s="133">
        <f>_xlfn.COMPOUNDVALUE(202)</f>
        <v>494</v>
      </c>
      <c r="E67" s="134">
        <v>195194</v>
      </c>
      <c r="F67" s="133">
        <f>_xlfn.COMPOUNDVALUE(203)</f>
        <v>803</v>
      </c>
      <c r="G67" s="134">
        <v>362393</v>
      </c>
      <c r="H67" s="133">
        <f>_xlfn.COMPOUNDVALUE(204)</f>
        <v>37</v>
      </c>
      <c r="I67" s="135">
        <v>16641</v>
      </c>
      <c r="J67" s="133">
        <v>57</v>
      </c>
      <c r="K67" s="135">
        <v>5625</v>
      </c>
      <c r="L67" s="133">
        <v>864</v>
      </c>
      <c r="M67" s="135">
        <v>351377</v>
      </c>
      <c r="N67" s="14" t="s">
        <v>151</v>
      </c>
    </row>
    <row r="68" spans="1:14" s="17" customFormat="1" ht="15.75" customHeight="1">
      <c r="A68" s="13" t="s">
        <v>75</v>
      </c>
      <c r="B68" s="133">
        <f>_xlfn.COMPOUNDVALUE(205)</f>
        <v>121</v>
      </c>
      <c r="C68" s="134">
        <v>68056</v>
      </c>
      <c r="D68" s="133">
        <f>_xlfn.COMPOUNDVALUE(206)</f>
        <v>229</v>
      </c>
      <c r="E68" s="134">
        <v>76871</v>
      </c>
      <c r="F68" s="133">
        <f>_xlfn.COMPOUNDVALUE(207)</f>
        <v>350</v>
      </c>
      <c r="G68" s="134">
        <v>144927</v>
      </c>
      <c r="H68" s="133">
        <f>_xlfn.COMPOUNDVALUE(208)</f>
        <v>6</v>
      </c>
      <c r="I68" s="135">
        <v>13548</v>
      </c>
      <c r="J68" s="133">
        <v>16</v>
      </c>
      <c r="K68" s="135">
        <v>816</v>
      </c>
      <c r="L68" s="133">
        <v>357</v>
      </c>
      <c r="M68" s="135">
        <v>132196</v>
      </c>
      <c r="N68" s="14" t="s">
        <v>152</v>
      </c>
    </row>
    <row r="69" spans="1:14" s="17" customFormat="1" ht="15.75" customHeight="1">
      <c r="A69" s="15" t="s">
        <v>76</v>
      </c>
      <c r="B69" s="136">
        <v>5664</v>
      </c>
      <c r="C69" s="137">
        <v>3160408</v>
      </c>
      <c r="D69" s="136">
        <v>9750</v>
      </c>
      <c r="E69" s="137">
        <v>3738667</v>
      </c>
      <c r="F69" s="136">
        <v>15414</v>
      </c>
      <c r="G69" s="137">
        <v>6899075</v>
      </c>
      <c r="H69" s="136">
        <v>529</v>
      </c>
      <c r="I69" s="138">
        <v>353292</v>
      </c>
      <c r="J69" s="136">
        <v>1424</v>
      </c>
      <c r="K69" s="138">
        <v>260056</v>
      </c>
      <c r="L69" s="136">
        <v>16583</v>
      </c>
      <c r="M69" s="138">
        <v>6805839</v>
      </c>
      <c r="N69" s="16" t="s">
        <v>153</v>
      </c>
    </row>
    <row r="70" spans="1:15" s="17" customFormat="1" ht="15.75" customHeight="1" thickBot="1">
      <c r="A70" s="18"/>
      <c r="B70" s="142"/>
      <c r="C70" s="143"/>
      <c r="D70" s="142"/>
      <c r="E70" s="143"/>
      <c r="F70" s="144"/>
      <c r="G70" s="143"/>
      <c r="H70" s="144"/>
      <c r="I70" s="143"/>
      <c r="J70" s="144"/>
      <c r="K70" s="143"/>
      <c r="L70" s="144"/>
      <c r="M70" s="143"/>
      <c r="N70" s="19"/>
      <c r="O70" s="36"/>
    </row>
    <row r="71" spans="1:14" s="17" customFormat="1" ht="15.75" customHeight="1" thickBot="1" thickTop="1">
      <c r="A71" s="21" t="s">
        <v>18</v>
      </c>
      <c r="B71" s="145">
        <v>30341</v>
      </c>
      <c r="C71" s="146">
        <v>17966429</v>
      </c>
      <c r="D71" s="145">
        <v>50951</v>
      </c>
      <c r="E71" s="146">
        <v>19216013</v>
      </c>
      <c r="F71" s="145">
        <v>81292</v>
      </c>
      <c r="G71" s="146">
        <v>37182441</v>
      </c>
      <c r="H71" s="145">
        <v>2280</v>
      </c>
      <c r="I71" s="147">
        <v>1510872</v>
      </c>
      <c r="J71" s="145">
        <v>6148</v>
      </c>
      <c r="K71" s="147">
        <v>959277</v>
      </c>
      <c r="L71" s="145">
        <v>86070</v>
      </c>
      <c r="M71" s="147">
        <v>36630846</v>
      </c>
      <c r="N71" s="22" t="s">
        <v>96</v>
      </c>
    </row>
    <row r="72" spans="1:14" ht="13.5">
      <c r="A72" s="233" t="s">
        <v>250</v>
      </c>
      <c r="B72" s="233"/>
      <c r="C72" s="233"/>
      <c r="D72" s="233"/>
      <c r="E72" s="233"/>
      <c r="F72" s="233"/>
      <c r="G72" s="233"/>
      <c r="H72" s="233"/>
      <c r="I72" s="233"/>
      <c r="J72" s="25"/>
      <c r="K72" s="25"/>
      <c r="L72" s="2"/>
      <c r="M72" s="2"/>
      <c r="N72" s="2"/>
    </row>
    <row r="74" spans="2:10" ht="13.5">
      <c r="B74" s="26"/>
      <c r="C74" s="26"/>
      <c r="D74" s="26"/>
      <c r="E74" s="26"/>
      <c r="F74" s="26"/>
      <c r="G74" s="26"/>
      <c r="H74" s="26"/>
      <c r="J74" s="26"/>
    </row>
    <row r="75" spans="2:10" ht="13.5">
      <c r="B75" s="26"/>
      <c r="C75" s="26"/>
      <c r="D75" s="26"/>
      <c r="E75" s="26"/>
      <c r="F75" s="26"/>
      <c r="G75" s="26"/>
      <c r="H75" s="26"/>
      <c r="J75" s="26"/>
    </row>
    <row r="76" spans="2:10" ht="13.5">
      <c r="B76" s="26"/>
      <c r="C76" s="26"/>
      <c r="D76" s="26"/>
      <c r="E76" s="26"/>
      <c r="F76" s="26"/>
      <c r="G76" s="26"/>
      <c r="H76" s="26"/>
      <c r="J76" s="26"/>
    </row>
    <row r="77" spans="2:10" ht="13.5">
      <c r="B77" s="26"/>
      <c r="C77" s="26"/>
      <c r="D77" s="26"/>
      <c r="E77" s="26"/>
      <c r="F77" s="26"/>
      <c r="G77" s="26"/>
      <c r="H77" s="26"/>
      <c r="J77" s="26"/>
    </row>
    <row r="78" spans="2:10" ht="13.5">
      <c r="B78" s="26"/>
      <c r="C78" s="26"/>
      <c r="D78" s="26"/>
      <c r="E78" s="26"/>
      <c r="F78" s="26"/>
      <c r="G78" s="26"/>
      <c r="H78" s="26"/>
      <c r="J78" s="26"/>
    </row>
    <row r="79" spans="2:10" ht="13.5">
      <c r="B79" s="26"/>
      <c r="C79" s="26"/>
      <c r="D79" s="26"/>
      <c r="E79" s="26"/>
      <c r="F79" s="26"/>
      <c r="G79" s="26"/>
      <c r="H79" s="26"/>
      <c r="J79" s="26"/>
    </row>
    <row r="80" spans="2:10" ht="13.5">
      <c r="B80" s="26"/>
      <c r="C80" s="26"/>
      <c r="D80" s="26"/>
      <c r="E80" s="26"/>
      <c r="F80" s="26"/>
      <c r="G80" s="26"/>
      <c r="H80" s="26"/>
      <c r="J80" s="26"/>
    </row>
    <row r="81" spans="2:10" ht="13.5">
      <c r="B81" s="26"/>
      <c r="C81" s="26"/>
      <c r="D81" s="26"/>
      <c r="E81" s="26"/>
      <c r="F81" s="26"/>
      <c r="G81" s="26"/>
      <c r="H81" s="26"/>
      <c r="J81" s="26"/>
    </row>
    <row r="82" spans="2:10" ht="13.5">
      <c r="B82" s="26"/>
      <c r="C82" s="26"/>
      <c r="D82" s="26"/>
      <c r="E82" s="26"/>
      <c r="F82" s="26"/>
      <c r="G82" s="26"/>
      <c r="H82" s="26"/>
      <c r="J82" s="26"/>
    </row>
    <row r="83" spans="2:10" ht="13.5">
      <c r="B83" s="26"/>
      <c r="C83" s="26"/>
      <c r="D83" s="26"/>
      <c r="E83" s="26"/>
      <c r="F83" s="26"/>
      <c r="G83" s="26"/>
      <c r="H83" s="26"/>
      <c r="J83" s="26"/>
    </row>
    <row r="84" spans="2:10" ht="13.5">
      <c r="B84" s="26"/>
      <c r="C84" s="26"/>
      <c r="D84" s="26"/>
      <c r="E84" s="26"/>
      <c r="F84" s="26"/>
      <c r="G84" s="26"/>
      <c r="H84" s="26"/>
      <c r="J84" s="26"/>
    </row>
    <row r="85" spans="2:10" ht="13.5">
      <c r="B85" s="26"/>
      <c r="C85" s="26"/>
      <c r="D85" s="26"/>
      <c r="E85" s="26"/>
      <c r="F85" s="26"/>
      <c r="G85" s="26"/>
      <c r="H85" s="26"/>
      <c r="J85" s="26"/>
    </row>
    <row r="86" spans="2:10" ht="13.5">
      <c r="B86" s="26"/>
      <c r="C86" s="26"/>
      <c r="D86" s="26"/>
      <c r="E86" s="26"/>
      <c r="F86" s="26"/>
      <c r="G86" s="26"/>
      <c r="H86" s="26"/>
      <c r="J86" s="26"/>
    </row>
  </sheetData>
  <sheetProtection/>
  <mergeCells count="11">
    <mergeCell ref="N3:N5"/>
    <mergeCell ref="B4:C4"/>
    <mergeCell ref="D4:E4"/>
    <mergeCell ref="F4:G4"/>
    <mergeCell ref="J3:K4"/>
    <mergeCell ref="L3:M4"/>
    <mergeCell ref="A72:I72"/>
    <mergeCell ref="A2:G2"/>
    <mergeCell ref="A3:A5"/>
    <mergeCell ref="B3:G3"/>
    <mergeCell ref="H3:I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(H27)</oddFooter>
  </headerFooter>
  <rowBreaks count="1" manualBreakCount="1">
    <brk id="38" max="13" man="1"/>
  </rowBreaks>
</worksheet>
</file>

<file path=xl/worksheets/sheet5.xml><?xml version="1.0" encoding="utf-8"?>
<worksheet xmlns="http://schemas.openxmlformats.org/spreadsheetml/2006/main" xmlns:r="http://schemas.openxmlformats.org/officeDocument/2006/relationships">
  <dimension ref="A1:N72"/>
  <sheetViews>
    <sheetView showGridLines="0" zoomScalePageLayoutView="0" workbookViewId="0" topLeftCell="A1">
      <selection activeCell="A1" sqref="A1"/>
    </sheetView>
  </sheetViews>
  <sheetFormatPr defaultColWidth="9.140625" defaultRowHeight="15"/>
  <cols>
    <col min="1" max="1" width="11.14062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4" width="11.421875" style="3" customWidth="1"/>
    <col min="15" max="16384" width="9.00390625" style="3" customWidth="1"/>
  </cols>
  <sheetData>
    <row r="1" spans="1:13" ht="13.5">
      <c r="A1" s="1" t="s">
        <v>77</v>
      </c>
      <c r="B1" s="1"/>
      <c r="C1" s="1"/>
      <c r="D1" s="1"/>
      <c r="E1" s="1"/>
      <c r="F1" s="1"/>
      <c r="G1" s="1"/>
      <c r="H1" s="1"/>
      <c r="I1" s="1"/>
      <c r="J1" s="1"/>
      <c r="K1" s="1"/>
      <c r="L1" s="2"/>
      <c r="M1" s="2"/>
    </row>
    <row r="2" spans="1:13" ht="14.25" thickBot="1">
      <c r="A2" s="244" t="s">
        <v>78</v>
      </c>
      <c r="B2" s="244"/>
      <c r="C2" s="244"/>
      <c r="D2" s="244"/>
      <c r="E2" s="244"/>
      <c r="F2" s="244"/>
      <c r="G2" s="244"/>
      <c r="H2" s="244"/>
      <c r="I2" s="244"/>
      <c r="J2" s="25"/>
      <c r="K2" s="25"/>
      <c r="L2" s="2"/>
      <c r="M2" s="2"/>
    </row>
    <row r="3" spans="1:14" ht="19.5" customHeight="1">
      <c r="A3" s="234" t="s">
        <v>2</v>
      </c>
      <c r="B3" s="237" t="s">
        <v>3</v>
      </c>
      <c r="C3" s="237"/>
      <c r="D3" s="237"/>
      <c r="E3" s="237"/>
      <c r="F3" s="237"/>
      <c r="G3" s="237"/>
      <c r="H3" s="229" t="s">
        <v>4</v>
      </c>
      <c r="I3" s="230"/>
      <c r="J3" s="243" t="s">
        <v>5</v>
      </c>
      <c r="K3" s="230"/>
      <c r="L3" s="229" t="s">
        <v>6</v>
      </c>
      <c r="M3" s="230"/>
      <c r="N3" s="238" t="s">
        <v>79</v>
      </c>
    </row>
    <row r="4" spans="1:14" ht="17.25" customHeight="1">
      <c r="A4" s="235"/>
      <c r="B4" s="231" t="s">
        <v>8</v>
      </c>
      <c r="C4" s="242"/>
      <c r="D4" s="231" t="s">
        <v>9</v>
      </c>
      <c r="E4" s="242"/>
      <c r="F4" s="231" t="s">
        <v>10</v>
      </c>
      <c r="G4" s="242"/>
      <c r="H4" s="231"/>
      <c r="I4" s="232"/>
      <c r="J4" s="231"/>
      <c r="K4" s="232"/>
      <c r="L4" s="231"/>
      <c r="M4" s="232"/>
      <c r="N4" s="239"/>
    </row>
    <row r="5" spans="1:14" ht="28.5" customHeight="1">
      <c r="A5" s="236"/>
      <c r="B5" s="33" t="s">
        <v>11</v>
      </c>
      <c r="C5" s="34" t="s">
        <v>12</v>
      </c>
      <c r="D5" s="33" t="s">
        <v>11</v>
      </c>
      <c r="E5" s="34" t="s">
        <v>12</v>
      </c>
      <c r="F5" s="33" t="s">
        <v>11</v>
      </c>
      <c r="G5" s="38" t="s">
        <v>13</v>
      </c>
      <c r="H5" s="33" t="s">
        <v>93</v>
      </c>
      <c r="I5" s="37" t="s">
        <v>14</v>
      </c>
      <c r="J5" s="33" t="s">
        <v>93</v>
      </c>
      <c r="K5" s="37" t="s">
        <v>15</v>
      </c>
      <c r="L5" s="33" t="s">
        <v>93</v>
      </c>
      <c r="M5" s="35" t="s">
        <v>94</v>
      </c>
      <c r="N5" s="240"/>
    </row>
    <row r="6" spans="1:14" s="27" customFormat="1" ht="10.5">
      <c r="A6" s="5"/>
      <c r="B6" s="6" t="s">
        <v>16</v>
      </c>
      <c r="C6" s="7" t="s">
        <v>17</v>
      </c>
      <c r="D6" s="6" t="s">
        <v>16</v>
      </c>
      <c r="E6" s="7" t="s">
        <v>17</v>
      </c>
      <c r="F6" s="6" t="s">
        <v>16</v>
      </c>
      <c r="G6" s="7" t="s">
        <v>17</v>
      </c>
      <c r="H6" s="6" t="s">
        <v>16</v>
      </c>
      <c r="I6" s="8" t="s">
        <v>17</v>
      </c>
      <c r="J6" s="6" t="s">
        <v>16</v>
      </c>
      <c r="K6" s="8" t="s">
        <v>17</v>
      </c>
      <c r="L6" s="6" t="s">
        <v>16</v>
      </c>
      <c r="M6" s="8" t="s">
        <v>17</v>
      </c>
      <c r="N6" s="9"/>
    </row>
    <row r="7" spans="1:14" ht="15.75" customHeight="1">
      <c r="A7" s="11" t="s">
        <v>80</v>
      </c>
      <c r="B7" s="130">
        <f>_xlfn.COMPOUNDVALUE(209)</f>
        <v>2573</v>
      </c>
      <c r="C7" s="131">
        <v>16526963</v>
      </c>
      <c r="D7" s="130">
        <f>_xlfn.COMPOUNDVALUE(210)</f>
        <v>925</v>
      </c>
      <c r="E7" s="131">
        <v>574785</v>
      </c>
      <c r="F7" s="130">
        <f>_xlfn.COMPOUNDVALUE(211)</f>
        <v>3498</v>
      </c>
      <c r="G7" s="131">
        <v>17101748</v>
      </c>
      <c r="H7" s="130">
        <f>_xlfn.COMPOUNDVALUE(212)</f>
        <v>144</v>
      </c>
      <c r="I7" s="132">
        <v>522932</v>
      </c>
      <c r="J7" s="130">
        <v>154</v>
      </c>
      <c r="K7" s="132">
        <v>18405</v>
      </c>
      <c r="L7" s="130">
        <v>3677</v>
      </c>
      <c r="M7" s="132">
        <v>16597221</v>
      </c>
      <c r="N7" s="12" t="s">
        <v>98</v>
      </c>
    </row>
    <row r="8" spans="1:14" ht="15.75" customHeight="1">
      <c r="A8" s="13" t="s">
        <v>81</v>
      </c>
      <c r="B8" s="133">
        <f>_xlfn.COMPOUNDVALUE(213)</f>
        <v>1467</v>
      </c>
      <c r="C8" s="134">
        <v>8881323</v>
      </c>
      <c r="D8" s="133">
        <f>_xlfn.COMPOUNDVALUE(214)</f>
        <v>602</v>
      </c>
      <c r="E8" s="134">
        <v>354052</v>
      </c>
      <c r="F8" s="133">
        <f>_xlfn.COMPOUNDVALUE(215)</f>
        <v>2069</v>
      </c>
      <c r="G8" s="134">
        <v>9235375</v>
      </c>
      <c r="H8" s="133">
        <f>_xlfn.COMPOUNDVALUE(216)</f>
        <v>72</v>
      </c>
      <c r="I8" s="135">
        <v>540685</v>
      </c>
      <c r="J8" s="133">
        <v>73</v>
      </c>
      <c r="K8" s="135">
        <v>33062</v>
      </c>
      <c r="L8" s="133">
        <v>2154</v>
      </c>
      <c r="M8" s="135">
        <v>8727752</v>
      </c>
      <c r="N8" s="14" t="s">
        <v>99</v>
      </c>
    </row>
    <row r="9" spans="1:14" ht="15.75" customHeight="1">
      <c r="A9" s="13" t="s">
        <v>82</v>
      </c>
      <c r="B9" s="133">
        <f>_xlfn.COMPOUNDVALUE(217)</f>
        <v>2741</v>
      </c>
      <c r="C9" s="134">
        <v>20078335</v>
      </c>
      <c r="D9" s="133">
        <f>_xlfn.COMPOUNDVALUE(218)</f>
        <v>1081</v>
      </c>
      <c r="E9" s="134">
        <v>621332</v>
      </c>
      <c r="F9" s="133">
        <f>_xlfn.COMPOUNDVALUE(219)</f>
        <v>3822</v>
      </c>
      <c r="G9" s="134">
        <v>20699667</v>
      </c>
      <c r="H9" s="133">
        <f>_xlfn.COMPOUNDVALUE(220)</f>
        <v>144</v>
      </c>
      <c r="I9" s="135">
        <v>3495842</v>
      </c>
      <c r="J9" s="133">
        <v>159</v>
      </c>
      <c r="K9" s="135">
        <v>18042</v>
      </c>
      <c r="L9" s="133">
        <v>3986</v>
      </c>
      <c r="M9" s="135">
        <v>17221867</v>
      </c>
      <c r="N9" s="14" t="s">
        <v>100</v>
      </c>
    </row>
    <row r="10" spans="1:14" ht="15.75" customHeight="1">
      <c r="A10" s="13" t="s">
        <v>83</v>
      </c>
      <c r="B10" s="133">
        <f>_xlfn.COMPOUNDVALUE(221)</f>
        <v>532</v>
      </c>
      <c r="C10" s="134">
        <v>3111628</v>
      </c>
      <c r="D10" s="133">
        <f>_xlfn.COMPOUNDVALUE(222)</f>
        <v>178</v>
      </c>
      <c r="E10" s="134">
        <v>105468</v>
      </c>
      <c r="F10" s="133">
        <f>_xlfn.COMPOUNDVALUE(223)</f>
        <v>710</v>
      </c>
      <c r="G10" s="134">
        <v>3217096</v>
      </c>
      <c r="H10" s="133">
        <f>_xlfn.COMPOUNDVALUE(224)</f>
        <v>24</v>
      </c>
      <c r="I10" s="135">
        <v>141348</v>
      </c>
      <c r="J10" s="133">
        <v>65</v>
      </c>
      <c r="K10" s="135">
        <v>12873</v>
      </c>
      <c r="L10" s="133">
        <v>738</v>
      </c>
      <c r="M10" s="135">
        <v>3088620</v>
      </c>
      <c r="N10" s="14" t="s">
        <v>101</v>
      </c>
    </row>
    <row r="11" spans="1:14" ht="15.75" customHeight="1">
      <c r="A11" s="13" t="s">
        <v>84</v>
      </c>
      <c r="B11" s="133">
        <f>_xlfn.COMPOUNDVALUE(225)</f>
        <v>1093</v>
      </c>
      <c r="C11" s="134">
        <v>4319407</v>
      </c>
      <c r="D11" s="133">
        <f>_xlfn.COMPOUNDVALUE(226)</f>
        <v>387</v>
      </c>
      <c r="E11" s="134">
        <v>221950</v>
      </c>
      <c r="F11" s="133">
        <f>_xlfn.COMPOUNDVALUE(227)</f>
        <v>1480</v>
      </c>
      <c r="G11" s="134">
        <v>4541356</v>
      </c>
      <c r="H11" s="133">
        <f>_xlfn.COMPOUNDVALUE(228)</f>
        <v>46</v>
      </c>
      <c r="I11" s="135">
        <v>113885</v>
      </c>
      <c r="J11" s="133">
        <v>90</v>
      </c>
      <c r="K11" s="135">
        <v>20651</v>
      </c>
      <c r="L11" s="133">
        <v>1548</v>
      </c>
      <c r="M11" s="135">
        <v>4448122</v>
      </c>
      <c r="N11" s="14" t="s">
        <v>102</v>
      </c>
    </row>
    <row r="12" spans="1:14" ht="15.75" customHeight="1">
      <c r="A12" s="13" t="s">
        <v>85</v>
      </c>
      <c r="B12" s="133">
        <f>_xlfn.COMPOUNDVALUE(229)</f>
        <v>1755</v>
      </c>
      <c r="C12" s="134">
        <v>22532714</v>
      </c>
      <c r="D12" s="133">
        <f>_xlfn.COMPOUNDVALUE(230)</f>
        <v>670</v>
      </c>
      <c r="E12" s="134">
        <v>399895</v>
      </c>
      <c r="F12" s="133">
        <f>_xlfn.COMPOUNDVALUE(231)</f>
        <v>2425</v>
      </c>
      <c r="G12" s="134">
        <v>22932609</v>
      </c>
      <c r="H12" s="133">
        <f>_xlfn.COMPOUNDVALUE(232)</f>
        <v>104</v>
      </c>
      <c r="I12" s="135">
        <v>1018516</v>
      </c>
      <c r="J12" s="133">
        <v>84</v>
      </c>
      <c r="K12" s="135">
        <v>16222</v>
      </c>
      <c r="L12" s="133">
        <v>2541</v>
      </c>
      <c r="M12" s="135">
        <v>21930316</v>
      </c>
      <c r="N12" s="14" t="s">
        <v>103</v>
      </c>
    </row>
    <row r="13" spans="1:14" s="17" customFormat="1" ht="15.75" customHeight="1">
      <c r="A13" s="13" t="s">
        <v>25</v>
      </c>
      <c r="B13" s="133">
        <f>_xlfn.COMPOUNDVALUE(233)</f>
        <v>581</v>
      </c>
      <c r="C13" s="134">
        <v>2680213</v>
      </c>
      <c r="D13" s="133">
        <f>_xlfn.COMPOUNDVALUE(234)</f>
        <v>185</v>
      </c>
      <c r="E13" s="134">
        <v>107152</v>
      </c>
      <c r="F13" s="133">
        <f>_xlfn.COMPOUNDVALUE(235)</f>
        <v>766</v>
      </c>
      <c r="G13" s="134">
        <v>2787366</v>
      </c>
      <c r="H13" s="133">
        <f>_xlfn.COMPOUNDVALUE(236)</f>
        <v>22</v>
      </c>
      <c r="I13" s="135">
        <v>211422</v>
      </c>
      <c r="J13" s="133">
        <v>26</v>
      </c>
      <c r="K13" s="135">
        <v>15827</v>
      </c>
      <c r="L13" s="133">
        <v>806</v>
      </c>
      <c r="M13" s="135">
        <v>2591770</v>
      </c>
      <c r="N13" s="14" t="s">
        <v>25</v>
      </c>
    </row>
    <row r="14" spans="1:14" s="28" customFormat="1" ht="15.75" customHeight="1">
      <c r="A14" s="15" t="s">
        <v>190</v>
      </c>
      <c r="B14" s="136">
        <v>10742</v>
      </c>
      <c r="C14" s="137">
        <v>78130583</v>
      </c>
      <c r="D14" s="136">
        <v>4028</v>
      </c>
      <c r="E14" s="137">
        <v>2384634</v>
      </c>
      <c r="F14" s="136">
        <v>14770</v>
      </c>
      <c r="G14" s="137">
        <v>80515217</v>
      </c>
      <c r="H14" s="136">
        <v>556</v>
      </c>
      <c r="I14" s="138">
        <v>6044630</v>
      </c>
      <c r="J14" s="136">
        <v>651</v>
      </c>
      <c r="K14" s="138">
        <v>135082</v>
      </c>
      <c r="L14" s="136">
        <v>15450</v>
      </c>
      <c r="M14" s="138">
        <v>74605668</v>
      </c>
      <c r="N14" s="16" t="s">
        <v>97</v>
      </c>
    </row>
    <row r="15" spans="1:14" s="17" customFormat="1" ht="15.75" customHeight="1">
      <c r="A15" s="186"/>
      <c r="B15" s="194"/>
      <c r="C15" s="185"/>
      <c r="D15" s="191"/>
      <c r="E15" s="193"/>
      <c r="F15" s="191"/>
      <c r="G15" s="193"/>
      <c r="H15" s="191"/>
      <c r="I15" s="193"/>
      <c r="J15" s="191"/>
      <c r="K15" s="189"/>
      <c r="L15" s="194"/>
      <c r="M15" s="185"/>
      <c r="N15" s="187"/>
    </row>
    <row r="16" spans="1:14" ht="15.75" customHeight="1">
      <c r="A16" s="11" t="s">
        <v>191</v>
      </c>
      <c r="B16" s="130">
        <f>_xlfn.COMPOUNDVALUE(237)</f>
        <v>3820</v>
      </c>
      <c r="C16" s="131">
        <v>30510139</v>
      </c>
      <c r="D16" s="130">
        <f>_xlfn.COMPOUNDVALUE(238)</f>
        <v>1563</v>
      </c>
      <c r="E16" s="131">
        <v>964127</v>
      </c>
      <c r="F16" s="130">
        <f>_xlfn.COMPOUNDVALUE(239)</f>
        <v>5383</v>
      </c>
      <c r="G16" s="131">
        <v>31474265</v>
      </c>
      <c r="H16" s="130">
        <f>_xlfn.COMPOUNDVALUE(240)</f>
        <v>175</v>
      </c>
      <c r="I16" s="132">
        <v>891734</v>
      </c>
      <c r="J16" s="130">
        <v>278</v>
      </c>
      <c r="K16" s="132">
        <v>228936</v>
      </c>
      <c r="L16" s="130">
        <v>5600</v>
      </c>
      <c r="M16" s="132">
        <v>30811467</v>
      </c>
      <c r="N16" s="24" t="s">
        <v>104</v>
      </c>
    </row>
    <row r="17" spans="1:14" ht="15.75" customHeight="1">
      <c r="A17" s="13" t="s">
        <v>192</v>
      </c>
      <c r="B17" s="133">
        <f>_xlfn.COMPOUNDVALUE(241)</f>
        <v>631</v>
      </c>
      <c r="C17" s="134">
        <v>3633751</v>
      </c>
      <c r="D17" s="133">
        <f>_xlfn.COMPOUNDVALUE(242)</f>
        <v>207</v>
      </c>
      <c r="E17" s="134">
        <v>148027</v>
      </c>
      <c r="F17" s="133">
        <f>_xlfn.COMPOUNDVALUE(243)</f>
        <v>838</v>
      </c>
      <c r="G17" s="134">
        <v>3781778</v>
      </c>
      <c r="H17" s="133">
        <f>_xlfn.COMPOUNDVALUE(244)</f>
        <v>37</v>
      </c>
      <c r="I17" s="135">
        <v>149498</v>
      </c>
      <c r="J17" s="133">
        <v>47</v>
      </c>
      <c r="K17" s="135">
        <v>254</v>
      </c>
      <c r="L17" s="133">
        <v>894</v>
      </c>
      <c r="M17" s="135">
        <v>3632534</v>
      </c>
      <c r="N17" s="14" t="s">
        <v>105</v>
      </c>
    </row>
    <row r="18" spans="1:14" ht="15.75" customHeight="1">
      <c r="A18" s="13" t="s">
        <v>193</v>
      </c>
      <c r="B18" s="133">
        <f>_xlfn.COMPOUNDVALUE(245)</f>
        <v>520</v>
      </c>
      <c r="C18" s="134">
        <v>3749986</v>
      </c>
      <c r="D18" s="133">
        <f>_xlfn.COMPOUNDVALUE(246)</f>
        <v>156</v>
      </c>
      <c r="E18" s="134">
        <v>92655</v>
      </c>
      <c r="F18" s="133">
        <f>_xlfn.COMPOUNDVALUE(247)</f>
        <v>676</v>
      </c>
      <c r="G18" s="134">
        <v>3842641</v>
      </c>
      <c r="H18" s="133">
        <f>_xlfn.COMPOUNDVALUE(248)</f>
        <v>41</v>
      </c>
      <c r="I18" s="135">
        <v>683888</v>
      </c>
      <c r="J18" s="133">
        <v>60</v>
      </c>
      <c r="K18" s="135">
        <v>18019</v>
      </c>
      <c r="L18" s="133">
        <v>722</v>
      </c>
      <c r="M18" s="135">
        <v>3176771</v>
      </c>
      <c r="N18" s="14" t="s">
        <v>106</v>
      </c>
    </row>
    <row r="19" spans="1:14" ht="15.75" customHeight="1">
      <c r="A19" s="13" t="s">
        <v>194</v>
      </c>
      <c r="B19" s="133">
        <f>_xlfn.COMPOUNDVALUE(249)</f>
        <v>996</v>
      </c>
      <c r="C19" s="134">
        <v>7298641</v>
      </c>
      <c r="D19" s="133">
        <f>_xlfn.COMPOUNDVALUE(250)</f>
        <v>398</v>
      </c>
      <c r="E19" s="134">
        <v>228731</v>
      </c>
      <c r="F19" s="133">
        <f>_xlfn.COMPOUNDVALUE(251)</f>
        <v>1394</v>
      </c>
      <c r="G19" s="134">
        <v>7527372</v>
      </c>
      <c r="H19" s="133">
        <f>_xlfn.COMPOUNDVALUE(252)</f>
        <v>50</v>
      </c>
      <c r="I19" s="135">
        <v>49179</v>
      </c>
      <c r="J19" s="133">
        <v>60</v>
      </c>
      <c r="K19" s="135">
        <v>9140</v>
      </c>
      <c r="L19" s="133">
        <v>1460</v>
      </c>
      <c r="M19" s="135">
        <v>7487333</v>
      </c>
      <c r="N19" s="14" t="s">
        <v>107</v>
      </c>
    </row>
    <row r="20" spans="1:14" ht="15.75" customHeight="1">
      <c r="A20" s="13" t="s">
        <v>195</v>
      </c>
      <c r="B20" s="133">
        <f>_xlfn.COMPOUNDVALUE(253)</f>
        <v>1447</v>
      </c>
      <c r="C20" s="134">
        <v>11026547</v>
      </c>
      <c r="D20" s="133">
        <f>_xlfn.COMPOUNDVALUE(254)</f>
        <v>566</v>
      </c>
      <c r="E20" s="134">
        <v>341270</v>
      </c>
      <c r="F20" s="133">
        <f>_xlfn.COMPOUNDVALUE(255)</f>
        <v>2013</v>
      </c>
      <c r="G20" s="134">
        <v>11367816</v>
      </c>
      <c r="H20" s="133">
        <f>_xlfn.COMPOUNDVALUE(256)</f>
        <v>106</v>
      </c>
      <c r="I20" s="135">
        <v>867986</v>
      </c>
      <c r="J20" s="133">
        <v>85</v>
      </c>
      <c r="K20" s="135">
        <v>2910</v>
      </c>
      <c r="L20" s="133">
        <v>2135</v>
      </c>
      <c r="M20" s="135">
        <v>10502740</v>
      </c>
      <c r="N20" s="14" t="s">
        <v>108</v>
      </c>
    </row>
    <row r="21" spans="1:14" ht="15.75" customHeight="1">
      <c r="A21" s="13" t="s">
        <v>196</v>
      </c>
      <c r="B21" s="133">
        <f>_xlfn.COMPOUNDVALUE(257)</f>
        <v>504</v>
      </c>
      <c r="C21" s="134">
        <v>2389393</v>
      </c>
      <c r="D21" s="133">
        <f>_xlfn.COMPOUNDVALUE(258)</f>
        <v>147</v>
      </c>
      <c r="E21" s="134">
        <v>85510</v>
      </c>
      <c r="F21" s="133">
        <f>_xlfn.COMPOUNDVALUE(259)</f>
        <v>651</v>
      </c>
      <c r="G21" s="134">
        <v>2474904</v>
      </c>
      <c r="H21" s="133">
        <f>_xlfn.COMPOUNDVALUE(260)</f>
        <v>31</v>
      </c>
      <c r="I21" s="135">
        <v>227373</v>
      </c>
      <c r="J21" s="133">
        <v>33</v>
      </c>
      <c r="K21" s="135">
        <v>3558</v>
      </c>
      <c r="L21" s="133">
        <v>689</v>
      </c>
      <c r="M21" s="135">
        <v>2251088</v>
      </c>
      <c r="N21" s="14" t="s">
        <v>109</v>
      </c>
    </row>
    <row r="22" spans="1:14" ht="15.75" customHeight="1">
      <c r="A22" s="13" t="s">
        <v>197</v>
      </c>
      <c r="B22" s="133">
        <f>_xlfn.COMPOUNDVALUE(261)</f>
        <v>917</v>
      </c>
      <c r="C22" s="134">
        <v>6086548</v>
      </c>
      <c r="D22" s="133">
        <f>_xlfn.COMPOUNDVALUE(262)</f>
        <v>406</v>
      </c>
      <c r="E22" s="134">
        <v>229082</v>
      </c>
      <c r="F22" s="133">
        <f>_xlfn.COMPOUNDVALUE(263)</f>
        <v>1323</v>
      </c>
      <c r="G22" s="134">
        <v>6315630</v>
      </c>
      <c r="H22" s="133">
        <f>_xlfn.COMPOUNDVALUE(264)</f>
        <v>46</v>
      </c>
      <c r="I22" s="135">
        <v>248878</v>
      </c>
      <c r="J22" s="133">
        <v>93</v>
      </c>
      <c r="K22" s="135">
        <v>16345</v>
      </c>
      <c r="L22" s="133">
        <v>1390</v>
      </c>
      <c r="M22" s="135">
        <v>6083096</v>
      </c>
      <c r="N22" s="14" t="s">
        <v>110</v>
      </c>
    </row>
    <row r="23" spans="1:14" ht="15.75" customHeight="1">
      <c r="A23" s="13" t="s">
        <v>198</v>
      </c>
      <c r="B23" s="133">
        <f>_xlfn.COMPOUNDVALUE(265)</f>
        <v>638</v>
      </c>
      <c r="C23" s="134">
        <v>3356880</v>
      </c>
      <c r="D23" s="133">
        <f>_xlfn.COMPOUNDVALUE(266)</f>
        <v>223</v>
      </c>
      <c r="E23" s="134">
        <v>135677</v>
      </c>
      <c r="F23" s="133">
        <f>_xlfn.COMPOUNDVALUE(267)</f>
        <v>861</v>
      </c>
      <c r="G23" s="134">
        <v>3492556</v>
      </c>
      <c r="H23" s="133">
        <f>_xlfn.COMPOUNDVALUE(268)</f>
        <v>59</v>
      </c>
      <c r="I23" s="135">
        <v>254297</v>
      </c>
      <c r="J23" s="133">
        <v>55</v>
      </c>
      <c r="K23" s="135">
        <v>10034</v>
      </c>
      <c r="L23" s="133">
        <v>948</v>
      </c>
      <c r="M23" s="135">
        <v>3248293</v>
      </c>
      <c r="N23" s="14" t="s">
        <v>111</v>
      </c>
    </row>
    <row r="24" spans="1:14" ht="15.75" customHeight="1">
      <c r="A24" s="13" t="s">
        <v>199</v>
      </c>
      <c r="B24" s="133">
        <f>_xlfn.COMPOUNDVALUE(269)</f>
        <v>466</v>
      </c>
      <c r="C24" s="134">
        <v>3172813</v>
      </c>
      <c r="D24" s="133">
        <f>_xlfn.COMPOUNDVALUE(270)</f>
        <v>145</v>
      </c>
      <c r="E24" s="134">
        <v>100015</v>
      </c>
      <c r="F24" s="133">
        <f>_xlfn.COMPOUNDVALUE(271)</f>
        <v>611</v>
      </c>
      <c r="G24" s="134">
        <v>3272828</v>
      </c>
      <c r="H24" s="133">
        <f>_xlfn.COMPOUNDVALUE(272)</f>
        <v>28</v>
      </c>
      <c r="I24" s="135">
        <v>193085</v>
      </c>
      <c r="J24" s="133">
        <v>16</v>
      </c>
      <c r="K24" s="135">
        <v>9130</v>
      </c>
      <c r="L24" s="133">
        <v>647</v>
      </c>
      <c r="M24" s="135">
        <v>3088873</v>
      </c>
      <c r="N24" s="14" t="s">
        <v>112</v>
      </c>
    </row>
    <row r="25" spans="1:14" ht="15.75" customHeight="1">
      <c r="A25" s="15" t="s">
        <v>200</v>
      </c>
      <c r="B25" s="136">
        <v>9939</v>
      </c>
      <c r="C25" s="137">
        <v>71224697</v>
      </c>
      <c r="D25" s="136">
        <v>3811</v>
      </c>
      <c r="E25" s="137">
        <v>2325092</v>
      </c>
      <c r="F25" s="136">
        <v>13750</v>
      </c>
      <c r="G25" s="137">
        <v>73549789</v>
      </c>
      <c r="H25" s="136">
        <v>573</v>
      </c>
      <c r="I25" s="138">
        <v>3565918</v>
      </c>
      <c r="J25" s="136">
        <v>727</v>
      </c>
      <c r="K25" s="138">
        <v>298325</v>
      </c>
      <c r="L25" s="136">
        <v>14485</v>
      </c>
      <c r="M25" s="138">
        <v>70282196</v>
      </c>
      <c r="N25" s="16" t="s">
        <v>113</v>
      </c>
    </row>
    <row r="26" spans="1:14" ht="15.75" customHeight="1">
      <c r="A26" s="186"/>
      <c r="B26" s="194"/>
      <c r="C26" s="185"/>
      <c r="D26" s="191"/>
      <c r="E26" s="193"/>
      <c r="F26" s="191"/>
      <c r="G26" s="193"/>
      <c r="H26" s="191"/>
      <c r="I26" s="193"/>
      <c r="J26" s="191"/>
      <c r="K26" s="189"/>
      <c r="L26" s="194"/>
      <c r="M26" s="185"/>
      <c r="N26" s="187"/>
    </row>
    <row r="27" spans="1:14" ht="15.75" customHeight="1">
      <c r="A27" s="11" t="s">
        <v>201</v>
      </c>
      <c r="B27" s="130">
        <f>_xlfn.COMPOUNDVALUE(273)</f>
        <v>5077</v>
      </c>
      <c r="C27" s="131">
        <v>68977966</v>
      </c>
      <c r="D27" s="130">
        <f>_xlfn.COMPOUNDVALUE(274)</f>
        <v>2283</v>
      </c>
      <c r="E27" s="131">
        <v>1426238</v>
      </c>
      <c r="F27" s="130">
        <f>_xlfn.COMPOUNDVALUE(275)</f>
        <v>7360</v>
      </c>
      <c r="G27" s="131">
        <v>70404204</v>
      </c>
      <c r="H27" s="130">
        <f>_xlfn.COMPOUNDVALUE(276)</f>
        <v>334</v>
      </c>
      <c r="I27" s="132">
        <v>1931186</v>
      </c>
      <c r="J27" s="130">
        <v>417</v>
      </c>
      <c r="K27" s="132">
        <v>40156</v>
      </c>
      <c r="L27" s="130">
        <v>7773</v>
      </c>
      <c r="M27" s="132">
        <v>68513174</v>
      </c>
      <c r="N27" s="24" t="s">
        <v>114</v>
      </c>
    </row>
    <row r="28" spans="1:14" ht="15.75" customHeight="1">
      <c r="A28" s="13" t="s">
        <v>202</v>
      </c>
      <c r="B28" s="133">
        <f>_xlfn.COMPOUNDVALUE(277)</f>
        <v>4863</v>
      </c>
      <c r="C28" s="134">
        <v>55459626</v>
      </c>
      <c r="D28" s="133">
        <f>_xlfn.COMPOUNDVALUE(278)</f>
        <v>1655</v>
      </c>
      <c r="E28" s="134">
        <v>1078934</v>
      </c>
      <c r="F28" s="133">
        <f>_xlfn.COMPOUNDVALUE(279)</f>
        <v>6518</v>
      </c>
      <c r="G28" s="134">
        <v>56538560</v>
      </c>
      <c r="H28" s="133">
        <f>_xlfn.COMPOUNDVALUE(280)</f>
        <v>276</v>
      </c>
      <c r="I28" s="135">
        <v>1696493</v>
      </c>
      <c r="J28" s="133">
        <v>525</v>
      </c>
      <c r="K28" s="135">
        <v>183752</v>
      </c>
      <c r="L28" s="133">
        <v>6861</v>
      </c>
      <c r="M28" s="135">
        <v>55025819</v>
      </c>
      <c r="N28" s="14" t="s">
        <v>115</v>
      </c>
    </row>
    <row r="29" spans="1:14" ht="15.75" customHeight="1">
      <c r="A29" s="13" t="s">
        <v>203</v>
      </c>
      <c r="B29" s="133">
        <f>_xlfn.COMPOUNDVALUE(281)</f>
        <v>2454</v>
      </c>
      <c r="C29" s="134">
        <v>17352532</v>
      </c>
      <c r="D29" s="133">
        <f>_xlfn.COMPOUNDVALUE(282)</f>
        <v>1029</v>
      </c>
      <c r="E29" s="134">
        <v>620186</v>
      </c>
      <c r="F29" s="133">
        <f>_xlfn.COMPOUNDVALUE(283)</f>
        <v>3483</v>
      </c>
      <c r="G29" s="134">
        <v>17972718</v>
      </c>
      <c r="H29" s="133">
        <f>_xlfn.COMPOUNDVALUE(284)</f>
        <v>170</v>
      </c>
      <c r="I29" s="135">
        <v>841986</v>
      </c>
      <c r="J29" s="133">
        <v>190</v>
      </c>
      <c r="K29" s="135">
        <v>28014</v>
      </c>
      <c r="L29" s="133">
        <v>3707</v>
      </c>
      <c r="M29" s="135">
        <v>17158746</v>
      </c>
      <c r="N29" s="14" t="s">
        <v>116</v>
      </c>
    </row>
    <row r="30" spans="1:14" ht="15.75" customHeight="1">
      <c r="A30" s="13" t="s">
        <v>204</v>
      </c>
      <c r="B30" s="133">
        <f>_xlfn.COMPOUNDVALUE(285)</f>
        <v>2042</v>
      </c>
      <c r="C30" s="134">
        <v>10902963</v>
      </c>
      <c r="D30" s="133">
        <f>_xlfn.COMPOUNDVALUE(286)</f>
        <v>720</v>
      </c>
      <c r="E30" s="134">
        <v>443064</v>
      </c>
      <c r="F30" s="133">
        <f>_xlfn.COMPOUNDVALUE(287)</f>
        <v>2762</v>
      </c>
      <c r="G30" s="134">
        <v>11346027</v>
      </c>
      <c r="H30" s="133">
        <f>_xlfn.COMPOUNDVALUE(288)</f>
        <v>191</v>
      </c>
      <c r="I30" s="135">
        <v>1624095</v>
      </c>
      <c r="J30" s="133">
        <v>131</v>
      </c>
      <c r="K30" s="135">
        <v>-2469</v>
      </c>
      <c r="L30" s="133">
        <v>2985</v>
      </c>
      <c r="M30" s="135">
        <v>9719463</v>
      </c>
      <c r="N30" s="14" t="s">
        <v>117</v>
      </c>
    </row>
    <row r="31" spans="1:14" ht="15.75" customHeight="1">
      <c r="A31" s="13" t="s">
        <v>205</v>
      </c>
      <c r="B31" s="133">
        <f>_xlfn.COMPOUNDVALUE(289)</f>
        <v>1425</v>
      </c>
      <c r="C31" s="134">
        <v>7231491</v>
      </c>
      <c r="D31" s="133">
        <f>_xlfn.COMPOUNDVALUE(290)</f>
        <v>609</v>
      </c>
      <c r="E31" s="134">
        <v>368918</v>
      </c>
      <c r="F31" s="133">
        <f>_xlfn.COMPOUNDVALUE(291)</f>
        <v>2034</v>
      </c>
      <c r="G31" s="134">
        <v>7600409</v>
      </c>
      <c r="H31" s="133">
        <f>_xlfn.COMPOUNDVALUE(292)</f>
        <v>118</v>
      </c>
      <c r="I31" s="135">
        <v>709382</v>
      </c>
      <c r="J31" s="133">
        <v>96</v>
      </c>
      <c r="K31" s="135">
        <v>14602</v>
      </c>
      <c r="L31" s="133">
        <v>2174</v>
      </c>
      <c r="M31" s="135">
        <v>6905629</v>
      </c>
      <c r="N31" s="14" t="s">
        <v>118</v>
      </c>
    </row>
    <row r="32" spans="1:14" ht="15.75" customHeight="1">
      <c r="A32" s="13" t="s">
        <v>206</v>
      </c>
      <c r="B32" s="133">
        <f>_xlfn.COMPOUNDVALUE(293)</f>
        <v>1612</v>
      </c>
      <c r="C32" s="134">
        <v>8039767</v>
      </c>
      <c r="D32" s="133">
        <f>_xlfn.COMPOUNDVALUE(294)</f>
        <v>674</v>
      </c>
      <c r="E32" s="134">
        <v>409147</v>
      </c>
      <c r="F32" s="133">
        <f>_xlfn.COMPOUNDVALUE(295)</f>
        <v>2286</v>
      </c>
      <c r="G32" s="134">
        <v>8448914</v>
      </c>
      <c r="H32" s="133">
        <f>_xlfn.COMPOUNDVALUE(296)</f>
        <v>93</v>
      </c>
      <c r="I32" s="135">
        <v>304329</v>
      </c>
      <c r="J32" s="133">
        <v>123</v>
      </c>
      <c r="K32" s="135">
        <v>35195</v>
      </c>
      <c r="L32" s="133">
        <v>2406</v>
      </c>
      <c r="M32" s="135">
        <v>8179780</v>
      </c>
      <c r="N32" s="14" t="s">
        <v>119</v>
      </c>
    </row>
    <row r="33" spans="1:14" ht="15.75" customHeight="1">
      <c r="A33" s="13" t="s">
        <v>207</v>
      </c>
      <c r="B33" s="133">
        <f>_xlfn.COMPOUNDVALUE(297)</f>
        <v>804</v>
      </c>
      <c r="C33" s="134">
        <v>4064928</v>
      </c>
      <c r="D33" s="133">
        <f>_xlfn.COMPOUNDVALUE(298)</f>
        <v>229</v>
      </c>
      <c r="E33" s="134">
        <v>139768</v>
      </c>
      <c r="F33" s="133">
        <f>_xlfn.COMPOUNDVALUE(299)</f>
        <v>1033</v>
      </c>
      <c r="G33" s="134">
        <v>4204696</v>
      </c>
      <c r="H33" s="133">
        <f>_xlfn.COMPOUNDVALUE(300)</f>
        <v>90</v>
      </c>
      <c r="I33" s="135">
        <v>837879</v>
      </c>
      <c r="J33" s="133">
        <v>59</v>
      </c>
      <c r="K33" s="135">
        <v>10423</v>
      </c>
      <c r="L33" s="133">
        <v>1145</v>
      </c>
      <c r="M33" s="135">
        <v>3377239</v>
      </c>
      <c r="N33" s="14" t="s">
        <v>120</v>
      </c>
    </row>
    <row r="34" spans="1:14" ht="15.75" customHeight="1">
      <c r="A34" s="13" t="s">
        <v>208</v>
      </c>
      <c r="B34" s="133">
        <f>_xlfn.COMPOUNDVALUE(301)</f>
        <v>1207</v>
      </c>
      <c r="C34" s="134">
        <v>5601336</v>
      </c>
      <c r="D34" s="133">
        <f>_xlfn.COMPOUNDVALUE(302)</f>
        <v>520</v>
      </c>
      <c r="E34" s="134">
        <v>299786</v>
      </c>
      <c r="F34" s="133">
        <f>_xlfn.COMPOUNDVALUE(303)</f>
        <v>1727</v>
      </c>
      <c r="G34" s="134">
        <v>5901122</v>
      </c>
      <c r="H34" s="133">
        <f>_xlfn.COMPOUNDVALUE(304)</f>
        <v>67</v>
      </c>
      <c r="I34" s="135">
        <v>158919</v>
      </c>
      <c r="J34" s="133">
        <v>55</v>
      </c>
      <c r="K34" s="135">
        <v>15210</v>
      </c>
      <c r="L34" s="133">
        <v>1807</v>
      </c>
      <c r="M34" s="135">
        <v>5757413</v>
      </c>
      <c r="N34" s="14" t="s">
        <v>121</v>
      </c>
    </row>
    <row r="35" spans="1:14" ht="15.75" customHeight="1">
      <c r="A35" s="13" t="s">
        <v>209</v>
      </c>
      <c r="B35" s="133">
        <f>_xlfn.COMPOUNDVALUE(305)</f>
        <v>576</v>
      </c>
      <c r="C35" s="134">
        <v>3243086</v>
      </c>
      <c r="D35" s="133">
        <f>_xlfn.COMPOUNDVALUE(306)</f>
        <v>231</v>
      </c>
      <c r="E35" s="134">
        <v>145663</v>
      </c>
      <c r="F35" s="133">
        <f>_xlfn.COMPOUNDVALUE(307)</f>
        <v>807</v>
      </c>
      <c r="G35" s="134">
        <v>3388749</v>
      </c>
      <c r="H35" s="133">
        <f>_xlfn.COMPOUNDVALUE(308)</f>
        <v>40</v>
      </c>
      <c r="I35" s="135">
        <v>464757</v>
      </c>
      <c r="J35" s="133">
        <v>30</v>
      </c>
      <c r="K35" s="135">
        <v>-3696</v>
      </c>
      <c r="L35" s="133">
        <v>857</v>
      </c>
      <c r="M35" s="135">
        <v>2920296</v>
      </c>
      <c r="N35" s="14" t="s">
        <v>122</v>
      </c>
    </row>
    <row r="36" spans="1:14" ht="15.75" customHeight="1">
      <c r="A36" s="13" t="s">
        <v>210</v>
      </c>
      <c r="B36" s="133">
        <f>_xlfn.COMPOUNDVALUE(309)</f>
        <v>714</v>
      </c>
      <c r="C36" s="134">
        <v>3893233</v>
      </c>
      <c r="D36" s="133">
        <f>_xlfn.COMPOUNDVALUE(310)</f>
        <v>329</v>
      </c>
      <c r="E36" s="134">
        <v>193590</v>
      </c>
      <c r="F36" s="133">
        <f>_xlfn.COMPOUNDVALUE(311)</f>
        <v>1043</v>
      </c>
      <c r="G36" s="134">
        <v>4086823</v>
      </c>
      <c r="H36" s="133">
        <f>_xlfn.COMPOUNDVALUE(312)</f>
        <v>52</v>
      </c>
      <c r="I36" s="135">
        <v>278953</v>
      </c>
      <c r="J36" s="133">
        <v>34</v>
      </c>
      <c r="K36" s="135">
        <v>26987</v>
      </c>
      <c r="L36" s="133">
        <v>1101</v>
      </c>
      <c r="M36" s="135">
        <v>3834857</v>
      </c>
      <c r="N36" s="14" t="s">
        <v>123</v>
      </c>
    </row>
    <row r="37" spans="1:14" ht="15.75" customHeight="1">
      <c r="A37" s="15" t="s">
        <v>211</v>
      </c>
      <c r="B37" s="136">
        <v>20774</v>
      </c>
      <c r="C37" s="137">
        <v>184766928</v>
      </c>
      <c r="D37" s="136">
        <v>8279</v>
      </c>
      <c r="E37" s="137">
        <v>5125293</v>
      </c>
      <c r="F37" s="136">
        <v>29053</v>
      </c>
      <c r="G37" s="137">
        <v>189892222</v>
      </c>
      <c r="H37" s="136">
        <v>1431</v>
      </c>
      <c r="I37" s="138">
        <v>8847979</v>
      </c>
      <c r="J37" s="136">
        <v>1660</v>
      </c>
      <c r="K37" s="138">
        <v>348173</v>
      </c>
      <c r="L37" s="136">
        <v>30816</v>
      </c>
      <c r="M37" s="138">
        <v>181392416</v>
      </c>
      <c r="N37" s="16" t="s">
        <v>124</v>
      </c>
    </row>
    <row r="38" spans="1:14" ht="15.75" customHeight="1">
      <c r="A38" s="186"/>
      <c r="B38" s="194"/>
      <c r="C38" s="185"/>
      <c r="D38" s="191"/>
      <c r="E38" s="193"/>
      <c r="F38" s="191"/>
      <c r="G38" s="193"/>
      <c r="H38" s="191"/>
      <c r="I38" s="193"/>
      <c r="J38" s="191"/>
      <c r="K38" s="189"/>
      <c r="L38" s="194"/>
      <c r="M38" s="185"/>
      <c r="N38" s="187"/>
    </row>
    <row r="39" spans="1:14" ht="15.75" customHeight="1">
      <c r="A39" s="11" t="s">
        <v>212</v>
      </c>
      <c r="B39" s="130">
        <f>_xlfn.COMPOUNDVALUE(313)</f>
        <v>2255</v>
      </c>
      <c r="C39" s="131">
        <v>15998328</v>
      </c>
      <c r="D39" s="130">
        <f>_xlfn.COMPOUNDVALUE(314)</f>
        <v>976</v>
      </c>
      <c r="E39" s="131">
        <v>562530</v>
      </c>
      <c r="F39" s="130">
        <f>_xlfn.COMPOUNDVALUE(315)</f>
        <v>3231</v>
      </c>
      <c r="G39" s="131">
        <v>16560858</v>
      </c>
      <c r="H39" s="130">
        <f>_xlfn.COMPOUNDVALUE(316)</f>
        <v>94</v>
      </c>
      <c r="I39" s="132">
        <v>714862</v>
      </c>
      <c r="J39" s="130">
        <v>162</v>
      </c>
      <c r="K39" s="132">
        <v>19411</v>
      </c>
      <c r="L39" s="130">
        <v>3353</v>
      </c>
      <c r="M39" s="132">
        <v>15865407</v>
      </c>
      <c r="N39" s="12" t="s">
        <v>125</v>
      </c>
    </row>
    <row r="40" spans="1:14" ht="15.75" customHeight="1">
      <c r="A40" s="13" t="s">
        <v>213</v>
      </c>
      <c r="B40" s="133">
        <f>_xlfn.COMPOUNDVALUE(317)</f>
        <v>1094</v>
      </c>
      <c r="C40" s="134">
        <v>6575877</v>
      </c>
      <c r="D40" s="133">
        <f>_xlfn.COMPOUNDVALUE(318)</f>
        <v>433</v>
      </c>
      <c r="E40" s="134">
        <v>242858</v>
      </c>
      <c r="F40" s="133">
        <f>_xlfn.COMPOUNDVALUE(319)</f>
        <v>1527</v>
      </c>
      <c r="G40" s="134">
        <v>6818735</v>
      </c>
      <c r="H40" s="133">
        <f>_xlfn.COMPOUNDVALUE(320)</f>
        <v>49</v>
      </c>
      <c r="I40" s="135">
        <v>201650</v>
      </c>
      <c r="J40" s="133">
        <v>78</v>
      </c>
      <c r="K40" s="135">
        <v>7044</v>
      </c>
      <c r="L40" s="133">
        <v>1586</v>
      </c>
      <c r="M40" s="135">
        <v>6624129</v>
      </c>
      <c r="N40" s="14" t="s">
        <v>126</v>
      </c>
    </row>
    <row r="41" spans="1:14" ht="15.75" customHeight="1">
      <c r="A41" s="13" t="s">
        <v>214</v>
      </c>
      <c r="B41" s="133">
        <f>_xlfn.COMPOUNDVALUE(321)</f>
        <v>650</v>
      </c>
      <c r="C41" s="134">
        <v>2787037</v>
      </c>
      <c r="D41" s="133">
        <f>_xlfn.COMPOUNDVALUE(322)</f>
        <v>287</v>
      </c>
      <c r="E41" s="134">
        <v>158810</v>
      </c>
      <c r="F41" s="133">
        <f>_xlfn.COMPOUNDVALUE(323)</f>
        <v>937</v>
      </c>
      <c r="G41" s="134">
        <v>2945847</v>
      </c>
      <c r="H41" s="133">
        <f>_xlfn.COMPOUNDVALUE(324)</f>
        <v>43</v>
      </c>
      <c r="I41" s="135">
        <v>126774</v>
      </c>
      <c r="J41" s="133">
        <v>47</v>
      </c>
      <c r="K41" s="135">
        <v>10183</v>
      </c>
      <c r="L41" s="133">
        <v>980</v>
      </c>
      <c r="M41" s="135">
        <v>2829256</v>
      </c>
      <c r="N41" s="14" t="s">
        <v>127</v>
      </c>
    </row>
    <row r="42" spans="1:14" ht="15.75" customHeight="1">
      <c r="A42" s="13" t="s">
        <v>215</v>
      </c>
      <c r="B42" s="133">
        <f>_xlfn.COMPOUNDVALUE(325)</f>
        <v>703</v>
      </c>
      <c r="C42" s="134">
        <v>3286570</v>
      </c>
      <c r="D42" s="133">
        <f>_xlfn.COMPOUNDVALUE(326)</f>
        <v>310</v>
      </c>
      <c r="E42" s="134">
        <v>178710</v>
      </c>
      <c r="F42" s="133">
        <f>_xlfn.COMPOUNDVALUE(327)</f>
        <v>1013</v>
      </c>
      <c r="G42" s="134">
        <v>3465280</v>
      </c>
      <c r="H42" s="133">
        <f>_xlfn.COMPOUNDVALUE(328)</f>
        <v>54</v>
      </c>
      <c r="I42" s="135">
        <v>189929</v>
      </c>
      <c r="J42" s="133">
        <v>57</v>
      </c>
      <c r="K42" s="135">
        <v>2563</v>
      </c>
      <c r="L42" s="133">
        <v>1079</v>
      </c>
      <c r="M42" s="135">
        <v>3277914</v>
      </c>
      <c r="N42" s="14" t="s">
        <v>128</v>
      </c>
    </row>
    <row r="43" spans="1:14" ht="15.75" customHeight="1">
      <c r="A43" s="13" t="s">
        <v>216</v>
      </c>
      <c r="B43" s="133">
        <f>_xlfn.COMPOUNDVALUE(329)</f>
        <v>1194</v>
      </c>
      <c r="C43" s="134">
        <v>6779026</v>
      </c>
      <c r="D43" s="133">
        <f>_xlfn.COMPOUNDVALUE(330)</f>
        <v>481</v>
      </c>
      <c r="E43" s="134">
        <v>269015</v>
      </c>
      <c r="F43" s="133">
        <f>_xlfn.COMPOUNDVALUE(331)</f>
        <v>1675</v>
      </c>
      <c r="G43" s="134">
        <v>7048040</v>
      </c>
      <c r="H43" s="133">
        <f>_xlfn.COMPOUNDVALUE(332)</f>
        <v>100</v>
      </c>
      <c r="I43" s="135">
        <v>500200</v>
      </c>
      <c r="J43" s="133">
        <v>57</v>
      </c>
      <c r="K43" s="135">
        <v>-2019</v>
      </c>
      <c r="L43" s="133">
        <v>1781</v>
      </c>
      <c r="M43" s="135">
        <v>6545822</v>
      </c>
      <c r="N43" s="14" t="s">
        <v>129</v>
      </c>
    </row>
    <row r="44" spans="1:14" ht="15.75" customHeight="1">
      <c r="A44" s="13" t="s">
        <v>217</v>
      </c>
      <c r="B44" s="133">
        <f>_xlfn.COMPOUNDVALUE(333)</f>
        <v>764</v>
      </c>
      <c r="C44" s="134">
        <v>6159318</v>
      </c>
      <c r="D44" s="133">
        <f>_xlfn.COMPOUNDVALUE(334)</f>
        <v>320</v>
      </c>
      <c r="E44" s="134">
        <v>194676</v>
      </c>
      <c r="F44" s="133">
        <f>_xlfn.COMPOUNDVALUE(335)</f>
        <v>1084</v>
      </c>
      <c r="G44" s="134">
        <v>6353994</v>
      </c>
      <c r="H44" s="133">
        <f>_xlfn.COMPOUNDVALUE(336)</f>
        <v>57</v>
      </c>
      <c r="I44" s="135">
        <v>656181</v>
      </c>
      <c r="J44" s="133">
        <v>49</v>
      </c>
      <c r="K44" s="135">
        <v>-11676</v>
      </c>
      <c r="L44" s="133">
        <v>1146</v>
      </c>
      <c r="M44" s="135">
        <v>5686137</v>
      </c>
      <c r="N44" s="14" t="s">
        <v>130</v>
      </c>
    </row>
    <row r="45" spans="1:14" ht="15.75" customHeight="1">
      <c r="A45" s="13" t="s">
        <v>218</v>
      </c>
      <c r="B45" s="133">
        <f>_xlfn.COMPOUNDVALUE(337)</f>
        <v>492</v>
      </c>
      <c r="C45" s="134">
        <v>2793659</v>
      </c>
      <c r="D45" s="133">
        <f>_xlfn.COMPOUNDVALUE(338)</f>
        <v>183</v>
      </c>
      <c r="E45" s="134">
        <v>99630</v>
      </c>
      <c r="F45" s="133">
        <f>_xlfn.COMPOUNDVALUE(339)</f>
        <v>675</v>
      </c>
      <c r="G45" s="134">
        <v>2893289</v>
      </c>
      <c r="H45" s="133">
        <f>_xlfn.COMPOUNDVALUE(340)</f>
        <v>29</v>
      </c>
      <c r="I45" s="135">
        <v>284038</v>
      </c>
      <c r="J45" s="133">
        <v>31</v>
      </c>
      <c r="K45" s="135">
        <v>4486</v>
      </c>
      <c r="L45" s="133">
        <v>710</v>
      </c>
      <c r="M45" s="135">
        <v>2613738</v>
      </c>
      <c r="N45" s="14" t="s">
        <v>131</v>
      </c>
    </row>
    <row r="46" spans="1:14" ht="15.75" customHeight="1">
      <c r="A46" s="13" t="s">
        <v>219</v>
      </c>
      <c r="B46" s="133">
        <f>_xlfn.COMPOUNDVALUE(341)</f>
        <v>1060</v>
      </c>
      <c r="C46" s="134">
        <v>4874596</v>
      </c>
      <c r="D46" s="133">
        <f>_xlfn.COMPOUNDVALUE(342)</f>
        <v>439</v>
      </c>
      <c r="E46" s="134">
        <v>261011</v>
      </c>
      <c r="F46" s="133">
        <f>_xlfn.COMPOUNDVALUE(343)</f>
        <v>1499</v>
      </c>
      <c r="G46" s="134">
        <v>5135607</v>
      </c>
      <c r="H46" s="133">
        <f>_xlfn.COMPOUNDVALUE(344)</f>
        <v>68</v>
      </c>
      <c r="I46" s="135">
        <v>355280</v>
      </c>
      <c r="J46" s="133">
        <v>31</v>
      </c>
      <c r="K46" s="135">
        <v>7706</v>
      </c>
      <c r="L46" s="133">
        <v>1573</v>
      </c>
      <c r="M46" s="135">
        <v>4788032</v>
      </c>
      <c r="N46" s="14" t="s">
        <v>132</v>
      </c>
    </row>
    <row r="47" spans="1:14" ht="15.75" customHeight="1">
      <c r="A47" s="15" t="s">
        <v>220</v>
      </c>
      <c r="B47" s="136">
        <v>8212</v>
      </c>
      <c r="C47" s="137">
        <v>49254410</v>
      </c>
      <c r="D47" s="136">
        <v>3429</v>
      </c>
      <c r="E47" s="137">
        <v>1967240</v>
      </c>
      <c r="F47" s="136">
        <v>11641</v>
      </c>
      <c r="G47" s="137">
        <v>51221650</v>
      </c>
      <c r="H47" s="136">
        <v>494</v>
      </c>
      <c r="I47" s="138">
        <v>3028914</v>
      </c>
      <c r="J47" s="136">
        <v>512</v>
      </c>
      <c r="K47" s="138">
        <v>37698</v>
      </c>
      <c r="L47" s="136">
        <v>12208</v>
      </c>
      <c r="M47" s="138">
        <v>48230435</v>
      </c>
      <c r="N47" s="16" t="s">
        <v>133</v>
      </c>
    </row>
    <row r="48" spans="1:14" ht="15.75" customHeight="1">
      <c r="A48" s="186"/>
      <c r="B48" s="194"/>
      <c r="C48" s="185"/>
      <c r="D48" s="191"/>
      <c r="E48" s="193"/>
      <c r="F48" s="191"/>
      <c r="G48" s="193"/>
      <c r="H48" s="191"/>
      <c r="I48" s="193"/>
      <c r="J48" s="191"/>
      <c r="K48" s="189"/>
      <c r="L48" s="194"/>
      <c r="M48" s="185"/>
      <c r="N48" s="187"/>
    </row>
    <row r="49" spans="1:14" ht="15.75" customHeight="1">
      <c r="A49" s="11" t="s">
        <v>221</v>
      </c>
      <c r="B49" s="130">
        <f>_xlfn.COMPOUNDVALUE(345)</f>
        <v>3554</v>
      </c>
      <c r="C49" s="131">
        <v>27419796</v>
      </c>
      <c r="D49" s="130">
        <f>_xlfn.COMPOUNDVALUE(346)</f>
        <v>1602</v>
      </c>
      <c r="E49" s="131">
        <v>885352</v>
      </c>
      <c r="F49" s="130">
        <f>_xlfn.COMPOUNDVALUE(347)</f>
        <v>5156</v>
      </c>
      <c r="G49" s="131">
        <v>28305148</v>
      </c>
      <c r="H49" s="130">
        <f>_xlfn.COMPOUNDVALUE(348)</f>
        <v>141</v>
      </c>
      <c r="I49" s="132">
        <v>890552</v>
      </c>
      <c r="J49" s="130">
        <v>238</v>
      </c>
      <c r="K49" s="132">
        <v>4737</v>
      </c>
      <c r="L49" s="130">
        <v>5331</v>
      </c>
      <c r="M49" s="132">
        <v>27419332</v>
      </c>
      <c r="N49" s="24" t="s">
        <v>134</v>
      </c>
    </row>
    <row r="50" spans="1:14" ht="15.75" customHeight="1">
      <c r="A50" s="13" t="s">
        <v>222</v>
      </c>
      <c r="B50" s="133">
        <f>_xlfn.COMPOUNDVALUE(349)</f>
        <v>1415</v>
      </c>
      <c r="C50" s="134">
        <v>8584004</v>
      </c>
      <c r="D50" s="133">
        <f>_xlfn.COMPOUNDVALUE(350)</f>
        <v>662</v>
      </c>
      <c r="E50" s="134">
        <v>358503</v>
      </c>
      <c r="F50" s="133">
        <f>_xlfn.COMPOUNDVALUE(351)</f>
        <v>2077</v>
      </c>
      <c r="G50" s="134">
        <v>8942508</v>
      </c>
      <c r="H50" s="133">
        <f>_xlfn.COMPOUNDVALUE(352)</f>
        <v>91</v>
      </c>
      <c r="I50" s="135">
        <v>1113865</v>
      </c>
      <c r="J50" s="133">
        <v>88</v>
      </c>
      <c r="K50" s="135">
        <v>40468</v>
      </c>
      <c r="L50" s="133">
        <v>2194</v>
      </c>
      <c r="M50" s="135">
        <v>7869110</v>
      </c>
      <c r="N50" s="14" t="s">
        <v>135</v>
      </c>
    </row>
    <row r="51" spans="1:14" ht="15.75" customHeight="1">
      <c r="A51" s="13" t="s">
        <v>223</v>
      </c>
      <c r="B51" s="133">
        <f>_xlfn.COMPOUNDVALUE(353)</f>
        <v>1282</v>
      </c>
      <c r="C51" s="134">
        <v>7815107</v>
      </c>
      <c r="D51" s="133">
        <f>_xlfn.COMPOUNDVALUE(354)</f>
        <v>569</v>
      </c>
      <c r="E51" s="134">
        <v>322644</v>
      </c>
      <c r="F51" s="133">
        <f>_xlfn.COMPOUNDVALUE(355)</f>
        <v>1851</v>
      </c>
      <c r="G51" s="134">
        <v>8137751</v>
      </c>
      <c r="H51" s="133">
        <f>_xlfn.COMPOUNDVALUE(356)</f>
        <v>69</v>
      </c>
      <c r="I51" s="135">
        <v>321792</v>
      </c>
      <c r="J51" s="133">
        <v>87</v>
      </c>
      <c r="K51" s="135">
        <v>23999</v>
      </c>
      <c r="L51" s="133">
        <v>1928</v>
      </c>
      <c r="M51" s="135">
        <v>7839959</v>
      </c>
      <c r="N51" s="14" t="s">
        <v>136</v>
      </c>
    </row>
    <row r="52" spans="1:14" ht="15.75" customHeight="1">
      <c r="A52" s="13" t="s">
        <v>224</v>
      </c>
      <c r="B52" s="133">
        <f>_xlfn.COMPOUNDVALUE(357)</f>
        <v>1071</v>
      </c>
      <c r="C52" s="134">
        <v>7252046</v>
      </c>
      <c r="D52" s="133">
        <f>_xlfn.COMPOUNDVALUE(358)</f>
        <v>561</v>
      </c>
      <c r="E52" s="134">
        <v>290120</v>
      </c>
      <c r="F52" s="133">
        <f>_xlfn.COMPOUNDVALUE(359)</f>
        <v>1632</v>
      </c>
      <c r="G52" s="134">
        <v>7542166</v>
      </c>
      <c r="H52" s="133">
        <f>_xlfn.COMPOUNDVALUE(360)</f>
        <v>53</v>
      </c>
      <c r="I52" s="135">
        <v>175786</v>
      </c>
      <c r="J52" s="133">
        <v>58</v>
      </c>
      <c r="K52" s="135">
        <v>6871</v>
      </c>
      <c r="L52" s="133">
        <v>1696</v>
      </c>
      <c r="M52" s="135">
        <v>7373250</v>
      </c>
      <c r="N52" s="14" t="s">
        <v>137</v>
      </c>
    </row>
    <row r="53" spans="1:14" ht="15.75" customHeight="1">
      <c r="A53" s="13" t="s">
        <v>225</v>
      </c>
      <c r="B53" s="133">
        <f>_xlfn.COMPOUNDVALUE(361)</f>
        <v>645</v>
      </c>
      <c r="C53" s="134">
        <v>3447559</v>
      </c>
      <c r="D53" s="133">
        <f>_xlfn.COMPOUNDVALUE(362)</f>
        <v>259</v>
      </c>
      <c r="E53" s="134">
        <v>148662</v>
      </c>
      <c r="F53" s="133">
        <f>_xlfn.COMPOUNDVALUE(363)</f>
        <v>904</v>
      </c>
      <c r="G53" s="134">
        <v>3596221</v>
      </c>
      <c r="H53" s="133">
        <f>_xlfn.COMPOUNDVALUE(364)</f>
        <v>34</v>
      </c>
      <c r="I53" s="135">
        <v>176089</v>
      </c>
      <c r="J53" s="133">
        <v>37</v>
      </c>
      <c r="K53" s="135">
        <v>5021</v>
      </c>
      <c r="L53" s="133">
        <v>949</v>
      </c>
      <c r="M53" s="135">
        <v>3425153</v>
      </c>
      <c r="N53" s="14" t="s">
        <v>138</v>
      </c>
    </row>
    <row r="54" spans="1:14" ht="15.75" customHeight="1">
      <c r="A54" s="13" t="s">
        <v>226</v>
      </c>
      <c r="B54" s="133">
        <f>_xlfn.COMPOUNDVALUE(365)</f>
        <v>675</v>
      </c>
      <c r="C54" s="134">
        <v>4725325</v>
      </c>
      <c r="D54" s="133">
        <f>_xlfn.COMPOUNDVALUE(366)</f>
        <v>289</v>
      </c>
      <c r="E54" s="134">
        <v>151332</v>
      </c>
      <c r="F54" s="133">
        <f>_xlfn.COMPOUNDVALUE(367)</f>
        <v>964</v>
      </c>
      <c r="G54" s="134">
        <v>4876657</v>
      </c>
      <c r="H54" s="133">
        <f>_xlfn.COMPOUNDVALUE(368)</f>
        <v>37</v>
      </c>
      <c r="I54" s="135">
        <v>102235</v>
      </c>
      <c r="J54" s="133">
        <v>48</v>
      </c>
      <c r="K54" s="135">
        <v>2039</v>
      </c>
      <c r="L54" s="133">
        <v>1006</v>
      </c>
      <c r="M54" s="135">
        <v>4776460</v>
      </c>
      <c r="N54" s="14" t="s">
        <v>139</v>
      </c>
    </row>
    <row r="55" spans="1:14" ht="15.75" customHeight="1">
      <c r="A55" s="13" t="s">
        <v>227</v>
      </c>
      <c r="B55" s="133">
        <f>_xlfn.COMPOUNDVALUE(369)</f>
        <v>734</v>
      </c>
      <c r="C55" s="134">
        <v>4802576</v>
      </c>
      <c r="D55" s="133">
        <f>_xlfn.COMPOUNDVALUE(370)</f>
        <v>236</v>
      </c>
      <c r="E55" s="134">
        <v>130925</v>
      </c>
      <c r="F55" s="133">
        <f>_xlfn.COMPOUNDVALUE(371)</f>
        <v>970</v>
      </c>
      <c r="G55" s="134">
        <v>4933501</v>
      </c>
      <c r="H55" s="133">
        <f>_xlfn.COMPOUNDVALUE(372)</f>
        <v>42</v>
      </c>
      <c r="I55" s="135">
        <v>2368633</v>
      </c>
      <c r="J55" s="133">
        <v>34</v>
      </c>
      <c r="K55" s="135">
        <v>2734</v>
      </c>
      <c r="L55" s="133">
        <v>1013</v>
      </c>
      <c r="M55" s="135">
        <v>2567603</v>
      </c>
      <c r="N55" s="14" t="s">
        <v>140</v>
      </c>
    </row>
    <row r="56" spans="1:14" ht="15.75" customHeight="1">
      <c r="A56" s="13" t="s">
        <v>228</v>
      </c>
      <c r="B56" s="133">
        <f>_xlfn.COMPOUNDVALUE(373)</f>
        <v>535</v>
      </c>
      <c r="C56" s="134">
        <v>3420740</v>
      </c>
      <c r="D56" s="133">
        <f>_xlfn.COMPOUNDVALUE(374)</f>
        <v>213</v>
      </c>
      <c r="E56" s="134">
        <v>121549</v>
      </c>
      <c r="F56" s="133">
        <f>_xlfn.COMPOUNDVALUE(375)</f>
        <v>748</v>
      </c>
      <c r="G56" s="134">
        <v>3542289</v>
      </c>
      <c r="H56" s="133">
        <f>_xlfn.COMPOUNDVALUE(376)</f>
        <v>31</v>
      </c>
      <c r="I56" s="135">
        <v>81507</v>
      </c>
      <c r="J56" s="133">
        <v>49</v>
      </c>
      <c r="K56" s="135">
        <v>-553</v>
      </c>
      <c r="L56" s="133">
        <v>786</v>
      </c>
      <c r="M56" s="135">
        <v>3460229</v>
      </c>
      <c r="N56" s="14" t="s">
        <v>141</v>
      </c>
    </row>
    <row r="57" spans="1:14" ht="15.75" customHeight="1">
      <c r="A57" s="15" t="s">
        <v>229</v>
      </c>
      <c r="B57" s="136">
        <v>9911</v>
      </c>
      <c r="C57" s="137">
        <v>67467152</v>
      </c>
      <c r="D57" s="136">
        <v>4391</v>
      </c>
      <c r="E57" s="137">
        <v>2409088</v>
      </c>
      <c r="F57" s="136">
        <v>14302</v>
      </c>
      <c r="G57" s="137">
        <v>69876240</v>
      </c>
      <c r="H57" s="136">
        <v>498</v>
      </c>
      <c r="I57" s="138">
        <v>5230459</v>
      </c>
      <c r="J57" s="136">
        <v>639</v>
      </c>
      <c r="K57" s="138">
        <v>85316</v>
      </c>
      <c r="L57" s="136">
        <v>14903</v>
      </c>
      <c r="M57" s="138">
        <v>64731096</v>
      </c>
      <c r="N57" s="16" t="s">
        <v>142</v>
      </c>
    </row>
    <row r="58" spans="1:14" ht="15.75" customHeight="1">
      <c r="A58" s="186"/>
      <c r="B58" s="194"/>
      <c r="C58" s="185"/>
      <c r="D58" s="191"/>
      <c r="E58" s="193"/>
      <c r="F58" s="191"/>
      <c r="G58" s="193"/>
      <c r="H58" s="191"/>
      <c r="I58" s="193"/>
      <c r="J58" s="191"/>
      <c r="K58" s="189"/>
      <c r="L58" s="194"/>
      <c r="M58" s="185"/>
      <c r="N58" s="187"/>
    </row>
    <row r="59" spans="1:14" ht="15.75" customHeight="1">
      <c r="A59" s="11" t="s">
        <v>230</v>
      </c>
      <c r="B59" s="130">
        <f>_xlfn.COMPOUNDVALUE(377)</f>
        <v>3387</v>
      </c>
      <c r="C59" s="131">
        <v>27464020</v>
      </c>
      <c r="D59" s="130">
        <f>_xlfn.COMPOUNDVALUE(378)</f>
        <v>1507</v>
      </c>
      <c r="E59" s="131">
        <v>961126</v>
      </c>
      <c r="F59" s="130">
        <f>_xlfn.COMPOUNDVALUE(379)</f>
        <v>4894</v>
      </c>
      <c r="G59" s="131">
        <v>28425147</v>
      </c>
      <c r="H59" s="130">
        <f>_xlfn.COMPOUNDVALUE(380)</f>
        <v>198</v>
      </c>
      <c r="I59" s="132">
        <v>761983</v>
      </c>
      <c r="J59" s="130">
        <v>222</v>
      </c>
      <c r="K59" s="132">
        <v>43619</v>
      </c>
      <c r="L59" s="130">
        <v>5109</v>
      </c>
      <c r="M59" s="132">
        <v>27706783</v>
      </c>
      <c r="N59" s="24" t="s">
        <v>144</v>
      </c>
    </row>
    <row r="60" spans="1:14" ht="15.75" customHeight="1">
      <c r="A60" s="11" t="s">
        <v>231</v>
      </c>
      <c r="B60" s="130">
        <f>_xlfn.COMPOUNDVALUE(381)</f>
        <v>1683</v>
      </c>
      <c r="C60" s="131">
        <v>9572497</v>
      </c>
      <c r="D60" s="130">
        <f>_xlfn.COMPOUNDVALUE(382)</f>
        <v>911</v>
      </c>
      <c r="E60" s="131">
        <v>510089</v>
      </c>
      <c r="F60" s="130">
        <f>_xlfn.COMPOUNDVALUE(383)</f>
        <v>2594</v>
      </c>
      <c r="G60" s="131">
        <v>10082586</v>
      </c>
      <c r="H60" s="130">
        <f>_xlfn.COMPOUNDVALUE(384)</f>
        <v>81</v>
      </c>
      <c r="I60" s="132">
        <v>227235</v>
      </c>
      <c r="J60" s="130">
        <v>148</v>
      </c>
      <c r="K60" s="132">
        <v>42836</v>
      </c>
      <c r="L60" s="130">
        <v>2696</v>
      </c>
      <c r="M60" s="132">
        <v>9898187</v>
      </c>
      <c r="N60" s="12" t="s">
        <v>145</v>
      </c>
    </row>
    <row r="61" spans="1:14" ht="15.75" customHeight="1">
      <c r="A61" s="11" t="s">
        <v>232</v>
      </c>
      <c r="B61" s="130">
        <f>_xlfn.COMPOUNDVALUE(385)</f>
        <v>4408</v>
      </c>
      <c r="C61" s="131">
        <v>36086233</v>
      </c>
      <c r="D61" s="130">
        <f>_xlfn.COMPOUNDVALUE(386)</f>
        <v>2019</v>
      </c>
      <c r="E61" s="131">
        <v>1249059</v>
      </c>
      <c r="F61" s="130">
        <f>_xlfn.COMPOUNDVALUE(387)</f>
        <v>6427</v>
      </c>
      <c r="G61" s="131">
        <v>37335293</v>
      </c>
      <c r="H61" s="130">
        <f>_xlfn.COMPOUNDVALUE(388)</f>
        <v>252</v>
      </c>
      <c r="I61" s="132">
        <v>1204520</v>
      </c>
      <c r="J61" s="130">
        <v>230</v>
      </c>
      <c r="K61" s="132">
        <v>60299</v>
      </c>
      <c r="L61" s="130">
        <v>6730</v>
      </c>
      <c r="M61" s="132">
        <v>36191071</v>
      </c>
      <c r="N61" s="12" t="s">
        <v>146</v>
      </c>
    </row>
    <row r="62" spans="1:14" ht="15.75" customHeight="1">
      <c r="A62" s="13" t="s">
        <v>69</v>
      </c>
      <c r="B62" s="133">
        <f>_xlfn.COMPOUNDVALUE(389)</f>
        <v>3502</v>
      </c>
      <c r="C62" s="134">
        <v>22395095</v>
      </c>
      <c r="D62" s="133">
        <f>_xlfn.COMPOUNDVALUE(390)</f>
        <v>1618</v>
      </c>
      <c r="E62" s="134">
        <v>1044385</v>
      </c>
      <c r="F62" s="133">
        <f>_xlfn.COMPOUNDVALUE(391)</f>
        <v>5120</v>
      </c>
      <c r="G62" s="134">
        <v>23439479</v>
      </c>
      <c r="H62" s="133">
        <f>_xlfn.COMPOUNDVALUE(392)</f>
        <v>223</v>
      </c>
      <c r="I62" s="135">
        <v>3633743</v>
      </c>
      <c r="J62" s="133">
        <v>263</v>
      </c>
      <c r="K62" s="135">
        <v>35224</v>
      </c>
      <c r="L62" s="133">
        <v>5400</v>
      </c>
      <c r="M62" s="135">
        <v>19840960</v>
      </c>
      <c r="N62" s="14" t="s">
        <v>69</v>
      </c>
    </row>
    <row r="63" spans="1:14" ht="15.75" customHeight="1">
      <c r="A63" s="13" t="s">
        <v>233</v>
      </c>
      <c r="B63" s="133">
        <f>_xlfn.COMPOUNDVALUE(393)</f>
        <v>1169</v>
      </c>
      <c r="C63" s="134">
        <v>6668645</v>
      </c>
      <c r="D63" s="133">
        <f>_xlfn.COMPOUNDVALUE(394)</f>
        <v>494</v>
      </c>
      <c r="E63" s="134">
        <v>310368</v>
      </c>
      <c r="F63" s="133">
        <f>_xlfn.COMPOUNDVALUE(395)</f>
        <v>1663</v>
      </c>
      <c r="G63" s="134">
        <v>6979013</v>
      </c>
      <c r="H63" s="133">
        <f>_xlfn.COMPOUNDVALUE(396)</f>
        <v>96</v>
      </c>
      <c r="I63" s="135">
        <v>691786</v>
      </c>
      <c r="J63" s="133">
        <v>68</v>
      </c>
      <c r="K63" s="135">
        <v>26938</v>
      </c>
      <c r="L63" s="133">
        <v>1772</v>
      </c>
      <c r="M63" s="135">
        <v>6314164</v>
      </c>
      <c r="N63" s="14" t="s">
        <v>147</v>
      </c>
    </row>
    <row r="64" spans="1:14" ht="15.75" customHeight="1">
      <c r="A64" s="13" t="s">
        <v>234</v>
      </c>
      <c r="B64" s="133">
        <f>_xlfn.COMPOUNDVALUE(397)</f>
        <v>1202</v>
      </c>
      <c r="C64" s="134">
        <v>6857145</v>
      </c>
      <c r="D64" s="133">
        <f>_xlfn.COMPOUNDVALUE(398)</f>
        <v>563</v>
      </c>
      <c r="E64" s="134">
        <v>341907</v>
      </c>
      <c r="F64" s="133">
        <f>_xlfn.COMPOUNDVALUE(399)</f>
        <v>1765</v>
      </c>
      <c r="G64" s="134">
        <v>7199051</v>
      </c>
      <c r="H64" s="133">
        <f>_xlfn.COMPOUNDVALUE(400)</f>
        <v>74</v>
      </c>
      <c r="I64" s="135">
        <v>587549</v>
      </c>
      <c r="J64" s="133">
        <v>52</v>
      </c>
      <c r="K64" s="135">
        <v>21220</v>
      </c>
      <c r="L64" s="133">
        <v>1852</v>
      </c>
      <c r="M64" s="135">
        <v>6632722</v>
      </c>
      <c r="N64" s="14" t="s">
        <v>148</v>
      </c>
    </row>
    <row r="65" spans="1:14" ht="15.75" customHeight="1">
      <c r="A65" s="13" t="s">
        <v>235</v>
      </c>
      <c r="B65" s="133">
        <f>_xlfn.COMPOUNDVALUE(401)</f>
        <v>430</v>
      </c>
      <c r="C65" s="134">
        <v>2240924</v>
      </c>
      <c r="D65" s="133">
        <f>_xlfn.COMPOUNDVALUE(402)</f>
        <v>276</v>
      </c>
      <c r="E65" s="134">
        <v>151318</v>
      </c>
      <c r="F65" s="133">
        <f>_xlfn.COMPOUNDVALUE(403)</f>
        <v>706</v>
      </c>
      <c r="G65" s="134">
        <v>2392243</v>
      </c>
      <c r="H65" s="133">
        <f>_xlfn.COMPOUNDVALUE(404)</f>
        <v>32</v>
      </c>
      <c r="I65" s="135">
        <v>69730</v>
      </c>
      <c r="J65" s="133">
        <v>49</v>
      </c>
      <c r="K65" s="135">
        <v>17232</v>
      </c>
      <c r="L65" s="133">
        <v>751</v>
      </c>
      <c r="M65" s="135">
        <v>2339745</v>
      </c>
      <c r="N65" s="14" t="s">
        <v>149</v>
      </c>
    </row>
    <row r="66" spans="1:14" ht="15.75" customHeight="1">
      <c r="A66" s="13" t="s">
        <v>236</v>
      </c>
      <c r="B66" s="133">
        <f>_xlfn.COMPOUNDVALUE(405)</f>
        <v>1418</v>
      </c>
      <c r="C66" s="134">
        <v>9575957</v>
      </c>
      <c r="D66" s="133">
        <f>_xlfn.COMPOUNDVALUE(406)</f>
        <v>538</v>
      </c>
      <c r="E66" s="134">
        <v>434499</v>
      </c>
      <c r="F66" s="133">
        <f>_xlfn.COMPOUNDVALUE(407)</f>
        <v>1956</v>
      </c>
      <c r="G66" s="134">
        <v>10010456</v>
      </c>
      <c r="H66" s="133">
        <f>_xlfn.COMPOUNDVALUE(408)</f>
        <v>169</v>
      </c>
      <c r="I66" s="135">
        <v>1813250</v>
      </c>
      <c r="J66" s="133">
        <v>159</v>
      </c>
      <c r="K66" s="135">
        <v>22353</v>
      </c>
      <c r="L66" s="133">
        <v>2166</v>
      </c>
      <c r="M66" s="135">
        <v>8219559</v>
      </c>
      <c r="N66" s="14" t="s">
        <v>150</v>
      </c>
    </row>
    <row r="67" spans="1:14" ht="15.75" customHeight="1">
      <c r="A67" s="13" t="s">
        <v>237</v>
      </c>
      <c r="B67" s="133">
        <f>_xlfn.COMPOUNDVALUE(409)</f>
        <v>842</v>
      </c>
      <c r="C67" s="134">
        <v>4882917</v>
      </c>
      <c r="D67" s="133">
        <f>_xlfn.COMPOUNDVALUE(410)</f>
        <v>325</v>
      </c>
      <c r="E67" s="134">
        <v>204476</v>
      </c>
      <c r="F67" s="133">
        <f>_xlfn.COMPOUNDVALUE(411)</f>
        <v>1167</v>
      </c>
      <c r="G67" s="134">
        <v>5087393</v>
      </c>
      <c r="H67" s="133">
        <f>_xlfn.COMPOUNDVALUE(412)</f>
        <v>47</v>
      </c>
      <c r="I67" s="135">
        <v>171783</v>
      </c>
      <c r="J67" s="133">
        <v>46</v>
      </c>
      <c r="K67" s="135">
        <v>88490</v>
      </c>
      <c r="L67" s="133">
        <v>1221</v>
      </c>
      <c r="M67" s="135">
        <v>5004100</v>
      </c>
      <c r="N67" s="14" t="s">
        <v>151</v>
      </c>
    </row>
    <row r="68" spans="1:14" ht="15.75" customHeight="1">
      <c r="A68" s="13" t="s">
        <v>238</v>
      </c>
      <c r="B68" s="133">
        <f>_xlfn.COMPOUNDVALUE(413)</f>
        <v>289</v>
      </c>
      <c r="C68" s="134">
        <v>1010926</v>
      </c>
      <c r="D68" s="133">
        <f>_xlfn.COMPOUNDVALUE(414)</f>
        <v>135</v>
      </c>
      <c r="E68" s="134">
        <v>81890</v>
      </c>
      <c r="F68" s="133">
        <f>_xlfn.COMPOUNDVALUE(415)</f>
        <v>424</v>
      </c>
      <c r="G68" s="134">
        <v>1092816</v>
      </c>
      <c r="H68" s="133">
        <f>_xlfn.COMPOUNDVALUE(416)</f>
        <v>13</v>
      </c>
      <c r="I68" s="135">
        <v>21792</v>
      </c>
      <c r="J68" s="133">
        <v>7</v>
      </c>
      <c r="K68" s="135">
        <v>1018</v>
      </c>
      <c r="L68" s="133">
        <v>440</v>
      </c>
      <c r="M68" s="135">
        <v>1072042</v>
      </c>
      <c r="N68" s="14" t="s">
        <v>152</v>
      </c>
    </row>
    <row r="69" spans="1:14" ht="15.75" customHeight="1">
      <c r="A69" s="15" t="s">
        <v>239</v>
      </c>
      <c r="B69" s="136">
        <v>18330</v>
      </c>
      <c r="C69" s="137">
        <v>126754358</v>
      </c>
      <c r="D69" s="136">
        <v>8386</v>
      </c>
      <c r="E69" s="137">
        <v>5289117</v>
      </c>
      <c r="F69" s="136">
        <v>26716</v>
      </c>
      <c r="G69" s="137">
        <v>132043476</v>
      </c>
      <c r="H69" s="136">
        <v>1185</v>
      </c>
      <c r="I69" s="138">
        <v>9183372</v>
      </c>
      <c r="J69" s="136">
        <v>1244</v>
      </c>
      <c r="K69" s="138">
        <v>359229</v>
      </c>
      <c r="L69" s="136">
        <v>28137</v>
      </c>
      <c r="M69" s="138">
        <v>123219333</v>
      </c>
      <c r="N69" s="16" t="s">
        <v>153</v>
      </c>
    </row>
    <row r="70" spans="1:14" ht="15.75" customHeight="1" thickBot="1">
      <c r="A70" s="18"/>
      <c r="B70" s="142"/>
      <c r="C70" s="143"/>
      <c r="D70" s="142"/>
      <c r="E70" s="143"/>
      <c r="F70" s="144"/>
      <c r="G70" s="143"/>
      <c r="H70" s="144"/>
      <c r="I70" s="143"/>
      <c r="J70" s="144"/>
      <c r="K70" s="143"/>
      <c r="L70" s="144"/>
      <c r="M70" s="143"/>
      <c r="N70" s="19"/>
    </row>
    <row r="71" spans="1:14" ht="15.75" customHeight="1" thickBot="1" thickTop="1">
      <c r="A71" s="21" t="s">
        <v>240</v>
      </c>
      <c r="B71" s="145">
        <v>77908</v>
      </c>
      <c r="C71" s="146">
        <v>577598128</v>
      </c>
      <c r="D71" s="145">
        <v>32324</v>
      </c>
      <c r="E71" s="146">
        <v>19500464</v>
      </c>
      <c r="F71" s="145">
        <v>110232</v>
      </c>
      <c r="G71" s="146">
        <v>597098593</v>
      </c>
      <c r="H71" s="145">
        <v>4737</v>
      </c>
      <c r="I71" s="147">
        <v>35901272</v>
      </c>
      <c r="J71" s="145">
        <v>5433</v>
      </c>
      <c r="K71" s="147">
        <v>1263824</v>
      </c>
      <c r="L71" s="145">
        <v>115999</v>
      </c>
      <c r="M71" s="147">
        <v>562461144</v>
      </c>
      <c r="N71" s="22" t="s">
        <v>96</v>
      </c>
    </row>
    <row r="72" spans="1:14" ht="13.5">
      <c r="A72" s="233" t="s">
        <v>250</v>
      </c>
      <c r="B72" s="233"/>
      <c r="C72" s="233"/>
      <c r="D72" s="233"/>
      <c r="E72" s="233"/>
      <c r="F72" s="233"/>
      <c r="G72" s="233"/>
      <c r="H72" s="233"/>
      <c r="I72" s="233"/>
      <c r="J72" s="25"/>
      <c r="K72" s="25"/>
      <c r="L72" s="2"/>
      <c r="M72" s="2"/>
      <c r="N72" s="2"/>
    </row>
  </sheetData>
  <sheetProtection/>
  <mergeCells count="11">
    <mergeCell ref="N3:N5"/>
    <mergeCell ref="B4:C4"/>
    <mergeCell ref="D4:E4"/>
    <mergeCell ref="F4:G4"/>
    <mergeCell ref="J3:K4"/>
    <mergeCell ref="L3:M4"/>
    <mergeCell ref="A72:I72"/>
    <mergeCell ref="A2:I2"/>
    <mergeCell ref="A3:A5"/>
    <mergeCell ref="B3:G3"/>
    <mergeCell ref="H3:I4"/>
  </mergeCells>
  <printOptions horizontalCentered="1"/>
  <pageMargins left="0.5905511811023623" right="0.5905511811023623" top="0.7874015748031497" bottom="0.7874015748031497" header="0.5118110236220472" footer="0.5118110236220472"/>
  <pageSetup fitToHeight="0" horizontalDpi="600" verticalDpi="600" orientation="landscape" paperSize="9" scale="80" r:id="rId1"/>
  <headerFooter alignWithMargins="0">
    <oddFooter>&amp;R仙台国税局
消費税
(H27)</oddFooter>
  </headerFooter>
  <rowBreaks count="1" manualBreakCount="1">
    <brk id="3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R72"/>
  <sheetViews>
    <sheetView showGridLines="0" zoomScaleSheetLayoutView="85" zoomScalePageLayoutView="0" workbookViewId="0" topLeftCell="A1">
      <selection activeCell="A1" sqref="A1"/>
    </sheetView>
  </sheetViews>
  <sheetFormatPr defaultColWidth="9.140625" defaultRowHeight="15"/>
  <cols>
    <col min="1" max="1" width="10.421875" style="3" customWidth="1"/>
    <col min="2" max="2" width="10.57421875" style="3" customWidth="1"/>
    <col min="3" max="3" width="12.57421875" style="3" customWidth="1"/>
    <col min="4" max="4" width="10.57421875" style="3" customWidth="1"/>
    <col min="5" max="5" width="12.57421875" style="3" customWidth="1"/>
    <col min="6" max="6" width="10.57421875" style="3" customWidth="1"/>
    <col min="7" max="7" width="12.57421875" style="3" customWidth="1"/>
    <col min="8" max="8" width="10.57421875" style="3" customWidth="1"/>
    <col min="9" max="9" width="12.57421875" style="3" customWidth="1"/>
    <col min="10" max="10" width="10.57421875" style="3" customWidth="1"/>
    <col min="11" max="11" width="12.57421875" style="3" customWidth="1"/>
    <col min="12" max="12" width="10.57421875" style="3" customWidth="1"/>
    <col min="13" max="13" width="12.57421875" style="3" customWidth="1"/>
    <col min="14" max="17" width="10.57421875" style="3" customWidth="1"/>
    <col min="18" max="18" width="10.421875" style="3" customWidth="1"/>
    <col min="19" max="16384" width="9.00390625" style="3" customWidth="1"/>
  </cols>
  <sheetData>
    <row r="1" spans="1:16" ht="13.5">
      <c r="A1" s="1" t="s">
        <v>77</v>
      </c>
      <c r="B1" s="1"/>
      <c r="C1" s="1"/>
      <c r="D1" s="1"/>
      <c r="E1" s="1"/>
      <c r="F1" s="1"/>
      <c r="G1" s="1"/>
      <c r="H1" s="1"/>
      <c r="I1" s="1"/>
      <c r="J1" s="1"/>
      <c r="K1" s="1"/>
      <c r="L1" s="2"/>
      <c r="M1" s="2"/>
      <c r="N1" s="2"/>
      <c r="O1" s="2"/>
      <c r="P1" s="2"/>
    </row>
    <row r="2" spans="1:16" ht="14.25" thickBot="1">
      <c r="A2" s="244" t="s">
        <v>86</v>
      </c>
      <c r="B2" s="244"/>
      <c r="C2" s="244"/>
      <c r="D2" s="244"/>
      <c r="E2" s="244"/>
      <c r="F2" s="244"/>
      <c r="G2" s="244"/>
      <c r="H2" s="244"/>
      <c r="I2" s="244"/>
      <c r="J2" s="25"/>
      <c r="K2" s="25"/>
      <c r="L2" s="2"/>
      <c r="M2" s="2"/>
      <c r="N2" s="2"/>
      <c r="O2" s="2"/>
      <c r="P2" s="2"/>
    </row>
    <row r="3" spans="1:18" ht="19.5" customHeight="1">
      <c r="A3" s="234" t="s">
        <v>2</v>
      </c>
      <c r="B3" s="237" t="s">
        <v>3</v>
      </c>
      <c r="C3" s="237"/>
      <c r="D3" s="237"/>
      <c r="E3" s="237"/>
      <c r="F3" s="237"/>
      <c r="G3" s="237"/>
      <c r="H3" s="237" t="s">
        <v>4</v>
      </c>
      <c r="I3" s="237"/>
      <c r="J3" s="250" t="s">
        <v>5</v>
      </c>
      <c r="K3" s="237"/>
      <c r="L3" s="237" t="s">
        <v>6</v>
      </c>
      <c r="M3" s="237"/>
      <c r="N3" s="251" t="s">
        <v>87</v>
      </c>
      <c r="O3" s="252"/>
      <c r="P3" s="252"/>
      <c r="Q3" s="252"/>
      <c r="R3" s="238" t="s">
        <v>79</v>
      </c>
    </row>
    <row r="4" spans="1:18" ht="17.25" customHeight="1">
      <c r="A4" s="235"/>
      <c r="B4" s="241" t="s">
        <v>8</v>
      </c>
      <c r="C4" s="241"/>
      <c r="D4" s="241" t="s">
        <v>9</v>
      </c>
      <c r="E4" s="241"/>
      <c r="F4" s="241" t="s">
        <v>10</v>
      </c>
      <c r="G4" s="241"/>
      <c r="H4" s="241"/>
      <c r="I4" s="241"/>
      <c r="J4" s="241"/>
      <c r="K4" s="241"/>
      <c r="L4" s="241"/>
      <c r="M4" s="241"/>
      <c r="N4" s="253" t="s">
        <v>88</v>
      </c>
      <c r="O4" s="245" t="s">
        <v>89</v>
      </c>
      <c r="P4" s="247" t="s">
        <v>90</v>
      </c>
      <c r="Q4" s="232" t="s">
        <v>91</v>
      </c>
      <c r="R4" s="239"/>
    </row>
    <row r="5" spans="1:18" ht="28.5" customHeight="1">
      <c r="A5" s="236"/>
      <c r="B5" s="33" t="s">
        <v>11</v>
      </c>
      <c r="C5" s="34" t="s">
        <v>12</v>
      </c>
      <c r="D5" s="33" t="s">
        <v>11</v>
      </c>
      <c r="E5" s="34" t="s">
        <v>12</v>
      </c>
      <c r="F5" s="33" t="s">
        <v>11</v>
      </c>
      <c r="G5" s="34" t="s">
        <v>13</v>
      </c>
      <c r="H5" s="33" t="s">
        <v>11</v>
      </c>
      <c r="I5" s="34" t="s">
        <v>14</v>
      </c>
      <c r="J5" s="33" t="s">
        <v>11</v>
      </c>
      <c r="K5" s="34" t="s">
        <v>15</v>
      </c>
      <c r="L5" s="33" t="s">
        <v>11</v>
      </c>
      <c r="M5" s="29" t="s">
        <v>95</v>
      </c>
      <c r="N5" s="254"/>
      <c r="O5" s="246"/>
      <c r="P5" s="248"/>
      <c r="Q5" s="249"/>
      <c r="R5" s="240"/>
    </row>
    <row r="6" spans="1:18" s="27" customFormat="1" ht="10.5">
      <c r="A6" s="5"/>
      <c r="B6" s="6" t="s">
        <v>16</v>
      </c>
      <c r="C6" s="7" t="s">
        <v>17</v>
      </c>
      <c r="D6" s="6" t="s">
        <v>16</v>
      </c>
      <c r="E6" s="7" t="s">
        <v>17</v>
      </c>
      <c r="F6" s="6" t="s">
        <v>16</v>
      </c>
      <c r="G6" s="7" t="s">
        <v>17</v>
      </c>
      <c r="H6" s="6" t="s">
        <v>16</v>
      </c>
      <c r="I6" s="7" t="s">
        <v>17</v>
      </c>
      <c r="J6" s="6" t="s">
        <v>16</v>
      </c>
      <c r="K6" s="7" t="s">
        <v>17</v>
      </c>
      <c r="L6" s="6" t="s">
        <v>16</v>
      </c>
      <c r="M6" s="7" t="s">
        <v>17</v>
      </c>
      <c r="N6" s="6" t="s">
        <v>16</v>
      </c>
      <c r="O6" s="30" t="s">
        <v>16</v>
      </c>
      <c r="P6" s="30" t="s">
        <v>16</v>
      </c>
      <c r="Q6" s="31" t="s">
        <v>16</v>
      </c>
      <c r="R6" s="9"/>
    </row>
    <row r="7" spans="1:18" ht="15.75" customHeight="1">
      <c r="A7" s="11" t="s">
        <v>19</v>
      </c>
      <c r="B7" s="130">
        <f>_xlfn.COMPOUNDVALUE(417)</f>
        <v>3603</v>
      </c>
      <c r="C7" s="131">
        <v>17131464</v>
      </c>
      <c r="D7" s="130">
        <f>_xlfn.COMPOUNDVALUE(418)</f>
        <v>2443</v>
      </c>
      <c r="E7" s="131">
        <v>1194300</v>
      </c>
      <c r="F7" s="130">
        <f>_xlfn.COMPOUNDVALUE(419)</f>
        <v>6046</v>
      </c>
      <c r="G7" s="131">
        <v>18325764</v>
      </c>
      <c r="H7" s="130">
        <f>_xlfn.COMPOUNDVALUE(420)</f>
        <v>188</v>
      </c>
      <c r="I7" s="132">
        <v>530244</v>
      </c>
      <c r="J7" s="130">
        <v>374</v>
      </c>
      <c r="K7" s="132">
        <v>54248</v>
      </c>
      <c r="L7" s="130">
        <v>6347</v>
      </c>
      <c r="M7" s="132">
        <v>17849768</v>
      </c>
      <c r="N7" s="130">
        <v>6208</v>
      </c>
      <c r="O7" s="148">
        <v>168</v>
      </c>
      <c r="P7" s="148">
        <v>11</v>
      </c>
      <c r="Q7" s="149">
        <v>6387</v>
      </c>
      <c r="R7" s="12" t="s">
        <v>98</v>
      </c>
    </row>
    <row r="8" spans="1:18" ht="15.75" customHeight="1">
      <c r="A8" s="13" t="s">
        <v>20</v>
      </c>
      <c r="B8" s="133">
        <f>_xlfn.COMPOUNDVALUE(421)</f>
        <v>2123</v>
      </c>
      <c r="C8" s="134">
        <v>9261618</v>
      </c>
      <c r="D8" s="133">
        <f>_xlfn.COMPOUNDVALUE(422)</f>
        <v>1690</v>
      </c>
      <c r="E8" s="134">
        <v>760596</v>
      </c>
      <c r="F8" s="133">
        <f>_xlfn.COMPOUNDVALUE(423)</f>
        <v>3813</v>
      </c>
      <c r="G8" s="134">
        <v>10022213</v>
      </c>
      <c r="H8" s="133">
        <f>_xlfn.COMPOUNDVALUE(424)</f>
        <v>97</v>
      </c>
      <c r="I8" s="135">
        <v>547486</v>
      </c>
      <c r="J8" s="133">
        <v>183</v>
      </c>
      <c r="K8" s="135">
        <v>51026</v>
      </c>
      <c r="L8" s="133">
        <v>3972</v>
      </c>
      <c r="M8" s="135">
        <v>9525754</v>
      </c>
      <c r="N8" s="130">
        <v>4065</v>
      </c>
      <c r="O8" s="148">
        <v>74</v>
      </c>
      <c r="P8" s="148">
        <v>13</v>
      </c>
      <c r="Q8" s="149">
        <v>4152</v>
      </c>
      <c r="R8" s="14" t="s">
        <v>99</v>
      </c>
    </row>
    <row r="9" spans="1:18" ht="15.75" customHeight="1">
      <c r="A9" s="13" t="s">
        <v>21</v>
      </c>
      <c r="B9" s="133">
        <f>_xlfn.COMPOUNDVALUE(425)</f>
        <v>3705</v>
      </c>
      <c r="C9" s="134">
        <v>20666803</v>
      </c>
      <c r="D9" s="133">
        <f>_xlfn.COMPOUNDVALUE(426)</f>
        <v>2640</v>
      </c>
      <c r="E9" s="134">
        <v>1220529</v>
      </c>
      <c r="F9" s="133">
        <f>_xlfn.COMPOUNDVALUE(427)</f>
        <v>6345</v>
      </c>
      <c r="G9" s="134">
        <v>21887332</v>
      </c>
      <c r="H9" s="133">
        <f>_xlfn.COMPOUNDVALUE(428)</f>
        <v>209</v>
      </c>
      <c r="I9" s="135">
        <v>3521459</v>
      </c>
      <c r="J9" s="133">
        <v>322</v>
      </c>
      <c r="K9" s="135">
        <v>54543</v>
      </c>
      <c r="L9" s="133">
        <v>6640</v>
      </c>
      <c r="M9" s="135">
        <v>18420416</v>
      </c>
      <c r="N9" s="130">
        <v>6474</v>
      </c>
      <c r="O9" s="148">
        <v>166</v>
      </c>
      <c r="P9" s="148">
        <v>17</v>
      </c>
      <c r="Q9" s="149">
        <v>6657</v>
      </c>
      <c r="R9" s="14" t="s">
        <v>100</v>
      </c>
    </row>
    <row r="10" spans="1:18" ht="15.75" customHeight="1">
      <c r="A10" s="13" t="s">
        <v>22</v>
      </c>
      <c r="B10" s="133">
        <f>_xlfn.COMPOUNDVALUE(429)</f>
        <v>873</v>
      </c>
      <c r="C10" s="134">
        <v>3337938</v>
      </c>
      <c r="D10" s="133">
        <f>_xlfn.COMPOUNDVALUE(430)</f>
        <v>794</v>
      </c>
      <c r="E10" s="134">
        <v>318414</v>
      </c>
      <c r="F10" s="133">
        <f>_xlfn.COMPOUNDVALUE(431)</f>
        <v>1667</v>
      </c>
      <c r="G10" s="134">
        <v>3656352</v>
      </c>
      <c r="H10" s="133">
        <f>_xlfn.COMPOUNDVALUE(432)</f>
        <v>38</v>
      </c>
      <c r="I10" s="135">
        <v>144554</v>
      </c>
      <c r="J10" s="133">
        <v>116</v>
      </c>
      <c r="K10" s="135">
        <v>21689</v>
      </c>
      <c r="L10" s="133">
        <v>1724</v>
      </c>
      <c r="M10" s="135">
        <v>3533487</v>
      </c>
      <c r="N10" s="130">
        <v>2083</v>
      </c>
      <c r="O10" s="148">
        <v>21</v>
      </c>
      <c r="P10" s="148">
        <v>4</v>
      </c>
      <c r="Q10" s="149">
        <v>2108</v>
      </c>
      <c r="R10" s="14" t="s">
        <v>101</v>
      </c>
    </row>
    <row r="11" spans="1:18" ht="15.75" customHeight="1">
      <c r="A11" s="13" t="s">
        <v>23</v>
      </c>
      <c r="B11" s="133">
        <f>_xlfn.COMPOUNDVALUE(433)</f>
        <v>1721</v>
      </c>
      <c r="C11" s="134">
        <v>4670178</v>
      </c>
      <c r="D11" s="133">
        <f>_xlfn.COMPOUNDVALUE(434)</f>
        <v>1724</v>
      </c>
      <c r="E11" s="134">
        <v>634194</v>
      </c>
      <c r="F11" s="133">
        <f>_xlfn.COMPOUNDVALUE(435)</f>
        <v>3445</v>
      </c>
      <c r="G11" s="134">
        <v>5304372</v>
      </c>
      <c r="H11" s="133">
        <f>_xlfn.COMPOUNDVALUE(436)</f>
        <v>84</v>
      </c>
      <c r="I11" s="135">
        <v>133272</v>
      </c>
      <c r="J11" s="133">
        <v>166</v>
      </c>
      <c r="K11" s="135">
        <v>30911</v>
      </c>
      <c r="L11" s="133">
        <v>3586</v>
      </c>
      <c r="M11" s="135">
        <v>5202010</v>
      </c>
      <c r="N11" s="130">
        <v>3359</v>
      </c>
      <c r="O11" s="148">
        <v>66</v>
      </c>
      <c r="P11" s="148">
        <v>1</v>
      </c>
      <c r="Q11" s="149">
        <v>3426</v>
      </c>
      <c r="R11" s="14" t="s">
        <v>102</v>
      </c>
    </row>
    <row r="12" spans="1:18" ht="15.75" customHeight="1">
      <c r="A12" s="13" t="s">
        <v>24</v>
      </c>
      <c r="B12" s="133">
        <f>_xlfn.COMPOUNDVALUE(437)</f>
        <v>2648</v>
      </c>
      <c r="C12" s="134">
        <v>23104000</v>
      </c>
      <c r="D12" s="133">
        <f>_xlfn.COMPOUNDVALUE(438)</f>
        <v>2654</v>
      </c>
      <c r="E12" s="134">
        <v>1198679</v>
      </c>
      <c r="F12" s="133">
        <f>_xlfn.COMPOUNDVALUE(439)</f>
        <v>5302</v>
      </c>
      <c r="G12" s="134">
        <v>24302679</v>
      </c>
      <c r="H12" s="133">
        <f>_xlfn.COMPOUNDVALUE(440)</f>
        <v>179</v>
      </c>
      <c r="I12" s="135">
        <v>1059927</v>
      </c>
      <c r="J12" s="133">
        <v>252</v>
      </c>
      <c r="K12" s="135">
        <v>44080</v>
      </c>
      <c r="L12" s="133">
        <v>5561</v>
      </c>
      <c r="M12" s="135">
        <v>23286832</v>
      </c>
      <c r="N12" s="130">
        <v>5526</v>
      </c>
      <c r="O12" s="148">
        <v>112</v>
      </c>
      <c r="P12" s="148">
        <v>9</v>
      </c>
      <c r="Q12" s="149">
        <v>5647</v>
      </c>
      <c r="R12" s="14" t="s">
        <v>103</v>
      </c>
    </row>
    <row r="13" spans="1:18" ht="15.75" customHeight="1">
      <c r="A13" s="13" t="s">
        <v>25</v>
      </c>
      <c r="B13" s="133">
        <f>_xlfn.COMPOUNDVALUE(441)</f>
        <v>886</v>
      </c>
      <c r="C13" s="134">
        <v>2863203</v>
      </c>
      <c r="D13" s="133">
        <f>_xlfn.COMPOUNDVALUE(442)</f>
        <v>823</v>
      </c>
      <c r="E13" s="134">
        <v>341359</v>
      </c>
      <c r="F13" s="133">
        <f>_xlfn.COMPOUNDVALUE(443)</f>
        <v>1709</v>
      </c>
      <c r="G13" s="134">
        <v>3204562</v>
      </c>
      <c r="H13" s="133">
        <f>_xlfn.COMPOUNDVALUE(444)</f>
        <v>39</v>
      </c>
      <c r="I13" s="135">
        <v>215750</v>
      </c>
      <c r="J13" s="133">
        <v>53</v>
      </c>
      <c r="K13" s="135">
        <v>22043</v>
      </c>
      <c r="L13" s="133">
        <v>1786</v>
      </c>
      <c r="M13" s="135">
        <v>3010855</v>
      </c>
      <c r="N13" s="130">
        <v>1729</v>
      </c>
      <c r="O13" s="148">
        <v>34</v>
      </c>
      <c r="P13" s="148" t="s">
        <v>248</v>
      </c>
      <c r="Q13" s="149">
        <v>1763</v>
      </c>
      <c r="R13" s="14" t="s">
        <v>25</v>
      </c>
    </row>
    <row r="14" spans="1:18" ht="15.75" customHeight="1">
      <c r="A14" s="92" t="s">
        <v>26</v>
      </c>
      <c r="B14" s="150">
        <v>15559</v>
      </c>
      <c r="C14" s="151">
        <v>81035204</v>
      </c>
      <c r="D14" s="150">
        <v>12768</v>
      </c>
      <c r="E14" s="151">
        <v>5668070</v>
      </c>
      <c r="F14" s="150">
        <v>28327</v>
      </c>
      <c r="G14" s="151">
        <v>86703274</v>
      </c>
      <c r="H14" s="150">
        <v>834</v>
      </c>
      <c r="I14" s="152">
        <v>6152692</v>
      </c>
      <c r="J14" s="150">
        <v>1466</v>
      </c>
      <c r="K14" s="152">
        <v>278540</v>
      </c>
      <c r="L14" s="150">
        <v>29616</v>
      </c>
      <c r="M14" s="152">
        <v>80829121</v>
      </c>
      <c r="N14" s="150">
        <v>29444</v>
      </c>
      <c r="O14" s="153">
        <v>641</v>
      </c>
      <c r="P14" s="153">
        <v>55</v>
      </c>
      <c r="Q14" s="154">
        <v>30140</v>
      </c>
      <c r="R14" s="94" t="s">
        <v>97</v>
      </c>
    </row>
    <row r="15" spans="1:18" ht="15.75" customHeight="1">
      <c r="A15" s="96"/>
      <c r="B15" s="155"/>
      <c r="C15" s="156"/>
      <c r="D15" s="155"/>
      <c r="E15" s="156"/>
      <c r="F15" s="157"/>
      <c r="G15" s="156"/>
      <c r="H15" s="157"/>
      <c r="I15" s="156"/>
      <c r="J15" s="157"/>
      <c r="K15" s="156"/>
      <c r="L15" s="157"/>
      <c r="M15" s="156"/>
      <c r="N15" s="158"/>
      <c r="O15" s="159"/>
      <c r="P15" s="159"/>
      <c r="Q15" s="160"/>
      <c r="R15" s="97"/>
    </row>
    <row r="16" spans="1:18" ht="15.75" customHeight="1">
      <c r="A16" s="98" t="s">
        <v>27</v>
      </c>
      <c r="B16" s="161">
        <f>_xlfn.COMPOUNDVALUE(445)</f>
        <v>5379</v>
      </c>
      <c r="C16" s="162">
        <v>31470008</v>
      </c>
      <c r="D16" s="161">
        <f>_xlfn.COMPOUNDVALUE(446)</f>
        <v>3829</v>
      </c>
      <c r="E16" s="162">
        <v>1901056</v>
      </c>
      <c r="F16" s="161">
        <f>_xlfn.COMPOUNDVALUE(447)</f>
        <v>9208</v>
      </c>
      <c r="G16" s="162">
        <v>33371064</v>
      </c>
      <c r="H16" s="161">
        <f>_xlfn.COMPOUNDVALUE(448)</f>
        <v>280</v>
      </c>
      <c r="I16" s="163">
        <v>958430</v>
      </c>
      <c r="J16" s="161">
        <v>656</v>
      </c>
      <c r="K16" s="163">
        <v>275967</v>
      </c>
      <c r="L16" s="161">
        <v>9693</v>
      </c>
      <c r="M16" s="163">
        <v>32688601</v>
      </c>
      <c r="N16" s="161">
        <v>9428</v>
      </c>
      <c r="O16" s="164">
        <v>221</v>
      </c>
      <c r="P16" s="164">
        <v>31</v>
      </c>
      <c r="Q16" s="165">
        <v>9680</v>
      </c>
      <c r="R16" s="99" t="s">
        <v>104</v>
      </c>
    </row>
    <row r="17" spans="1:18" ht="15.75" customHeight="1">
      <c r="A17" s="13" t="s">
        <v>28</v>
      </c>
      <c r="B17" s="133">
        <f>_xlfn.COMPOUNDVALUE(449)</f>
        <v>970</v>
      </c>
      <c r="C17" s="134">
        <v>3864376</v>
      </c>
      <c r="D17" s="133">
        <f>_xlfn.COMPOUNDVALUE(450)</f>
        <v>792</v>
      </c>
      <c r="E17" s="134">
        <v>373346</v>
      </c>
      <c r="F17" s="133">
        <f>_xlfn.COMPOUNDVALUE(451)</f>
        <v>1762</v>
      </c>
      <c r="G17" s="134">
        <v>4237723</v>
      </c>
      <c r="H17" s="133">
        <f>_xlfn.COMPOUNDVALUE(452)</f>
        <v>59</v>
      </c>
      <c r="I17" s="135">
        <v>160419</v>
      </c>
      <c r="J17" s="133">
        <v>164</v>
      </c>
      <c r="K17" s="135">
        <v>13712</v>
      </c>
      <c r="L17" s="133">
        <v>1874</v>
      </c>
      <c r="M17" s="135">
        <v>4091016</v>
      </c>
      <c r="N17" s="130">
        <v>1824</v>
      </c>
      <c r="O17" s="148">
        <v>37</v>
      </c>
      <c r="P17" s="148">
        <v>3</v>
      </c>
      <c r="Q17" s="149">
        <v>1864</v>
      </c>
      <c r="R17" s="14" t="s">
        <v>105</v>
      </c>
    </row>
    <row r="18" spans="1:18" ht="15.75" customHeight="1">
      <c r="A18" s="13" t="s">
        <v>29</v>
      </c>
      <c r="B18" s="133">
        <f>_xlfn.COMPOUNDVALUE(453)</f>
        <v>884</v>
      </c>
      <c r="C18" s="134">
        <v>4059496</v>
      </c>
      <c r="D18" s="133">
        <f>_xlfn.COMPOUNDVALUE(454)</f>
        <v>580</v>
      </c>
      <c r="E18" s="134">
        <v>258140</v>
      </c>
      <c r="F18" s="133">
        <f>_xlfn.COMPOUNDVALUE(455)</f>
        <v>1464</v>
      </c>
      <c r="G18" s="134">
        <v>4317635</v>
      </c>
      <c r="H18" s="133">
        <f>_xlfn.COMPOUNDVALUE(456)</f>
        <v>64</v>
      </c>
      <c r="I18" s="135">
        <v>723770</v>
      </c>
      <c r="J18" s="133">
        <v>147</v>
      </c>
      <c r="K18" s="135">
        <v>25699</v>
      </c>
      <c r="L18" s="133">
        <v>1563</v>
      </c>
      <c r="M18" s="135">
        <v>3619564</v>
      </c>
      <c r="N18" s="130">
        <v>1522</v>
      </c>
      <c r="O18" s="148">
        <v>68</v>
      </c>
      <c r="P18" s="148">
        <v>9</v>
      </c>
      <c r="Q18" s="149">
        <v>1599</v>
      </c>
      <c r="R18" s="14" t="s">
        <v>106</v>
      </c>
    </row>
    <row r="19" spans="1:18" ht="15.75" customHeight="1">
      <c r="A19" s="13" t="s">
        <v>30</v>
      </c>
      <c r="B19" s="133">
        <f>_xlfn.COMPOUNDVALUE(457)</f>
        <v>1489</v>
      </c>
      <c r="C19" s="134">
        <v>7564844</v>
      </c>
      <c r="D19" s="133">
        <f>_xlfn.COMPOUNDVALUE(458)</f>
        <v>1060</v>
      </c>
      <c r="E19" s="134">
        <v>490158</v>
      </c>
      <c r="F19" s="133">
        <f>_xlfn.COMPOUNDVALUE(459)</f>
        <v>2549</v>
      </c>
      <c r="G19" s="134">
        <v>8055002</v>
      </c>
      <c r="H19" s="133">
        <f>_xlfn.COMPOUNDVALUE(460)</f>
        <v>135</v>
      </c>
      <c r="I19" s="135">
        <v>84763</v>
      </c>
      <c r="J19" s="133">
        <v>147</v>
      </c>
      <c r="K19" s="135">
        <v>17792</v>
      </c>
      <c r="L19" s="133">
        <v>2728</v>
      </c>
      <c r="M19" s="135">
        <v>7988032</v>
      </c>
      <c r="N19" s="130">
        <v>2656</v>
      </c>
      <c r="O19" s="148">
        <v>54</v>
      </c>
      <c r="P19" s="148">
        <v>4</v>
      </c>
      <c r="Q19" s="149">
        <v>2714</v>
      </c>
      <c r="R19" s="14" t="s">
        <v>107</v>
      </c>
    </row>
    <row r="20" spans="1:18" ht="15.75" customHeight="1">
      <c r="A20" s="13" t="s">
        <v>31</v>
      </c>
      <c r="B20" s="133">
        <f>_xlfn.COMPOUNDVALUE(461)</f>
        <v>2097</v>
      </c>
      <c r="C20" s="134">
        <v>11412540</v>
      </c>
      <c r="D20" s="133">
        <f>_xlfn.COMPOUNDVALUE(462)</f>
        <v>1360</v>
      </c>
      <c r="E20" s="134">
        <v>652153</v>
      </c>
      <c r="F20" s="133">
        <f>_xlfn.COMPOUNDVALUE(463)</f>
        <v>3457</v>
      </c>
      <c r="G20" s="134">
        <v>12064693</v>
      </c>
      <c r="H20" s="133">
        <f>_xlfn.COMPOUNDVALUE(464)</f>
        <v>160</v>
      </c>
      <c r="I20" s="135">
        <v>903726</v>
      </c>
      <c r="J20" s="133">
        <v>166</v>
      </c>
      <c r="K20" s="135">
        <v>9031</v>
      </c>
      <c r="L20" s="133">
        <v>3647</v>
      </c>
      <c r="M20" s="135">
        <v>11169998</v>
      </c>
      <c r="N20" s="130">
        <v>3481</v>
      </c>
      <c r="O20" s="148">
        <v>104</v>
      </c>
      <c r="P20" s="148">
        <v>12</v>
      </c>
      <c r="Q20" s="149">
        <v>3597</v>
      </c>
      <c r="R20" s="14" t="s">
        <v>108</v>
      </c>
    </row>
    <row r="21" spans="1:18" ht="15.75" customHeight="1">
      <c r="A21" s="13" t="s">
        <v>32</v>
      </c>
      <c r="B21" s="133">
        <f>_xlfn.COMPOUNDVALUE(465)</f>
        <v>865</v>
      </c>
      <c r="C21" s="134">
        <v>2599181</v>
      </c>
      <c r="D21" s="133">
        <f>_xlfn.COMPOUNDVALUE(466)</f>
        <v>467</v>
      </c>
      <c r="E21" s="134">
        <v>221772</v>
      </c>
      <c r="F21" s="133">
        <f>_xlfn.COMPOUNDVALUE(467)</f>
        <v>1332</v>
      </c>
      <c r="G21" s="134">
        <v>2820953</v>
      </c>
      <c r="H21" s="133">
        <f>_xlfn.COMPOUNDVALUE(468)</f>
        <v>59</v>
      </c>
      <c r="I21" s="135">
        <v>240624</v>
      </c>
      <c r="J21" s="133">
        <v>80</v>
      </c>
      <c r="K21" s="135">
        <v>9232</v>
      </c>
      <c r="L21" s="133">
        <v>1410</v>
      </c>
      <c r="M21" s="135">
        <v>2589561</v>
      </c>
      <c r="N21" s="130">
        <v>1337</v>
      </c>
      <c r="O21" s="148">
        <v>37</v>
      </c>
      <c r="P21" s="148">
        <v>2</v>
      </c>
      <c r="Q21" s="149">
        <v>1376</v>
      </c>
      <c r="R21" s="14" t="s">
        <v>109</v>
      </c>
    </row>
    <row r="22" spans="1:18" ht="15.75" customHeight="1">
      <c r="A22" s="13" t="s">
        <v>33</v>
      </c>
      <c r="B22" s="133">
        <f>_xlfn.COMPOUNDVALUE(469)</f>
        <v>1376</v>
      </c>
      <c r="C22" s="134">
        <v>6339076</v>
      </c>
      <c r="D22" s="133">
        <f>_xlfn.COMPOUNDVALUE(470)</f>
        <v>1049</v>
      </c>
      <c r="E22" s="134">
        <v>461495</v>
      </c>
      <c r="F22" s="133">
        <f>_xlfn.COMPOUNDVALUE(471)</f>
        <v>2425</v>
      </c>
      <c r="G22" s="134">
        <v>6800571</v>
      </c>
      <c r="H22" s="133">
        <f>_xlfn.COMPOUNDVALUE(472)</f>
        <v>98</v>
      </c>
      <c r="I22" s="135">
        <v>268013</v>
      </c>
      <c r="J22" s="133">
        <v>192</v>
      </c>
      <c r="K22" s="135">
        <v>20205</v>
      </c>
      <c r="L22" s="133">
        <v>2572</v>
      </c>
      <c r="M22" s="135">
        <v>6552763</v>
      </c>
      <c r="N22" s="130">
        <v>2444</v>
      </c>
      <c r="O22" s="148">
        <v>40</v>
      </c>
      <c r="P22" s="148">
        <v>9</v>
      </c>
      <c r="Q22" s="149">
        <v>2493</v>
      </c>
      <c r="R22" s="14" t="s">
        <v>110</v>
      </c>
    </row>
    <row r="23" spans="1:18" ht="15.75" customHeight="1">
      <c r="A23" s="13" t="s">
        <v>34</v>
      </c>
      <c r="B23" s="133">
        <f>_xlfn.COMPOUNDVALUE(473)</f>
        <v>908</v>
      </c>
      <c r="C23" s="134">
        <v>3524118</v>
      </c>
      <c r="D23" s="133">
        <f>_xlfn.COMPOUNDVALUE(474)</f>
        <v>638</v>
      </c>
      <c r="E23" s="134">
        <v>298345</v>
      </c>
      <c r="F23" s="133">
        <f>_xlfn.COMPOUNDVALUE(475)</f>
        <v>1546</v>
      </c>
      <c r="G23" s="134">
        <v>3822463</v>
      </c>
      <c r="H23" s="133">
        <f>_xlfn.COMPOUNDVALUE(476)</f>
        <v>85</v>
      </c>
      <c r="I23" s="135">
        <v>279002</v>
      </c>
      <c r="J23" s="133">
        <v>158</v>
      </c>
      <c r="K23" s="135">
        <v>27017</v>
      </c>
      <c r="L23" s="133">
        <v>1711</v>
      </c>
      <c r="M23" s="135">
        <v>3570477</v>
      </c>
      <c r="N23" s="130">
        <v>1596</v>
      </c>
      <c r="O23" s="148">
        <v>59</v>
      </c>
      <c r="P23" s="148">
        <v>4</v>
      </c>
      <c r="Q23" s="149">
        <v>1659</v>
      </c>
      <c r="R23" s="14" t="s">
        <v>111</v>
      </c>
    </row>
    <row r="24" spans="1:18" ht="15.75" customHeight="1">
      <c r="A24" s="13" t="s">
        <v>35</v>
      </c>
      <c r="B24" s="133">
        <f>_xlfn.COMPOUNDVALUE(477)</f>
        <v>781</v>
      </c>
      <c r="C24" s="134">
        <v>3398621</v>
      </c>
      <c r="D24" s="133">
        <f>_xlfn.COMPOUNDVALUE(478)</f>
        <v>567</v>
      </c>
      <c r="E24" s="134">
        <v>256923</v>
      </c>
      <c r="F24" s="133">
        <f>_xlfn.COMPOUNDVALUE(479)</f>
        <v>1348</v>
      </c>
      <c r="G24" s="134">
        <v>3655544</v>
      </c>
      <c r="H24" s="133">
        <f>_xlfn.COMPOUNDVALUE(480)</f>
        <v>54</v>
      </c>
      <c r="I24" s="135">
        <v>198994</v>
      </c>
      <c r="J24" s="133">
        <v>40</v>
      </c>
      <c r="K24" s="135">
        <v>11313</v>
      </c>
      <c r="L24" s="133">
        <v>1423</v>
      </c>
      <c r="M24" s="135">
        <v>3467863</v>
      </c>
      <c r="N24" s="130">
        <v>1463</v>
      </c>
      <c r="O24" s="148">
        <v>46</v>
      </c>
      <c r="P24" s="148">
        <v>3</v>
      </c>
      <c r="Q24" s="149">
        <v>1512</v>
      </c>
      <c r="R24" s="14" t="s">
        <v>112</v>
      </c>
    </row>
    <row r="25" spans="1:18" ht="15.75" customHeight="1">
      <c r="A25" s="95" t="s">
        <v>92</v>
      </c>
      <c r="B25" s="150">
        <v>14749</v>
      </c>
      <c r="C25" s="151">
        <v>74232259</v>
      </c>
      <c r="D25" s="150">
        <v>10342</v>
      </c>
      <c r="E25" s="151">
        <v>4913389</v>
      </c>
      <c r="F25" s="150">
        <v>25091</v>
      </c>
      <c r="G25" s="151">
        <v>79145648</v>
      </c>
      <c r="H25" s="150">
        <v>994</v>
      </c>
      <c r="I25" s="152">
        <v>3817741</v>
      </c>
      <c r="J25" s="150">
        <v>1750</v>
      </c>
      <c r="K25" s="152">
        <v>409968</v>
      </c>
      <c r="L25" s="150">
        <v>26621</v>
      </c>
      <c r="M25" s="152">
        <v>75737875</v>
      </c>
      <c r="N25" s="150">
        <v>25751</v>
      </c>
      <c r="O25" s="153">
        <v>666</v>
      </c>
      <c r="P25" s="153">
        <v>77</v>
      </c>
      <c r="Q25" s="154">
        <v>26494</v>
      </c>
      <c r="R25" s="94" t="s">
        <v>113</v>
      </c>
    </row>
    <row r="26" spans="1:18" ht="15.75" customHeight="1">
      <c r="A26" s="96"/>
      <c r="B26" s="155"/>
      <c r="C26" s="156"/>
      <c r="D26" s="155"/>
      <c r="E26" s="156"/>
      <c r="F26" s="157"/>
      <c r="G26" s="156"/>
      <c r="H26" s="157"/>
      <c r="I26" s="156"/>
      <c r="J26" s="157"/>
      <c r="K26" s="156"/>
      <c r="L26" s="157"/>
      <c r="M26" s="156"/>
      <c r="N26" s="158"/>
      <c r="O26" s="159"/>
      <c r="P26" s="159"/>
      <c r="Q26" s="160"/>
      <c r="R26" s="97"/>
    </row>
    <row r="27" spans="1:18" ht="15.75" customHeight="1">
      <c r="A27" s="98" t="s">
        <v>37</v>
      </c>
      <c r="B27" s="161">
        <f>_xlfn.COMPOUNDVALUE(481)</f>
        <v>6827</v>
      </c>
      <c r="C27" s="162">
        <v>70177924</v>
      </c>
      <c r="D27" s="161">
        <f>_xlfn.COMPOUNDVALUE(482)</f>
        <v>4445</v>
      </c>
      <c r="E27" s="162">
        <v>2377499</v>
      </c>
      <c r="F27" s="161">
        <f>_xlfn.COMPOUNDVALUE(483)</f>
        <v>11272</v>
      </c>
      <c r="G27" s="162">
        <v>72555424</v>
      </c>
      <c r="H27" s="161">
        <f>_xlfn.COMPOUNDVALUE(484)</f>
        <v>448</v>
      </c>
      <c r="I27" s="163">
        <v>2072170</v>
      </c>
      <c r="J27" s="161">
        <v>790</v>
      </c>
      <c r="K27" s="163">
        <v>114865</v>
      </c>
      <c r="L27" s="161">
        <v>11980</v>
      </c>
      <c r="M27" s="163">
        <v>70598119</v>
      </c>
      <c r="N27" s="161">
        <v>12164</v>
      </c>
      <c r="O27" s="164">
        <v>390</v>
      </c>
      <c r="P27" s="164">
        <v>50</v>
      </c>
      <c r="Q27" s="165">
        <v>12604</v>
      </c>
      <c r="R27" s="99" t="s">
        <v>114</v>
      </c>
    </row>
    <row r="28" spans="1:18" ht="15.75" customHeight="1">
      <c r="A28" s="13" t="s">
        <v>38</v>
      </c>
      <c r="B28" s="133">
        <f>_xlfn.COMPOUNDVALUE(485)</f>
        <v>5697</v>
      </c>
      <c r="C28" s="134">
        <v>56098995</v>
      </c>
      <c r="D28" s="133">
        <f>_xlfn.COMPOUNDVALUE(486)</f>
        <v>2907</v>
      </c>
      <c r="E28" s="134">
        <v>1657841</v>
      </c>
      <c r="F28" s="133">
        <f>_xlfn.COMPOUNDVALUE(487)</f>
        <v>8604</v>
      </c>
      <c r="G28" s="134">
        <v>57756836</v>
      </c>
      <c r="H28" s="133">
        <f>_xlfn.COMPOUNDVALUE(488)</f>
        <v>326</v>
      </c>
      <c r="I28" s="135">
        <v>1858695</v>
      </c>
      <c r="J28" s="133">
        <v>664</v>
      </c>
      <c r="K28" s="135">
        <v>209060</v>
      </c>
      <c r="L28" s="133">
        <v>9052</v>
      </c>
      <c r="M28" s="135">
        <v>56107201</v>
      </c>
      <c r="N28" s="130">
        <v>9301</v>
      </c>
      <c r="O28" s="148">
        <v>264</v>
      </c>
      <c r="P28" s="148">
        <v>62</v>
      </c>
      <c r="Q28" s="149">
        <v>9627</v>
      </c>
      <c r="R28" s="14" t="s">
        <v>115</v>
      </c>
    </row>
    <row r="29" spans="1:18" ht="15.75" customHeight="1">
      <c r="A29" s="13" t="s">
        <v>39</v>
      </c>
      <c r="B29" s="133">
        <f>_xlfn.COMPOUNDVALUE(489)</f>
        <v>3421</v>
      </c>
      <c r="C29" s="134">
        <v>17892435</v>
      </c>
      <c r="D29" s="133">
        <f>_xlfn.COMPOUNDVALUE(490)</f>
        <v>2500</v>
      </c>
      <c r="E29" s="134">
        <v>1176827</v>
      </c>
      <c r="F29" s="133">
        <f>_xlfn.COMPOUNDVALUE(491)</f>
        <v>5921</v>
      </c>
      <c r="G29" s="134">
        <v>19069262</v>
      </c>
      <c r="H29" s="133">
        <f>_xlfn.COMPOUNDVALUE(492)</f>
        <v>228</v>
      </c>
      <c r="I29" s="135">
        <v>924601</v>
      </c>
      <c r="J29" s="133">
        <v>426</v>
      </c>
      <c r="K29" s="135">
        <v>78926</v>
      </c>
      <c r="L29" s="133">
        <v>6343</v>
      </c>
      <c r="M29" s="135">
        <v>18223588</v>
      </c>
      <c r="N29" s="130">
        <v>6338</v>
      </c>
      <c r="O29" s="148">
        <v>161</v>
      </c>
      <c r="P29" s="148">
        <v>25</v>
      </c>
      <c r="Q29" s="149">
        <v>6524</v>
      </c>
      <c r="R29" s="14" t="s">
        <v>116</v>
      </c>
    </row>
    <row r="30" spans="1:18" ht="15.75" customHeight="1">
      <c r="A30" s="13" t="s">
        <v>40</v>
      </c>
      <c r="B30" s="133">
        <f>_xlfn.COMPOUNDVALUE(493)</f>
        <v>2990</v>
      </c>
      <c r="C30" s="134">
        <v>11559364</v>
      </c>
      <c r="D30" s="133">
        <f>_xlfn.COMPOUNDVALUE(494)</f>
        <v>2266</v>
      </c>
      <c r="E30" s="134">
        <v>1053741</v>
      </c>
      <c r="F30" s="133">
        <f>_xlfn.COMPOUNDVALUE(495)</f>
        <v>5256</v>
      </c>
      <c r="G30" s="134">
        <v>12613104</v>
      </c>
      <c r="H30" s="133">
        <f>_xlfn.COMPOUNDVALUE(496)</f>
        <v>254</v>
      </c>
      <c r="I30" s="135">
        <v>1681208</v>
      </c>
      <c r="J30" s="133">
        <v>410</v>
      </c>
      <c r="K30" s="135">
        <v>53500</v>
      </c>
      <c r="L30" s="133">
        <v>5684</v>
      </c>
      <c r="M30" s="135">
        <v>10985396</v>
      </c>
      <c r="N30" s="130">
        <v>5439</v>
      </c>
      <c r="O30" s="148">
        <v>129</v>
      </c>
      <c r="P30" s="148">
        <v>22</v>
      </c>
      <c r="Q30" s="149">
        <v>5590</v>
      </c>
      <c r="R30" s="14" t="s">
        <v>117</v>
      </c>
    </row>
    <row r="31" spans="1:18" ht="15.75" customHeight="1">
      <c r="A31" s="13" t="s">
        <v>41</v>
      </c>
      <c r="B31" s="133">
        <f>_xlfn.COMPOUNDVALUE(497)</f>
        <v>1975</v>
      </c>
      <c r="C31" s="134">
        <v>7530211</v>
      </c>
      <c r="D31" s="133">
        <f>_xlfn.COMPOUNDVALUE(498)</f>
        <v>1419</v>
      </c>
      <c r="E31" s="134">
        <v>659544</v>
      </c>
      <c r="F31" s="133">
        <f>_xlfn.COMPOUNDVALUE(499)</f>
        <v>3394</v>
      </c>
      <c r="G31" s="134">
        <v>8189755</v>
      </c>
      <c r="H31" s="133">
        <f>_xlfn.COMPOUNDVALUE(500)</f>
        <v>167</v>
      </c>
      <c r="I31" s="135">
        <v>730704</v>
      </c>
      <c r="J31" s="133">
        <v>194</v>
      </c>
      <c r="K31" s="135">
        <v>27352</v>
      </c>
      <c r="L31" s="133">
        <v>3622</v>
      </c>
      <c r="M31" s="135">
        <v>7486402</v>
      </c>
      <c r="N31" s="130">
        <v>3593</v>
      </c>
      <c r="O31" s="148">
        <v>85</v>
      </c>
      <c r="P31" s="148">
        <v>9</v>
      </c>
      <c r="Q31" s="149">
        <v>3687</v>
      </c>
      <c r="R31" s="14" t="s">
        <v>118</v>
      </c>
    </row>
    <row r="32" spans="1:18" ht="15.75" customHeight="1">
      <c r="A32" s="13" t="s">
        <v>42</v>
      </c>
      <c r="B32" s="133">
        <f>_xlfn.COMPOUNDVALUE(501)</f>
        <v>2454</v>
      </c>
      <c r="C32" s="134">
        <v>8489147</v>
      </c>
      <c r="D32" s="133">
        <f>_xlfn.COMPOUNDVALUE(502)</f>
        <v>2074</v>
      </c>
      <c r="E32" s="134">
        <v>906506</v>
      </c>
      <c r="F32" s="133">
        <f>_xlfn.COMPOUNDVALUE(503)</f>
        <v>4528</v>
      </c>
      <c r="G32" s="134">
        <v>9395654</v>
      </c>
      <c r="H32" s="133">
        <f>_xlfn.COMPOUNDVALUE(504)</f>
        <v>183</v>
      </c>
      <c r="I32" s="135">
        <v>344103</v>
      </c>
      <c r="J32" s="133">
        <v>283</v>
      </c>
      <c r="K32" s="135">
        <v>58872</v>
      </c>
      <c r="L32" s="133">
        <v>4819</v>
      </c>
      <c r="M32" s="135">
        <v>9110423</v>
      </c>
      <c r="N32" s="130">
        <v>4600</v>
      </c>
      <c r="O32" s="148">
        <v>112</v>
      </c>
      <c r="P32" s="148">
        <v>7</v>
      </c>
      <c r="Q32" s="149">
        <v>4719</v>
      </c>
      <c r="R32" s="14" t="s">
        <v>119</v>
      </c>
    </row>
    <row r="33" spans="1:18" ht="15.75" customHeight="1">
      <c r="A33" s="13" t="s">
        <v>43</v>
      </c>
      <c r="B33" s="133">
        <f>_xlfn.COMPOUNDVALUE(505)</f>
        <v>1226</v>
      </c>
      <c r="C33" s="134">
        <v>4340906</v>
      </c>
      <c r="D33" s="133">
        <f>_xlfn.COMPOUNDVALUE(506)</f>
        <v>719</v>
      </c>
      <c r="E33" s="134">
        <v>339242</v>
      </c>
      <c r="F33" s="133">
        <f>_xlfn.COMPOUNDVALUE(507)</f>
        <v>1945</v>
      </c>
      <c r="G33" s="134">
        <v>4680148</v>
      </c>
      <c r="H33" s="133">
        <f>_xlfn.COMPOUNDVALUE(508)</f>
        <v>118</v>
      </c>
      <c r="I33" s="135">
        <v>855079</v>
      </c>
      <c r="J33" s="133">
        <v>133</v>
      </c>
      <c r="K33" s="135">
        <v>23169</v>
      </c>
      <c r="L33" s="133">
        <v>2098</v>
      </c>
      <c r="M33" s="135">
        <v>3848238</v>
      </c>
      <c r="N33" s="130">
        <v>2138</v>
      </c>
      <c r="O33" s="148">
        <v>61</v>
      </c>
      <c r="P33" s="148">
        <v>2</v>
      </c>
      <c r="Q33" s="149">
        <v>2201</v>
      </c>
      <c r="R33" s="14" t="s">
        <v>120</v>
      </c>
    </row>
    <row r="34" spans="1:18" ht="15.75" customHeight="1">
      <c r="A34" s="13" t="s">
        <v>44</v>
      </c>
      <c r="B34" s="133">
        <f>_xlfn.COMPOUNDVALUE(509)</f>
        <v>1866</v>
      </c>
      <c r="C34" s="134">
        <v>5956756</v>
      </c>
      <c r="D34" s="133">
        <f>_xlfn.COMPOUNDVALUE(510)</f>
        <v>1458</v>
      </c>
      <c r="E34" s="134">
        <v>637392</v>
      </c>
      <c r="F34" s="133">
        <f>_xlfn.COMPOUNDVALUE(511)</f>
        <v>3324</v>
      </c>
      <c r="G34" s="134">
        <v>6594148</v>
      </c>
      <c r="H34" s="133">
        <f>_xlfn.COMPOUNDVALUE(512)</f>
        <v>134</v>
      </c>
      <c r="I34" s="135">
        <v>200160</v>
      </c>
      <c r="J34" s="133">
        <v>201</v>
      </c>
      <c r="K34" s="135">
        <v>18570</v>
      </c>
      <c r="L34" s="133">
        <v>3515</v>
      </c>
      <c r="M34" s="135">
        <v>6412557</v>
      </c>
      <c r="N34" s="130">
        <v>3365</v>
      </c>
      <c r="O34" s="148">
        <v>77</v>
      </c>
      <c r="P34" s="148">
        <v>9</v>
      </c>
      <c r="Q34" s="149">
        <v>3451</v>
      </c>
      <c r="R34" s="14" t="s">
        <v>121</v>
      </c>
    </row>
    <row r="35" spans="1:18" ht="15.75" customHeight="1">
      <c r="A35" s="13" t="s">
        <v>45</v>
      </c>
      <c r="B35" s="133">
        <f>_xlfn.COMPOUNDVALUE(513)</f>
        <v>906</v>
      </c>
      <c r="C35" s="134">
        <v>3408450</v>
      </c>
      <c r="D35" s="133">
        <f>_xlfn.COMPOUNDVALUE(514)</f>
        <v>686</v>
      </c>
      <c r="E35" s="134">
        <v>303144</v>
      </c>
      <c r="F35" s="133">
        <f>_xlfn.COMPOUNDVALUE(515)</f>
        <v>1592</v>
      </c>
      <c r="G35" s="134">
        <v>3711594</v>
      </c>
      <c r="H35" s="133">
        <f>_xlfn.COMPOUNDVALUE(516)</f>
        <v>71</v>
      </c>
      <c r="I35" s="135">
        <v>471325</v>
      </c>
      <c r="J35" s="133">
        <v>85</v>
      </c>
      <c r="K35" s="135">
        <v>5707</v>
      </c>
      <c r="L35" s="133">
        <v>1701</v>
      </c>
      <c r="M35" s="135">
        <v>3245976</v>
      </c>
      <c r="N35" s="130">
        <v>1591</v>
      </c>
      <c r="O35" s="148">
        <v>51</v>
      </c>
      <c r="P35" s="148">
        <v>2</v>
      </c>
      <c r="Q35" s="149">
        <v>1644</v>
      </c>
      <c r="R35" s="14" t="s">
        <v>122</v>
      </c>
    </row>
    <row r="36" spans="1:18" ht="15.75" customHeight="1">
      <c r="A36" s="13" t="s">
        <v>46</v>
      </c>
      <c r="B36" s="133">
        <f>_xlfn.COMPOUNDVALUE(517)</f>
        <v>1166</v>
      </c>
      <c r="C36" s="134">
        <v>4149561</v>
      </c>
      <c r="D36" s="133">
        <f>_xlfn.COMPOUNDVALUE(518)</f>
        <v>1016</v>
      </c>
      <c r="E36" s="134">
        <v>439347</v>
      </c>
      <c r="F36" s="133">
        <f>_xlfn.COMPOUNDVALUE(519)</f>
        <v>2182</v>
      </c>
      <c r="G36" s="134">
        <v>4588909</v>
      </c>
      <c r="H36" s="133">
        <f>_xlfn.COMPOUNDVALUE(520)</f>
        <v>108</v>
      </c>
      <c r="I36" s="135">
        <v>312699</v>
      </c>
      <c r="J36" s="133">
        <v>112</v>
      </c>
      <c r="K36" s="135">
        <v>47032</v>
      </c>
      <c r="L36" s="133">
        <v>2329</v>
      </c>
      <c r="M36" s="135">
        <v>4323241</v>
      </c>
      <c r="N36" s="130">
        <v>2177</v>
      </c>
      <c r="O36" s="148">
        <v>49</v>
      </c>
      <c r="P36" s="148">
        <v>4</v>
      </c>
      <c r="Q36" s="149">
        <v>2230</v>
      </c>
      <c r="R36" s="14" t="s">
        <v>123</v>
      </c>
    </row>
    <row r="37" spans="1:18" ht="15.75" customHeight="1">
      <c r="A37" s="95" t="s">
        <v>47</v>
      </c>
      <c r="B37" s="150">
        <v>28528</v>
      </c>
      <c r="C37" s="151">
        <v>189603750</v>
      </c>
      <c r="D37" s="150">
        <v>19490</v>
      </c>
      <c r="E37" s="151">
        <v>9551083</v>
      </c>
      <c r="F37" s="150">
        <v>48018</v>
      </c>
      <c r="G37" s="151">
        <v>199154833</v>
      </c>
      <c r="H37" s="150">
        <v>2037</v>
      </c>
      <c r="I37" s="152">
        <v>9450744</v>
      </c>
      <c r="J37" s="150">
        <v>3298</v>
      </c>
      <c r="K37" s="152">
        <v>637053</v>
      </c>
      <c r="L37" s="150">
        <v>51143</v>
      </c>
      <c r="M37" s="152">
        <v>190341142</v>
      </c>
      <c r="N37" s="150">
        <v>50706</v>
      </c>
      <c r="O37" s="153">
        <v>1379</v>
      </c>
      <c r="P37" s="153">
        <v>192</v>
      </c>
      <c r="Q37" s="154">
        <v>52277</v>
      </c>
      <c r="R37" s="94" t="s">
        <v>124</v>
      </c>
    </row>
    <row r="38" spans="1:18" ht="15.75" customHeight="1">
      <c r="A38" s="100"/>
      <c r="B38" s="166"/>
      <c r="C38" s="167"/>
      <c r="D38" s="166"/>
      <c r="E38" s="167"/>
      <c r="F38" s="168"/>
      <c r="G38" s="167"/>
      <c r="H38" s="168"/>
      <c r="I38" s="167"/>
      <c r="J38" s="168"/>
      <c r="K38" s="167"/>
      <c r="L38" s="168"/>
      <c r="M38" s="167"/>
      <c r="N38" s="169"/>
      <c r="O38" s="170"/>
      <c r="P38" s="170"/>
      <c r="Q38" s="171"/>
      <c r="R38" s="101"/>
    </row>
    <row r="39" spans="1:18" ht="15.75" customHeight="1">
      <c r="A39" s="11" t="s">
        <v>48</v>
      </c>
      <c r="B39" s="130">
        <f>_xlfn.COMPOUNDVALUE(521)</f>
        <v>2900</v>
      </c>
      <c r="C39" s="131">
        <v>16350053</v>
      </c>
      <c r="D39" s="130">
        <f>_xlfn.COMPOUNDVALUE(522)</f>
        <v>1985</v>
      </c>
      <c r="E39" s="131">
        <v>976517</v>
      </c>
      <c r="F39" s="130">
        <f>_xlfn.COMPOUNDVALUE(523)</f>
        <v>4885</v>
      </c>
      <c r="G39" s="131">
        <v>17326570</v>
      </c>
      <c r="H39" s="130">
        <f>_xlfn.COMPOUNDVALUE(524)</f>
        <v>139</v>
      </c>
      <c r="I39" s="132">
        <v>738357</v>
      </c>
      <c r="J39" s="130">
        <v>251</v>
      </c>
      <c r="K39" s="132">
        <v>30214</v>
      </c>
      <c r="L39" s="130">
        <v>5082</v>
      </c>
      <c r="M39" s="132">
        <v>16618427</v>
      </c>
      <c r="N39" s="130">
        <v>4935</v>
      </c>
      <c r="O39" s="148">
        <v>124</v>
      </c>
      <c r="P39" s="148">
        <v>20</v>
      </c>
      <c r="Q39" s="149">
        <v>5079</v>
      </c>
      <c r="R39" s="12" t="s">
        <v>125</v>
      </c>
    </row>
    <row r="40" spans="1:18" ht="15.75" customHeight="1">
      <c r="A40" s="13" t="s">
        <v>49</v>
      </c>
      <c r="B40" s="133">
        <f>_xlfn.COMPOUNDVALUE(525)</f>
        <v>1520</v>
      </c>
      <c r="C40" s="134">
        <v>6776479</v>
      </c>
      <c r="D40" s="133">
        <f>_xlfn.COMPOUNDVALUE(526)</f>
        <v>1683</v>
      </c>
      <c r="E40" s="134">
        <v>687469</v>
      </c>
      <c r="F40" s="133">
        <f>_xlfn.COMPOUNDVALUE(527)</f>
        <v>3203</v>
      </c>
      <c r="G40" s="134">
        <v>7463948</v>
      </c>
      <c r="H40" s="133">
        <f>_xlfn.COMPOUNDVALUE(528)</f>
        <v>75</v>
      </c>
      <c r="I40" s="135">
        <v>209505</v>
      </c>
      <c r="J40" s="133">
        <v>153</v>
      </c>
      <c r="K40" s="135">
        <v>21385</v>
      </c>
      <c r="L40" s="133">
        <v>3310</v>
      </c>
      <c r="M40" s="135">
        <v>7275828</v>
      </c>
      <c r="N40" s="130">
        <v>3200</v>
      </c>
      <c r="O40" s="148">
        <v>52</v>
      </c>
      <c r="P40" s="148">
        <v>8</v>
      </c>
      <c r="Q40" s="149">
        <v>3260</v>
      </c>
      <c r="R40" s="14" t="s">
        <v>126</v>
      </c>
    </row>
    <row r="41" spans="1:18" ht="15.75" customHeight="1">
      <c r="A41" s="13" t="s">
        <v>50</v>
      </c>
      <c r="B41" s="133">
        <f>_xlfn.COMPOUNDVALUE(529)</f>
        <v>1002</v>
      </c>
      <c r="C41" s="134">
        <v>2993934</v>
      </c>
      <c r="D41" s="133">
        <f>_xlfn.COMPOUNDVALUE(530)</f>
        <v>975</v>
      </c>
      <c r="E41" s="134">
        <v>381775</v>
      </c>
      <c r="F41" s="133">
        <f>_xlfn.COMPOUNDVALUE(531)</f>
        <v>1977</v>
      </c>
      <c r="G41" s="134">
        <v>3375709</v>
      </c>
      <c r="H41" s="133">
        <f>_xlfn.COMPOUNDVALUE(532)</f>
        <v>66</v>
      </c>
      <c r="I41" s="135">
        <v>137394</v>
      </c>
      <c r="J41" s="133">
        <v>93</v>
      </c>
      <c r="K41" s="135">
        <v>15032</v>
      </c>
      <c r="L41" s="133">
        <v>2065</v>
      </c>
      <c r="M41" s="135">
        <v>3253346</v>
      </c>
      <c r="N41" s="130">
        <v>1912</v>
      </c>
      <c r="O41" s="148">
        <v>57</v>
      </c>
      <c r="P41" s="148">
        <v>1</v>
      </c>
      <c r="Q41" s="149">
        <v>1970</v>
      </c>
      <c r="R41" s="14" t="s">
        <v>127</v>
      </c>
    </row>
    <row r="42" spans="1:18" ht="15.75" customHeight="1">
      <c r="A42" s="13" t="s">
        <v>51</v>
      </c>
      <c r="B42" s="133">
        <f>_xlfn.COMPOUNDVALUE(533)</f>
        <v>1043</v>
      </c>
      <c r="C42" s="134">
        <v>3448757</v>
      </c>
      <c r="D42" s="133">
        <f>_xlfn.COMPOUNDVALUE(534)</f>
        <v>974</v>
      </c>
      <c r="E42" s="134">
        <v>397368</v>
      </c>
      <c r="F42" s="133">
        <f>_xlfn.COMPOUNDVALUE(535)</f>
        <v>2017</v>
      </c>
      <c r="G42" s="134">
        <v>3846125</v>
      </c>
      <c r="H42" s="133">
        <f>_xlfn.COMPOUNDVALUE(536)</f>
        <v>73</v>
      </c>
      <c r="I42" s="135">
        <v>198120</v>
      </c>
      <c r="J42" s="133">
        <v>120</v>
      </c>
      <c r="K42" s="135">
        <v>5618</v>
      </c>
      <c r="L42" s="133">
        <v>2115</v>
      </c>
      <c r="M42" s="135">
        <v>3653623</v>
      </c>
      <c r="N42" s="130">
        <v>1959</v>
      </c>
      <c r="O42" s="148">
        <v>39</v>
      </c>
      <c r="P42" s="148">
        <v>3</v>
      </c>
      <c r="Q42" s="149">
        <v>2001</v>
      </c>
      <c r="R42" s="14" t="s">
        <v>128</v>
      </c>
    </row>
    <row r="43" spans="1:18" ht="15.75" customHeight="1">
      <c r="A43" s="13" t="s">
        <v>52</v>
      </c>
      <c r="B43" s="133">
        <f>_xlfn.COMPOUNDVALUE(537)</f>
        <v>1601</v>
      </c>
      <c r="C43" s="134">
        <v>6997670</v>
      </c>
      <c r="D43" s="133">
        <f>_xlfn.COMPOUNDVALUE(538)</f>
        <v>1325</v>
      </c>
      <c r="E43" s="134">
        <v>580800</v>
      </c>
      <c r="F43" s="133">
        <f>_xlfn.COMPOUNDVALUE(539)</f>
        <v>2926</v>
      </c>
      <c r="G43" s="134">
        <v>7578470</v>
      </c>
      <c r="H43" s="133">
        <f>_xlfn.COMPOUNDVALUE(540)</f>
        <v>132</v>
      </c>
      <c r="I43" s="135">
        <v>507211</v>
      </c>
      <c r="J43" s="133">
        <v>127</v>
      </c>
      <c r="K43" s="135">
        <v>2114</v>
      </c>
      <c r="L43" s="133">
        <v>3083</v>
      </c>
      <c r="M43" s="135">
        <v>7073373</v>
      </c>
      <c r="N43" s="130">
        <v>2896</v>
      </c>
      <c r="O43" s="148">
        <v>95</v>
      </c>
      <c r="P43" s="148">
        <v>7</v>
      </c>
      <c r="Q43" s="149">
        <v>2998</v>
      </c>
      <c r="R43" s="14" t="s">
        <v>129</v>
      </c>
    </row>
    <row r="44" spans="1:18" ht="15.75" customHeight="1">
      <c r="A44" s="13" t="s">
        <v>53</v>
      </c>
      <c r="B44" s="133">
        <f>_xlfn.COMPOUNDVALUE(541)</f>
        <v>1107</v>
      </c>
      <c r="C44" s="134">
        <v>6382372</v>
      </c>
      <c r="D44" s="133">
        <f>_xlfn.COMPOUNDVALUE(542)</f>
        <v>1016</v>
      </c>
      <c r="E44" s="134">
        <v>417856</v>
      </c>
      <c r="F44" s="133">
        <f>_xlfn.COMPOUNDVALUE(543)</f>
        <v>2123</v>
      </c>
      <c r="G44" s="134">
        <v>6800228</v>
      </c>
      <c r="H44" s="133">
        <f>_xlfn.COMPOUNDVALUE(544)</f>
        <v>72</v>
      </c>
      <c r="I44" s="135">
        <v>662880</v>
      </c>
      <c r="J44" s="133">
        <v>77</v>
      </c>
      <c r="K44" s="135">
        <v>-10738</v>
      </c>
      <c r="L44" s="133">
        <v>2210</v>
      </c>
      <c r="M44" s="135">
        <v>6126610</v>
      </c>
      <c r="N44" s="130">
        <v>1995</v>
      </c>
      <c r="O44" s="148">
        <v>44</v>
      </c>
      <c r="P44" s="148">
        <v>6</v>
      </c>
      <c r="Q44" s="149">
        <v>2045</v>
      </c>
      <c r="R44" s="14" t="s">
        <v>130</v>
      </c>
    </row>
    <row r="45" spans="1:18" ht="15.75" customHeight="1">
      <c r="A45" s="13" t="s">
        <v>54</v>
      </c>
      <c r="B45" s="133">
        <f>_xlfn.COMPOUNDVALUE(545)</f>
        <v>802</v>
      </c>
      <c r="C45" s="134">
        <v>2946845</v>
      </c>
      <c r="D45" s="133">
        <f>_xlfn.COMPOUNDVALUE(546)</f>
        <v>628</v>
      </c>
      <c r="E45" s="134">
        <v>252698</v>
      </c>
      <c r="F45" s="133">
        <f>_xlfn.COMPOUNDVALUE(547)</f>
        <v>1430</v>
      </c>
      <c r="G45" s="134">
        <v>3199543</v>
      </c>
      <c r="H45" s="133">
        <f>_xlfn.COMPOUNDVALUE(548)</f>
        <v>49</v>
      </c>
      <c r="I45" s="135">
        <v>291310</v>
      </c>
      <c r="J45" s="133">
        <v>59</v>
      </c>
      <c r="K45" s="135">
        <v>7880</v>
      </c>
      <c r="L45" s="133">
        <v>1501</v>
      </c>
      <c r="M45" s="135">
        <v>2916113</v>
      </c>
      <c r="N45" s="130">
        <v>1415</v>
      </c>
      <c r="O45" s="148">
        <v>34</v>
      </c>
      <c r="P45" s="148">
        <v>6</v>
      </c>
      <c r="Q45" s="149">
        <v>1455</v>
      </c>
      <c r="R45" s="14" t="s">
        <v>131</v>
      </c>
    </row>
    <row r="46" spans="1:18" ht="15.75" customHeight="1">
      <c r="A46" s="13" t="s">
        <v>55</v>
      </c>
      <c r="B46" s="133">
        <f>_xlfn.COMPOUNDVALUE(549)</f>
        <v>1506</v>
      </c>
      <c r="C46" s="134">
        <v>5101060</v>
      </c>
      <c r="D46" s="133">
        <f>_xlfn.COMPOUNDVALUE(550)</f>
        <v>1386</v>
      </c>
      <c r="E46" s="134">
        <v>582235</v>
      </c>
      <c r="F46" s="133">
        <f>_xlfn.COMPOUNDVALUE(551)</f>
        <v>2892</v>
      </c>
      <c r="G46" s="134">
        <v>5683296</v>
      </c>
      <c r="H46" s="133">
        <f>_xlfn.COMPOUNDVALUE(552)</f>
        <v>96</v>
      </c>
      <c r="I46" s="135">
        <v>376431</v>
      </c>
      <c r="J46" s="133">
        <v>108</v>
      </c>
      <c r="K46" s="135">
        <v>16069</v>
      </c>
      <c r="L46" s="133">
        <v>3010</v>
      </c>
      <c r="M46" s="135">
        <v>5322934</v>
      </c>
      <c r="N46" s="130">
        <v>2846</v>
      </c>
      <c r="O46" s="148">
        <v>57</v>
      </c>
      <c r="P46" s="148">
        <v>5</v>
      </c>
      <c r="Q46" s="149">
        <v>2908</v>
      </c>
      <c r="R46" s="14" t="s">
        <v>132</v>
      </c>
    </row>
    <row r="47" spans="1:18" ht="15.75" customHeight="1">
      <c r="A47" s="95" t="s">
        <v>56</v>
      </c>
      <c r="B47" s="150">
        <v>11481</v>
      </c>
      <c r="C47" s="151">
        <v>50997170</v>
      </c>
      <c r="D47" s="150">
        <v>9972</v>
      </c>
      <c r="E47" s="151">
        <v>4276718</v>
      </c>
      <c r="F47" s="150">
        <v>21453</v>
      </c>
      <c r="G47" s="151">
        <v>55273888</v>
      </c>
      <c r="H47" s="150">
        <v>702</v>
      </c>
      <c r="I47" s="152">
        <v>3121208</v>
      </c>
      <c r="J47" s="150">
        <v>988</v>
      </c>
      <c r="K47" s="152">
        <v>87575</v>
      </c>
      <c r="L47" s="150">
        <v>22376</v>
      </c>
      <c r="M47" s="152">
        <v>52240255</v>
      </c>
      <c r="N47" s="150">
        <v>21158</v>
      </c>
      <c r="O47" s="153">
        <v>502</v>
      </c>
      <c r="P47" s="153">
        <v>56</v>
      </c>
      <c r="Q47" s="154">
        <v>21716</v>
      </c>
      <c r="R47" s="94" t="s">
        <v>133</v>
      </c>
    </row>
    <row r="48" spans="1:18" ht="15.75" customHeight="1">
      <c r="A48" s="96"/>
      <c r="B48" s="155"/>
      <c r="C48" s="156"/>
      <c r="D48" s="155"/>
      <c r="E48" s="156"/>
      <c r="F48" s="157"/>
      <c r="G48" s="156"/>
      <c r="H48" s="157"/>
      <c r="I48" s="156"/>
      <c r="J48" s="157"/>
      <c r="K48" s="156"/>
      <c r="L48" s="157"/>
      <c r="M48" s="156"/>
      <c r="N48" s="158"/>
      <c r="O48" s="159"/>
      <c r="P48" s="159"/>
      <c r="Q48" s="160"/>
      <c r="R48" s="97"/>
    </row>
    <row r="49" spans="1:18" ht="15.75" customHeight="1">
      <c r="A49" s="98" t="s">
        <v>57</v>
      </c>
      <c r="B49" s="161">
        <f>_xlfn.COMPOUNDVALUE(553)</f>
        <v>4572</v>
      </c>
      <c r="C49" s="162">
        <v>27995034</v>
      </c>
      <c r="D49" s="161">
        <f>_xlfn.COMPOUNDVALUE(554)</f>
        <v>3750</v>
      </c>
      <c r="E49" s="162">
        <v>1690132</v>
      </c>
      <c r="F49" s="161">
        <f>_xlfn.COMPOUNDVALUE(555)</f>
        <v>8322</v>
      </c>
      <c r="G49" s="162">
        <v>29685166</v>
      </c>
      <c r="H49" s="161">
        <f>_xlfn.COMPOUNDVALUE(556)</f>
        <v>184</v>
      </c>
      <c r="I49" s="163">
        <v>916482</v>
      </c>
      <c r="J49" s="161">
        <v>512</v>
      </c>
      <c r="K49" s="163">
        <v>27610</v>
      </c>
      <c r="L49" s="161">
        <v>8598</v>
      </c>
      <c r="M49" s="163">
        <v>28796295</v>
      </c>
      <c r="N49" s="161">
        <v>8450</v>
      </c>
      <c r="O49" s="164">
        <v>150</v>
      </c>
      <c r="P49" s="164">
        <v>24</v>
      </c>
      <c r="Q49" s="165">
        <v>8624</v>
      </c>
      <c r="R49" s="99" t="s">
        <v>134</v>
      </c>
    </row>
    <row r="50" spans="1:18" ht="15.75" customHeight="1">
      <c r="A50" s="13" t="s">
        <v>58</v>
      </c>
      <c r="B50" s="133">
        <f>_xlfn.COMPOUNDVALUE(557)</f>
        <v>2038</v>
      </c>
      <c r="C50" s="134">
        <v>8949420</v>
      </c>
      <c r="D50" s="133">
        <f>_xlfn.COMPOUNDVALUE(558)</f>
        <v>1754</v>
      </c>
      <c r="E50" s="134">
        <v>744474</v>
      </c>
      <c r="F50" s="133">
        <f>_xlfn.COMPOUNDVALUE(559)</f>
        <v>3792</v>
      </c>
      <c r="G50" s="134">
        <v>9693895</v>
      </c>
      <c r="H50" s="133">
        <f>_xlfn.COMPOUNDVALUE(560)</f>
        <v>138</v>
      </c>
      <c r="I50" s="135">
        <v>1131227</v>
      </c>
      <c r="J50" s="133">
        <v>203</v>
      </c>
      <c r="K50" s="135">
        <v>74759</v>
      </c>
      <c r="L50" s="133">
        <v>4017</v>
      </c>
      <c r="M50" s="135">
        <v>8637427</v>
      </c>
      <c r="N50" s="130">
        <v>3777</v>
      </c>
      <c r="O50" s="148">
        <v>84</v>
      </c>
      <c r="P50" s="148">
        <v>10</v>
      </c>
      <c r="Q50" s="149">
        <v>3871</v>
      </c>
      <c r="R50" s="14" t="s">
        <v>135</v>
      </c>
    </row>
    <row r="51" spans="1:18" ht="15.75" customHeight="1">
      <c r="A51" s="13" t="s">
        <v>59</v>
      </c>
      <c r="B51" s="133">
        <f>_xlfn.COMPOUNDVALUE(561)</f>
        <v>1818</v>
      </c>
      <c r="C51" s="134">
        <v>8143891</v>
      </c>
      <c r="D51" s="133">
        <f>_xlfn.COMPOUNDVALUE(562)</f>
        <v>1986</v>
      </c>
      <c r="E51" s="134">
        <v>787024</v>
      </c>
      <c r="F51" s="133">
        <f>_xlfn.COMPOUNDVALUE(563)</f>
        <v>3804</v>
      </c>
      <c r="G51" s="134">
        <v>8930915</v>
      </c>
      <c r="H51" s="133">
        <f>_xlfn.COMPOUNDVALUE(564)</f>
        <v>97</v>
      </c>
      <c r="I51" s="135">
        <v>334947</v>
      </c>
      <c r="J51" s="133">
        <v>202</v>
      </c>
      <c r="K51" s="135">
        <v>40519</v>
      </c>
      <c r="L51" s="133">
        <v>3950</v>
      </c>
      <c r="M51" s="135">
        <v>8636488</v>
      </c>
      <c r="N51" s="130">
        <v>3672</v>
      </c>
      <c r="O51" s="148">
        <v>54</v>
      </c>
      <c r="P51" s="148">
        <v>6</v>
      </c>
      <c r="Q51" s="149">
        <v>3732</v>
      </c>
      <c r="R51" s="14" t="s">
        <v>136</v>
      </c>
    </row>
    <row r="52" spans="1:18" ht="15.75" customHeight="1">
      <c r="A52" s="13" t="s">
        <v>60</v>
      </c>
      <c r="B52" s="133">
        <f>_xlfn.COMPOUNDVALUE(565)</f>
        <v>1494</v>
      </c>
      <c r="C52" s="134">
        <v>7465391</v>
      </c>
      <c r="D52" s="133">
        <f>_xlfn.COMPOUNDVALUE(566)</f>
        <v>1412</v>
      </c>
      <c r="E52" s="134">
        <v>558194</v>
      </c>
      <c r="F52" s="133">
        <f>_xlfn.COMPOUNDVALUE(567)</f>
        <v>2906</v>
      </c>
      <c r="G52" s="134">
        <v>8023585</v>
      </c>
      <c r="H52" s="133">
        <f>_xlfn.COMPOUNDVALUE(568)</f>
        <v>79</v>
      </c>
      <c r="I52" s="135">
        <v>182793</v>
      </c>
      <c r="J52" s="133">
        <v>138</v>
      </c>
      <c r="K52" s="135">
        <v>23159</v>
      </c>
      <c r="L52" s="133">
        <v>3021</v>
      </c>
      <c r="M52" s="135">
        <v>7863951</v>
      </c>
      <c r="N52" s="130">
        <v>2782</v>
      </c>
      <c r="O52" s="148">
        <v>50</v>
      </c>
      <c r="P52" s="148">
        <v>2</v>
      </c>
      <c r="Q52" s="149">
        <v>2834</v>
      </c>
      <c r="R52" s="14" t="s">
        <v>137</v>
      </c>
    </row>
    <row r="53" spans="1:18" ht="15.75" customHeight="1">
      <c r="A53" s="13" t="s">
        <v>61</v>
      </c>
      <c r="B53" s="133">
        <f>_xlfn.COMPOUNDVALUE(569)</f>
        <v>1041</v>
      </c>
      <c r="C53" s="134">
        <v>3683053</v>
      </c>
      <c r="D53" s="133">
        <f>_xlfn.COMPOUNDVALUE(570)</f>
        <v>966</v>
      </c>
      <c r="E53" s="134">
        <v>405959</v>
      </c>
      <c r="F53" s="133">
        <f>_xlfn.COMPOUNDVALUE(571)</f>
        <v>2007</v>
      </c>
      <c r="G53" s="134">
        <v>4089012</v>
      </c>
      <c r="H53" s="133">
        <f>_xlfn.COMPOUNDVALUE(572)</f>
        <v>57</v>
      </c>
      <c r="I53" s="135">
        <v>179888</v>
      </c>
      <c r="J53" s="133">
        <v>76</v>
      </c>
      <c r="K53" s="135">
        <v>10636</v>
      </c>
      <c r="L53" s="133">
        <v>2087</v>
      </c>
      <c r="M53" s="135">
        <v>3919760</v>
      </c>
      <c r="N53" s="130">
        <v>2007</v>
      </c>
      <c r="O53" s="148">
        <v>37</v>
      </c>
      <c r="P53" s="148">
        <v>2</v>
      </c>
      <c r="Q53" s="149">
        <v>2046</v>
      </c>
      <c r="R53" s="14" t="s">
        <v>138</v>
      </c>
    </row>
    <row r="54" spans="1:18" ht="15.75" customHeight="1">
      <c r="A54" s="13" t="s">
        <v>62</v>
      </c>
      <c r="B54" s="133">
        <f>_xlfn.COMPOUNDVALUE(573)</f>
        <v>969</v>
      </c>
      <c r="C54" s="134">
        <v>4895580</v>
      </c>
      <c r="D54" s="133">
        <f>_xlfn.COMPOUNDVALUE(574)</f>
        <v>978</v>
      </c>
      <c r="E54" s="134">
        <v>390184</v>
      </c>
      <c r="F54" s="133">
        <f>_xlfn.COMPOUNDVALUE(575)</f>
        <v>1947</v>
      </c>
      <c r="G54" s="134">
        <v>5285764</v>
      </c>
      <c r="H54" s="133">
        <f>_xlfn.COMPOUNDVALUE(576)</f>
        <v>63</v>
      </c>
      <c r="I54" s="135">
        <v>112724</v>
      </c>
      <c r="J54" s="133">
        <v>83</v>
      </c>
      <c r="K54" s="135">
        <v>3440</v>
      </c>
      <c r="L54" s="133">
        <v>2025</v>
      </c>
      <c r="M54" s="135">
        <v>5176480</v>
      </c>
      <c r="N54" s="130">
        <v>1903</v>
      </c>
      <c r="O54" s="148">
        <v>34</v>
      </c>
      <c r="P54" s="148">
        <v>4</v>
      </c>
      <c r="Q54" s="149">
        <v>1941</v>
      </c>
      <c r="R54" s="14" t="s">
        <v>139</v>
      </c>
    </row>
    <row r="55" spans="1:18" ht="15.75" customHeight="1">
      <c r="A55" s="13" t="s">
        <v>63</v>
      </c>
      <c r="B55" s="133">
        <f>_xlfn.COMPOUNDVALUE(577)</f>
        <v>1221</v>
      </c>
      <c r="C55" s="134">
        <v>5103541</v>
      </c>
      <c r="D55" s="133">
        <f>_xlfn.COMPOUNDVALUE(578)</f>
        <v>1092</v>
      </c>
      <c r="E55" s="134">
        <v>437059</v>
      </c>
      <c r="F55" s="133">
        <f>_xlfn.COMPOUNDVALUE(579)</f>
        <v>2313</v>
      </c>
      <c r="G55" s="134">
        <v>5540599</v>
      </c>
      <c r="H55" s="133">
        <f>_xlfn.COMPOUNDVALUE(580)</f>
        <v>66</v>
      </c>
      <c r="I55" s="135">
        <v>2383585</v>
      </c>
      <c r="J55" s="133">
        <v>101</v>
      </c>
      <c r="K55" s="135">
        <v>12412</v>
      </c>
      <c r="L55" s="133">
        <v>2405</v>
      </c>
      <c r="M55" s="135">
        <v>3169426</v>
      </c>
      <c r="N55" s="130">
        <v>2272</v>
      </c>
      <c r="O55" s="148">
        <v>48</v>
      </c>
      <c r="P55" s="148">
        <v>5</v>
      </c>
      <c r="Q55" s="149">
        <v>2325</v>
      </c>
      <c r="R55" s="14" t="s">
        <v>140</v>
      </c>
    </row>
    <row r="56" spans="1:18" ht="15.75" customHeight="1">
      <c r="A56" s="13" t="s">
        <v>64</v>
      </c>
      <c r="B56" s="133">
        <f>_xlfn.COMPOUNDVALUE(581)</f>
        <v>785</v>
      </c>
      <c r="C56" s="134">
        <v>3545498</v>
      </c>
      <c r="D56" s="133">
        <f>_xlfn.COMPOUNDVALUE(582)</f>
        <v>629</v>
      </c>
      <c r="E56" s="134">
        <v>266407</v>
      </c>
      <c r="F56" s="133">
        <f>_xlfn.COMPOUNDVALUE(583)</f>
        <v>1414</v>
      </c>
      <c r="G56" s="134">
        <v>3811905</v>
      </c>
      <c r="H56" s="133">
        <f>_xlfn.COMPOUNDVALUE(584)</f>
        <v>52</v>
      </c>
      <c r="I56" s="135">
        <v>91450</v>
      </c>
      <c r="J56" s="133">
        <v>96</v>
      </c>
      <c r="K56" s="135">
        <v>-1856</v>
      </c>
      <c r="L56" s="133">
        <v>1490</v>
      </c>
      <c r="M56" s="135">
        <v>3718599</v>
      </c>
      <c r="N56" s="130">
        <v>1420</v>
      </c>
      <c r="O56" s="148">
        <v>31</v>
      </c>
      <c r="P56" s="148">
        <v>3</v>
      </c>
      <c r="Q56" s="149">
        <v>1454</v>
      </c>
      <c r="R56" s="14" t="s">
        <v>141</v>
      </c>
    </row>
    <row r="57" spans="1:18" ht="15.75" customHeight="1">
      <c r="A57" s="95" t="s">
        <v>65</v>
      </c>
      <c r="B57" s="150">
        <v>13938</v>
      </c>
      <c r="C57" s="151">
        <v>69781408</v>
      </c>
      <c r="D57" s="150">
        <v>12567</v>
      </c>
      <c r="E57" s="151">
        <v>5279434</v>
      </c>
      <c r="F57" s="150">
        <v>26505</v>
      </c>
      <c r="G57" s="151">
        <v>75060842</v>
      </c>
      <c r="H57" s="150">
        <v>736</v>
      </c>
      <c r="I57" s="152">
        <v>5333095</v>
      </c>
      <c r="J57" s="150">
        <v>1411</v>
      </c>
      <c r="K57" s="152">
        <v>190679</v>
      </c>
      <c r="L57" s="150">
        <v>27593</v>
      </c>
      <c r="M57" s="152">
        <v>69918425</v>
      </c>
      <c r="N57" s="150">
        <v>26283</v>
      </c>
      <c r="O57" s="153">
        <v>488</v>
      </c>
      <c r="P57" s="153">
        <v>56</v>
      </c>
      <c r="Q57" s="154">
        <v>26827</v>
      </c>
      <c r="R57" s="94" t="s">
        <v>142</v>
      </c>
    </row>
    <row r="58" spans="1:18" ht="15.75" customHeight="1">
      <c r="A58" s="96"/>
      <c r="B58" s="155"/>
      <c r="C58" s="156"/>
      <c r="D58" s="155"/>
      <c r="E58" s="156"/>
      <c r="F58" s="157"/>
      <c r="G58" s="156"/>
      <c r="H58" s="157"/>
      <c r="I58" s="156"/>
      <c r="J58" s="157"/>
      <c r="K58" s="156"/>
      <c r="L58" s="157"/>
      <c r="M58" s="156"/>
      <c r="N58" s="158"/>
      <c r="O58" s="159"/>
      <c r="P58" s="159"/>
      <c r="Q58" s="160"/>
      <c r="R58" s="97" t="s">
        <v>143</v>
      </c>
    </row>
    <row r="59" spans="1:18" ht="15.75" customHeight="1">
      <c r="A59" s="98" t="s">
        <v>66</v>
      </c>
      <c r="B59" s="161">
        <f>_xlfn.COMPOUNDVALUE(585)</f>
        <v>4297</v>
      </c>
      <c r="C59" s="162">
        <v>27957112</v>
      </c>
      <c r="D59" s="161">
        <f>_xlfn.COMPOUNDVALUE(586)</f>
        <v>3246</v>
      </c>
      <c r="E59" s="162">
        <v>1637672</v>
      </c>
      <c r="F59" s="161">
        <f>_xlfn.COMPOUNDVALUE(587)</f>
        <v>7543</v>
      </c>
      <c r="G59" s="162">
        <v>29594784</v>
      </c>
      <c r="H59" s="161">
        <f>_xlfn.COMPOUNDVALUE(588)</f>
        <v>258</v>
      </c>
      <c r="I59" s="163">
        <v>807370</v>
      </c>
      <c r="J59" s="161">
        <v>483</v>
      </c>
      <c r="K59" s="163">
        <v>83812</v>
      </c>
      <c r="L59" s="161">
        <v>7928</v>
      </c>
      <c r="M59" s="163">
        <v>28871226</v>
      </c>
      <c r="N59" s="161">
        <v>7882</v>
      </c>
      <c r="O59" s="164">
        <v>177</v>
      </c>
      <c r="P59" s="164">
        <v>25</v>
      </c>
      <c r="Q59" s="165">
        <v>8084</v>
      </c>
      <c r="R59" s="99" t="s">
        <v>144</v>
      </c>
    </row>
    <row r="60" spans="1:18" ht="15.75" customHeight="1">
      <c r="A60" s="11" t="s">
        <v>67</v>
      </c>
      <c r="B60" s="130">
        <f>_xlfn.COMPOUNDVALUE(589)</f>
        <v>2198</v>
      </c>
      <c r="C60" s="131">
        <v>9892763</v>
      </c>
      <c r="D60" s="130">
        <f>_xlfn.COMPOUNDVALUE(590)</f>
        <v>2144</v>
      </c>
      <c r="E60" s="131">
        <v>932253</v>
      </c>
      <c r="F60" s="130">
        <f>_xlfn.COMPOUNDVALUE(591)</f>
        <v>4342</v>
      </c>
      <c r="G60" s="131">
        <v>10825016</v>
      </c>
      <c r="H60" s="130">
        <f>_xlfn.COMPOUNDVALUE(592)</f>
        <v>136</v>
      </c>
      <c r="I60" s="132">
        <v>255937</v>
      </c>
      <c r="J60" s="130">
        <v>305</v>
      </c>
      <c r="K60" s="132">
        <v>68020</v>
      </c>
      <c r="L60" s="130">
        <v>4560</v>
      </c>
      <c r="M60" s="132">
        <v>10637099</v>
      </c>
      <c r="N60" s="130">
        <v>4442</v>
      </c>
      <c r="O60" s="148">
        <v>84</v>
      </c>
      <c r="P60" s="148">
        <v>13</v>
      </c>
      <c r="Q60" s="149">
        <v>4539</v>
      </c>
      <c r="R60" s="14" t="s">
        <v>145</v>
      </c>
    </row>
    <row r="61" spans="1:18" ht="15.75" customHeight="1">
      <c r="A61" s="11" t="s">
        <v>68</v>
      </c>
      <c r="B61" s="130">
        <f>_xlfn.COMPOUNDVALUE(593)</f>
        <v>5525</v>
      </c>
      <c r="C61" s="131">
        <v>36666661</v>
      </c>
      <c r="D61" s="130">
        <f>_xlfn.COMPOUNDVALUE(594)</f>
        <v>3798</v>
      </c>
      <c r="E61" s="131">
        <v>1939735</v>
      </c>
      <c r="F61" s="130">
        <f>_xlfn.COMPOUNDVALUE(595)</f>
        <v>9323</v>
      </c>
      <c r="G61" s="131">
        <v>38606395</v>
      </c>
      <c r="H61" s="130">
        <f>_xlfn.COMPOUNDVALUE(596)</f>
        <v>338</v>
      </c>
      <c r="I61" s="132">
        <v>1276223</v>
      </c>
      <c r="J61" s="130">
        <v>492</v>
      </c>
      <c r="K61" s="132">
        <v>94567</v>
      </c>
      <c r="L61" s="130">
        <v>9828</v>
      </c>
      <c r="M61" s="132">
        <v>37424740</v>
      </c>
      <c r="N61" s="130">
        <v>9790</v>
      </c>
      <c r="O61" s="148">
        <v>233</v>
      </c>
      <c r="P61" s="148">
        <v>45</v>
      </c>
      <c r="Q61" s="149">
        <v>10068</v>
      </c>
      <c r="R61" s="14" t="s">
        <v>146</v>
      </c>
    </row>
    <row r="62" spans="1:18" ht="15.75" customHeight="1">
      <c r="A62" s="13" t="s">
        <v>69</v>
      </c>
      <c r="B62" s="133">
        <f>_xlfn.COMPOUNDVALUE(597)</f>
        <v>4496</v>
      </c>
      <c r="C62" s="134">
        <v>22944388</v>
      </c>
      <c r="D62" s="133">
        <f>_xlfn.COMPOUNDVALUE(598)</f>
        <v>3047</v>
      </c>
      <c r="E62" s="134">
        <v>1651537</v>
      </c>
      <c r="F62" s="133">
        <f>_xlfn.COMPOUNDVALUE(599)</f>
        <v>7543</v>
      </c>
      <c r="G62" s="134">
        <v>24595925</v>
      </c>
      <c r="H62" s="133">
        <f>_xlfn.COMPOUNDVALUE(600)</f>
        <v>297</v>
      </c>
      <c r="I62" s="135">
        <v>3686805</v>
      </c>
      <c r="J62" s="133">
        <v>512</v>
      </c>
      <c r="K62" s="135">
        <v>93987</v>
      </c>
      <c r="L62" s="133">
        <v>8012</v>
      </c>
      <c r="M62" s="135">
        <v>21003107</v>
      </c>
      <c r="N62" s="130">
        <v>7937</v>
      </c>
      <c r="O62" s="148">
        <v>196</v>
      </c>
      <c r="P62" s="148">
        <v>24</v>
      </c>
      <c r="Q62" s="149">
        <v>8157</v>
      </c>
      <c r="R62" s="14" t="s">
        <v>69</v>
      </c>
    </row>
    <row r="63" spans="1:18" ht="15.75" customHeight="1">
      <c r="A63" s="13" t="s">
        <v>70</v>
      </c>
      <c r="B63" s="133">
        <f>_xlfn.COMPOUNDVALUE(601)</f>
        <v>1704</v>
      </c>
      <c r="C63" s="134">
        <v>6959468</v>
      </c>
      <c r="D63" s="133">
        <f>_xlfn.COMPOUNDVALUE(602)</f>
        <v>1446</v>
      </c>
      <c r="E63" s="134">
        <v>668143</v>
      </c>
      <c r="F63" s="133">
        <f>_xlfn.COMPOUNDVALUE(603)</f>
        <v>3150</v>
      </c>
      <c r="G63" s="134">
        <v>7627612</v>
      </c>
      <c r="H63" s="133">
        <f>_xlfn.COMPOUNDVALUE(604)</f>
        <v>155</v>
      </c>
      <c r="I63" s="135">
        <v>726189</v>
      </c>
      <c r="J63" s="133">
        <v>180</v>
      </c>
      <c r="K63" s="135">
        <v>46572</v>
      </c>
      <c r="L63" s="133">
        <v>3372</v>
      </c>
      <c r="M63" s="135">
        <v>6947995</v>
      </c>
      <c r="N63" s="130">
        <v>3227</v>
      </c>
      <c r="O63" s="148">
        <v>112</v>
      </c>
      <c r="P63" s="148">
        <v>7</v>
      </c>
      <c r="Q63" s="149">
        <v>3346</v>
      </c>
      <c r="R63" s="14" t="s">
        <v>147</v>
      </c>
    </row>
    <row r="64" spans="1:18" ht="15.75" customHeight="1">
      <c r="A64" s="13" t="s">
        <v>71</v>
      </c>
      <c r="B64" s="133">
        <f>_xlfn.COMPOUNDVALUE(605)</f>
        <v>1674</v>
      </c>
      <c r="C64" s="134">
        <v>7053855</v>
      </c>
      <c r="D64" s="133">
        <f>_xlfn.COMPOUNDVALUE(606)</f>
        <v>1391</v>
      </c>
      <c r="E64" s="134">
        <v>620113</v>
      </c>
      <c r="F64" s="133">
        <f>_xlfn.COMPOUNDVALUE(607)</f>
        <v>3065</v>
      </c>
      <c r="G64" s="134">
        <v>7673968</v>
      </c>
      <c r="H64" s="133">
        <f>_xlfn.COMPOUNDVALUE(608)</f>
        <v>108</v>
      </c>
      <c r="I64" s="135">
        <v>602971</v>
      </c>
      <c r="J64" s="133">
        <v>144</v>
      </c>
      <c r="K64" s="135">
        <v>51614</v>
      </c>
      <c r="L64" s="133">
        <v>3228</v>
      </c>
      <c r="M64" s="135">
        <v>7122611</v>
      </c>
      <c r="N64" s="130">
        <v>3105</v>
      </c>
      <c r="O64" s="148">
        <v>70</v>
      </c>
      <c r="P64" s="148">
        <v>6</v>
      </c>
      <c r="Q64" s="149">
        <v>3181</v>
      </c>
      <c r="R64" s="14" t="s">
        <v>148</v>
      </c>
    </row>
    <row r="65" spans="1:18" ht="15.75" customHeight="1">
      <c r="A65" s="13" t="s">
        <v>72</v>
      </c>
      <c r="B65" s="133">
        <f>_xlfn.COMPOUNDVALUE(609)</f>
        <v>644</v>
      </c>
      <c r="C65" s="134">
        <v>2335212</v>
      </c>
      <c r="D65" s="133">
        <f>_xlfn.COMPOUNDVALUE(610)</f>
        <v>661</v>
      </c>
      <c r="E65" s="134">
        <v>272995</v>
      </c>
      <c r="F65" s="133">
        <f>_xlfn.COMPOUNDVALUE(611)</f>
        <v>1305</v>
      </c>
      <c r="G65" s="134">
        <v>2608207</v>
      </c>
      <c r="H65" s="133">
        <f>_xlfn.COMPOUNDVALUE(612)</f>
        <v>51</v>
      </c>
      <c r="I65" s="135">
        <v>73797</v>
      </c>
      <c r="J65" s="133">
        <v>86</v>
      </c>
      <c r="K65" s="135">
        <v>24157</v>
      </c>
      <c r="L65" s="133">
        <v>1393</v>
      </c>
      <c r="M65" s="135">
        <v>2558567</v>
      </c>
      <c r="N65" s="130">
        <v>1279</v>
      </c>
      <c r="O65" s="148">
        <v>30</v>
      </c>
      <c r="P65" s="148">
        <v>1</v>
      </c>
      <c r="Q65" s="149">
        <v>1310</v>
      </c>
      <c r="R65" s="14" t="s">
        <v>149</v>
      </c>
    </row>
    <row r="66" spans="1:18" ht="15.75" customHeight="1">
      <c r="A66" s="13" t="s">
        <v>73</v>
      </c>
      <c r="B66" s="133">
        <f>_xlfn.COMPOUNDVALUE(613)</f>
        <v>1895</v>
      </c>
      <c r="C66" s="134">
        <v>9976210</v>
      </c>
      <c r="D66" s="133">
        <f>_xlfn.COMPOUNDVALUE(614)</f>
        <v>1220</v>
      </c>
      <c r="E66" s="134">
        <v>746905</v>
      </c>
      <c r="F66" s="133">
        <f>_xlfn.COMPOUNDVALUE(615)</f>
        <v>3115</v>
      </c>
      <c r="G66" s="134">
        <v>10723115</v>
      </c>
      <c r="H66" s="133">
        <f>_xlfn.COMPOUNDVALUE(616)</f>
        <v>268</v>
      </c>
      <c r="I66" s="135">
        <v>1883607</v>
      </c>
      <c r="J66" s="133">
        <v>340</v>
      </c>
      <c r="K66" s="135">
        <v>60606</v>
      </c>
      <c r="L66" s="133">
        <v>3517</v>
      </c>
      <c r="M66" s="135">
        <v>8900114</v>
      </c>
      <c r="N66" s="130">
        <v>3844</v>
      </c>
      <c r="O66" s="148">
        <v>186</v>
      </c>
      <c r="P66" s="148">
        <v>13</v>
      </c>
      <c r="Q66" s="149">
        <v>4043</v>
      </c>
      <c r="R66" s="14" t="s">
        <v>150</v>
      </c>
    </row>
    <row r="67" spans="1:18" ht="15.75" customHeight="1">
      <c r="A67" s="13" t="s">
        <v>74</v>
      </c>
      <c r="B67" s="133">
        <f>_xlfn.COMPOUNDVALUE(617)</f>
        <v>1151</v>
      </c>
      <c r="C67" s="134">
        <v>5050115</v>
      </c>
      <c r="D67" s="133">
        <f>_xlfn.COMPOUNDVALUE(618)</f>
        <v>819</v>
      </c>
      <c r="E67" s="134">
        <v>399671</v>
      </c>
      <c r="F67" s="133">
        <f>_xlfn.COMPOUNDVALUE(619)</f>
        <v>1970</v>
      </c>
      <c r="G67" s="134">
        <v>5449786</v>
      </c>
      <c r="H67" s="133">
        <f>_xlfn.COMPOUNDVALUE(620)</f>
        <v>84</v>
      </c>
      <c r="I67" s="135">
        <v>188424</v>
      </c>
      <c r="J67" s="133">
        <v>103</v>
      </c>
      <c r="K67" s="135">
        <v>94115</v>
      </c>
      <c r="L67" s="133">
        <v>2085</v>
      </c>
      <c r="M67" s="135">
        <v>5355477</v>
      </c>
      <c r="N67" s="130">
        <v>2050</v>
      </c>
      <c r="O67" s="148">
        <v>66</v>
      </c>
      <c r="P67" s="148">
        <v>2</v>
      </c>
      <c r="Q67" s="149">
        <v>2118</v>
      </c>
      <c r="R67" s="14" t="s">
        <v>151</v>
      </c>
    </row>
    <row r="68" spans="1:18" ht="15.75" customHeight="1">
      <c r="A68" s="13" t="s">
        <v>75</v>
      </c>
      <c r="B68" s="133">
        <f>_xlfn.COMPOUNDVALUE(621)</f>
        <v>410</v>
      </c>
      <c r="C68" s="134">
        <v>1078982</v>
      </c>
      <c r="D68" s="133">
        <f>_xlfn.COMPOUNDVALUE(622)</f>
        <v>364</v>
      </c>
      <c r="E68" s="134">
        <v>158761</v>
      </c>
      <c r="F68" s="133">
        <f>_xlfn.COMPOUNDVALUE(623)</f>
        <v>774</v>
      </c>
      <c r="G68" s="134">
        <v>1237743</v>
      </c>
      <c r="H68" s="133">
        <f>_xlfn.COMPOUNDVALUE(624)</f>
        <v>19</v>
      </c>
      <c r="I68" s="135">
        <v>35340</v>
      </c>
      <c r="J68" s="133">
        <v>23</v>
      </c>
      <c r="K68" s="135">
        <v>1834</v>
      </c>
      <c r="L68" s="133">
        <v>797</v>
      </c>
      <c r="M68" s="135">
        <v>1204237</v>
      </c>
      <c r="N68" s="130">
        <v>766</v>
      </c>
      <c r="O68" s="148">
        <v>16</v>
      </c>
      <c r="P68" s="148">
        <v>3</v>
      </c>
      <c r="Q68" s="149">
        <v>785</v>
      </c>
      <c r="R68" s="14" t="s">
        <v>152</v>
      </c>
    </row>
    <row r="69" spans="1:18" ht="15.75" customHeight="1">
      <c r="A69" s="95" t="s">
        <v>76</v>
      </c>
      <c r="B69" s="150">
        <v>23994</v>
      </c>
      <c r="C69" s="151">
        <v>129914766</v>
      </c>
      <c r="D69" s="150">
        <v>18136</v>
      </c>
      <c r="E69" s="151">
        <v>9027784</v>
      </c>
      <c r="F69" s="150">
        <v>42130</v>
      </c>
      <c r="G69" s="151">
        <v>138942550</v>
      </c>
      <c r="H69" s="150">
        <v>1714</v>
      </c>
      <c r="I69" s="152">
        <v>9536663</v>
      </c>
      <c r="J69" s="150">
        <v>2668</v>
      </c>
      <c r="K69" s="152">
        <v>619286</v>
      </c>
      <c r="L69" s="150">
        <v>44720</v>
      </c>
      <c r="M69" s="152">
        <v>130025173</v>
      </c>
      <c r="N69" s="150">
        <v>44322</v>
      </c>
      <c r="O69" s="153">
        <v>1170</v>
      </c>
      <c r="P69" s="153">
        <v>139</v>
      </c>
      <c r="Q69" s="154">
        <v>45631</v>
      </c>
      <c r="R69" s="94" t="s">
        <v>153</v>
      </c>
    </row>
    <row r="70" spans="1:18" ht="15.75" customHeight="1" thickBot="1">
      <c r="A70" s="18"/>
      <c r="B70" s="172"/>
      <c r="C70" s="173"/>
      <c r="D70" s="172"/>
      <c r="E70" s="173"/>
      <c r="F70" s="174"/>
      <c r="G70" s="173"/>
      <c r="H70" s="174"/>
      <c r="I70" s="173"/>
      <c r="J70" s="174"/>
      <c r="K70" s="173"/>
      <c r="L70" s="174"/>
      <c r="M70" s="173"/>
      <c r="N70" s="175"/>
      <c r="O70" s="176"/>
      <c r="P70" s="176"/>
      <c r="Q70" s="177"/>
      <c r="R70" s="93"/>
    </row>
    <row r="71" spans="1:18" ht="15.75" customHeight="1" thickBot="1" thickTop="1">
      <c r="A71" s="21" t="s">
        <v>96</v>
      </c>
      <c r="B71" s="145">
        <v>108249</v>
      </c>
      <c r="C71" s="146">
        <v>595564557</v>
      </c>
      <c r="D71" s="145">
        <v>83275</v>
      </c>
      <c r="E71" s="146">
        <v>38716477</v>
      </c>
      <c r="F71" s="145">
        <v>191524</v>
      </c>
      <c r="G71" s="146">
        <v>634281034</v>
      </c>
      <c r="H71" s="145">
        <v>7017</v>
      </c>
      <c r="I71" s="147">
        <v>37412144</v>
      </c>
      <c r="J71" s="145">
        <v>11581</v>
      </c>
      <c r="K71" s="147">
        <v>2223101</v>
      </c>
      <c r="L71" s="145">
        <v>202069</v>
      </c>
      <c r="M71" s="147">
        <v>599091990</v>
      </c>
      <c r="N71" s="178">
        <v>197664</v>
      </c>
      <c r="O71" s="179">
        <v>4846</v>
      </c>
      <c r="P71" s="179">
        <v>575</v>
      </c>
      <c r="Q71" s="180">
        <v>203085</v>
      </c>
      <c r="R71" s="32" t="s">
        <v>96</v>
      </c>
    </row>
    <row r="72" spans="1:10" ht="19.5" customHeight="1">
      <c r="A72" s="227" t="s">
        <v>251</v>
      </c>
      <c r="B72" s="227"/>
      <c r="C72" s="227"/>
      <c r="D72" s="227"/>
      <c r="E72" s="227"/>
      <c r="F72" s="227"/>
      <c r="G72" s="227"/>
      <c r="H72" s="227"/>
      <c r="I72" s="227"/>
      <c r="J72" s="227"/>
    </row>
  </sheetData>
  <sheetProtection/>
  <mergeCells count="16">
    <mergeCell ref="A2:I2"/>
    <mergeCell ref="A3:A5"/>
    <mergeCell ref="B3:G3"/>
    <mergeCell ref="H3:I4"/>
    <mergeCell ref="R3:R5"/>
    <mergeCell ref="B4:C4"/>
    <mergeCell ref="D4:E4"/>
    <mergeCell ref="F4:G4"/>
    <mergeCell ref="N4:N5"/>
    <mergeCell ref="A72:J72"/>
    <mergeCell ref="O4:O5"/>
    <mergeCell ref="P4:P5"/>
    <mergeCell ref="Q4:Q5"/>
    <mergeCell ref="J3:K4"/>
    <mergeCell ref="L3:M4"/>
    <mergeCell ref="N3:Q3"/>
  </mergeCells>
  <printOptions horizontalCentered="1"/>
  <pageMargins left="0.5905511811023623" right="0.5905511811023623" top="0.7874015748031497" bottom="0.7874015748031497" header="0.5118110236220472" footer="0.5118110236220472"/>
  <pageSetup fitToHeight="0" fitToWidth="1" horizontalDpi="600" verticalDpi="600" orientation="landscape" paperSize="9" scale="67" r:id="rId1"/>
  <headerFooter alignWithMargins="0">
    <oddFooter>&amp;R仙台国税局
消費税
(H27)</oddFooter>
  </headerFooter>
  <rowBreaks count="1" manualBreakCount="1">
    <brk id="3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2017-04-17T02:35:54Z</cp:lastPrinted>
  <dcterms:created xsi:type="dcterms:W3CDTF">2011-12-09T10:59:54Z</dcterms:created>
  <dcterms:modified xsi:type="dcterms:W3CDTF">2017-06-06T01:14:07Z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y fmtid="{D5CDD505-2E9C-101B-9397-08002B2CF9AE}" pid="3" name="説明">
    <vt:lpwstr/>
  </property>
  <property fmtid="{D5CDD505-2E9C-101B-9397-08002B2CF9AE}" pid="4" name="ContentType">
    <vt:lpwstr>ドキュメント</vt:lpwstr>
  </property>
</Properties>
</file>