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60" windowHeight="8325"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'(4)税務署別(個人事業者）'!$A$1:$N$72</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<sst xmlns="http://schemas.openxmlformats.org/spreadsheetml/2006/main" count="552" uniqueCount="252">
  <si>
    <t>(4)　税務署別課税状況</t>
  </si>
  <si>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</si>
  <si>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</si>
  <si>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</si>
  <si>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</si>
  <si>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</si>
  <si>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</si>
  <si>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</si>
  <si>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</si>
  <si>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</si>
  <si>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</si>
  <si>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</si>
  <si>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</si>
  <si>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</si>
  <si>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</si>
  <si>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</si>
  <si>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</si>
  <si>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</si>
  <si>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</si>
  <si>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</si>
  <si>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</si>
  <si>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</si>
  <si>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</si>
  <si>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</si>
  <si>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</si>
  <si>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</si>
  <si>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</si>
  <si>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</si>
  <si>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</si>
  <si>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</si>
  <si>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</si>
  <si>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</si>
  <si>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</si>
  <si>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</si>
  <si>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</si>
  <si>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</si>
  <si>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</si>
  <si>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</si>
  <si>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</si>
  <si>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</si>
  <si>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</si>
  <si>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</si>
  <si>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</si>
  <si>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</si>
  <si>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</si>
  <si>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</si>
  <si>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</si>
  <si>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</si>
  <si>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</si>
  <si>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</si>
  <si>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</si>
  <si>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</si>
  <si>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</si>
  <si>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</si>
  <si>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</si>
  <si>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</si>
  <si>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</si>
  <si>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</si>
  <si>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</si>
  <si>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</si>
  <si>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</si>
  <si>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</si>
  <si>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</si>
  <si>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</si>
  <si>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</si>
  <si>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</si>
  <si>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</si>
  <si>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</si>
  <si>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</si>
  <si>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</si>
  <si>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</si>
  <si>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</si>
  <si>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</si>
  <si>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</si>
  <si>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</si>
  <si>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</si>
  <si>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</si>
  <si>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(4)　税務署別課税状況（続）</t>
  </si>
  <si>
    <t>　ロ　法　　　人</t>
  </si>
  <si>
    <t>税務署名</t>
  </si>
  <si>
    <t>青森</t>
  </si>
  <si>
    <t>弘前</t>
  </si>
  <si>
    <t>八戸</t>
  </si>
  <si>
    <t>黒石</t>
  </si>
  <si>
    <t>五所川原</t>
  </si>
  <si>
    <t>十和田</t>
  </si>
  <si>
    <t>　ハ　個人事業者と法人の合計</t>
  </si>
  <si>
    <t>課　税　事　業　者　等　届　出　件　数</t>
  </si>
  <si>
    <t>課税事業者
届出</t>
  </si>
  <si>
    <t>課税事業者
選択届出</t>
  </si>
  <si>
    <t>新設法人に
該当する旨
の届出</t>
  </si>
  <si>
    <t>合　　　計</t>
  </si>
  <si>
    <t>岩手県計</t>
  </si>
  <si>
    <t>件数</t>
  </si>
  <si>
    <t>税　　　額
(①－②＋③)</t>
  </si>
  <si>
    <t>税　　額
(①－②＋③)</t>
  </si>
  <si>
    <t>総　計</t>
  </si>
  <si>
    <t>青森県計</t>
  </si>
  <si>
    <t>青森</t>
  </si>
  <si>
    <t>弘前</t>
  </si>
  <si>
    <t>八戸</t>
  </si>
  <si>
    <t>黒石</t>
  </si>
  <si>
    <t>五所川原</t>
  </si>
  <si>
    <t>十和田</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</si>
  <si>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</si>
  <si>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</si>
  <si>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</si>
  <si>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</si>
  <si>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</si>
  <si>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</si>
  <si>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</si>
  <si>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</si>
  <si>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</si>
  <si>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</si>
  <si>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</si>
  <si>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</si>
  <si>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</si>
  <si>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</si>
  <si>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</si>
  <si>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</si>
  <si>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</si>
  <si>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</si>
  <si>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</si>
  <si>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</si>
  <si>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</si>
  <si>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</si>
  <si>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</si>
  <si>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</si>
  <si>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</si>
  <si>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</si>
  <si>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</si>
  <si>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</si>
  <si>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</si>
  <si>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</si>
  <si>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</si>
  <si>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</si>
  <si>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</si>
  <si>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</si>
  <si>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</si>
  <si>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</si>
  <si>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</si>
  <si>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</si>
  <si>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</si>
  <si>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
  </si>
  <si>
    <t>福島</t>
  </si>
  <si>
    <t>会津若松</t>
  </si>
  <si>
    <t>郡山</t>
  </si>
  <si>
    <t>白河</t>
  </si>
  <si>
    <t>須賀川</t>
  </si>
  <si>
    <t>喜多方</t>
  </si>
  <si>
    <t>相馬</t>
  </si>
  <si>
    <t>二本松</t>
  </si>
  <si>
    <t>田島</t>
  </si>
  <si>
    <t>福島県計</t>
  </si>
  <si>
    <t>７　消　費　税</t>
  </si>
  <si>
    <t>区　　　分</t>
  </si>
  <si>
    <t>件　　　数</t>
  </si>
  <si>
    <t>税　　　額</t>
  </si>
  <si>
    <t>件</t>
  </si>
  <si>
    <t>千円</t>
  </si>
  <si>
    <t>差引計</t>
  </si>
  <si>
    <t>実</t>
  </si>
  <si>
    <t>加算税</t>
  </si>
  <si>
    <t>(2)　課税状況の累年比較</t>
  </si>
  <si>
    <t>納税申告計</t>
  </si>
  <si>
    <t>平成23年度</t>
  </si>
  <si>
    <t>(3)　課税事業者等届出件数</t>
  </si>
  <si>
    <t>課税事業者届出書</t>
  </si>
  <si>
    <t>課税事業者選択届出書</t>
  </si>
  <si>
    <t>新設法人に該当する旨の届出書</t>
  </si>
  <si>
    <t>合計</t>
  </si>
  <si>
    <t>（注）　納税義務者でなくなった旨の届出書又は課税事業者選択不適用届出書を提出した者は含まない。</t>
  </si>
  <si>
    <t>平成25年度</t>
  </si>
  <si>
    <t>調査対象等：</t>
  </si>
  <si>
    <t>（注）１　税関分は含まない。</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</si>
  <si>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</si>
  <si>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</si>
  <si>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</si>
  <si>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</si>
  <si>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</si>
  <si>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</si>
  <si>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</si>
  <si>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</si>
  <si>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</si>
  <si>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</si>
  <si>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</si>
  <si>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</si>
  <si>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法　　　　　　　人</t>
  </si>
  <si>
    <t>合　　　　　　　計</t>
  </si>
  <si>
    <t>件　　数</t>
  </si>
  <si>
    <t>税　　額</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</si>
  <si>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</si>
  <si>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</si>
  <si>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</si>
  <si>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</si>
  <si>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</si>
  <si>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</si>
  <si>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</si>
  <si>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</si>
  <si>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</si>
  <si>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</si>
  <si>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</si>
  <si>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</si>
  <si>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</si>
  <si>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</si>
  <si>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</si>
  <si>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</si>
  <si>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</si>
  <si>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</si>
  <si>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</si>
  <si>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</si>
  <si>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</si>
  <si>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</si>
  <si>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</si>
  <si>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</si>
  <si>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</si>
  <si>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</si>
  <si>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</si>
  <si>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</si>
  <si>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</si>
  <si>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</si>
  <si>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</si>
  <si>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</si>
  <si>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</si>
  <si>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</si>
  <si>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</si>
  <si>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</si>
  <si>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</si>
  <si>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</si>
  <si>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</si>
  <si>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</si>
  <si>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</si>
  <si>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</si>
  <si>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</si>
  <si>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白河</t>
  </si>
  <si>
    <t>須賀川</t>
  </si>
  <si>
    <t>喜多方</t>
  </si>
  <si>
    <t>相馬</t>
  </si>
  <si>
    <t>二本松</t>
  </si>
  <si>
    <t>田島</t>
  </si>
  <si>
    <t>福島県計</t>
  </si>
  <si>
    <t>総　計</t>
  </si>
  <si>
    <t>（注）　この表は、「(1)　課税状況」の現年分を税務署別に示したものである（加算税を除く。）。</t>
  </si>
  <si>
    <t>（注）　この表は、「(1)　課税状況」の現年分及び「(3)　課税事業者等届出件数」を税務署別に示したものである（加算税を除く。）。</t>
  </si>
  <si>
    <t>　「現年分」は、平成26年４月１日から平成27年３月31日までに終了した課税期間について、平成27年６月30日現在の申告（国・地方公共団体等については平成27年９月30日までの申告を含む。）及び処理（更正、決定等）による課税事績を「申告書及び決議書」に基づいて作成した。</t>
  </si>
  <si>
    <t>　「既往年分」は、平成26年３月31日以前に終了した課税期間について、平成26年７月１日から平成27年６月30日までの間の申告（平成26年７月１日から同年９月30日までの間の国・地方公共団体等に係る申告を除く。）及び処理（更正、決定等）による課税事績を「申告書及び決議書」に基づいて作成した。</t>
  </si>
  <si>
    <t>平成22年度</t>
  </si>
  <si>
    <t>平成24年度</t>
  </si>
  <si>
    <t>平成26年度</t>
  </si>
  <si>
    <t>調査対象等：　平成26年度末（平成27年３月31日現在）の届出件数を示している。</t>
  </si>
  <si>
    <t xml:space="preserve"> - </t>
  </si>
  <si>
    <t>　　　２　「件数」欄の「実」は、実件数を示す。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</si>
</sst>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6">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b/>
      <sz val="11"/>
      <name val="ＭＳ Ｐゴシック"/>
      <family val="3"/>
    </font>
    <font>
      <b/>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medium"/>
      <right/>
      <top style="thin">
        <color indexed="55"/>
      </top>
      <bottom style="thin">
        <color indexed="55"/>
      </bottom>
    </border>
    <border>
      <left style="thin"/>
      <right style="medium"/>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thin"/>
      <right style="medium"/>
      <top style="double"/>
      <bottom style="medium"/>
    </border>
    <border>
      <left style="thin"/>
      <right style="hair"/>
      <top style="hair"/>
      <bottom style="thin"/>
    </border>
    <border>
      <left style="hair"/>
      <right/>
      <top style="hair"/>
      <bottom style="thin"/>
    </border>
    <border>
      <left style="hair"/>
      <right style="medium"/>
      <top style="thin"/>
      <bottom/>
    </border>
    <border>
      <left style="hair"/>
      <right style="thin"/>
      <top/>
      <bottom style="hair">
        <color indexed="55"/>
      </bottom>
    </border>
    <border>
      <left style="thin"/>
      <right style="hair"/>
      <top/>
      <bottom/>
    </border>
    <border>
      <left style="hair"/>
      <right style="medium"/>
      <top/>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thin"/>
      <bottom style="hair">
        <color indexed="55"/>
      </bottom>
    </border>
    <border>
      <left style="hair"/>
      <right style="medium"/>
      <top style="thin"/>
      <bottom style="hair">
        <color indexed="55"/>
      </bottom>
    </border>
    <border>
      <left style="thin"/>
      <right style="hair"/>
      <top style="thin"/>
      <bottom style="thin"/>
    </border>
    <border>
      <left style="thin"/>
      <right style="hair"/>
      <top/>
      <bottom style="medium"/>
    </border>
    <border>
      <left/>
      <right style="thin"/>
      <top style="thin"/>
      <bottom/>
    </border>
    <border>
      <left/>
      <right style="medium"/>
      <top style="thin"/>
      <bottom/>
    </border>
    <border>
      <left style="thin"/>
      <right style="hair"/>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thin"/>
      <top style="hair">
        <color indexed="55"/>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medium"/>
      <right style="thin"/>
      <top style="hair">
        <color indexed="55"/>
      </top>
      <bottom style="thin">
        <color theme="0" tint="-0.3499799966812134"/>
      </bottom>
    </border>
    <border>
      <left style="thin"/>
      <right style="medium"/>
      <top/>
      <bottom style="thin">
        <color indexed="23"/>
      </bottom>
    </border>
    <border>
      <left style="thin"/>
      <right style="medium"/>
      <top style="hair">
        <color indexed="55"/>
      </top>
      <bottom style="thin">
        <color theme="0" tint="-0.3499799966812134"/>
      </bottom>
    </border>
    <border>
      <left style="medium"/>
      <right/>
      <top style="hair">
        <color indexed="55"/>
      </top>
      <bottom style="thin">
        <color theme="0" tint="-0.3499799966812134"/>
      </bottom>
    </border>
    <border>
      <left style="medium"/>
      <right/>
      <top/>
      <bottom/>
    </border>
    <border>
      <left style="thin"/>
      <right style="medium"/>
      <top/>
      <bottom/>
    </border>
    <border>
      <left style="medium"/>
      <right/>
      <top style="thin">
        <color theme="0" tint="-0.3499799966812134"/>
      </top>
      <bottom style="hair">
        <color indexed="55"/>
      </bottom>
    </border>
    <border>
      <left style="thin"/>
      <right style="medium"/>
      <top style="thin">
        <color theme="0" tint="-0.3499799966812134"/>
      </top>
      <bottom style="hair">
        <color indexed="55"/>
      </bottom>
    </border>
    <border>
      <left style="medium"/>
      <right/>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top style="thin">
        <color indexed="55"/>
      </top>
      <bottom style="thin">
        <color theme="0" tint="-0.3499799966812134"/>
      </bottom>
    </border>
    <border>
      <left style="thin"/>
      <right style="medium"/>
      <top style="thin">
        <color indexed="55"/>
      </top>
      <bottom style="thin">
        <color theme="0" tint="-0.3499799966812134"/>
      </botto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thin"/>
      <right style="hair"/>
      <top style="hair">
        <color indexed="55"/>
      </top>
      <bottom style="medium"/>
    </border>
    <border>
      <left style="hair"/>
      <right style="medium"/>
      <top style="hair">
        <color indexed="55"/>
      </top>
      <bottom style="medium"/>
    </border>
    <border>
      <left style="medium"/>
      <right style="thin"/>
      <top/>
      <bottom style="medium"/>
    </border>
    <border>
      <left style="thin"/>
      <right style="thin"/>
      <top/>
      <bottom style="medium"/>
    </border>
    <border>
      <left style="thin"/>
      <right/>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top style="thin">
        <color indexed="55"/>
      </top>
      <bottom style="thin">
        <color theme="0" tint="-0.3499799966812134"/>
      </bottom>
    </border>
    <border>
      <left style="hair"/>
      <right style="thin"/>
      <top style="thin">
        <color indexed="55"/>
      </top>
      <bottom style="thin">
        <color theme="0" tint="-0.3499799966812134"/>
      </bottom>
    </border>
    <border>
      <left style="thin"/>
      <right style="hair"/>
      <top style="thin">
        <color indexed="55"/>
      </top>
      <bottom style="thin">
        <color theme="0" tint="-0.3499799966812134"/>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thin"/>
      <right style="hair"/>
      <top style="hair">
        <color indexed="55"/>
      </top>
      <bottom style="thin">
        <color theme="0" tint="-0.3499799966812134"/>
      </bottom>
    </border>
    <border>
      <left style="hair"/>
      <right style="thin"/>
      <top style="hair">
        <color indexed="55"/>
      </top>
      <bottom style="thin">
        <color theme="0" tint="-0.3499799966812134"/>
      </bottom>
    </border>
    <border>
      <left style="hair"/>
      <right/>
      <top style="hair">
        <color indexed="55"/>
      </top>
      <bottom style="thin">
        <color theme="0" tint="-0.3499799966812134"/>
      </bottom>
    </border>
    <border>
      <left style="hair"/>
      <right style="hair"/>
      <top style="hair">
        <color indexed="55"/>
      </top>
      <bottom style="thin">
        <color theme="0" tint="-0.3499799966812134"/>
      </bottom>
    </border>
    <border>
      <left style="thin"/>
      <right/>
      <top/>
      <bottom/>
    </border>
    <border>
      <left style="hair"/>
      <right style="thin"/>
      <top/>
      <bottom/>
    </border>
    <border>
      <left style="hair"/>
      <right style="hair"/>
      <top/>
      <bottom/>
    </border>
    <border>
      <left style="hair"/>
      <right/>
      <top/>
      <bottom/>
    </border>
    <border>
      <left style="thin"/>
      <right style="hair"/>
      <top style="thin">
        <color theme="0" tint="-0.3499799966812134"/>
      </top>
      <bottom style="hair">
        <color indexed="55"/>
      </bottom>
    </border>
    <border>
      <left style="hair"/>
      <right style="thin"/>
      <top style="thin">
        <color theme="0" tint="-0.3499799966812134"/>
      </top>
      <bottom style="hair">
        <color indexed="55"/>
      </bottom>
    </border>
    <border>
      <left style="hair"/>
      <right/>
      <top style="thin">
        <color theme="0" tint="-0.3499799966812134"/>
      </top>
      <bottom style="hair">
        <color indexed="55"/>
      </bottom>
    </border>
    <border>
      <left style="hair"/>
      <right style="hair"/>
      <top style="thin">
        <color theme="0" tint="-0.3499799966812134"/>
      </top>
      <bottom style="hair">
        <color indexed="55"/>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thin"/>
      <right/>
      <top/>
      <bottom style="double"/>
    </border>
    <border>
      <left style="hair"/>
      <right style="thin"/>
      <top/>
      <bottom style="double"/>
    </border>
    <border>
      <left style="thin"/>
      <right style="hair"/>
      <top/>
      <bottom style="double"/>
    </border>
    <border>
      <left style="thin"/>
      <right style="hair"/>
      <top/>
      <bottom style="thin">
        <color indexed="55"/>
      </bottom>
    </border>
    <border>
      <left style="hair"/>
      <right style="hair"/>
      <top/>
      <bottom style="thin">
        <color indexed="55"/>
      </bottom>
    </border>
    <border>
      <left style="hair"/>
      <right/>
      <top/>
      <bottom style="thin">
        <color indexed="55"/>
      </bottom>
    </border>
    <border>
      <left style="thin"/>
      <right style="hair"/>
      <top style="double"/>
      <bottom style="medium"/>
    </border>
    <border>
      <left style="hair"/>
      <right style="hair"/>
      <top style="double"/>
      <bottom style="medium"/>
    </border>
    <border>
      <left style="hair"/>
      <right/>
      <top style="double"/>
      <bottom style="medium"/>
    </border>
    <border>
      <left/>
      <right/>
      <top style="medium"/>
      <bottom/>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top style="medium"/>
      <bottom/>
    </border>
    <border>
      <left/>
      <right style="thin"/>
      <top style="medium"/>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style="thin"/>
      <bottom/>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medium"/>
      <right style="hair"/>
      <top style="hair"/>
      <bottom style="thin"/>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
      <left style="thin"/>
      <right style="hair"/>
      <top style="hair"/>
      <bottom/>
    </border>
    <border>
      <left style="thin"/>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45" fillId="32" borderId="0" applyNumberFormat="0" applyBorder="0" applyAlignment="0" applyProtection="0"/>
  </cellStyleXfs>
  <cellXfs count="249">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8" fillId="36" borderId="19" xfId="60" applyFont="1" applyFill="1" applyBorder="1" applyAlignment="1">
      <alignment horizontal="distributed" vertical="center"/>
      <protection/>
    </xf>
    <xf numFmtId="0" fontId="8" fillId="36" borderId="20" xfId="60" applyFont="1" applyFill="1" applyBorder="1" applyAlignment="1">
      <alignment horizontal="distributed" vertical="center"/>
      <protection/>
    </xf>
    <xf numFmtId="0" fontId="9" fillId="0" borderId="0" xfId="60" applyFont="1">
      <alignment/>
      <protection/>
    </xf>
    <xf numFmtId="0" fontId="10" fillId="0" borderId="21" xfId="60" applyFont="1" applyFill="1" applyBorder="1" applyAlignment="1">
      <alignment horizontal="distributed" vertical="center"/>
      <protection/>
    </xf>
    <xf numFmtId="0" fontId="10" fillId="0" borderId="22" xfId="60" applyFont="1" applyFill="1" applyBorder="1" applyAlignment="1">
      <alignment horizontal="center" vertical="center"/>
      <protection/>
    </xf>
    <xf numFmtId="0" fontId="11" fillId="0" borderId="0" xfId="60" applyFont="1" applyFill="1">
      <alignment/>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10" fillId="0" borderId="25" xfId="60" applyFont="1" applyFill="1" applyBorder="1" applyAlignment="1">
      <alignment horizontal="distributed" vertical="center"/>
      <protection/>
    </xf>
    <xf numFmtId="0" fontId="10" fillId="0" borderId="26" xfId="60" applyFont="1" applyFill="1" applyBorder="1" applyAlignment="1">
      <alignment horizontal="center" vertical="center"/>
      <protection/>
    </xf>
    <xf numFmtId="0" fontId="3" fillId="36" borderId="27" xfId="60"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8" xfId="60" applyFont="1" applyBorder="1" applyAlignment="1">
      <alignment horizontal="center" vertical="center" wrapText="1"/>
      <protection/>
    </xf>
    <xf numFmtId="0" fontId="5" fillId="34" borderId="29"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8" fillId="0" borderId="30" xfId="60" applyFont="1" applyBorder="1" applyAlignment="1">
      <alignment horizontal="center" vertical="center"/>
      <protection/>
    </xf>
    <xf numFmtId="0" fontId="3" fillId="0" borderId="31" xfId="60" applyFont="1" applyBorder="1" applyAlignment="1">
      <alignment horizontal="distributed" vertical="center" indent="1"/>
      <protection/>
    </xf>
    <xf numFmtId="0" fontId="3" fillId="0" borderId="28" xfId="60" applyFont="1" applyBorder="1" applyAlignment="1">
      <alignment horizontal="distributed" vertical="center" indent="1"/>
      <protection/>
    </xf>
    <xf numFmtId="0" fontId="3" fillId="0" borderId="32" xfId="60" applyFont="1" applyBorder="1" applyAlignment="1">
      <alignment horizontal="centerContinuous" vertical="center" wrapText="1"/>
      <protection/>
    </xf>
    <xf numFmtId="0" fontId="12" fillId="0" borderId="0" xfId="60" applyFont="1">
      <alignment/>
      <protection/>
    </xf>
    <xf numFmtId="0" fontId="3" fillId="0" borderId="32" xfId="60" applyFont="1" applyBorder="1" applyAlignment="1">
      <alignment horizontal="center" vertical="center"/>
      <protection/>
    </xf>
    <xf numFmtId="0" fontId="3" fillId="0" borderId="28" xfId="60" applyFont="1" applyBorder="1" applyAlignment="1">
      <alignment horizontal="center" vertical="center"/>
      <protection/>
    </xf>
    <xf numFmtId="0" fontId="13" fillId="0" borderId="0" xfId="60" applyFont="1" applyAlignment="1">
      <alignment horizontal="center" vertical="top"/>
      <protection/>
    </xf>
    <xf numFmtId="0" fontId="3" fillId="0" borderId="12" xfId="60" applyFont="1" applyBorder="1" applyAlignment="1">
      <alignment horizontal="center" vertical="center"/>
      <protection/>
    </xf>
    <xf numFmtId="0" fontId="3" fillId="0" borderId="33" xfId="60" applyFont="1" applyBorder="1" applyAlignment="1">
      <alignment horizontal="center" vertical="center"/>
      <protection/>
    </xf>
    <xf numFmtId="0" fontId="5" fillId="0" borderId="10"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0" borderId="11" xfId="60" applyFont="1" applyFill="1" applyBorder="1" applyAlignment="1">
      <alignment horizontal="right" vertical="top"/>
      <protection/>
    </xf>
    <xf numFmtId="0" fontId="5" fillId="35" borderId="33" xfId="60" applyFont="1" applyFill="1" applyBorder="1" applyAlignment="1">
      <alignment horizontal="right" vertical="top"/>
      <protection/>
    </xf>
    <xf numFmtId="0" fontId="3" fillId="0" borderId="34" xfId="60" applyFont="1" applyBorder="1" applyAlignment="1">
      <alignment horizontal="distributed" vertical="center"/>
      <protection/>
    </xf>
    <xf numFmtId="0" fontId="3" fillId="0" borderId="35" xfId="60" applyFont="1" applyBorder="1" applyAlignment="1">
      <alignment horizontal="right" vertical="center"/>
      <protection/>
    </xf>
    <xf numFmtId="3" fontId="3" fillId="35" borderId="34" xfId="60" applyNumberFormat="1" applyFont="1" applyFill="1" applyBorder="1" applyAlignment="1">
      <alignment horizontal="right" vertical="center"/>
      <protection/>
    </xf>
    <xf numFmtId="3" fontId="3" fillId="0" borderId="35" xfId="60" applyNumberFormat="1" applyFont="1" applyBorder="1" applyAlignment="1">
      <alignment horizontal="right" vertical="center"/>
      <protection/>
    </xf>
    <xf numFmtId="3" fontId="3" fillId="35" borderId="36" xfId="60" applyNumberFormat="1" applyFont="1" applyFill="1" applyBorder="1" applyAlignment="1">
      <alignment horizontal="right" vertical="center"/>
      <protection/>
    </xf>
    <xf numFmtId="0" fontId="3" fillId="0" borderId="37" xfId="60" applyFont="1" applyBorder="1" applyAlignment="1">
      <alignment horizontal="distributed" vertical="center"/>
      <protection/>
    </xf>
    <xf numFmtId="0" fontId="8" fillId="0" borderId="37" xfId="60" applyFont="1" applyBorder="1" applyAlignment="1">
      <alignment horizontal="distributed" vertical="center"/>
      <protection/>
    </xf>
    <xf numFmtId="0" fontId="8" fillId="0" borderId="35" xfId="60" applyFont="1" applyBorder="1" applyAlignment="1">
      <alignment horizontal="right" vertical="center"/>
      <protection/>
    </xf>
    <xf numFmtId="0" fontId="8" fillId="0" borderId="0" xfId="60" applyFont="1" applyAlignment="1">
      <alignment horizontal="left" vertical="top"/>
      <protection/>
    </xf>
    <xf numFmtId="0" fontId="3" fillId="0" borderId="38" xfId="60" applyFont="1" applyBorder="1" applyAlignment="1">
      <alignment horizontal="distributed" vertical="center"/>
      <protection/>
    </xf>
    <xf numFmtId="0" fontId="3" fillId="0" borderId="39" xfId="60" applyFont="1" applyBorder="1" applyAlignment="1">
      <alignment horizontal="distributed" vertical="center" wrapText="1"/>
      <protection/>
    </xf>
    <xf numFmtId="0" fontId="3" fillId="0" borderId="11" xfId="60" applyFont="1" applyBorder="1" applyAlignment="1">
      <alignment horizontal="center" vertical="center"/>
      <protection/>
    </xf>
    <xf numFmtId="3" fontId="3" fillId="35" borderId="39" xfId="60" applyNumberFormat="1" applyFont="1" applyFill="1" applyBorder="1" applyAlignment="1">
      <alignment horizontal="right" vertical="center"/>
      <protection/>
    </xf>
    <xf numFmtId="3" fontId="3" fillId="0" borderId="11" xfId="60" applyNumberFormat="1" applyFont="1" applyBorder="1" applyAlignment="1">
      <alignment horizontal="center" vertical="center"/>
      <protection/>
    </xf>
    <xf numFmtId="3" fontId="3" fillId="35" borderId="40" xfId="60" applyNumberFormat="1" applyFont="1" applyFill="1" applyBorder="1" applyAlignment="1">
      <alignment horizontal="right" vertical="center"/>
      <protection/>
    </xf>
    <xf numFmtId="0" fontId="3" fillId="0" borderId="37" xfId="60" applyFont="1" applyBorder="1" applyAlignment="1">
      <alignment horizontal="distributed" vertical="center" wrapText="1"/>
      <protection/>
    </xf>
    <xf numFmtId="0" fontId="3" fillId="0" borderId="35" xfId="60" applyFont="1" applyBorder="1" applyAlignment="1">
      <alignment horizontal="center" vertical="center"/>
      <protection/>
    </xf>
    <xf numFmtId="3" fontId="3" fillId="0" borderId="35" xfId="60" applyNumberFormat="1" applyFont="1" applyBorder="1" applyAlignment="1">
      <alignment horizontal="center" vertical="center"/>
      <protection/>
    </xf>
    <xf numFmtId="0" fontId="8" fillId="0" borderId="41" xfId="60" applyFont="1" applyBorder="1" applyAlignment="1">
      <alignment horizontal="right" vertical="center"/>
      <protection/>
    </xf>
    <xf numFmtId="0" fontId="3" fillId="0" borderId="42" xfId="60" applyFont="1" applyBorder="1" applyAlignment="1">
      <alignment horizontal="right" vertical="center"/>
      <protection/>
    </xf>
    <xf numFmtId="3" fontId="3" fillId="0" borderId="42" xfId="60" applyNumberFormat="1" applyFont="1" applyBorder="1" applyAlignment="1">
      <alignment horizontal="right" vertical="center"/>
      <protection/>
    </xf>
    <xf numFmtId="0" fontId="3" fillId="0" borderId="43" xfId="60" applyFont="1" applyBorder="1" applyAlignment="1">
      <alignment horizontal="center" vertical="center"/>
      <protection/>
    </xf>
    <xf numFmtId="0" fontId="3" fillId="0" borderId="44" xfId="60" applyFont="1" applyBorder="1" applyAlignment="1">
      <alignment horizontal="center" vertical="center"/>
      <protection/>
    </xf>
    <xf numFmtId="0" fontId="3" fillId="0" borderId="10" xfId="60" applyFont="1" applyBorder="1" applyAlignment="1">
      <alignment horizontal="center" vertical="center"/>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5" fillId="35" borderId="33" xfId="60" applyFont="1" applyFill="1" applyBorder="1" applyAlignment="1">
      <alignment horizontal="right"/>
      <protection/>
    </xf>
    <xf numFmtId="0" fontId="3" fillId="0" borderId="0" xfId="60" applyFont="1" applyAlignment="1">
      <alignment horizontal="left"/>
      <protection/>
    </xf>
    <xf numFmtId="3" fontId="3" fillId="34" borderId="45" xfId="60" applyNumberFormat="1" applyFont="1" applyFill="1" applyBorder="1" applyAlignment="1">
      <alignment horizontal="right" vertical="center"/>
      <protection/>
    </xf>
    <xf numFmtId="0" fontId="3" fillId="0" borderId="0" xfId="60" applyFont="1" applyBorder="1" applyAlignment="1">
      <alignment horizontal="left" vertical="top"/>
      <protection/>
    </xf>
    <xf numFmtId="3" fontId="3" fillId="34" borderId="46" xfId="60" applyNumberFormat="1" applyFont="1" applyFill="1" applyBorder="1" applyAlignment="1">
      <alignment horizontal="right" vertical="center"/>
      <protection/>
    </xf>
    <xf numFmtId="3" fontId="3" fillId="35" borderId="38" xfId="60" applyNumberFormat="1" applyFont="1" applyFill="1" applyBorder="1" applyAlignment="1">
      <alignment horizontal="right" vertical="center"/>
      <protection/>
    </xf>
    <xf numFmtId="3" fontId="3" fillId="35" borderId="47" xfId="60" applyNumberFormat="1" applyFont="1" applyFill="1" applyBorder="1" applyAlignment="1">
      <alignment horizontal="right" vertical="center"/>
      <protection/>
    </xf>
    <xf numFmtId="0" fontId="3" fillId="0" borderId="39" xfId="60" applyFont="1" applyBorder="1" applyAlignment="1">
      <alignment horizontal="distributed" vertical="center"/>
      <protection/>
    </xf>
    <xf numFmtId="3" fontId="3" fillId="34" borderId="48" xfId="60" applyNumberFormat="1" applyFont="1" applyFill="1" applyBorder="1" applyAlignment="1">
      <alignment horizontal="right" vertical="center"/>
      <protection/>
    </xf>
    <xf numFmtId="0" fontId="3" fillId="0" borderId="49" xfId="60" applyFont="1" applyBorder="1" applyAlignment="1">
      <alignment horizontal="distributed" vertical="center"/>
      <protection/>
    </xf>
    <xf numFmtId="3" fontId="3" fillId="0" borderId="0" xfId="60" applyNumberFormat="1" applyFont="1" applyAlignment="1">
      <alignment horizontal="left" vertical="top"/>
      <protection/>
    </xf>
    <xf numFmtId="0" fontId="3" fillId="0" borderId="50" xfId="60" applyFont="1" applyBorder="1" applyAlignment="1">
      <alignment horizontal="distributed" vertical="center"/>
      <protection/>
    </xf>
    <xf numFmtId="0" fontId="3" fillId="0" borderId="51" xfId="60" applyFont="1" applyBorder="1" applyAlignment="1">
      <alignment horizontal="distributed" vertical="center"/>
      <protection/>
    </xf>
    <xf numFmtId="0" fontId="3" fillId="0" borderId="52" xfId="60" applyFont="1" applyBorder="1" applyAlignment="1">
      <alignment horizontal="center" vertical="center"/>
      <protection/>
    </xf>
    <xf numFmtId="0" fontId="3" fillId="0" borderId="53" xfId="60" applyFont="1" applyBorder="1" applyAlignment="1">
      <alignment horizontal="distributed" vertical="center" indent="1"/>
      <protection/>
    </xf>
    <xf numFmtId="0" fontId="5" fillId="34" borderId="54" xfId="60" applyFont="1" applyFill="1" applyBorder="1" applyAlignment="1">
      <alignment horizontal="right"/>
      <protection/>
    </xf>
    <xf numFmtId="0" fontId="5" fillId="34" borderId="55" xfId="60" applyFont="1" applyFill="1" applyBorder="1" applyAlignment="1">
      <alignment horizontal="right"/>
      <protection/>
    </xf>
    <xf numFmtId="0" fontId="5" fillId="34" borderId="56"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0" fontId="8" fillId="36" borderId="57" xfId="60" applyFont="1" applyFill="1" applyBorder="1" applyAlignment="1">
      <alignment horizontal="distributed" vertical="center"/>
      <protection/>
    </xf>
    <xf numFmtId="0" fontId="10" fillId="0" borderId="58" xfId="60" applyFont="1" applyFill="1" applyBorder="1" applyAlignment="1">
      <alignment horizontal="center" vertical="center"/>
      <protection/>
    </xf>
    <xf numFmtId="0" fontId="8" fillId="36" borderId="59" xfId="60" applyFont="1" applyFill="1" applyBorder="1" applyAlignment="1">
      <alignment horizontal="distributed" vertical="center"/>
      <protection/>
    </xf>
    <xf numFmtId="0" fontId="8" fillId="36" borderId="60" xfId="60" applyFont="1" applyFill="1" applyBorder="1" applyAlignment="1">
      <alignment horizontal="distributed" vertical="center"/>
      <protection/>
    </xf>
    <xf numFmtId="0" fontId="10" fillId="0" borderId="61" xfId="60" applyFont="1" applyFill="1" applyBorder="1" applyAlignment="1">
      <alignment horizontal="distributed" vertical="center"/>
      <protection/>
    </xf>
    <xf numFmtId="0" fontId="10" fillId="0" borderId="62" xfId="60" applyFont="1" applyFill="1" applyBorder="1" applyAlignment="1">
      <alignment horizontal="center" vertical="center"/>
      <protection/>
    </xf>
    <xf numFmtId="0" fontId="3" fillId="36" borderId="63" xfId="60" applyFont="1" applyFill="1" applyBorder="1" applyAlignment="1">
      <alignment horizontal="distributed" vertical="center"/>
      <protection/>
    </xf>
    <xf numFmtId="0" fontId="3" fillId="36" borderId="64" xfId="60" applyFont="1" applyFill="1" applyBorder="1" applyAlignment="1">
      <alignment horizontal="distributed" vertical="center"/>
      <protection/>
    </xf>
    <xf numFmtId="0" fontId="10" fillId="0" borderId="65" xfId="60" applyFont="1" applyFill="1" applyBorder="1" applyAlignment="1">
      <alignment horizontal="distributed" vertical="center"/>
      <protection/>
    </xf>
    <xf numFmtId="0" fontId="10" fillId="0" borderId="66" xfId="60" applyFont="1" applyFill="1" applyBorder="1" applyAlignment="1">
      <alignment horizontal="center" vertical="center"/>
      <protection/>
    </xf>
    <xf numFmtId="0" fontId="10" fillId="0" borderId="67" xfId="60" applyFont="1" applyFill="1" applyBorder="1" applyAlignment="1">
      <alignment horizontal="distributed" vertical="center"/>
      <protection/>
    </xf>
    <xf numFmtId="0" fontId="10" fillId="0" borderId="68" xfId="60" applyFont="1" applyFill="1" applyBorder="1" applyAlignment="1">
      <alignment horizontal="center" vertical="center"/>
      <protection/>
    </xf>
    <xf numFmtId="3" fontId="3" fillId="34" borderId="69" xfId="60" applyNumberFormat="1" applyFont="1" applyFill="1" applyBorder="1" applyAlignment="1">
      <alignment horizontal="right" vertical="center"/>
      <protection/>
    </xf>
    <xf numFmtId="3" fontId="3" fillId="34" borderId="70" xfId="60" applyNumberFormat="1" applyFont="1" applyFill="1" applyBorder="1" applyAlignment="1">
      <alignment horizontal="right" vertical="center"/>
      <protection/>
    </xf>
    <xf numFmtId="3" fontId="3" fillId="35" borderId="37" xfId="60" applyNumberFormat="1" applyFont="1" applyFill="1" applyBorder="1" applyAlignment="1">
      <alignment horizontal="right" vertical="center"/>
      <protection/>
    </xf>
    <xf numFmtId="3" fontId="3" fillId="35" borderId="71" xfId="60" applyNumberFormat="1" applyFont="1" applyFill="1" applyBorder="1" applyAlignment="1">
      <alignment horizontal="right" vertical="center"/>
      <protection/>
    </xf>
    <xf numFmtId="3" fontId="8" fillId="34" borderId="70" xfId="60" applyNumberFormat="1" applyFont="1" applyFill="1" applyBorder="1" applyAlignment="1">
      <alignment horizontal="right" vertical="center"/>
      <protection/>
    </xf>
    <xf numFmtId="3" fontId="8" fillId="35" borderId="37" xfId="60" applyNumberFormat="1" applyFont="1" applyFill="1" applyBorder="1" applyAlignment="1">
      <alignment horizontal="right" vertical="center"/>
      <protection/>
    </xf>
    <xf numFmtId="3" fontId="8" fillId="35" borderId="71" xfId="60" applyNumberFormat="1" applyFont="1" applyFill="1" applyBorder="1" applyAlignment="1">
      <alignment horizontal="right" vertical="center"/>
      <protection/>
    </xf>
    <xf numFmtId="3" fontId="3" fillId="34" borderId="72" xfId="60" applyNumberFormat="1" applyFont="1" applyFill="1" applyBorder="1" applyAlignment="1">
      <alignment horizontal="right" vertical="center"/>
      <protection/>
    </xf>
    <xf numFmtId="3" fontId="3" fillId="35" borderId="73" xfId="60" applyNumberFormat="1" applyFont="1" applyFill="1" applyBorder="1" applyAlignment="1">
      <alignment horizontal="right" vertical="center"/>
      <protection/>
    </xf>
    <xf numFmtId="3" fontId="3" fillId="35" borderId="74" xfId="60" applyNumberFormat="1" applyFont="1" applyFill="1" applyBorder="1" applyAlignment="1">
      <alignment horizontal="right" vertical="center"/>
      <protection/>
    </xf>
    <xf numFmtId="3" fontId="3" fillId="34" borderId="75" xfId="60" applyNumberFormat="1" applyFont="1" applyFill="1" applyBorder="1" applyAlignment="1">
      <alignment horizontal="right" vertical="center"/>
      <protection/>
    </xf>
    <xf numFmtId="3" fontId="3" fillId="34" borderId="75" xfId="60" applyNumberFormat="1" applyFont="1" applyFill="1" applyBorder="1" applyAlignment="1">
      <alignment vertical="center"/>
      <protection/>
    </xf>
    <xf numFmtId="3" fontId="3" fillId="34" borderId="70" xfId="60" applyNumberFormat="1" applyFont="1" applyFill="1" applyBorder="1" applyAlignment="1">
      <alignment vertical="center"/>
      <protection/>
    </xf>
    <xf numFmtId="3" fontId="8" fillId="34" borderId="76" xfId="60" applyNumberFormat="1" applyFont="1" applyFill="1" applyBorder="1" applyAlignment="1">
      <alignment horizontal="right" vertical="center"/>
      <protection/>
    </xf>
    <xf numFmtId="3" fontId="8" fillId="35" borderId="77" xfId="60" applyNumberFormat="1" applyFont="1" applyFill="1" applyBorder="1" applyAlignment="1">
      <alignment horizontal="right" vertical="center"/>
      <protection/>
    </xf>
    <xf numFmtId="3" fontId="8" fillId="35" borderId="78" xfId="60" applyNumberFormat="1" applyFont="1" applyFill="1" applyBorder="1" applyAlignment="1">
      <alignment horizontal="right" vertical="center"/>
      <protection/>
    </xf>
    <xf numFmtId="3" fontId="3" fillId="34" borderId="79" xfId="60" applyNumberFormat="1" applyFont="1" applyFill="1" applyBorder="1" applyAlignment="1">
      <alignment horizontal="right" vertical="center"/>
      <protection/>
    </xf>
    <xf numFmtId="3" fontId="3" fillId="35" borderId="80" xfId="60" applyNumberFormat="1" applyFont="1" applyFill="1" applyBorder="1" applyAlignment="1">
      <alignment horizontal="right" vertical="center"/>
      <protection/>
    </xf>
    <xf numFmtId="3" fontId="3" fillId="35" borderId="81" xfId="60" applyNumberFormat="1" applyFont="1" applyFill="1" applyBorder="1" applyAlignment="1">
      <alignment horizontal="right" vertical="center"/>
      <protection/>
    </xf>
    <xf numFmtId="3" fontId="3" fillId="34" borderId="82" xfId="60" applyNumberFormat="1" applyFont="1" applyFill="1" applyBorder="1" applyAlignment="1">
      <alignment horizontal="right" vertical="center"/>
      <protection/>
    </xf>
    <xf numFmtId="3" fontId="3" fillId="35" borderId="49" xfId="60" applyNumberFormat="1" applyFont="1" applyFill="1" applyBorder="1" applyAlignment="1">
      <alignment horizontal="right" vertical="center"/>
      <protection/>
    </xf>
    <xf numFmtId="3" fontId="3" fillId="35" borderId="83" xfId="60" applyNumberFormat="1" applyFont="1" applyFill="1" applyBorder="1" applyAlignment="1">
      <alignment horizontal="right" vertical="center"/>
      <protection/>
    </xf>
    <xf numFmtId="3" fontId="3" fillId="34" borderId="84" xfId="60" applyNumberFormat="1" applyFont="1" applyFill="1" applyBorder="1" applyAlignment="1">
      <alignment horizontal="right" vertical="center" indent="1"/>
      <protection/>
    </xf>
    <xf numFmtId="3" fontId="3" fillId="34" borderId="85" xfId="60" applyNumberFormat="1" applyFont="1" applyFill="1" applyBorder="1" applyAlignment="1">
      <alignment horizontal="right" vertical="center" indent="1"/>
      <protection/>
    </xf>
    <xf numFmtId="3" fontId="3" fillId="34" borderId="86" xfId="60" applyNumberFormat="1" applyFont="1" applyFill="1" applyBorder="1" applyAlignment="1">
      <alignment horizontal="right" vertical="center" indent="1"/>
      <protection/>
    </xf>
    <xf numFmtId="3" fontId="3" fillId="34" borderId="24" xfId="60" applyNumberFormat="1" applyFont="1" applyFill="1" applyBorder="1" applyAlignment="1">
      <alignment horizontal="right" vertical="center" indent="1"/>
      <protection/>
    </xf>
    <xf numFmtId="176" fontId="3" fillId="34" borderId="45" xfId="60" applyNumberFormat="1" applyFont="1" applyFill="1" applyBorder="1" applyAlignment="1">
      <alignment horizontal="right" vertical="center"/>
      <protection/>
    </xf>
    <xf numFmtId="176" fontId="3" fillId="35" borderId="34" xfId="60" applyNumberFormat="1" applyFont="1" applyFill="1" applyBorder="1" applyAlignment="1">
      <alignment horizontal="right" vertical="center"/>
      <protection/>
    </xf>
    <xf numFmtId="176" fontId="3" fillId="35" borderId="87" xfId="60" applyNumberFormat="1" applyFont="1" applyFill="1" applyBorder="1" applyAlignment="1">
      <alignment horizontal="right" vertical="center"/>
      <protection/>
    </xf>
    <xf numFmtId="176" fontId="3" fillId="34" borderId="88" xfId="60" applyNumberFormat="1" applyFont="1" applyFill="1" applyBorder="1" applyAlignment="1">
      <alignment horizontal="right" vertical="center"/>
      <protection/>
    </xf>
    <xf numFmtId="176" fontId="3" fillId="35" borderId="37" xfId="60" applyNumberFormat="1" applyFont="1" applyFill="1" applyBorder="1" applyAlignment="1">
      <alignment horizontal="right" vertical="center"/>
      <protection/>
    </xf>
    <xf numFmtId="176" fontId="3" fillId="35" borderId="89" xfId="60" applyNumberFormat="1" applyFont="1" applyFill="1" applyBorder="1" applyAlignment="1">
      <alignment horizontal="right" vertical="center"/>
      <protection/>
    </xf>
    <xf numFmtId="176" fontId="8" fillId="34" borderId="90" xfId="60" applyNumberFormat="1" applyFont="1" applyFill="1" applyBorder="1" applyAlignment="1">
      <alignment horizontal="right" vertical="center"/>
      <protection/>
    </xf>
    <xf numFmtId="176" fontId="8" fillId="35" borderId="91" xfId="60" applyNumberFormat="1" applyFont="1" applyFill="1" applyBorder="1" applyAlignment="1">
      <alignment horizontal="right" vertical="center"/>
      <protection/>
    </xf>
    <xf numFmtId="176" fontId="8" fillId="35" borderId="92" xfId="60" applyNumberFormat="1" applyFont="1" applyFill="1" applyBorder="1" applyAlignment="1">
      <alignment horizontal="right" vertical="center"/>
      <protection/>
    </xf>
    <xf numFmtId="176" fontId="10" fillId="0" borderId="93" xfId="60" applyNumberFormat="1" applyFont="1" applyFill="1" applyBorder="1" applyAlignment="1">
      <alignment horizontal="right" vertical="center"/>
      <protection/>
    </xf>
    <xf numFmtId="176" fontId="10" fillId="0" borderId="94" xfId="60" applyNumberFormat="1" applyFont="1" applyFill="1" applyBorder="1" applyAlignment="1">
      <alignment horizontal="right" vertical="center"/>
      <protection/>
    </xf>
    <xf numFmtId="176" fontId="10" fillId="0" borderId="95" xfId="60" applyNumberFormat="1" applyFont="1" applyFill="1" applyBorder="1" applyAlignment="1">
      <alignment horizontal="right" vertical="center"/>
      <protection/>
    </xf>
    <xf numFmtId="176" fontId="10" fillId="0" borderId="96" xfId="60" applyNumberFormat="1" applyFont="1" applyFill="1" applyBorder="1" applyAlignment="1">
      <alignment horizontal="right" vertical="center"/>
      <protection/>
    </xf>
    <xf numFmtId="176" fontId="10" fillId="0" borderId="97" xfId="60" applyNumberFormat="1" applyFont="1" applyFill="1" applyBorder="1" applyAlignment="1">
      <alignment horizontal="right" vertical="center"/>
      <protection/>
    </xf>
    <xf numFmtId="176" fontId="10" fillId="0" borderId="98" xfId="60" applyNumberFormat="1" applyFont="1" applyFill="1" applyBorder="1" applyAlignment="1">
      <alignment horizontal="right" vertical="center"/>
      <protection/>
    </xf>
    <xf numFmtId="176" fontId="3" fillId="0" borderId="99" xfId="60" applyNumberFormat="1" applyFont="1" applyFill="1" applyBorder="1" applyAlignment="1">
      <alignment horizontal="right" vertical="center"/>
      <protection/>
    </xf>
    <xf numFmtId="176" fontId="3" fillId="0" borderId="100" xfId="60" applyNumberFormat="1" applyFont="1" applyFill="1" applyBorder="1" applyAlignment="1">
      <alignment horizontal="right" vertical="center"/>
      <protection/>
    </xf>
    <xf numFmtId="176" fontId="3" fillId="0" borderId="101" xfId="60" applyNumberFormat="1" applyFont="1" applyFill="1" applyBorder="1" applyAlignment="1">
      <alignment horizontal="right" vertical="center"/>
      <protection/>
    </xf>
    <xf numFmtId="176" fontId="8" fillId="34" borderId="42" xfId="60" applyNumberFormat="1" applyFont="1" applyFill="1" applyBorder="1" applyAlignment="1">
      <alignment horizontal="right" vertical="center"/>
      <protection/>
    </xf>
    <xf numFmtId="176" fontId="8" fillId="35" borderId="80" xfId="60" applyNumberFormat="1" applyFont="1" applyFill="1" applyBorder="1" applyAlignment="1">
      <alignment horizontal="right" vertical="center"/>
      <protection/>
    </xf>
    <xf numFmtId="176" fontId="8" fillId="35" borderId="102" xfId="60" applyNumberFormat="1" applyFont="1" applyFill="1" applyBorder="1" applyAlignment="1">
      <alignment horizontal="right" vertical="center"/>
      <protection/>
    </xf>
    <xf numFmtId="176" fontId="3" fillId="34" borderId="69" xfId="60" applyNumberFormat="1" applyFont="1" applyFill="1" applyBorder="1" applyAlignment="1">
      <alignment horizontal="right" vertical="center"/>
      <protection/>
    </xf>
    <xf numFmtId="176" fontId="3" fillId="34" borderId="87" xfId="60" applyNumberFormat="1" applyFont="1" applyFill="1" applyBorder="1" applyAlignment="1">
      <alignment horizontal="right" vertical="center"/>
      <protection/>
    </xf>
    <xf numFmtId="176" fontId="8" fillId="34" borderId="103" xfId="60" applyNumberFormat="1" applyFont="1" applyFill="1" applyBorder="1" applyAlignment="1">
      <alignment horizontal="right" vertical="center"/>
      <protection/>
    </xf>
    <xf numFmtId="176" fontId="8" fillId="35" borderId="104" xfId="60" applyNumberFormat="1" applyFont="1" applyFill="1" applyBorder="1" applyAlignment="1">
      <alignment horizontal="right" vertical="center"/>
      <protection/>
    </xf>
    <xf numFmtId="176" fontId="8" fillId="35" borderId="105" xfId="60" applyNumberFormat="1" applyFont="1" applyFill="1" applyBorder="1" applyAlignment="1">
      <alignment horizontal="right" vertical="center"/>
      <protection/>
    </xf>
    <xf numFmtId="176" fontId="8" fillId="34" borderId="106" xfId="60" applyNumberFormat="1" applyFont="1" applyFill="1" applyBorder="1" applyAlignment="1">
      <alignment horizontal="right" vertical="center"/>
      <protection/>
    </xf>
    <xf numFmtId="176" fontId="8" fillId="34" borderId="105" xfId="60" applyNumberFormat="1" applyFont="1" applyFill="1" applyBorder="1" applyAlignment="1">
      <alignment horizontal="right" vertical="center"/>
      <protection/>
    </xf>
    <xf numFmtId="176" fontId="10" fillId="0" borderId="107" xfId="60" applyNumberFormat="1" applyFont="1" applyFill="1" applyBorder="1" applyAlignment="1">
      <alignment horizontal="right" vertical="center"/>
      <protection/>
    </xf>
    <xf numFmtId="176" fontId="10" fillId="0" borderId="108" xfId="60" applyNumberFormat="1" applyFont="1" applyFill="1" applyBorder="1" applyAlignment="1">
      <alignment horizontal="right" vertical="center"/>
      <protection/>
    </xf>
    <xf numFmtId="176" fontId="10" fillId="0" borderId="35" xfId="60" applyNumberFormat="1" applyFont="1" applyFill="1" applyBorder="1" applyAlignment="1">
      <alignment horizontal="right" vertical="center"/>
      <protection/>
    </xf>
    <xf numFmtId="176" fontId="3" fillId="0" borderId="35" xfId="60" applyNumberFormat="1" applyFont="1" applyFill="1" applyBorder="1" applyAlignment="1">
      <alignment horizontal="right" vertical="center"/>
      <protection/>
    </xf>
    <xf numFmtId="176" fontId="3" fillId="0" borderId="109" xfId="60" applyNumberFormat="1" applyFont="1" applyFill="1" applyBorder="1" applyAlignment="1">
      <alignment horizontal="right" vertical="center"/>
      <protection/>
    </xf>
    <xf numFmtId="176" fontId="3" fillId="0" borderId="110" xfId="60" applyNumberFormat="1" applyFont="1" applyFill="1" applyBorder="1" applyAlignment="1">
      <alignment horizontal="right" vertical="center"/>
      <protection/>
    </xf>
    <xf numFmtId="176" fontId="3" fillId="34" borderId="111" xfId="60" applyNumberFormat="1" applyFont="1" applyFill="1" applyBorder="1" applyAlignment="1">
      <alignment horizontal="right" vertical="center"/>
      <protection/>
    </xf>
    <xf numFmtId="176" fontId="3" fillId="35" borderId="112" xfId="60" applyNumberFormat="1" applyFont="1" applyFill="1" applyBorder="1" applyAlignment="1">
      <alignment horizontal="right" vertical="center"/>
      <protection/>
    </xf>
    <xf numFmtId="176" fontId="3" fillId="35" borderId="113" xfId="60" applyNumberFormat="1" applyFont="1" applyFill="1" applyBorder="1" applyAlignment="1">
      <alignment horizontal="right" vertical="center"/>
      <protection/>
    </xf>
    <xf numFmtId="176" fontId="3" fillId="34" borderId="114" xfId="60" applyNumberFormat="1" applyFont="1" applyFill="1" applyBorder="1" applyAlignment="1">
      <alignment horizontal="right" vertical="center"/>
      <protection/>
    </xf>
    <xf numFmtId="176" fontId="3" fillId="34" borderId="113" xfId="60" applyNumberFormat="1" applyFont="1" applyFill="1" applyBorder="1" applyAlignment="1">
      <alignment horizontal="right" vertical="center"/>
      <protection/>
    </xf>
    <xf numFmtId="176" fontId="10" fillId="0" borderId="115" xfId="60" applyNumberFormat="1" applyFont="1" applyFill="1" applyBorder="1" applyAlignment="1">
      <alignment horizontal="right" vertical="center"/>
      <protection/>
    </xf>
    <xf numFmtId="176" fontId="10" fillId="0" borderId="116" xfId="60" applyNumberFormat="1" applyFont="1" applyFill="1" applyBorder="1" applyAlignment="1">
      <alignment horizontal="right" vertical="center"/>
      <protection/>
    </xf>
    <xf numFmtId="176" fontId="10" fillId="0" borderId="117" xfId="60" applyNumberFormat="1" applyFont="1" applyFill="1" applyBorder="1" applyAlignment="1">
      <alignment horizontal="right" vertical="center"/>
      <protection/>
    </xf>
    <xf numFmtId="176" fontId="3" fillId="0" borderId="117" xfId="60" applyNumberFormat="1" applyFont="1" applyFill="1" applyBorder="1" applyAlignment="1">
      <alignment horizontal="right" vertical="center"/>
      <protection/>
    </xf>
    <xf numFmtId="176" fontId="3" fillId="0" borderId="118" xfId="60" applyNumberFormat="1" applyFont="1" applyFill="1" applyBorder="1" applyAlignment="1">
      <alignment horizontal="right" vertical="center"/>
      <protection/>
    </xf>
    <xf numFmtId="176" fontId="3" fillId="0" borderId="119" xfId="60" applyNumberFormat="1" applyFont="1" applyFill="1" applyBorder="1" applyAlignment="1">
      <alignment horizontal="right" vertical="center"/>
      <protection/>
    </xf>
    <xf numFmtId="176" fontId="3" fillId="0" borderId="120" xfId="60" applyNumberFormat="1" applyFont="1" applyFill="1" applyBorder="1" applyAlignment="1">
      <alignment horizontal="right" vertical="center"/>
      <protection/>
    </xf>
    <xf numFmtId="176" fontId="3" fillId="0" borderId="121" xfId="60" applyNumberFormat="1" applyFont="1" applyFill="1" applyBorder="1" applyAlignment="1">
      <alignment horizontal="right" vertical="center"/>
      <protection/>
    </xf>
    <xf numFmtId="176" fontId="3" fillId="0" borderId="122" xfId="60" applyNumberFormat="1" applyFont="1" applyFill="1" applyBorder="1" applyAlignment="1">
      <alignment horizontal="right" vertical="center"/>
      <protection/>
    </xf>
    <xf numFmtId="176" fontId="3" fillId="0" borderId="123" xfId="60" applyNumberFormat="1" applyFont="1" applyFill="1" applyBorder="1" applyAlignment="1">
      <alignment horizontal="right" vertical="center"/>
      <protection/>
    </xf>
    <xf numFmtId="176" fontId="3" fillId="0" borderId="124" xfId="60" applyNumberFormat="1" applyFont="1" applyFill="1" applyBorder="1" applyAlignment="1">
      <alignment horizontal="right" vertical="center"/>
      <protection/>
    </xf>
    <xf numFmtId="176" fontId="3" fillId="0" borderId="125" xfId="60" applyNumberFormat="1" applyFont="1" applyFill="1" applyBorder="1" applyAlignment="1">
      <alignment horizontal="right" vertical="center"/>
      <protection/>
    </xf>
    <xf numFmtId="176" fontId="8" fillId="34" borderId="126" xfId="60" applyNumberFormat="1" applyFont="1" applyFill="1" applyBorder="1" applyAlignment="1">
      <alignment horizontal="right" vertical="center"/>
      <protection/>
    </xf>
    <xf numFmtId="176" fontId="8" fillId="34" borderId="127" xfId="60" applyNumberFormat="1" applyFont="1" applyFill="1" applyBorder="1" applyAlignment="1">
      <alignment horizontal="right" vertical="center"/>
      <protection/>
    </xf>
    <xf numFmtId="176" fontId="8" fillId="34" borderId="128" xfId="60" applyNumberFormat="1" applyFont="1" applyFill="1" applyBorder="1" applyAlignment="1">
      <alignment horizontal="right" vertical="center"/>
      <protection/>
    </xf>
    <xf numFmtId="0" fontId="3" fillId="0" borderId="0" xfId="60" applyFont="1" applyBorder="1" applyAlignment="1">
      <alignment horizontal="right" vertical="top" wrapText="1"/>
      <protection/>
    </xf>
    <xf numFmtId="0" fontId="3" fillId="0" borderId="129" xfId="60" applyFont="1" applyFill="1" applyBorder="1" applyAlignment="1">
      <alignment horizontal="distributed" vertical="center"/>
      <protection/>
    </xf>
    <xf numFmtId="0" fontId="3" fillId="0" borderId="129" xfId="60" applyFont="1" applyFill="1" applyBorder="1" applyAlignment="1">
      <alignment horizontal="right" vertical="center"/>
      <protection/>
    </xf>
    <xf numFmtId="3" fontId="3" fillId="0" borderId="129" xfId="60" applyNumberFormat="1" applyFont="1" applyFill="1" applyBorder="1" applyAlignment="1">
      <alignment horizontal="right" vertical="center"/>
      <protection/>
    </xf>
    <xf numFmtId="0" fontId="3" fillId="0" borderId="130" xfId="60" applyFont="1" applyBorder="1" applyAlignment="1">
      <alignment horizontal="distributed" vertical="center" wrapText="1"/>
      <protection/>
    </xf>
    <xf numFmtId="0" fontId="3" fillId="0" borderId="130" xfId="60" applyFont="1" applyBorder="1" applyAlignment="1">
      <alignment horizontal="distributed" vertical="center"/>
      <protection/>
    </xf>
    <xf numFmtId="0" fontId="3" fillId="0" borderId="131" xfId="60" applyFont="1" applyBorder="1" applyAlignment="1">
      <alignment horizontal="distributed" vertical="center"/>
      <protection/>
    </xf>
    <xf numFmtId="0" fontId="3" fillId="0" borderId="132" xfId="60" applyFont="1" applyBorder="1" applyAlignment="1">
      <alignment horizontal="distributed" vertical="center" wrapText="1"/>
      <protection/>
    </xf>
    <xf numFmtId="0" fontId="3" fillId="0" borderId="133" xfId="60" applyFont="1" applyBorder="1" applyAlignment="1">
      <alignment horizontal="distributed" vertical="center"/>
      <protection/>
    </xf>
    <xf numFmtId="0" fontId="8" fillId="0" borderId="134" xfId="60" applyFont="1" applyBorder="1" applyAlignment="1">
      <alignment horizontal="distributed" vertical="center"/>
      <protection/>
    </xf>
    <xf numFmtId="0" fontId="8" fillId="0" borderId="135" xfId="60" applyFont="1" applyBorder="1" applyAlignment="1">
      <alignment horizontal="distributed" vertical="center"/>
      <protection/>
    </xf>
    <xf numFmtId="0" fontId="3" fillId="0" borderId="23" xfId="60" applyFont="1" applyBorder="1" applyAlignment="1">
      <alignment horizontal="distributed" vertical="center"/>
      <protection/>
    </xf>
    <xf numFmtId="0" fontId="3" fillId="0" borderId="136" xfId="60" applyFont="1" applyBorder="1" applyAlignment="1">
      <alignment horizontal="distributed" vertical="center"/>
      <protection/>
    </xf>
    <xf numFmtId="0" fontId="3" fillId="0" borderId="0" xfId="60" applyFont="1" applyBorder="1" applyAlignment="1">
      <alignment horizontal="justify" vertical="top" wrapText="1"/>
      <protection/>
    </xf>
    <xf numFmtId="0" fontId="3" fillId="0" borderId="0" xfId="60" applyFont="1" applyAlignment="1">
      <alignment horizontal="justify" vertical="top" wrapText="1"/>
      <protection/>
    </xf>
    <xf numFmtId="0" fontId="13" fillId="0" borderId="0" xfId="60" applyFont="1" applyAlignment="1">
      <alignment horizontal="center" vertical="top"/>
      <protection/>
    </xf>
    <xf numFmtId="0" fontId="3" fillId="0" borderId="0" xfId="60" applyFont="1" applyAlignment="1">
      <alignment horizontal="left" vertical="top"/>
      <protection/>
    </xf>
    <xf numFmtId="0" fontId="3" fillId="0" borderId="137" xfId="60" applyFont="1" applyBorder="1" applyAlignment="1">
      <alignment horizontal="center" vertical="center"/>
      <protection/>
    </xf>
    <xf numFmtId="0" fontId="3" fillId="0" borderId="138" xfId="60" applyFont="1" applyBorder="1" applyAlignment="1">
      <alignment horizontal="center" vertical="center"/>
      <protection/>
    </xf>
    <xf numFmtId="0" fontId="3" fillId="0" borderId="61" xfId="60" applyFont="1" applyBorder="1" applyAlignment="1">
      <alignment horizontal="center" vertical="center"/>
      <protection/>
    </xf>
    <xf numFmtId="0" fontId="3" fillId="0" borderId="139" xfId="60" applyFont="1" applyBorder="1" applyAlignment="1">
      <alignment horizontal="center" vertical="center"/>
      <protection/>
    </xf>
    <xf numFmtId="0" fontId="3" fillId="0" borderId="140" xfId="60" applyFont="1" applyBorder="1" applyAlignment="1">
      <alignment horizontal="center" vertical="center"/>
      <protection/>
    </xf>
    <xf numFmtId="0" fontId="3" fillId="0" borderId="141" xfId="60" applyFont="1" applyBorder="1" applyAlignment="1">
      <alignment horizontal="center" vertical="center"/>
      <protection/>
    </xf>
    <xf numFmtId="0" fontId="3" fillId="0" borderId="142" xfId="60" applyFont="1" applyBorder="1" applyAlignment="1">
      <alignment horizontal="center" vertical="center"/>
      <protection/>
    </xf>
    <xf numFmtId="0" fontId="3" fillId="0" borderId="143"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9" xfId="60" applyFont="1" applyBorder="1" applyAlignment="1">
      <alignment horizontal="center" vertical="center"/>
      <protection/>
    </xf>
    <xf numFmtId="0" fontId="3" fillId="0" borderId="144" xfId="60" applyFont="1" applyBorder="1" applyAlignment="1">
      <alignment horizontal="center" vertical="center"/>
      <protection/>
    </xf>
    <xf numFmtId="0" fontId="3" fillId="0" borderId="131" xfId="60" applyFont="1" applyBorder="1" applyAlignment="1">
      <alignment horizontal="center" vertical="center"/>
      <protection/>
    </xf>
    <xf numFmtId="0" fontId="3" fillId="0" borderId="132" xfId="60" applyFont="1" applyBorder="1" applyAlignment="1">
      <alignment horizontal="center" vertical="center"/>
      <protection/>
    </xf>
    <xf numFmtId="0" fontId="3" fillId="0" borderId="145" xfId="60" applyFont="1" applyBorder="1" applyAlignment="1">
      <alignment horizontal="center" vertical="center"/>
      <protection/>
    </xf>
    <xf numFmtId="0" fontId="3" fillId="0" borderId="146" xfId="60" applyFont="1" applyBorder="1" applyAlignment="1">
      <alignment horizontal="center" vertical="center"/>
      <protection/>
    </xf>
    <xf numFmtId="0" fontId="3" fillId="0" borderId="129" xfId="60" applyFont="1" applyBorder="1" applyAlignment="1">
      <alignment horizontal="center" vertical="center"/>
      <protection/>
    </xf>
    <xf numFmtId="0" fontId="3" fillId="0" borderId="147" xfId="60" applyFont="1" applyBorder="1" applyAlignment="1">
      <alignment horizontal="center" vertical="center"/>
      <protection/>
    </xf>
    <xf numFmtId="0" fontId="3" fillId="0" borderId="148" xfId="60" applyFont="1" applyBorder="1" applyAlignment="1">
      <alignment horizontal="center" vertical="center"/>
      <protection/>
    </xf>
    <xf numFmtId="0" fontId="3" fillId="0" borderId="149" xfId="60" applyFont="1" applyBorder="1" applyAlignment="1">
      <alignment horizontal="center" vertical="center"/>
      <protection/>
    </xf>
    <xf numFmtId="0" fontId="3" fillId="0" borderId="129" xfId="60" applyFont="1" applyBorder="1" applyAlignment="1">
      <alignment horizontal="left" vertical="center"/>
      <protection/>
    </xf>
    <xf numFmtId="0" fontId="3" fillId="0" borderId="0" xfId="60" applyFont="1" applyAlignment="1">
      <alignment horizontal="left" vertical="center"/>
      <protection/>
    </xf>
    <xf numFmtId="0" fontId="3" fillId="0" borderId="129" xfId="60" applyFont="1" applyBorder="1" applyAlignment="1">
      <alignment horizontal="left"/>
      <protection/>
    </xf>
    <xf numFmtId="0" fontId="3" fillId="0" borderId="137" xfId="60" applyFont="1" applyBorder="1" applyAlignment="1">
      <alignment horizontal="distributed" vertical="center"/>
      <protection/>
    </xf>
    <xf numFmtId="0" fontId="3" fillId="0" borderId="61" xfId="60" applyFont="1" applyBorder="1" applyAlignment="1">
      <alignment horizontal="distributed" vertical="center"/>
      <protection/>
    </xf>
    <xf numFmtId="0" fontId="3" fillId="0" borderId="150" xfId="60" applyFont="1" applyBorder="1" applyAlignment="1">
      <alignment horizontal="distributed" vertical="center"/>
      <protection/>
    </xf>
    <xf numFmtId="0" fontId="3" fillId="0" borderId="151" xfId="60" applyFont="1" applyBorder="1" applyAlignment="1">
      <alignment horizontal="center" vertical="center"/>
      <protection/>
    </xf>
    <xf numFmtId="0" fontId="3" fillId="0" borderId="152" xfId="60" applyFont="1" applyBorder="1" applyAlignment="1">
      <alignment horizontal="center" vertical="center"/>
      <protection/>
    </xf>
    <xf numFmtId="0" fontId="3" fillId="0" borderId="153" xfId="60" applyFont="1" applyBorder="1" applyAlignment="1">
      <alignment horizontal="center" vertical="center"/>
      <protection/>
    </xf>
    <xf numFmtId="0" fontId="3" fillId="0" borderId="154" xfId="60" applyFont="1" applyBorder="1" applyAlignment="1">
      <alignment horizontal="center" vertical="center"/>
      <protection/>
    </xf>
    <xf numFmtId="0" fontId="3" fillId="0" borderId="155" xfId="60" applyFont="1" applyBorder="1" applyAlignment="1">
      <alignment horizontal="center" vertical="center"/>
      <protection/>
    </xf>
    <xf numFmtId="0" fontId="3" fillId="0" borderId="53" xfId="60" applyFont="1" applyBorder="1" applyAlignment="1">
      <alignment horizontal="distributed" vertical="center" wrapText="1"/>
      <protection/>
    </xf>
    <xf numFmtId="0" fontId="3" fillId="0" borderId="62" xfId="60" applyFont="1" applyBorder="1" applyAlignment="1">
      <alignment horizontal="distributed" vertical="center" wrapText="1"/>
      <protection/>
    </xf>
    <xf numFmtId="0" fontId="3" fillId="0" borderId="156" xfId="60" applyFont="1" applyBorder="1" applyAlignment="1">
      <alignment horizontal="distributed" vertical="center" wrapText="1"/>
      <protection/>
    </xf>
    <xf numFmtId="0" fontId="3" fillId="0" borderId="157" xfId="60" applyFont="1" applyBorder="1" applyAlignment="1">
      <alignment horizontal="center" vertical="center"/>
      <protection/>
    </xf>
    <xf numFmtId="0" fontId="3" fillId="0" borderId="158" xfId="60" applyFont="1" applyBorder="1" applyAlignment="1">
      <alignment horizontal="center" vertical="center"/>
      <protection/>
    </xf>
    <xf numFmtId="0" fontId="3" fillId="0" borderId="152" xfId="60" applyFont="1" applyBorder="1" applyAlignment="1">
      <alignment horizontal="center" vertical="center" wrapText="1"/>
      <protection/>
    </xf>
    <xf numFmtId="0" fontId="3" fillId="0" borderId="159" xfId="60" applyFont="1" applyBorder="1" applyAlignment="1">
      <alignment horizontal="left" vertical="center"/>
      <protection/>
    </xf>
    <xf numFmtId="0" fontId="3" fillId="0" borderId="160" xfId="60" applyFont="1" applyBorder="1" applyAlignment="1">
      <alignment horizontal="distributed" vertical="center" wrapText="1"/>
      <protection/>
    </xf>
    <xf numFmtId="0" fontId="3" fillId="0" borderId="161" xfId="60" applyFont="1" applyBorder="1" applyAlignment="1">
      <alignment horizontal="distributed" vertical="center"/>
      <protection/>
    </xf>
    <xf numFmtId="0" fontId="3" fillId="0" borderId="162" xfId="60" applyFont="1" applyBorder="1" applyAlignment="1">
      <alignment horizontal="distributed" vertical="center" wrapText="1"/>
      <protection/>
    </xf>
    <xf numFmtId="0" fontId="3" fillId="0" borderId="163" xfId="60" applyFont="1" applyBorder="1" applyAlignment="1">
      <alignment horizontal="distributed" vertical="center" wrapText="1"/>
      <protection/>
    </xf>
    <xf numFmtId="0" fontId="3" fillId="0" borderId="32" xfId="60" applyFont="1" applyBorder="1" applyAlignment="1">
      <alignment horizontal="center" vertical="center"/>
      <protection/>
    </xf>
    <xf numFmtId="0" fontId="3" fillId="0" borderId="151" xfId="60" applyFont="1" applyBorder="1" applyAlignment="1">
      <alignment horizontal="center" vertical="center" wrapText="1"/>
      <protection/>
    </xf>
    <xf numFmtId="0" fontId="3" fillId="0" borderId="164" xfId="60" applyFont="1" applyBorder="1" applyAlignment="1">
      <alignment horizontal="center" vertical="center"/>
      <protection/>
    </xf>
    <xf numFmtId="0" fontId="3" fillId="0" borderId="165" xfId="60" applyFont="1" applyBorder="1" applyAlignment="1">
      <alignment horizontal="center" vertical="center"/>
      <protection/>
    </xf>
    <xf numFmtId="0" fontId="3" fillId="0" borderId="166" xfId="60" applyFont="1" applyBorder="1" applyAlignment="1">
      <alignment horizontal="distributed" vertical="center" wrapText="1"/>
      <protection/>
    </xf>
    <xf numFmtId="0" fontId="3" fillId="0" borderId="167" xfId="60" applyFont="1" applyBorder="1" applyAlignment="1">
      <alignment horizontal="distributed"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showGridLines="0" tabSelected="1" zoomScalePageLayoutView="0" workbookViewId="0" topLeftCell="A1">
      <selection activeCell="A1" sqref="A1:K1"/>
    </sheetView>
  </sheetViews>
  <sheetFormatPr defaultColWidth="5.8515625" defaultRowHeight="15"/>
  <cols>
    <col min="1" max="1" width="10.57421875" style="2" customWidth="1"/>
    <col min="2" max="2" width="16.00390625" style="2" customWidth="1"/>
    <col min="3" max="3" width="3.00390625" style="2" customWidth="1"/>
    <col min="4" max="4" width="6.7109375" style="2" customWidth="1"/>
    <col min="5" max="5" width="9.7109375" style="2" customWidth="1"/>
    <col min="6" max="6" width="3.00390625" style="2" customWidth="1"/>
    <col min="7" max="7" width="6.7109375" style="2" customWidth="1"/>
    <col min="8" max="8" width="11.421875" style="2" bestFit="1" customWidth="1"/>
    <col min="9" max="9" width="3.00390625" style="2" customWidth="1"/>
    <col min="10" max="10" width="6.7109375" style="2" customWidth="1"/>
    <col min="11" max="11" width="11.421875" style="2" bestFit="1" customWidth="1"/>
    <col min="12" max="16384" width="5.8515625" style="2" customWidth="1"/>
  </cols>
  <sheetData>
    <row r="1" spans="1:11" ht="15">
      <c r="A1" s="200" t="s">
        <v>154</v>
      </c>
      <c r="B1" s="200"/>
      <c r="C1" s="200"/>
      <c r="D1" s="200"/>
      <c r="E1" s="200"/>
      <c r="F1" s="200"/>
      <c r="G1" s="200"/>
      <c r="H1" s="200"/>
      <c r="I1" s="200"/>
      <c r="J1" s="200"/>
      <c r="K1" s="200"/>
    </row>
    <row r="2" spans="1:11" ht="15">
      <c r="A2" s="40"/>
      <c r="B2" s="40"/>
      <c r="C2" s="40"/>
      <c r="D2" s="40"/>
      <c r="E2" s="40"/>
      <c r="F2" s="40"/>
      <c r="G2" s="40"/>
      <c r="H2" s="40"/>
      <c r="I2" s="40"/>
      <c r="J2" s="40"/>
      <c r="K2" s="40"/>
    </row>
    <row r="3" spans="1:11" ht="12" thickBot="1">
      <c r="A3" s="201" t="s">
        <v>175</v>
      </c>
      <c r="B3" s="201"/>
      <c r="C3" s="201"/>
      <c r="D3" s="201"/>
      <c r="E3" s="201"/>
      <c r="F3" s="201"/>
      <c r="G3" s="201"/>
      <c r="H3" s="201"/>
      <c r="I3" s="201"/>
      <c r="J3" s="201"/>
      <c r="K3" s="201"/>
    </row>
    <row r="4" spans="1:11" ht="24" customHeight="1">
      <c r="A4" s="202" t="s">
        <v>155</v>
      </c>
      <c r="B4" s="203"/>
      <c r="C4" s="206" t="s">
        <v>176</v>
      </c>
      <c r="D4" s="207"/>
      <c r="E4" s="208"/>
      <c r="F4" s="206" t="s">
        <v>177</v>
      </c>
      <c r="G4" s="207"/>
      <c r="H4" s="208"/>
      <c r="I4" s="206" t="s">
        <v>178</v>
      </c>
      <c r="J4" s="207"/>
      <c r="K4" s="209"/>
    </row>
    <row r="5" spans="1:11" ht="24" customHeight="1">
      <c r="A5" s="204"/>
      <c r="B5" s="205"/>
      <c r="C5" s="210" t="s">
        <v>156</v>
      </c>
      <c r="D5" s="211"/>
      <c r="E5" s="41" t="s">
        <v>157</v>
      </c>
      <c r="F5" s="210" t="s">
        <v>156</v>
      </c>
      <c r="G5" s="211"/>
      <c r="H5" s="41" t="s">
        <v>157</v>
      </c>
      <c r="I5" s="210" t="s">
        <v>156</v>
      </c>
      <c r="J5" s="211"/>
      <c r="K5" s="42" t="s">
        <v>157</v>
      </c>
    </row>
    <row r="6" spans="1:11" ht="12" customHeight="1">
      <c r="A6" s="43"/>
      <c r="B6" s="44"/>
      <c r="C6" s="45"/>
      <c r="D6" s="31" t="s">
        <v>158</v>
      </c>
      <c r="E6" s="7" t="s">
        <v>159</v>
      </c>
      <c r="F6" s="45"/>
      <c r="G6" s="31" t="s">
        <v>158</v>
      </c>
      <c r="H6" s="7" t="s">
        <v>159</v>
      </c>
      <c r="I6" s="45"/>
      <c r="J6" s="31" t="s">
        <v>158</v>
      </c>
      <c r="K6" s="46" t="s">
        <v>159</v>
      </c>
    </row>
    <row r="7" spans="1:11" ht="30" customHeight="1">
      <c r="A7" s="189" t="s">
        <v>179</v>
      </c>
      <c r="B7" s="47" t="s">
        <v>180</v>
      </c>
      <c r="C7" s="48"/>
      <c r="D7" s="105">
        <v>29616</v>
      </c>
      <c r="E7" s="49">
        <v>15543957</v>
      </c>
      <c r="F7" s="50"/>
      <c r="G7" s="105">
        <v>76170</v>
      </c>
      <c r="H7" s="49">
        <v>497203041</v>
      </c>
      <c r="I7" s="50"/>
      <c r="J7" s="105">
        <v>105786</v>
      </c>
      <c r="K7" s="51">
        <v>512746997</v>
      </c>
    </row>
    <row r="8" spans="1:11" ht="30" customHeight="1">
      <c r="A8" s="190"/>
      <c r="B8" s="52" t="s">
        <v>181</v>
      </c>
      <c r="C8" s="48"/>
      <c r="D8" s="106">
        <v>51740</v>
      </c>
      <c r="E8" s="107">
        <v>17673166</v>
      </c>
      <c r="F8" s="50"/>
      <c r="G8" s="106">
        <v>32812</v>
      </c>
      <c r="H8" s="107">
        <v>17062591</v>
      </c>
      <c r="I8" s="50"/>
      <c r="J8" s="106">
        <v>84552</v>
      </c>
      <c r="K8" s="108">
        <v>34735756</v>
      </c>
    </row>
    <row r="9" spans="1:11" s="55" customFormat="1" ht="30" customHeight="1">
      <c r="A9" s="190"/>
      <c r="B9" s="53" t="s">
        <v>182</v>
      </c>
      <c r="C9" s="54"/>
      <c r="D9" s="109">
        <v>81356</v>
      </c>
      <c r="E9" s="110">
        <v>33217122</v>
      </c>
      <c r="F9" s="54"/>
      <c r="G9" s="109">
        <v>108982</v>
      </c>
      <c r="H9" s="110">
        <v>514265631</v>
      </c>
      <c r="I9" s="54"/>
      <c r="J9" s="109">
        <v>190338</v>
      </c>
      <c r="K9" s="111">
        <v>547482754</v>
      </c>
    </row>
    <row r="10" spans="1:11" ht="30" customHeight="1">
      <c r="A10" s="191"/>
      <c r="B10" s="56" t="s">
        <v>183</v>
      </c>
      <c r="C10" s="48"/>
      <c r="D10" s="112">
        <v>2588</v>
      </c>
      <c r="E10" s="113">
        <v>1290703</v>
      </c>
      <c r="F10" s="48"/>
      <c r="G10" s="112">
        <v>4731</v>
      </c>
      <c r="H10" s="113">
        <v>35075223</v>
      </c>
      <c r="I10" s="48"/>
      <c r="J10" s="112">
        <v>7319</v>
      </c>
      <c r="K10" s="114">
        <v>36365926</v>
      </c>
    </row>
    <row r="11" spans="1:11" ht="30" customHeight="1">
      <c r="A11" s="192" t="s">
        <v>184</v>
      </c>
      <c r="B11" s="57" t="s">
        <v>185</v>
      </c>
      <c r="C11" s="58"/>
      <c r="D11" s="115">
        <v>4328</v>
      </c>
      <c r="E11" s="59">
        <v>848754</v>
      </c>
      <c r="F11" s="60"/>
      <c r="G11" s="116">
        <v>4379</v>
      </c>
      <c r="H11" s="59">
        <v>1856650</v>
      </c>
      <c r="I11" s="60"/>
      <c r="J11" s="116">
        <v>8707</v>
      </c>
      <c r="K11" s="61">
        <v>2705404</v>
      </c>
    </row>
    <row r="12" spans="1:11" ht="30" customHeight="1">
      <c r="A12" s="193"/>
      <c r="B12" s="62" t="s">
        <v>186</v>
      </c>
      <c r="C12" s="63"/>
      <c r="D12" s="106">
        <v>963</v>
      </c>
      <c r="E12" s="107">
        <v>135190</v>
      </c>
      <c r="F12" s="64"/>
      <c r="G12" s="117">
        <v>849</v>
      </c>
      <c r="H12" s="107">
        <v>731668</v>
      </c>
      <c r="I12" s="64"/>
      <c r="J12" s="117">
        <v>1812</v>
      </c>
      <c r="K12" s="108">
        <v>866858</v>
      </c>
    </row>
    <row r="13" spans="1:11" s="55" customFormat="1" ht="30" customHeight="1">
      <c r="A13" s="194" t="s">
        <v>160</v>
      </c>
      <c r="B13" s="195"/>
      <c r="C13" s="65" t="s">
        <v>161</v>
      </c>
      <c r="D13" s="118">
        <v>85962</v>
      </c>
      <c r="E13" s="119">
        <v>32639984</v>
      </c>
      <c r="F13" s="65" t="s">
        <v>161</v>
      </c>
      <c r="G13" s="118">
        <v>114862</v>
      </c>
      <c r="H13" s="119">
        <v>480315390</v>
      </c>
      <c r="I13" s="65" t="s">
        <v>161</v>
      </c>
      <c r="J13" s="118">
        <v>200824</v>
      </c>
      <c r="K13" s="120">
        <v>512955374</v>
      </c>
    </row>
    <row r="14" spans="1:11" ht="30" customHeight="1" thickBot="1">
      <c r="A14" s="196" t="s">
        <v>162</v>
      </c>
      <c r="B14" s="197"/>
      <c r="C14" s="66"/>
      <c r="D14" s="121">
        <v>3925</v>
      </c>
      <c r="E14" s="122">
        <v>154971</v>
      </c>
      <c r="F14" s="67"/>
      <c r="G14" s="121">
        <v>3861</v>
      </c>
      <c r="H14" s="122">
        <v>318345</v>
      </c>
      <c r="I14" s="67"/>
      <c r="J14" s="121">
        <v>7786</v>
      </c>
      <c r="K14" s="123">
        <v>473316</v>
      </c>
    </row>
    <row r="15" spans="1:11" ht="2.25" customHeight="1">
      <c r="A15" s="186"/>
      <c r="B15" s="186"/>
      <c r="C15" s="187"/>
      <c r="D15" s="188"/>
      <c r="E15" s="188"/>
      <c r="F15" s="188"/>
      <c r="G15" s="188"/>
      <c r="H15" s="188"/>
      <c r="I15" s="188"/>
      <c r="J15" s="188"/>
      <c r="K15" s="188"/>
    </row>
    <row r="16" spans="1:11" s="1" customFormat="1" ht="34.5" customHeight="1">
      <c r="A16" s="185" t="s">
        <v>173</v>
      </c>
      <c r="B16" s="198" t="s">
        <v>244</v>
      </c>
      <c r="C16" s="198"/>
      <c r="D16" s="198"/>
      <c r="E16" s="198"/>
      <c r="F16" s="198"/>
      <c r="G16" s="198"/>
      <c r="H16" s="198"/>
      <c r="I16" s="198"/>
      <c r="J16" s="198"/>
      <c r="K16" s="198"/>
    </row>
    <row r="17" spans="2:11" ht="45" customHeight="1">
      <c r="B17" s="199" t="s">
        <v>245</v>
      </c>
      <c r="C17" s="199"/>
      <c r="D17" s="199"/>
      <c r="E17" s="199"/>
      <c r="F17" s="199"/>
      <c r="G17" s="199"/>
      <c r="H17" s="199"/>
      <c r="I17" s="199"/>
      <c r="J17" s="199"/>
      <c r="K17" s="199"/>
    </row>
    <row r="18" ht="14.25" customHeight="1">
      <c r="A18" s="2" t="s">
        <v>174</v>
      </c>
    </row>
    <row r="19" ht="11.25">
      <c r="A19" s="2" t="s">
        <v>251</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6:K16"/>
    <mergeCell ref="B17:K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消費税
(H26)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163</v>
      </c>
    </row>
    <row r="2" spans="1:8" s="2" customFormat="1" ht="15" customHeight="1">
      <c r="A2" s="202" t="s">
        <v>155</v>
      </c>
      <c r="B2" s="203"/>
      <c r="C2" s="216" t="s">
        <v>176</v>
      </c>
      <c r="D2" s="216"/>
      <c r="E2" s="216" t="s">
        <v>187</v>
      </c>
      <c r="F2" s="216"/>
      <c r="G2" s="217" t="s">
        <v>188</v>
      </c>
      <c r="H2" s="218"/>
    </row>
    <row r="3" spans="1:8" s="2" customFormat="1" ht="15" customHeight="1">
      <c r="A3" s="204"/>
      <c r="B3" s="205"/>
      <c r="C3" s="58" t="s">
        <v>189</v>
      </c>
      <c r="D3" s="41" t="s">
        <v>190</v>
      </c>
      <c r="E3" s="58" t="s">
        <v>189</v>
      </c>
      <c r="F3" s="68" t="s">
        <v>190</v>
      </c>
      <c r="G3" s="58" t="s">
        <v>189</v>
      </c>
      <c r="H3" s="69" t="s">
        <v>190</v>
      </c>
    </row>
    <row r="4" spans="1:8" s="74" customFormat="1" ht="15" customHeight="1">
      <c r="A4" s="70"/>
      <c r="B4" s="41"/>
      <c r="C4" s="71" t="s">
        <v>16</v>
      </c>
      <c r="D4" s="72" t="s">
        <v>17</v>
      </c>
      <c r="E4" s="71" t="s">
        <v>16</v>
      </c>
      <c r="F4" s="72" t="s">
        <v>17</v>
      </c>
      <c r="G4" s="71" t="s">
        <v>16</v>
      </c>
      <c r="H4" s="73" t="s">
        <v>17</v>
      </c>
    </row>
    <row r="5" spans="1:8" s="76" customFormat="1" ht="30" customHeight="1">
      <c r="A5" s="219" t="s">
        <v>246</v>
      </c>
      <c r="B5" s="47" t="s">
        <v>164</v>
      </c>
      <c r="C5" s="75">
        <v>83419</v>
      </c>
      <c r="D5" s="49">
        <v>21783119</v>
      </c>
      <c r="E5" s="75">
        <v>106021</v>
      </c>
      <c r="F5" s="49">
        <v>312042106</v>
      </c>
      <c r="G5" s="75">
        <v>189440</v>
      </c>
      <c r="H5" s="51">
        <v>333825225</v>
      </c>
    </row>
    <row r="6" spans="1:8" s="76" customFormat="1" ht="30" customHeight="1">
      <c r="A6" s="220"/>
      <c r="B6" s="56" t="s">
        <v>4</v>
      </c>
      <c r="C6" s="77">
        <v>1766</v>
      </c>
      <c r="D6" s="78">
        <v>645773</v>
      </c>
      <c r="E6" s="77">
        <v>3298</v>
      </c>
      <c r="F6" s="78">
        <v>14743189</v>
      </c>
      <c r="G6" s="77">
        <v>5064</v>
      </c>
      <c r="H6" s="79">
        <v>15388962</v>
      </c>
    </row>
    <row r="7" spans="1:8" s="76" customFormat="1" ht="30" customHeight="1">
      <c r="A7" s="212" t="s">
        <v>165</v>
      </c>
      <c r="B7" s="80" t="s">
        <v>164</v>
      </c>
      <c r="C7" s="81">
        <v>79532</v>
      </c>
      <c r="D7" s="59">
        <v>21236019</v>
      </c>
      <c r="E7" s="81">
        <v>108145</v>
      </c>
      <c r="F7" s="59">
        <v>327904963</v>
      </c>
      <c r="G7" s="81">
        <v>187677</v>
      </c>
      <c r="H7" s="61">
        <v>349140982</v>
      </c>
    </row>
    <row r="8" spans="1:8" s="76" customFormat="1" ht="30" customHeight="1">
      <c r="A8" s="213"/>
      <c r="B8" s="56" t="s">
        <v>4</v>
      </c>
      <c r="C8" s="77">
        <v>2849</v>
      </c>
      <c r="D8" s="78">
        <v>987283</v>
      </c>
      <c r="E8" s="77">
        <v>4093</v>
      </c>
      <c r="F8" s="78">
        <v>19629040</v>
      </c>
      <c r="G8" s="77">
        <v>6942</v>
      </c>
      <c r="H8" s="79">
        <v>20616323</v>
      </c>
    </row>
    <row r="9" spans="1:8" s="76" customFormat="1" ht="30" customHeight="1">
      <c r="A9" s="219" t="s">
        <v>247</v>
      </c>
      <c r="B9" s="80" t="s">
        <v>164</v>
      </c>
      <c r="C9" s="81">
        <v>75997</v>
      </c>
      <c r="D9" s="59">
        <v>22203812</v>
      </c>
      <c r="E9" s="81">
        <v>106765</v>
      </c>
      <c r="F9" s="59">
        <v>338647001</v>
      </c>
      <c r="G9" s="81">
        <v>182762</v>
      </c>
      <c r="H9" s="61">
        <v>360850813</v>
      </c>
    </row>
    <row r="10" spans="1:8" s="76" customFormat="1" ht="30" customHeight="1">
      <c r="A10" s="220"/>
      <c r="B10" s="56" t="s">
        <v>4</v>
      </c>
      <c r="C10" s="77">
        <v>2661</v>
      </c>
      <c r="D10" s="78">
        <v>946015</v>
      </c>
      <c r="E10" s="77">
        <v>4467</v>
      </c>
      <c r="F10" s="78">
        <v>24024924</v>
      </c>
      <c r="G10" s="77">
        <v>7128</v>
      </c>
      <c r="H10" s="79">
        <v>24970939</v>
      </c>
    </row>
    <row r="11" spans="1:8" s="76" customFormat="1" ht="30" customHeight="1">
      <c r="A11" s="212" t="s">
        <v>172</v>
      </c>
      <c r="B11" s="80" t="s">
        <v>164</v>
      </c>
      <c r="C11" s="81">
        <v>76038</v>
      </c>
      <c r="D11" s="59">
        <v>22551783</v>
      </c>
      <c r="E11" s="81">
        <v>107000</v>
      </c>
      <c r="F11" s="59">
        <v>353935902</v>
      </c>
      <c r="G11" s="81">
        <v>183038</v>
      </c>
      <c r="H11" s="61">
        <v>376487686</v>
      </c>
    </row>
    <row r="12" spans="1:8" s="76" customFormat="1" ht="30" customHeight="1">
      <c r="A12" s="213"/>
      <c r="B12" s="56" t="s">
        <v>4</v>
      </c>
      <c r="C12" s="77">
        <v>2459</v>
      </c>
      <c r="D12" s="78">
        <v>876644</v>
      </c>
      <c r="E12" s="77">
        <v>4551</v>
      </c>
      <c r="F12" s="78">
        <v>24879163</v>
      </c>
      <c r="G12" s="77">
        <v>7010</v>
      </c>
      <c r="H12" s="79">
        <v>25755807</v>
      </c>
    </row>
    <row r="13" spans="1:8" s="2" customFormat="1" ht="30" customHeight="1">
      <c r="A13" s="214" t="s">
        <v>248</v>
      </c>
      <c r="B13" s="80" t="s">
        <v>164</v>
      </c>
      <c r="C13" s="81">
        <v>81356</v>
      </c>
      <c r="D13" s="59">
        <v>33217122</v>
      </c>
      <c r="E13" s="81">
        <v>108982</v>
      </c>
      <c r="F13" s="59">
        <v>514265631</v>
      </c>
      <c r="G13" s="81">
        <v>190338</v>
      </c>
      <c r="H13" s="61">
        <v>547482754</v>
      </c>
    </row>
    <row r="14" spans="1:8" s="2" customFormat="1" ht="30" customHeight="1" thickBot="1">
      <c r="A14" s="215"/>
      <c r="B14" s="82" t="s">
        <v>4</v>
      </c>
      <c r="C14" s="124">
        <v>2588</v>
      </c>
      <c r="D14" s="125">
        <v>1290703</v>
      </c>
      <c r="E14" s="124">
        <v>4731</v>
      </c>
      <c r="F14" s="125">
        <v>35075223</v>
      </c>
      <c r="G14" s="124">
        <v>7319</v>
      </c>
      <c r="H14" s="126">
        <v>36365926</v>
      </c>
    </row>
    <row r="15" spans="5:7" s="2" customFormat="1" ht="11.25">
      <c r="E15" s="83"/>
      <c r="G15" s="83"/>
    </row>
    <row r="16" spans="5:7" s="2" customFormat="1" ht="11.25">
      <c r="E16" s="83"/>
      <c r="G16" s="83"/>
    </row>
    <row r="17" spans="5:7" s="2" customFormat="1" ht="11.25">
      <c r="E17" s="83"/>
      <c r="G17" s="83"/>
    </row>
    <row r="18" spans="5:7" s="2" customFormat="1" ht="11.25">
      <c r="E18" s="83"/>
      <c r="G18" s="83"/>
    </row>
    <row r="19" spans="5:7" s="2" customFormat="1" ht="11.25">
      <c r="E19" s="83"/>
      <c r="G19" s="83"/>
    </row>
    <row r="20" spans="5:7" s="2" customFormat="1" ht="11.25">
      <c r="E20" s="83"/>
      <c r="G20" s="83"/>
    </row>
    <row r="21" spans="5:7" s="2" customFormat="1" ht="11.25">
      <c r="E21" s="83"/>
      <c r="G21" s="83"/>
    </row>
    <row r="22" spans="5:7" s="2" customFormat="1" ht="11.25">
      <c r="E22" s="83"/>
      <c r="G22" s="83"/>
    </row>
  </sheetData>
  <sheetProtection/>
  <mergeCells count="9">
    <mergeCell ref="A11:A12"/>
    <mergeCell ref="A13:A14"/>
    <mergeCell ref="A2:B3"/>
    <mergeCell ref="C2:D2"/>
    <mergeCell ref="E2:F2"/>
    <mergeCell ref="G2:H2"/>
    <mergeCell ref="A5:A6"/>
    <mergeCell ref="A7:A8"/>
    <mergeCell ref="A9: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消費税
(H26)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166</v>
      </c>
    </row>
    <row r="2" spans="1:4" s="1" customFormat="1" ht="19.5" customHeight="1">
      <c r="A2" s="84" t="s">
        <v>167</v>
      </c>
      <c r="B2" s="85" t="s">
        <v>168</v>
      </c>
      <c r="C2" s="86" t="s">
        <v>169</v>
      </c>
      <c r="D2" s="87" t="s">
        <v>170</v>
      </c>
    </row>
    <row r="3" spans="1:4" s="74" customFormat="1" ht="15" customHeight="1">
      <c r="A3" s="88" t="s">
        <v>16</v>
      </c>
      <c r="B3" s="89" t="s">
        <v>16</v>
      </c>
      <c r="C3" s="90" t="s">
        <v>16</v>
      </c>
      <c r="D3" s="91" t="s">
        <v>16</v>
      </c>
    </row>
    <row r="4" spans="1:9" s="1" customFormat="1" ht="30" customHeight="1" thickBot="1">
      <c r="A4" s="127">
        <v>196799</v>
      </c>
      <c r="B4" s="128">
        <v>4489</v>
      </c>
      <c r="C4" s="129">
        <v>606</v>
      </c>
      <c r="D4" s="130">
        <v>201894</v>
      </c>
      <c r="E4" s="92"/>
      <c r="G4" s="92"/>
      <c r="I4" s="92"/>
    </row>
    <row r="5" spans="1:4" s="1" customFormat="1" ht="15" customHeight="1">
      <c r="A5" s="221" t="s">
        <v>249</v>
      </c>
      <c r="B5" s="221"/>
      <c r="C5" s="221"/>
      <c r="D5" s="221"/>
    </row>
    <row r="6" spans="1:4" s="1" customFormat="1" ht="15" customHeight="1">
      <c r="A6" s="222" t="s">
        <v>171</v>
      </c>
      <c r="B6" s="222"/>
      <c r="C6" s="222"/>
      <c r="D6" s="222"/>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消費税
(H26)</oddFooter>
  </headerFooter>
</worksheet>
</file>

<file path=xl/worksheets/sheet4.xml><?xml version="1.0" encoding="utf-8"?>
<worksheet xmlns="http://schemas.openxmlformats.org/spreadsheetml/2006/main" xmlns:r="http://schemas.openxmlformats.org/officeDocument/2006/relationships">
  <dimension ref="A1:O86"/>
  <sheetViews>
    <sheetView showGridLines="0" zoomScalePageLayoutView="0" workbookViewId="0" topLeftCell="A1">
      <selection activeCell="A1" sqref="A1"/>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0</v>
      </c>
      <c r="B1" s="1"/>
      <c r="C1" s="1"/>
      <c r="D1" s="1"/>
      <c r="E1" s="1"/>
      <c r="F1" s="1"/>
      <c r="G1" s="1"/>
      <c r="H1" s="2"/>
      <c r="I1" s="2"/>
      <c r="J1" s="2"/>
      <c r="K1" s="2"/>
      <c r="L1" s="2"/>
      <c r="M1" s="2"/>
      <c r="N1" s="2"/>
    </row>
    <row r="2" spans="1:14" ht="14.25" thickBot="1">
      <c r="A2" s="222" t="s">
        <v>1</v>
      </c>
      <c r="B2" s="222"/>
      <c r="C2" s="222"/>
      <c r="D2" s="222"/>
      <c r="E2" s="222"/>
      <c r="F2" s="222"/>
      <c r="G2" s="222"/>
      <c r="H2" s="2"/>
      <c r="I2" s="2"/>
      <c r="J2" s="2"/>
      <c r="K2" s="2"/>
      <c r="L2" s="2"/>
      <c r="M2" s="2"/>
      <c r="N2" s="2"/>
    </row>
    <row r="3" spans="1:14" ht="19.5" customHeight="1">
      <c r="A3" s="224" t="s">
        <v>2</v>
      </c>
      <c r="B3" s="227" t="s">
        <v>3</v>
      </c>
      <c r="C3" s="227"/>
      <c r="D3" s="227"/>
      <c r="E3" s="227"/>
      <c r="F3" s="227"/>
      <c r="G3" s="227"/>
      <c r="H3" s="228" t="s">
        <v>4</v>
      </c>
      <c r="I3" s="229"/>
      <c r="J3" s="237" t="s">
        <v>5</v>
      </c>
      <c r="K3" s="229"/>
      <c r="L3" s="228" t="s">
        <v>6</v>
      </c>
      <c r="M3" s="229"/>
      <c r="N3" s="232" t="s">
        <v>7</v>
      </c>
    </row>
    <row r="4" spans="1:14" ht="17.25" customHeight="1">
      <c r="A4" s="225"/>
      <c r="B4" s="235" t="s">
        <v>8</v>
      </c>
      <c r="C4" s="235"/>
      <c r="D4" s="230" t="s">
        <v>9</v>
      </c>
      <c r="E4" s="236"/>
      <c r="F4" s="230" t="s">
        <v>10</v>
      </c>
      <c r="G4" s="236"/>
      <c r="H4" s="230"/>
      <c r="I4" s="231"/>
      <c r="J4" s="230"/>
      <c r="K4" s="231"/>
      <c r="L4" s="230"/>
      <c r="M4" s="231"/>
      <c r="N4" s="233"/>
    </row>
    <row r="5" spans="1:14" s="4" customFormat="1" ht="28.5" customHeight="1">
      <c r="A5" s="226"/>
      <c r="B5" s="34" t="s">
        <v>11</v>
      </c>
      <c r="C5" s="35" t="s">
        <v>12</v>
      </c>
      <c r="D5" s="34" t="s">
        <v>11</v>
      </c>
      <c r="E5" s="35" t="s">
        <v>12</v>
      </c>
      <c r="F5" s="34" t="s">
        <v>11</v>
      </c>
      <c r="G5" s="39" t="s">
        <v>13</v>
      </c>
      <c r="H5" s="34" t="s">
        <v>93</v>
      </c>
      <c r="I5" s="38" t="s">
        <v>14</v>
      </c>
      <c r="J5" s="34" t="s">
        <v>93</v>
      </c>
      <c r="K5" s="38" t="s">
        <v>15</v>
      </c>
      <c r="L5" s="34" t="s">
        <v>93</v>
      </c>
      <c r="M5" s="36" t="s">
        <v>94</v>
      </c>
      <c r="N5" s="234"/>
    </row>
    <row r="6" spans="1:14" s="10"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ht="15.75" customHeight="1">
      <c r="A7" s="11" t="s">
        <v>19</v>
      </c>
      <c r="B7" s="131">
        <f>_xlfn.COMPOUNDVALUE(1)</f>
        <v>1001</v>
      </c>
      <c r="C7" s="132">
        <v>531671</v>
      </c>
      <c r="D7" s="131">
        <f>_xlfn.COMPOUNDVALUE(2)</f>
        <v>1555</v>
      </c>
      <c r="E7" s="132">
        <v>535269</v>
      </c>
      <c r="F7" s="131">
        <f>_xlfn.COMPOUNDVALUE(3)</f>
        <v>2556</v>
      </c>
      <c r="G7" s="132">
        <v>1066940</v>
      </c>
      <c r="H7" s="131">
        <f>_xlfn.COMPOUNDVALUE(4)</f>
        <v>51</v>
      </c>
      <c r="I7" s="133">
        <v>8623</v>
      </c>
      <c r="J7" s="131">
        <v>212</v>
      </c>
      <c r="K7" s="133">
        <v>25220</v>
      </c>
      <c r="L7" s="131">
        <f>_xlfn.COMPOUNDVALUE(4)</f>
        <v>2683</v>
      </c>
      <c r="M7" s="133">
        <v>1083537</v>
      </c>
      <c r="N7" s="12" t="s">
        <v>98</v>
      </c>
    </row>
    <row r="8" spans="1:14" ht="15.75" customHeight="1">
      <c r="A8" s="13" t="s">
        <v>20</v>
      </c>
      <c r="B8" s="134">
        <f>_xlfn.COMPOUNDVALUE(5)</f>
        <v>674</v>
      </c>
      <c r="C8" s="135">
        <v>329486</v>
      </c>
      <c r="D8" s="134">
        <f>_xlfn.COMPOUNDVALUE(6)</f>
        <v>1102</v>
      </c>
      <c r="E8" s="135">
        <v>360583</v>
      </c>
      <c r="F8" s="134">
        <f>_xlfn.COMPOUNDVALUE(7)</f>
        <v>1776</v>
      </c>
      <c r="G8" s="135">
        <v>690069</v>
      </c>
      <c r="H8" s="134">
        <f>_xlfn.COMPOUNDVALUE(8)</f>
        <v>25</v>
      </c>
      <c r="I8" s="136">
        <v>8460</v>
      </c>
      <c r="J8" s="134">
        <v>90</v>
      </c>
      <c r="K8" s="136">
        <v>12989</v>
      </c>
      <c r="L8" s="134">
        <f>_xlfn.COMPOUNDVALUE(8)</f>
        <v>1840</v>
      </c>
      <c r="M8" s="136">
        <v>694598</v>
      </c>
      <c r="N8" s="14" t="s">
        <v>99</v>
      </c>
    </row>
    <row r="9" spans="1:14" ht="15.75" customHeight="1">
      <c r="A9" s="13" t="s">
        <v>21</v>
      </c>
      <c r="B9" s="134">
        <f>_xlfn.COMPOUNDVALUE(9)</f>
        <v>960</v>
      </c>
      <c r="C9" s="135">
        <v>527288</v>
      </c>
      <c r="D9" s="134">
        <f>_xlfn.COMPOUNDVALUE(10)</f>
        <v>1581</v>
      </c>
      <c r="E9" s="135">
        <v>549234</v>
      </c>
      <c r="F9" s="134">
        <f>_xlfn.COMPOUNDVALUE(11)</f>
        <v>2541</v>
      </c>
      <c r="G9" s="135">
        <v>1076523</v>
      </c>
      <c r="H9" s="134">
        <f>_xlfn.COMPOUNDVALUE(12)</f>
        <v>53</v>
      </c>
      <c r="I9" s="136">
        <v>11595</v>
      </c>
      <c r="J9" s="134">
        <v>159</v>
      </c>
      <c r="K9" s="136">
        <v>15663</v>
      </c>
      <c r="L9" s="134">
        <f>_xlfn.COMPOUNDVALUE(12)</f>
        <v>2649</v>
      </c>
      <c r="M9" s="136">
        <v>1080591</v>
      </c>
      <c r="N9" s="14" t="s">
        <v>100</v>
      </c>
    </row>
    <row r="10" spans="1:14" ht="15.75" customHeight="1">
      <c r="A10" s="13" t="s">
        <v>22</v>
      </c>
      <c r="B10" s="134">
        <f>_xlfn.COMPOUNDVALUE(13)</f>
        <v>340</v>
      </c>
      <c r="C10" s="135">
        <v>211168</v>
      </c>
      <c r="D10" s="134">
        <f>_xlfn.COMPOUNDVALUE(14)</f>
        <v>646</v>
      </c>
      <c r="E10" s="135">
        <v>193298</v>
      </c>
      <c r="F10" s="134">
        <f>_xlfn.COMPOUNDVALUE(15)</f>
        <v>986</v>
      </c>
      <c r="G10" s="135">
        <v>404466</v>
      </c>
      <c r="H10" s="134">
        <f>_xlfn.COMPOUNDVALUE(16)</f>
        <v>13</v>
      </c>
      <c r="I10" s="136">
        <v>3352</v>
      </c>
      <c r="J10" s="134">
        <v>47</v>
      </c>
      <c r="K10" s="136">
        <v>8351</v>
      </c>
      <c r="L10" s="134">
        <f>_xlfn.COMPOUNDVALUE(16)</f>
        <v>1014</v>
      </c>
      <c r="M10" s="136">
        <v>409466</v>
      </c>
      <c r="N10" s="14" t="s">
        <v>101</v>
      </c>
    </row>
    <row r="11" spans="1:14" ht="15.75" customHeight="1">
      <c r="A11" s="13" t="s">
        <v>23</v>
      </c>
      <c r="B11" s="134">
        <f>_xlfn.COMPOUNDVALUE(17)</f>
        <v>619</v>
      </c>
      <c r="C11" s="135">
        <v>310619</v>
      </c>
      <c r="D11" s="134">
        <f>_xlfn.COMPOUNDVALUE(18)</f>
        <v>1381</v>
      </c>
      <c r="E11" s="135">
        <v>383247</v>
      </c>
      <c r="F11" s="134">
        <f>_xlfn.COMPOUNDVALUE(19)</f>
        <v>2000</v>
      </c>
      <c r="G11" s="135">
        <v>693866</v>
      </c>
      <c r="H11" s="134">
        <f>_xlfn.COMPOUNDVALUE(20)</f>
        <v>41</v>
      </c>
      <c r="I11" s="136">
        <v>15881</v>
      </c>
      <c r="J11" s="134">
        <v>80</v>
      </c>
      <c r="K11" s="136">
        <v>5722</v>
      </c>
      <c r="L11" s="134">
        <f>_xlfn.COMPOUNDVALUE(20)</f>
        <v>2062</v>
      </c>
      <c r="M11" s="136">
        <v>683707</v>
      </c>
      <c r="N11" s="14" t="s">
        <v>102</v>
      </c>
    </row>
    <row r="12" spans="1:14" ht="15.75" customHeight="1">
      <c r="A12" s="13" t="s">
        <v>24</v>
      </c>
      <c r="B12" s="134">
        <f>_xlfn.COMPOUNDVALUE(21)</f>
        <v>885</v>
      </c>
      <c r="C12" s="135">
        <v>446029</v>
      </c>
      <c r="D12" s="134">
        <f>_xlfn.COMPOUNDVALUE(22)</f>
        <v>1975</v>
      </c>
      <c r="E12" s="135">
        <v>680836</v>
      </c>
      <c r="F12" s="134">
        <f>_xlfn.COMPOUNDVALUE(23)</f>
        <v>2860</v>
      </c>
      <c r="G12" s="135">
        <v>1126865</v>
      </c>
      <c r="H12" s="134">
        <f>_xlfn.COMPOUNDVALUE(24)</f>
        <v>77</v>
      </c>
      <c r="I12" s="136">
        <v>36692</v>
      </c>
      <c r="J12" s="134">
        <v>212</v>
      </c>
      <c r="K12" s="136">
        <v>47751</v>
      </c>
      <c r="L12" s="134">
        <f>_xlfn.COMPOUNDVALUE(24)</f>
        <v>3019</v>
      </c>
      <c r="M12" s="136">
        <v>1137924</v>
      </c>
      <c r="N12" s="14" t="s">
        <v>103</v>
      </c>
    </row>
    <row r="13" spans="1:14" ht="15.75" customHeight="1">
      <c r="A13" s="13" t="s">
        <v>25</v>
      </c>
      <c r="B13" s="134">
        <f>_xlfn.COMPOUNDVALUE(25)</f>
        <v>309</v>
      </c>
      <c r="C13" s="135">
        <v>172656</v>
      </c>
      <c r="D13" s="134">
        <f>_xlfn.COMPOUNDVALUE(26)</f>
        <v>618</v>
      </c>
      <c r="E13" s="135">
        <v>216154</v>
      </c>
      <c r="F13" s="134">
        <f>_xlfn.COMPOUNDVALUE(27)</f>
        <v>927</v>
      </c>
      <c r="G13" s="135">
        <v>388810</v>
      </c>
      <c r="H13" s="134">
        <f>_xlfn.COMPOUNDVALUE(28)</f>
        <v>10</v>
      </c>
      <c r="I13" s="136">
        <v>3511</v>
      </c>
      <c r="J13" s="134">
        <v>26</v>
      </c>
      <c r="K13" s="136">
        <v>4382</v>
      </c>
      <c r="L13" s="134">
        <f>_xlfn.COMPOUNDVALUE(28)</f>
        <v>951</v>
      </c>
      <c r="M13" s="136">
        <v>389681</v>
      </c>
      <c r="N13" s="14" t="s">
        <v>25</v>
      </c>
    </row>
    <row r="14" spans="1:14" s="17" customFormat="1" ht="15.75" customHeight="1">
      <c r="A14" s="15" t="s">
        <v>26</v>
      </c>
      <c r="B14" s="137">
        <v>4788</v>
      </c>
      <c r="C14" s="138">
        <v>2528918</v>
      </c>
      <c r="D14" s="137">
        <v>8858</v>
      </c>
      <c r="E14" s="138">
        <v>2918619</v>
      </c>
      <c r="F14" s="137">
        <v>13646</v>
      </c>
      <c r="G14" s="138">
        <v>5447538</v>
      </c>
      <c r="H14" s="137">
        <v>270</v>
      </c>
      <c r="I14" s="139">
        <v>88113</v>
      </c>
      <c r="J14" s="137">
        <v>826</v>
      </c>
      <c r="K14" s="139">
        <v>120080</v>
      </c>
      <c r="L14" s="137">
        <v>14218</v>
      </c>
      <c r="M14" s="139">
        <v>5479505</v>
      </c>
      <c r="N14" s="16" t="s">
        <v>97</v>
      </c>
    </row>
    <row r="15" spans="1:14" s="20" customFormat="1" ht="15.75" customHeight="1">
      <c r="A15" s="23"/>
      <c r="B15" s="140"/>
      <c r="C15" s="141"/>
      <c r="D15" s="140"/>
      <c r="E15" s="141"/>
      <c r="F15" s="142"/>
      <c r="G15" s="141"/>
      <c r="H15" s="142"/>
      <c r="I15" s="141"/>
      <c r="J15" s="142"/>
      <c r="K15" s="141"/>
      <c r="L15" s="142"/>
      <c r="M15" s="141"/>
      <c r="N15" s="24"/>
    </row>
    <row r="16" spans="1:14" ht="15.75" customHeight="1">
      <c r="A16" s="11" t="s">
        <v>27</v>
      </c>
      <c r="B16" s="131">
        <f>_xlfn.COMPOUNDVALUE(29)</f>
        <v>1509</v>
      </c>
      <c r="C16" s="132">
        <v>803311</v>
      </c>
      <c r="D16" s="131">
        <f>_xlfn.COMPOUNDVALUE(30)</f>
        <v>2206</v>
      </c>
      <c r="E16" s="132">
        <v>846908</v>
      </c>
      <c r="F16" s="131">
        <f>_xlfn.COMPOUNDVALUE(31)</f>
        <v>3715</v>
      </c>
      <c r="G16" s="132">
        <v>1650219</v>
      </c>
      <c r="H16" s="131">
        <f>_xlfn.COMPOUNDVALUE(32)</f>
        <v>135</v>
      </c>
      <c r="I16" s="133">
        <v>84503</v>
      </c>
      <c r="J16" s="131">
        <v>177</v>
      </c>
      <c r="K16" s="133">
        <v>19735</v>
      </c>
      <c r="L16" s="131">
        <f>_xlfn.COMPOUNDVALUE(32)</f>
        <v>3918</v>
      </c>
      <c r="M16" s="133">
        <v>1585451</v>
      </c>
      <c r="N16" s="25" t="s">
        <v>104</v>
      </c>
    </row>
    <row r="17" spans="1:14" ht="15.75" customHeight="1">
      <c r="A17" s="13" t="s">
        <v>28</v>
      </c>
      <c r="B17" s="134">
        <f>_xlfn.COMPOUNDVALUE(33)</f>
        <v>338</v>
      </c>
      <c r="C17" s="135">
        <v>199382</v>
      </c>
      <c r="D17" s="134">
        <f>_xlfn.COMPOUNDVALUE(34)</f>
        <v>568</v>
      </c>
      <c r="E17" s="135">
        <v>203897</v>
      </c>
      <c r="F17" s="134">
        <f>_xlfn.COMPOUNDVALUE(35)</f>
        <v>906</v>
      </c>
      <c r="G17" s="135">
        <v>403279</v>
      </c>
      <c r="H17" s="134">
        <f>_xlfn.COMPOUNDVALUE(36)</f>
        <v>22</v>
      </c>
      <c r="I17" s="136">
        <v>14329</v>
      </c>
      <c r="J17" s="134">
        <v>127</v>
      </c>
      <c r="K17" s="136">
        <v>7065</v>
      </c>
      <c r="L17" s="134">
        <f>_xlfn.COMPOUNDVALUE(36)</f>
        <v>978</v>
      </c>
      <c r="M17" s="136">
        <v>396015</v>
      </c>
      <c r="N17" s="14" t="s">
        <v>105</v>
      </c>
    </row>
    <row r="18" spans="1:14" ht="15.75" customHeight="1">
      <c r="A18" s="13" t="s">
        <v>29</v>
      </c>
      <c r="B18" s="134">
        <f>_xlfn.COMPOUNDVALUE(37)</f>
        <v>345</v>
      </c>
      <c r="C18" s="135">
        <v>254607</v>
      </c>
      <c r="D18" s="134">
        <f>_xlfn.COMPOUNDVALUE(38)</f>
        <v>399</v>
      </c>
      <c r="E18" s="135">
        <v>146306</v>
      </c>
      <c r="F18" s="134">
        <f>_xlfn.COMPOUNDVALUE(39)</f>
        <v>744</v>
      </c>
      <c r="G18" s="135">
        <v>400914</v>
      </c>
      <c r="H18" s="134">
        <f>_xlfn.COMPOUNDVALUE(40)</f>
        <v>41</v>
      </c>
      <c r="I18" s="136">
        <v>58715</v>
      </c>
      <c r="J18" s="134">
        <v>84</v>
      </c>
      <c r="K18" s="136">
        <v>7216</v>
      </c>
      <c r="L18" s="134">
        <f>_xlfn.COMPOUNDVALUE(40)</f>
        <v>818</v>
      </c>
      <c r="M18" s="136">
        <v>349415</v>
      </c>
      <c r="N18" s="14" t="s">
        <v>106</v>
      </c>
    </row>
    <row r="19" spans="1:14" ht="15.75" customHeight="1">
      <c r="A19" s="13" t="s">
        <v>30</v>
      </c>
      <c r="B19" s="134">
        <f>_xlfn.COMPOUNDVALUE(41)</f>
        <v>445</v>
      </c>
      <c r="C19" s="135">
        <v>218105</v>
      </c>
      <c r="D19" s="134">
        <f>_xlfn.COMPOUNDVALUE(42)</f>
        <v>688</v>
      </c>
      <c r="E19" s="135">
        <v>249568</v>
      </c>
      <c r="F19" s="134">
        <f>_xlfn.COMPOUNDVALUE(43)</f>
        <v>1133</v>
      </c>
      <c r="G19" s="135">
        <v>467672</v>
      </c>
      <c r="H19" s="134">
        <f>_xlfn.COMPOUNDVALUE(44)</f>
        <v>101</v>
      </c>
      <c r="I19" s="136">
        <v>48148</v>
      </c>
      <c r="J19" s="134">
        <v>71</v>
      </c>
      <c r="K19" s="136">
        <v>9670</v>
      </c>
      <c r="L19" s="134">
        <f>_xlfn.COMPOUNDVALUE(44)</f>
        <v>1250</v>
      </c>
      <c r="M19" s="136">
        <v>429194</v>
      </c>
      <c r="N19" s="14" t="s">
        <v>107</v>
      </c>
    </row>
    <row r="20" spans="1:14" ht="15.75" customHeight="1">
      <c r="A20" s="13" t="s">
        <v>31</v>
      </c>
      <c r="B20" s="134">
        <f>_xlfn.COMPOUNDVALUE(45)</f>
        <v>652</v>
      </c>
      <c r="C20" s="135">
        <v>348884</v>
      </c>
      <c r="D20" s="134">
        <f>_xlfn.COMPOUNDVALUE(46)</f>
        <v>842</v>
      </c>
      <c r="E20" s="135">
        <v>288361</v>
      </c>
      <c r="F20" s="134">
        <f>_xlfn.COMPOUNDVALUE(47)</f>
        <v>1494</v>
      </c>
      <c r="G20" s="135">
        <v>637244</v>
      </c>
      <c r="H20" s="134">
        <f>_xlfn.COMPOUNDVALUE(48)</f>
        <v>69</v>
      </c>
      <c r="I20" s="136">
        <v>25231</v>
      </c>
      <c r="J20" s="134">
        <v>134</v>
      </c>
      <c r="K20" s="136">
        <v>7179</v>
      </c>
      <c r="L20" s="134">
        <f>_xlfn.COMPOUNDVALUE(48)</f>
        <v>1586</v>
      </c>
      <c r="M20" s="136">
        <v>619193</v>
      </c>
      <c r="N20" s="14" t="s">
        <v>108</v>
      </c>
    </row>
    <row r="21" spans="1:14" ht="15.75" customHeight="1">
      <c r="A21" s="13" t="s">
        <v>32</v>
      </c>
      <c r="B21" s="134">
        <f>_xlfn.COMPOUNDVALUE(49)</f>
        <v>339</v>
      </c>
      <c r="C21" s="135">
        <v>176709</v>
      </c>
      <c r="D21" s="134">
        <f>_xlfn.COMPOUNDVALUE(50)</f>
        <v>343</v>
      </c>
      <c r="E21" s="135">
        <v>131007</v>
      </c>
      <c r="F21" s="134">
        <f>_xlfn.COMPOUNDVALUE(51)</f>
        <v>682</v>
      </c>
      <c r="G21" s="135">
        <v>307716</v>
      </c>
      <c r="H21" s="134">
        <f>_xlfn.COMPOUNDVALUE(52)</f>
        <v>34</v>
      </c>
      <c r="I21" s="136">
        <v>16925</v>
      </c>
      <c r="J21" s="134">
        <v>26</v>
      </c>
      <c r="K21" s="136">
        <v>1815</v>
      </c>
      <c r="L21" s="134">
        <f>_xlfn.COMPOUNDVALUE(52)</f>
        <v>720</v>
      </c>
      <c r="M21" s="136">
        <v>292606</v>
      </c>
      <c r="N21" s="14" t="s">
        <v>109</v>
      </c>
    </row>
    <row r="22" spans="1:14" ht="15.75" customHeight="1">
      <c r="A22" s="13" t="s">
        <v>33</v>
      </c>
      <c r="B22" s="134">
        <f>_xlfn.COMPOUNDVALUE(53)</f>
        <v>451</v>
      </c>
      <c r="C22" s="135">
        <v>221232</v>
      </c>
      <c r="D22" s="134">
        <f>_xlfn.COMPOUNDVALUE(54)</f>
        <v>652</v>
      </c>
      <c r="E22" s="135">
        <v>229500</v>
      </c>
      <c r="F22" s="134">
        <f>_xlfn.COMPOUNDVALUE(55)</f>
        <v>1103</v>
      </c>
      <c r="G22" s="135">
        <v>450732</v>
      </c>
      <c r="H22" s="134">
        <f>_xlfn.COMPOUNDVALUE(56)</f>
        <v>74</v>
      </c>
      <c r="I22" s="136">
        <v>21778</v>
      </c>
      <c r="J22" s="134">
        <v>73</v>
      </c>
      <c r="K22" s="136">
        <v>3592</v>
      </c>
      <c r="L22" s="134">
        <f>_xlfn.COMPOUNDVALUE(56)</f>
        <v>1192</v>
      </c>
      <c r="M22" s="136">
        <v>432545</v>
      </c>
      <c r="N22" s="14" t="s">
        <v>110</v>
      </c>
    </row>
    <row r="23" spans="1:14" ht="15.75" customHeight="1">
      <c r="A23" s="13" t="s">
        <v>34</v>
      </c>
      <c r="B23" s="134">
        <f>_xlfn.COMPOUNDVALUE(57)</f>
        <v>246</v>
      </c>
      <c r="C23" s="135">
        <v>161893</v>
      </c>
      <c r="D23" s="134">
        <f>_xlfn.COMPOUNDVALUE(58)</f>
        <v>416</v>
      </c>
      <c r="E23" s="135">
        <v>149961</v>
      </c>
      <c r="F23" s="134">
        <f>_xlfn.COMPOUNDVALUE(59)</f>
        <v>662</v>
      </c>
      <c r="G23" s="135">
        <v>311854</v>
      </c>
      <c r="H23" s="134">
        <f>_xlfn.COMPOUNDVALUE(60)</f>
        <v>22</v>
      </c>
      <c r="I23" s="136">
        <v>12425</v>
      </c>
      <c r="J23" s="134">
        <v>63</v>
      </c>
      <c r="K23" s="136">
        <v>-406</v>
      </c>
      <c r="L23" s="134">
        <f>_xlfn.COMPOUNDVALUE(60)</f>
        <v>702</v>
      </c>
      <c r="M23" s="136">
        <v>299023</v>
      </c>
      <c r="N23" s="14" t="s">
        <v>111</v>
      </c>
    </row>
    <row r="24" spans="1:14" ht="15.75" customHeight="1">
      <c r="A24" s="13" t="s">
        <v>35</v>
      </c>
      <c r="B24" s="134">
        <f>_xlfn.COMPOUNDVALUE(61)</f>
        <v>300</v>
      </c>
      <c r="C24" s="135">
        <v>179845</v>
      </c>
      <c r="D24" s="134">
        <f>_xlfn.COMPOUNDVALUE(62)</f>
        <v>428</v>
      </c>
      <c r="E24" s="135">
        <v>149931</v>
      </c>
      <c r="F24" s="134">
        <f>_xlfn.COMPOUNDVALUE(63)</f>
        <v>728</v>
      </c>
      <c r="G24" s="135">
        <v>329777</v>
      </c>
      <c r="H24" s="134">
        <f>_xlfn.COMPOUNDVALUE(64)</f>
        <v>39</v>
      </c>
      <c r="I24" s="136">
        <v>11767</v>
      </c>
      <c r="J24" s="134">
        <v>22</v>
      </c>
      <c r="K24" s="136">
        <v>4316</v>
      </c>
      <c r="L24" s="134">
        <f>_xlfn.COMPOUNDVALUE(64)</f>
        <v>778</v>
      </c>
      <c r="M24" s="136">
        <v>322326</v>
      </c>
      <c r="N24" s="14" t="s">
        <v>112</v>
      </c>
    </row>
    <row r="25" spans="1:14" s="17" customFormat="1" ht="15.75" customHeight="1">
      <c r="A25" s="15" t="s">
        <v>36</v>
      </c>
      <c r="B25" s="137">
        <v>4625</v>
      </c>
      <c r="C25" s="138">
        <v>2563968</v>
      </c>
      <c r="D25" s="137">
        <v>6542</v>
      </c>
      <c r="E25" s="138">
        <v>2395438</v>
      </c>
      <c r="F25" s="137">
        <v>11167</v>
      </c>
      <c r="G25" s="138">
        <v>4959406</v>
      </c>
      <c r="H25" s="137">
        <v>537</v>
      </c>
      <c r="I25" s="139">
        <v>293823</v>
      </c>
      <c r="J25" s="137">
        <v>777</v>
      </c>
      <c r="K25" s="139">
        <v>60181</v>
      </c>
      <c r="L25" s="137">
        <v>11942</v>
      </c>
      <c r="M25" s="139">
        <v>4725765</v>
      </c>
      <c r="N25" s="16" t="s">
        <v>113</v>
      </c>
    </row>
    <row r="26" spans="1:14" s="20" customFormat="1" ht="15.75" customHeight="1">
      <c r="A26" s="23"/>
      <c r="B26" s="140"/>
      <c r="C26" s="141"/>
      <c r="D26" s="140"/>
      <c r="E26" s="141"/>
      <c r="F26" s="142"/>
      <c r="G26" s="141"/>
      <c r="H26" s="142"/>
      <c r="I26" s="141"/>
      <c r="J26" s="142"/>
      <c r="K26" s="141"/>
      <c r="L26" s="142"/>
      <c r="M26" s="141"/>
      <c r="N26" s="24"/>
    </row>
    <row r="27" spans="1:14" s="17" customFormat="1" ht="15.75" customHeight="1">
      <c r="A27" s="11" t="s">
        <v>37</v>
      </c>
      <c r="B27" s="131">
        <f>_xlfn.COMPOUNDVALUE(65)</f>
        <v>1737</v>
      </c>
      <c r="C27" s="132">
        <v>1067583</v>
      </c>
      <c r="D27" s="131">
        <f>_xlfn.COMPOUNDVALUE(66)</f>
        <v>2233</v>
      </c>
      <c r="E27" s="132">
        <v>896962</v>
      </c>
      <c r="F27" s="131">
        <f>_xlfn.COMPOUNDVALUE(67)</f>
        <v>3970</v>
      </c>
      <c r="G27" s="132">
        <v>1964546</v>
      </c>
      <c r="H27" s="131">
        <f>_xlfn.COMPOUNDVALUE(68)</f>
        <v>100</v>
      </c>
      <c r="I27" s="133">
        <v>98194</v>
      </c>
      <c r="J27" s="131">
        <v>393</v>
      </c>
      <c r="K27" s="133">
        <v>85965</v>
      </c>
      <c r="L27" s="131">
        <f>_xlfn.COMPOUNDVALUE(68)</f>
        <v>4269</v>
      </c>
      <c r="M27" s="133">
        <v>1952317</v>
      </c>
      <c r="N27" s="25" t="s">
        <v>114</v>
      </c>
    </row>
    <row r="28" spans="1:14" s="17" customFormat="1" ht="15.75" customHeight="1">
      <c r="A28" s="13" t="s">
        <v>38</v>
      </c>
      <c r="B28" s="134">
        <f>_xlfn.COMPOUNDVALUE(69)</f>
        <v>856</v>
      </c>
      <c r="C28" s="135">
        <v>569391</v>
      </c>
      <c r="D28" s="134">
        <f>_xlfn.COMPOUNDVALUE(70)</f>
        <v>1272</v>
      </c>
      <c r="E28" s="135">
        <v>528719</v>
      </c>
      <c r="F28" s="134">
        <f>_xlfn.COMPOUNDVALUE(71)</f>
        <v>2128</v>
      </c>
      <c r="G28" s="135">
        <v>1098110</v>
      </c>
      <c r="H28" s="134">
        <f>_xlfn.COMPOUNDVALUE(72)</f>
        <v>40</v>
      </c>
      <c r="I28" s="136">
        <v>37544</v>
      </c>
      <c r="J28" s="134">
        <v>102</v>
      </c>
      <c r="K28" s="136">
        <v>15905</v>
      </c>
      <c r="L28" s="134">
        <f>_xlfn.COMPOUNDVALUE(72)</f>
        <v>2219</v>
      </c>
      <c r="M28" s="136">
        <v>1076471</v>
      </c>
      <c r="N28" s="14" t="s">
        <v>115</v>
      </c>
    </row>
    <row r="29" spans="1:14" s="17" customFormat="1" ht="15.75" customHeight="1">
      <c r="A29" s="13" t="s">
        <v>39</v>
      </c>
      <c r="B29" s="134">
        <f>_xlfn.COMPOUNDVALUE(73)</f>
        <v>917</v>
      </c>
      <c r="C29" s="135">
        <v>457217</v>
      </c>
      <c r="D29" s="134">
        <f>_xlfn.COMPOUNDVALUE(74)</f>
        <v>1501</v>
      </c>
      <c r="E29" s="135">
        <v>505704</v>
      </c>
      <c r="F29" s="134">
        <f>_xlfn.COMPOUNDVALUE(75)</f>
        <v>2418</v>
      </c>
      <c r="G29" s="135">
        <v>962922</v>
      </c>
      <c r="H29" s="134">
        <f>_xlfn.COMPOUNDVALUE(76)</f>
        <v>58</v>
      </c>
      <c r="I29" s="136">
        <v>46203</v>
      </c>
      <c r="J29" s="134">
        <v>185</v>
      </c>
      <c r="K29" s="136">
        <v>32333</v>
      </c>
      <c r="L29" s="134">
        <f>_xlfn.COMPOUNDVALUE(76)</f>
        <v>2583</v>
      </c>
      <c r="M29" s="136">
        <v>949052</v>
      </c>
      <c r="N29" s="14" t="s">
        <v>116</v>
      </c>
    </row>
    <row r="30" spans="1:14" s="17" customFormat="1" ht="15.75" customHeight="1">
      <c r="A30" s="13" t="s">
        <v>40</v>
      </c>
      <c r="B30" s="134">
        <f>_xlfn.COMPOUNDVALUE(77)</f>
        <v>891</v>
      </c>
      <c r="C30" s="135">
        <v>564091</v>
      </c>
      <c r="D30" s="134">
        <f>_xlfn.COMPOUNDVALUE(78)</f>
        <v>1471</v>
      </c>
      <c r="E30" s="135">
        <v>527563</v>
      </c>
      <c r="F30" s="134">
        <f>_xlfn.COMPOUNDVALUE(79)</f>
        <v>2362</v>
      </c>
      <c r="G30" s="135">
        <v>1091654</v>
      </c>
      <c r="H30" s="134">
        <f>_xlfn.COMPOUNDVALUE(80)</f>
        <v>70</v>
      </c>
      <c r="I30" s="136">
        <v>32671</v>
      </c>
      <c r="J30" s="134">
        <v>206</v>
      </c>
      <c r="K30" s="136">
        <v>31433</v>
      </c>
      <c r="L30" s="134">
        <f>_xlfn.COMPOUNDVALUE(80)</f>
        <v>2560</v>
      </c>
      <c r="M30" s="136">
        <v>1090416</v>
      </c>
      <c r="N30" s="14" t="s">
        <v>117</v>
      </c>
    </row>
    <row r="31" spans="1:14" s="17" customFormat="1" ht="15.75" customHeight="1">
      <c r="A31" s="13" t="s">
        <v>41</v>
      </c>
      <c r="B31" s="134">
        <f>_xlfn.COMPOUNDVALUE(81)</f>
        <v>562</v>
      </c>
      <c r="C31" s="135">
        <v>277043</v>
      </c>
      <c r="D31" s="134">
        <f>_xlfn.COMPOUNDVALUE(82)</f>
        <v>815</v>
      </c>
      <c r="E31" s="135">
        <v>269756</v>
      </c>
      <c r="F31" s="134">
        <f>_xlfn.COMPOUNDVALUE(83)</f>
        <v>1377</v>
      </c>
      <c r="G31" s="135">
        <v>546799</v>
      </c>
      <c r="H31" s="134">
        <f>_xlfn.COMPOUNDVALUE(84)</f>
        <v>46</v>
      </c>
      <c r="I31" s="136">
        <v>11958</v>
      </c>
      <c r="J31" s="134">
        <v>141</v>
      </c>
      <c r="K31" s="136">
        <v>20057</v>
      </c>
      <c r="L31" s="134">
        <f>_xlfn.COMPOUNDVALUE(84)</f>
        <v>1490</v>
      </c>
      <c r="M31" s="136">
        <v>554898</v>
      </c>
      <c r="N31" s="14" t="s">
        <v>118</v>
      </c>
    </row>
    <row r="32" spans="1:14" s="17" customFormat="1" ht="15.75" customHeight="1">
      <c r="A32" s="13" t="s">
        <v>42</v>
      </c>
      <c r="B32" s="134">
        <f>_xlfn.COMPOUNDVALUE(85)</f>
        <v>842</v>
      </c>
      <c r="C32" s="135">
        <v>393800</v>
      </c>
      <c r="D32" s="134">
        <f>_xlfn.COMPOUNDVALUE(86)</f>
        <v>1480</v>
      </c>
      <c r="E32" s="135">
        <v>466799</v>
      </c>
      <c r="F32" s="134">
        <f>_xlfn.COMPOUNDVALUE(87)</f>
        <v>2322</v>
      </c>
      <c r="G32" s="135">
        <v>860599</v>
      </c>
      <c r="H32" s="134">
        <f>_xlfn.COMPOUNDVALUE(88)</f>
        <v>103</v>
      </c>
      <c r="I32" s="136">
        <v>30847</v>
      </c>
      <c r="J32" s="134">
        <v>152</v>
      </c>
      <c r="K32" s="136">
        <v>10626</v>
      </c>
      <c r="L32" s="134">
        <f>_xlfn.COMPOUNDVALUE(88)</f>
        <v>2454</v>
      </c>
      <c r="M32" s="136">
        <v>840379</v>
      </c>
      <c r="N32" s="14" t="s">
        <v>119</v>
      </c>
    </row>
    <row r="33" spans="1:14" s="17" customFormat="1" ht="15.75" customHeight="1">
      <c r="A33" s="13" t="s">
        <v>43</v>
      </c>
      <c r="B33" s="134">
        <f>_xlfn.COMPOUNDVALUE(89)</f>
        <v>386</v>
      </c>
      <c r="C33" s="135">
        <v>224236</v>
      </c>
      <c r="D33" s="134">
        <f>_xlfn.COMPOUNDVALUE(90)</f>
        <v>489</v>
      </c>
      <c r="E33" s="135">
        <v>172057</v>
      </c>
      <c r="F33" s="134">
        <f>_xlfn.COMPOUNDVALUE(91)</f>
        <v>875</v>
      </c>
      <c r="G33" s="135">
        <v>396292</v>
      </c>
      <c r="H33" s="134">
        <f>_xlfn.COMPOUNDVALUE(92)</f>
        <v>44</v>
      </c>
      <c r="I33" s="136">
        <v>37130</v>
      </c>
      <c r="J33" s="134">
        <v>63</v>
      </c>
      <c r="K33" s="136">
        <v>5637</v>
      </c>
      <c r="L33" s="134">
        <f>_xlfn.COMPOUNDVALUE(92)</f>
        <v>941</v>
      </c>
      <c r="M33" s="136">
        <v>364799</v>
      </c>
      <c r="N33" s="14" t="s">
        <v>120</v>
      </c>
    </row>
    <row r="34" spans="1:14" s="17" customFormat="1" ht="15.75" customHeight="1">
      <c r="A34" s="13" t="s">
        <v>44</v>
      </c>
      <c r="B34" s="134">
        <f>_xlfn.COMPOUNDVALUE(93)</f>
        <v>629</v>
      </c>
      <c r="C34" s="135">
        <v>329297</v>
      </c>
      <c r="D34" s="134">
        <f>_xlfn.COMPOUNDVALUE(94)</f>
        <v>964</v>
      </c>
      <c r="E34" s="135">
        <v>318971</v>
      </c>
      <c r="F34" s="134">
        <f>_xlfn.COMPOUNDVALUE(95)</f>
        <v>1593</v>
      </c>
      <c r="G34" s="135">
        <v>648268</v>
      </c>
      <c r="H34" s="134">
        <f>_xlfn.COMPOUNDVALUE(96)</f>
        <v>82</v>
      </c>
      <c r="I34" s="136">
        <v>31121</v>
      </c>
      <c r="J34" s="134">
        <v>82</v>
      </c>
      <c r="K34" s="136">
        <v>10600</v>
      </c>
      <c r="L34" s="134">
        <f>_xlfn.COMPOUNDVALUE(96)</f>
        <v>1708</v>
      </c>
      <c r="M34" s="136">
        <v>627748</v>
      </c>
      <c r="N34" s="14" t="s">
        <v>121</v>
      </c>
    </row>
    <row r="35" spans="1:14" s="17" customFormat="1" ht="15.75" customHeight="1">
      <c r="A35" s="13" t="s">
        <v>45</v>
      </c>
      <c r="B35" s="134">
        <f>_xlfn.COMPOUNDVALUE(97)</f>
        <v>321</v>
      </c>
      <c r="C35" s="135">
        <v>143977</v>
      </c>
      <c r="D35" s="134">
        <f>_xlfn.COMPOUNDVALUE(98)</f>
        <v>472</v>
      </c>
      <c r="E35" s="135">
        <v>148537</v>
      </c>
      <c r="F35" s="134">
        <f>_xlfn.COMPOUNDVALUE(99)</f>
        <v>793</v>
      </c>
      <c r="G35" s="135">
        <v>292514</v>
      </c>
      <c r="H35" s="134">
        <f>_xlfn.COMPOUNDVALUE(100)</f>
        <v>47</v>
      </c>
      <c r="I35" s="136">
        <v>13929</v>
      </c>
      <c r="J35" s="134">
        <v>94</v>
      </c>
      <c r="K35" s="136">
        <v>5016</v>
      </c>
      <c r="L35" s="134">
        <f>_xlfn.COMPOUNDVALUE(100)</f>
        <v>864</v>
      </c>
      <c r="M35" s="136">
        <v>283602</v>
      </c>
      <c r="N35" s="14" t="s">
        <v>122</v>
      </c>
    </row>
    <row r="36" spans="1:14" s="17" customFormat="1" ht="15.75" customHeight="1">
      <c r="A36" s="13" t="s">
        <v>46</v>
      </c>
      <c r="B36" s="134">
        <f>_xlfn.COMPOUNDVALUE(101)</f>
        <v>427</v>
      </c>
      <c r="C36" s="135">
        <v>185944</v>
      </c>
      <c r="D36" s="134">
        <f>_xlfn.COMPOUNDVALUE(102)</f>
        <v>709</v>
      </c>
      <c r="E36" s="135">
        <v>227483</v>
      </c>
      <c r="F36" s="134">
        <f>_xlfn.COMPOUNDVALUE(103)</f>
        <v>1136</v>
      </c>
      <c r="G36" s="135">
        <v>413426</v>
      </c>
      <c r="H36" s="134">
        <f>_xlfn.COMPOUNDVALUE(104)</f>
        <v>76</v>
      </c>
      <c r="I36" s="136">
        <v>54847</v>
      </c>
      <c r="J36" s="134">
        <v>62</v>
      </c>
      <c r="K36" s="136">
        <v>4536</v>
      </c>
      <c r="L36" s="134">
        <f>_xlfn.COMPOUNDVALUE(104)</f>
        <v>1235</v>
      </c>
      <c r="M36" s="136">
        <v>363114</v>
      </c>
      <c r="N36" s="14" t="s">
        <v>123</v>
      </c>
    </row>
    <row r="37" spans="1:14" s="17" customFormat="1" ht="15.75" customHeight="1">
      <c r="A37" s="15" t="s">
        <v>47</v>
      </c>
      <c r="B37" s="137">
        <v>7568</v>
      </c>
      <c r="C37" s="138">
        <v>4212578</v>
      </c>
      <c r="D37" s="137">
        <v>11406</v>
      </c>
      <c r="E37" s="138">
        <v>4062551</v>
      </c>
      <c r="F37" s="137">
        <v>18974</v>
      </c>
      <c r="G37" s="138">
        <v>8275129</v>
      </c>
      <c r="H37" s="137">
        <v>666</v>
      </c>
      <c r="I37" s="139">
        <v>394443</v>
      </c>
      <c r="J37" s="137">
        <v>1480</v>
      </c>
      <c r="K37" s="139">
        <v>222110</v>
      </c>
      <c r="L37" s="137">
        <v>20323</v>
      </c>
      <c r="M37" s="139">
        <v>8102796</v>
      </c>
      <c r="N37" s="16" t="s">
        <v>124</v>
      </c>
    </row>
    <row r="38" spans="1:14" s="17" customFormat="1" ht="15.75" customHeight="1">
      <c r="A38" s="103"/>
      <c r="B38" s="143"/>
      <c r="C38" s="144"/>
      <c r="D38" s="143"/>
      <c r="E38" s="144"/>
      <c r="F38" s="145"/>
      <c r="G38" s="144"/>
      <c r="H38" s="145"/>
      <c r="I38" s="144"/>
      <c r="J38" s="145"/>
      <c r="K38" s="144"/>
      <c r="L38" s="145"/>
      <c r="M38" s="144"/>
      <c r="N38" s="104"/>
    </row>
    <row r="39" spans="1:14" s="17" customFormat="1" ht="15.75" customHeight="1">
      <c r="A39" s="11" t="s">
        <v>48</v>
      </c>
      <c r="B39" s="131">
        <f>_xlfn.COMPOUNDVALUE(105)</f>
        <v>638</v>
      </c>
      <c r="C39" s="132">
        <v>331397</v>
      </c>
      <c r="D39" s="131">
        <f>_xlfn.COMPOUNDVALUE(106)</f>
        <v>1000</v>
      </c>
      <c r="E39" s="132">
        <v>382958</v>
      </c>
      <c r="F39" s="131">
        <f>_xlfn.COMPOUNDVALUE(107)</f>
        <v>1638</v>
      </c>
      <c r="G39" s="132">
        <v>714354</v>
      </c>
      <c r="H39" s="131">
        <f>_xlfn.COMPOUNDVALUE(108)</f>
        <v>41</v>
      </c>
      <c r="I39" s="133">
        <v>14016</v>
      </c>
      <c r="J39" s="131">
        <v>77</v>
      </c>
      <c r="K39" s="133">
        <v>24575</v>
      </c>
      <c r="L39" s="131">
        <f>_xlfn.COMPOUNDVALUE(108)</f>
        <v>1712</v>
      </c>
      <c r="M39" s="133">
        <v>724913</v>
      </c>
      <c r="N39" s="12" t="s">
        <v>125</v>
      </c>
    </row>
    <row r="40" spans="1:14" s="17" customFormat="1" ht="15.75" customHeight="1">
      <c r="A40" s="13" t="s">
        <v>49</v>
      </c>
      <c r="B40" s="134">
        <f>_xlfn.COMPOUNDVALUE(109)</f>
        <v>432</v>
      </c>
      <c r="C40" s="135">
        <v>183565</v>
      </c>
      <c r="D40" s="134">
        <f>_xlfn.COMPOUNDVALUE(110)</f>
        <v>1293</v>
      </c>
      <c r="E40" s="135">
        <v>417024</v>
      </c>
      <c r="F40" s="134">
        <f>_xlfn.COMPOUNDVALUE(111)</f>
        <v>1725</v>
      </c>
      <c r="G40" s="135">
        <v>600589</v>
      </c>
      <c r="H40" s="134">
        <f>_xlfn.COMPOUNDVALUE(112)</f>
        <v>22</v>
      </c>
      <c r="I40" s="136">
        <v>5259</v>
      </c>
      <c r="J40" s="134">
        <v>72</v>
      </c>
      <c r="K40" s="136">
        <v>9573</v>
      </c>
      <c r="L40" s="134">
        <f>_xlfn.COMPOUNDVALUE(112)</f>
        <v>1768</v>
      </c>
      <c r="M40" s="136">
        <v>604903</v>
      </c>
      <c r="N40" s="14" t="s">
        <v>126</v>
      </c>
    </row>
    <row r="41" spans="1:14" s="17" customFormat="1" ht="15.75" customHeight="1">
      <c r="A41" s="13" t="s">
        <v>50</v>
      </c>
      <c r="B41" s="134">
        <f>_xlfn.COMPOUNDVALUE(113)</f>
        <v>340</v>
      </c>
      <c r="C41" s="135">
        <v>173744</v>
      </c>
      <c r="D41" s="134">
        <f>_xlfn.COMPOUNDVALUE(114)</f>
        <v>713</v>
      </c>
      <c r="E41" s="135">
        <v>212477</v>
      </c>
      <c r="F41" s="134">
        <f>_xlfn.COMPOUNDVALUE(115)</f>
        <v>1053</v>
      </c>
      <c r="G41" s="135">
        <v>386222</v>
      </c>
      <c r="H41" s="134">
        <f>_xlfn.COMPOUNDVALUE(116)</f>
        <v>29</v>
      </c>
      <c r="I41" s="136">
        <v>5871</v>
      </c>
      <c r="J41" s="134">
        <v>43</v>
      </c>
      <c r="K41" s="136">
        <v>3495</v>
      </c>
      <c r="L41" s="134">
        <f>_xlfn.COMPOUNDVALUE(116)</f>
        <v>1093</v>
      </c>
      <c r="M41" s="136">
        <v>383845</v>
      </c>
      <c r="N41" s="14" t="s">
        <v>127</v>
      </c>
    </row>
    <row r="42" spans="1:14" s="17" customFormat="1" ht="15.75" customHeight="1">
      <c r="A42" s="13" t="s">
        <v>51</v>
      </c>
      <c r="B42" s="134">
        <f>_xlfn.COMPOUNDVALUE(117)</f>
        <v>336</v>
      </c>
      <c r="C42" s="135">
        <v>161138</v>
      </c>
      <c r="D42" s="134">
        <f>_xlfn.COMPOUNDVALUE(118)</f>
        <v>697</v>
      </c>
      <c r="E42" s="135">
        <v>210811</v>
      </c>
      <c r="F42" s="134">
        <f>_xlfn.COMPOUNDVALUE(119)</f>
        <v>1033</v>
      </c>
      <c r="G42" s="135">
        <v>371949</v>
      </c>
      <c r="H42" s="134">
        <f>_xlfn.COMPOUNDVALUE(120)</f>
        <v>27</v>
      </c>
      <c r="I42" s="136">
        <v>6046</v>
      </c>
      <c r="J42" s="134">
        <v>65</v>
      </c>
      <c r="K42" s="136">
        <v>5171</v>
      </c>
      <c r="L42" s="134">
        <f>_xlfn.COMPOUNDVALUE(120)</f>
        <v>1076</v>
      </c>
      <c r="M42" s="136">
        <v>371073</v>
      </c>
      <c r="N42" s="14" t="s">
        <v>128</v>
      </c>
    </row>
    <row r="43" spans="1:14" s="17" customFormat="1" ht="15.75" customHeight="1">
      <c r="A43" s="13" t="s">
        <v>52</v>
      </c>
      <c r="B43" s="134">
        <f>_xlfn.COMPOUNDVALUE(121)</f>
        <v>419</v>
      </c>
      <c r="C43" s="135">
        <v>203216</v>
      </c>
      <c r="D43" s="134">
        <f>_xlfn.COMPOUNDVALUE(122)</f>
        <v>873</v>
      </c>
      <c r="E43" s="135">
        <v>290337</v>
      </c>
      <c r="F43" s="134">
        <f>_xlfn.COMPOUNDVALUE(123)</f>
        <v>1292</v>
      </c>
      <c r="G43" s="135">
        <v>493553</v>
      </c>
      <c r="H43" s="134">
        <f>_xlfn.COMPOUNDVALUE(124)</f>
        <v>28</v>
      </c>
      <c r="I43" s="136">
        <v>6192</v>
      </c>
      <c r="J43" s="134">
        <v>84</v>
      </c>
      <c r="K43" s="136">
        <v>7614</v>
      </c>
      <c r="L43" s="134">
        <f>_xlfn.COMPOUNDVALUE(124)</f>
        <v>1344</v>
      </c>
      <c r="M43" s="136">
        <v>494976</v>
      </c>
      <c r="N43" s="14" t="s">
        <v>129</v>
      </c>
    </row>
    <row r="44" spans="1:14" s="17" customFormat="1" ht="15.75" customHeight="1">
      <c r="A44" s="13" t="s">
        <v>53</v>
      </c>
      <c r="B44" s="134">
        <f>_xlfn.COMPOUNDVALUE(125)</f>
        <v>356</v>
      </c>
      <c r="C44" s="135">
        <v>192213</v>
      </c>
      <c r="D44" s="134">
        <f>_xlfn.COMPOUNDVALUE(126)</f>
        <v>729</v>
      </c>
      <c r="E44" s="135">
        <v>215927</v>
      </c>
      <c r="F44" s="134">
        <f>_xlfn.COMPOUNDVALUE(127)</f>
        <v>1085</v>
      </c>
      <c r="G44" s="135">
        <v>408140</v>
      </c>
      <c r="H44" s="134">
        <f>_xlfn.COMPOUNDVALUE(128)</f>
        <v>14</v>
      </c>
      <c r="I44" s="136">
        <v>2316</v>
      </c>
      <c r="J44" s="134">
        <v>60</v>
      </c>
      <c r="K44" s="136">
        <v>8906</v>
      </c>
      <c r="L44" s="134">
        <f>_xlfn.COMPOUNDVALUE(128)</f>
        <v>1109</v>
      </c>
      <c r="M44" s="136">
        <v>414730</v>
      </c>
      <c r="N44" s="14" t="s">
        <v>130</v>
      </c>
    </row>
    <row r="45" spans="1:14" s="17" customFormat="1" ht="15.75" customHeight="1">
      <c r="A45" s="13" t="s">
        <v>54</v>
      </c>
      <c r="B45" s="134">
        <f>_xlfn.COMPOUNDVALUE(129)</f>
        <v>300</v>
      </c>
      <c r="C45" s="135">
        <v>133926</v>
      </c>
      <c r="D45" s="134">
        <f>_xlfn.COMPOUNDVALUE(130)</f>
        <v>471</v>
      </c>
      <c r="E45" s="135">
        <v>151489</v>
      </c>
      <c r="F45" s="134">
        <f>_xlfn.COMPOUNDVALUE(131)</f>
        <v>771</v>
      </c>
      <c r="G45" s="135">
        <v>285415</v>
      </c>
      <c r="H45" s="134">
        <f>_xlfn.COMPOUNDVALUE(132)</f>
        <v>28</v>
      </c>
      <c r="I45" s="136">
        <v>4832</v>
      </c>
      <c r="J45" s="134">
        <v>24</v>
      </c>
      <c r="K45" s="136">
        <v>1940</v>
      </c>
      <c r="L45" s="134">
        <f>_xlfn.COMPOUNDVALUE(132)</f>
        <v>811</v>
      </c>
      <c r="M45" s="136">
        <v>282523</v>
      </c>
      <c r="N45" s="14" t="s">
        <v>131</v>
      </c>
    </row>
    <row r="46" spans="1:14" s="17" customFormat="1" ht="15.75" customHeight="1">
      <c r="A46" s="13" t="s">
        <v>55</v>
      </c>
      <c r="B46" s="134">
        <f>_xlfn.COMPOUNDVALUE(133)</f>
        <v>430</v>
      </c>
      <c r="C46" s="135">
        <v>187951</v>
      </c>
      <c r="D46" s="134">
        <f>_xlfn.COMPOUNDVALUE(134)</f>
        <v>1033</v>
      </c>
      <c r="E46" s="135">
        <v>323200</v>
      </c>
      <c r="F46" s="134">
        <f>_xlfn.COMPOUNDVALUE(135)</f>
        <v>1463</v>
      </c>
      <c r="G46" s="135">
        <v>511152</v>
      </c>
      <c r="H46" s="134">
        <f>_xlfn.COMPOUNDVALUE(136)</f>
        <v>29</v>
      </c>
      <c r="I46" s="136">
        <v>6401</v>
      </c>
      <c r="J46" s="134">
        <v>50</v>
      </c>
      <c r="K46" s="136">
        <v>2298</v>
      </c>
      <c r="L46" s="134">
        <f>_xlfn.COMPOUNDVALUE(136)</f>
        <v>1500</v>
      </c>
      <c r="M46" s="136">
        <v>507049</v>
      </c>
      <c r="N46" s="14" t="s">
        <v>132</v>
      </c>
    </row>
    <row r="47" spans="1:14" s="17" customFormat="1" ht="15.75" customHeight="1">
      <c r="A47" s="15" t="s">
        <v>56</v>
      </c>
      <c r="B47" s="137">
        <v>3251</v>
      </c>
      <c r="C47" s="138">
        <v>1567149</v>
      </c>
      <c r="D47" s="137">
        <v>6809</v>
      </c>
      <c r="E47" s="138">
        <v>2204222</v>
      </c>
      <c r="F47" s="137">
        <v>10060</v>
      </c>
      <c r="G47" s="138">
        <v>3771372</v>
      </c>
      <c r="H47" s="137">
        <v>218</v>
      </c>
      <c r="I47" s="139">
        <v>50933</v>
      </c>
      <c r="J47" s="137">
        <v>475</v>
      </c>
      <c r="K47" s="139">
        <v>63572</v>
      </c>
      <c r="L47" s="137">
        <v>10413</v>
      </c>
      <c r="M47" s="139">
        <v>3784011</v>
      </c>
      <c r="N47" s="16" t="s">
        <v>133</v>
      </c>
    </row>
    <row r="48" spans="1:14" s="17" customFormat="1" ht="15.75" customHeight="1">
      <c r="A48" s="23"/>
      <c r="B48" s="140"/>
      <c r="C48" s="141"/>
      <c r="D48" s="140"/>
      <c r="E48" s="141"/>
      <c r="F48" s="142"/>
      <c r="G48" s="141"/>
      <c r="H48" s="142"/>
      <c r="I48" s="141"/>
      <c r="J48" s="142"/>
      <c r="K48" s="141"/>
      <c r="L48" s="142"/>
      <c r="M48" s="141"/>
      <c r="N48" s="24"/>
    </row>
    <row r="49" spans="1:14" s="17" customFormat="1" ht="15.75" customHeight="1">
      <c r="A49" s="11" t="s">
        <v>57</v>
      </c>
      <c r="B49" s="131">
        <f>_xlfn.COMPOUNDVALUE(137)</f>
        <v>1021</v>
      </c>
      <c r="C49" s="132">
        <v>522262</v>
      </c>
      <c r="D49" s="131">
        <f>_xlfn.COMPOUNDVALUE(138)</f>
        <v>2193</v>
      </c>
      <c r="E49" s="132">
        <v>742608</v>
      </c>
      <c r="F49" s="131">
        <f>_xlfn.COMPOUNDVALUE(139)</f>
        <v>3214</v>
      </c>
      <c r="G49" s="132">
        <v>1264870</v>
      </c>
      <c r="H49" s="131">
        <f>_xlfn.COMPOUNDVALUE(140)</f>
        <v>54</v>
      </c>
      <c r="I49" s="133">
        <v>21149</v>
      </c>
      <c r="J49" s="131">
        <v>249</v>
      </c>
      <c r="K49" s="133">
        <v>30717</v>
      </c>
      <c r="L49" s="131">
        <f>_xlfn.COMPOUNDVALUE(140)</f>
        <v>3349</v>
      </c>
      <c r="M49" s="133">
        <v>1274438</v>
      </c>
      <c r="N49" s="25" t="s">
        <v>134</v>
      </c>
    </row>
    <row r="50" spans="1:14" s="17" customFormat="1" ht="15.75" customHeight="1">
      <c r="A50" s="13" t="s">
        <v>58</v>
      </c>
      <c r="B50" s="134">
        <f>_xlfn.COMPOUNDVALUE(141)</f>
        <v>572</v>
      </c>
      <c r="C50" s="135">
        <v>307491</v>
      </c>
      <c r="D50" s="134">
        <f>_xlfn.COMPOUNDVALUE(142)</f>
        <v>1131</v>
      </c>
      <c r="E50" s="135">
        <v>363101</v>
      </c>
      <c r="F50" s="134">
        <f>_xlfn.COMPOUNDVALUE(143)</f>
        <v>1703</v>
      </c>
      <c r="G50" s="135">
        <v>670592</v>
      </c>
      <c r="H50" s="134">
        <f>_xlfn.COMPOUNDVALUE(144)</f>
        <v>49</v>
      </c>
      <c r="I50" s="136">
        <v>20934</v>
      </c>
      <c r="J50" s="134">
        <v>96</v>
      </c>
      <c r="K50" s="136">
        <v>8299</v>
      </c>
      <c r="L50" s="134">
        <f>_xlfn.COMPOUNDVALUE(144)</f>
        <v>1784</v>
      </c>
      <c r="M50" s="136">
        <v>657957</v>
      </c>
      <c r="N50" s="14" t="s">
        <v>135</v>
      </c>
    </row>
    <row r="51" spans="1:14" s="17" customFormat="1" ht="15.75" customHeight="1">
      <c r="A51" s="13" t="s">
        <v>59</v>
      </c>
      <c r="B51" s="134">
        <f>_xlfn.COMPOUNDVALUE(145)</f>
        <v>529</v>
      </c>
      <c r="C51" s="135">
        <v>293610</v>
      </c>
      <c r="D51" s="134">
        <f>_xlfn.COMPOUNDVALUE(146)</f>
        <v>1411</v>
      </c>
      <c r="E51" s="135">
        <v>427472</v>
      </c>
      <c r="F51" s="134">
        <f>_xlfn.COMPOUNDVALUE(147)</f>
        <v>1940</v>
      </c>
      <c r="G51" s="135">
        <v>721082</v>
      </c>
      <c r="H51" s="134">
        <f>_xlfn.COMPOUNDVALUE(148)</f>
        <v>36</v>
      </c>
      <c r="I51" s="136">
        <v>9111</v>
      </c>
      <c r="J51" s="134">
        <v>143</v>
      </c>
      <c r="K51" s="136">
        <v>13657</v>
      </c>
      <c r="L51" s="134">
        <f>_xlfn.COMPOUNDVALUE(148)</f>
        <v>2010</v>
      </c>
      <c r="M51" s="136">
        <v>725628</v>
      </c>
      <c r="N51" s="14" t="s">
        <v>136</v>
      </c>
    </row>
    <row r="52" spans="1:14" s="17" customFormat="1" ht="15.75" customHeight="1">
      <c r="A52" s="13" t="s">
        <v>60</v>
      </c>
      <c r="B52" s="134">
        <f>_xlfn.COMPOUNDVALUE(149)</f>
        <v>388</v>
      </c>
      <c r="C52" s="135">
        <v>176606</v>
      </c>
      <c r="D52" s="134">
        <f>_xlfn.COMPOUNDVALUE(150)</f>
        <v>898</v>
      </c>
      <c r="E52" s="135">
        <v>263168</v>
      </c>
      <c r="F52" s="134">
        <f>_xlfn.COMPOUNDVALUE(151)</f>
        <v>1286</v>
      </c>
      <c r="G52" s="135">
        <v>439774</v>
      </c>
      <c r="H52" s="134">
        <f>_xlfn.COMPOUNDVALUE(152)</f>
        <v>30</v>
      </c>
      <c r="I52" s="136">
        <v>7999</v>
      </c>
      <c r="J52" s="134">
        <v>57</v>
      </c>
      <c r="K52" s="136">
        <v>3151</v>
      </c>
      <c r="L52" s="134">
        <f>_xlfn.COMPOUNDVALUE(152)</f>
        <v>1329</v>
      </c>
      <c r="M52" s="136">
        <v>434927</v>
      </c>
      <c r="N52" s="14" t="s">
        <v>137</v>
      </c>
    </row>
    <row r="53" spans="1:14" s="17" customFormat="1" ht="15.75" customHeight="1">
      <c r="A53" s="13" t="s">
        <v>61</v>
      </c>
      <c r="B53" s="134">
        <f>_xlfn.COMPOUNDVALUE(153)</f>
        <v>399</v>
      </c>
      <c r="C53" s="135">
        <v>209708</v>
      </c>
      <c r="D53" s="134">
        <f>_xlfn.COMPOUNDVALUE(154)</f>
        <v>744</v>
      </c>
      <c r="E53" s="135">
        <v>247943</v>
      </c>
      <c r="F53" s="134">
        <f>_xlfn.COMPOUNDVALUE(155)</f>
        <v>1143</v>
      </c>
      <c r="G53" s="135">
        <v>457651</v>
      </c>
      <c r="H53" s="134">
        <f>_xlfn.COMPOUNDVALUE(156)</f>
        <v>36</v>
      </c>
      <c r="I53" s="136">
        <v>5465</v>
      </c>
      <c r="J53" s="134">
        <v>60</v>
      </c>
      <c r="K53" s="136">
        <v>4750</v>
      </c>
      <c r="L53" s="134">
        <f>_xlfn.COMPOUNDVALUE(156)</f>
        <v>1194</v>
      </c>
      <c r="M53" s="136">
        <v>456936</v>
      </c>
      <c r="N53" s="14" t="s">
        <v>138</v>
      </c>
    </row>
    <row r="54" spans="1:14" s="17" customFormat="1" ht="15.75" customHeight="1">
      <c r="A54" s="13" t="s">
        <v>62</v>
      </c>
      <c r="B54" s="134">
        <f>_xlfn.COMPOUNDVALUE(157)</f>
        <v>290</v>
      </c>
      <c r="C54" s="135">
        <v>148830</v>
      </c>
      <c r="D54" s="134">
        <f>_xlfn.COMPOUNDVALUE(158)</f>
        <v>684</v>
      </c>
      <c r="E54" s="135">
        <v>219819</v>
      </c>
      <c r="F54" s="134">
        <f>_xlfn.COMPOUNDVALUE(159)</f>
        <v>974</v>
      </c>
      <c r="G54" s="135">
        <v>368648</v>
      </c>
      <c r="H54" s="134">
        <f>_xlfn.COMPOUNDVALUE(160)</f>
        <v>38</v>
      </c>
      <c r="I54" s="136">
        <v>7737</v>
      </c>
      <c r="J54" s="134">
        <v>42</v>
      </c>
      <c r="K54" s="136">
        <v>1973</v>
      </c>
      <c r="L54" s="134">
        <f>_xlfn.COMPOUNDVALUE(160)</f>
        <v>1019</v>
      </c>
      <c r="M54" s="136">
        <v>362885</v>
      </c>
      <c r="N54" s="14" t="s">
        <v>139</v>
      </c>
    </row>
    <row r="55" spans="1:14" s="17" customFormat="1" ht="15.75" customHeight="1">
      <c r="A55" s="13" t="s">
        <v>63</v>
      </c>
      <c r="B55" s="134">
        <f>_xlfn.COMPOUNDVALUE(161)</f>
        <v>466</v>
      </c>
      <c r="C55" s="135">
        <v>238165</v>
      </c>
      <c r="D55" s="134">
        <f>_xlfn.COMPOUNDVALUE(162)</f>
        <v>900</v>
      </c>
      <c r="E55" s="135">
        <v>295596</v>
      </c>
      <c r="F55" s="134">
        <f>_xlfn.COMPOUNDVALUE(163)</f>
        <v>1366</v>
      </c>
      <c r="G55" s="135">
        <v>533761</v>
      </c>
      <c r="H55" s="134">
        <f>_xlfn.COMPOUNDVALUE(164)</f>
        <v>40</v>
      </c>
      <c r="I55" s="136">
        <v>11302</v>
      </c>
      <c r="J55" s="134">
        <v>81</v>
      </c>
      <c r="K55" s="136">
        <v>5975</v>
      </c>
      <c r="L55" s="134">
        <f>_xlfn.COMPOUNDVALUE(164)</f>
        <v>1434</v>
      </c>
      <c r="M55" s="136">
        <v>528434</v>
      </c>
      <c r="N55" s="14" t="s">
        <v>140</v>
      </c>
    </row>
    <row r="56" spans="1:14" s="17" customFormat="1" ht="15.75" customHeight="1">
      <c r="A56" s="13" t="s">
        <v>64</v>
      </c>
      <c r="B56" s="134">
        <f>_xlfn.COMPOUNDVALUE(165)</f>
        <v>264</v>
      </c>
      <c r="C56" s="135">
        <v>111789</v>
      </c>
      <c r="D56" s="134">
        <f>_xlfn.COMPOUNDVALUE(166)</f>
        <v>451</v>
      </c>
      <c r="E56" s="135">
        <v>140790</v>
      </c>
      <c r="F56" s="134">
        <f>_xlfn.COMPOUNDVALUE(167)</f>
        <v>715</v>
      </c>
      <c r="G56" s="135">
        <v>252579</v>
      </c>
      <c r="H56" s="134">
        <f>_xlfn.COMPOUNDVALUE(168)</f>
        <v>25</v>
      </c>
      <c r="I56" s="136">
        <v>10003</v>
      </c>
      <c r="J56" s="134">
        <v>33</v>
      </c>
      <c r="K56" s="136">
        <v>-588</v>
      </c>
      <c r="L56" s="134">
        <f>_xlfn.COMPOUNDVALUE(168)</f>
        <v>753</v>
      </c>
      <c r="M56" s="136">
        <v>241988</v>
      </c>
      <c r="N56" s="14" t="s">
        <v>141</v>
      </c>
    </row>
    <row r="57" spans="1:14" s="17" customFormat="1" ht="15.75" customHeight="1">
      <c r="A57" s="15" t="s">
        <v>65</v>
      </c>
      <c r="B57" s="137">
        <v>3929</v>
      </c>
      <c r="C57" s="138">
        <v>2008461</v>
      </c>
      <c r="D57" s="137">
        <v>8412</v>
      </c>
      <c r="E57" s="138">
        <v>2700497</v>
      </c>
      <c r="F57" s="137">
        <v>12341</v>
      </c>
      <c r="G57" s="138">
        <v>4708959</v>
      </c>
      <c r="H57" s="137">
        <v>308</v>
      </c>
      <c r="I57" s="139">
        <v>93701</v>
      </c>
      <c r="J57" s="137">
        <v>761</v>
      </c>
      <c r="K57" s="139">
        <v>67934</v>
      </c>
      <c r="L57" s="137">
        <v>12872</v>
      </c>
      <c r="M57" s="139">
        <v>4683191</v>
      </c>
      <c r="N57" s="16" t="s">
        <v>142</v>
      </c>
    </row>
    <row r="58" spans="1:14" s="17" customFormat="1" ht="15.75" customHeight="1">
      <c r="A58" s="23"/>
      <c r="B58" s="140"/>
      <c r="C58" s="141"/>
      <c r="D58" s="140"/>
      <c r="E58" s="141"/>
      <c r="F58" s="142"/>
      <c r="G58" s="141"/>
      <c r="H58" s="142"/>
      <c r="I58" s="141"/>
      <c r="J58" s="142"/>
      <c r="K58" s="141"/>
      <c r="L58" s="142"/>
      <c r="M58" s="141"/>
      <c r="N58" s="24"/>
    </row>
    <row r="59" spans="1:14" s="17" customFormat="1" ht="15.75" customHeight="1">
      <c r="A59" s="11" t="s">
        <v>66</v>
      </c>
      <c r="B59" s="131">
        <f>_xlfn.COMPOUNDVALUE(169)</f>
        <v>887</v>
      </c>
      <c r="C59" s="132">
        <v>418579</v>
      </c>
      <c r="D59" s="131">
        <f>_xlfn.COMPOUNDVALUE(170)</f>
        <v>1724</v>
      </c>
      <c r="E59" s="132">
        <v>618656</v>
      </c>
      <c r="F59" s="131">
        <f>_xlfn.COMPOUNDVALUE(171)</f>
        <v>2611</v>
      </c>
      <c r="G59" s="132">
        <v>1037235</v>
      </c>
      <c r="H59" s="131">
        <f>_xlfn.COMPOUNDVALUE(172)</f>
        <v>70</v>
      </c>
      <c r="I59" s="133">
        <v>55660</v>
      </c>
      <c r="J59" s="131">
        <v>210</v>
      </c>
      <c r="K59" s="133">
        <v>28276</v>
      </c>
      <c r="L59" s="131">
        <f>_xlfn.COMPOUNDVALUE(172)</f>
        <v>2761</v>
      </c>
      <c r="M59" s="133">
        <v>1009851</v>
      </c>
      <c r="N59" s="25" t="s">
        <v>144</v>
      </c>
    </row>
    <row r="60" spans="1:14" s="17" customFormat="1" ht="15.75" customHeight="1">
      <c r="A60" s="11" t="s">
        <v>67</v>
      </c>
      <c r="B60" s="131">
        <f>_xlfn.COMPOUNDVALUE(173)</f>
        <v>523</v>
      </c>
      <c r="C60" s="132">
        <v>266296</v>
      </c>
      <c r="D60" s="131">
        <f>_xlfn.COMPOUNDVALUE(174)</f>
        <v>1269</v>
      </c>
      <c r="E60" s="132">
        <v>408342</v>
      </c>
      <c r="F60" s="131">
        <f>_xlfn.COMPOUNDVALUE(175)</f>
        <v>1792</v>
      </c>
      <c r="G60" s="132">
        <v>674638</v>
      </c>
      <c r="H60" s="131">
        <f>_xlfn.COMPOUNDVALUE(176)</f>
        <v>47</v>
      </c>
      <c r="I60" s="133">
        <v>16623</v>
      </c>
      <c r="J60" s="131">
        <v>100</v>
      </c>
      <c r="K60" s="133">
        <v>14836</v>
      </c>
      <c r="L60" s="131">
        <f>_xlfn.COMPOUNDVALUE(176)</f>
        <v>1865</v>
      </c>
      <c r="M60" s="133">
        <v>672851</v>
      </c>
      <c r="N60" s="12" t="s">
        <v>145</v>
      </c>
    </row>
    <row r="61" spans="1:14" s="17" customFormat="1" ht="15.75" customHeight="1">
      <c r="A61" s="11" t="s">
        <v>68</v>
      </c>
      <c r="B61" s="131">
        <f>_xlfn.COMPOUNDVALUE(177)</f>
        <v>1093</v>
      </c>
      <c r="C61" s="132">
        <v>516820</v>
      </c>
      <c r="D61" s="131">
        <f>_xlfn.COMPOUNDVALUE(178)</f>
        <v>1788</v>
      </c>
      <c r="E61" s="132">
        <v>632410</v>
      </c>
      <c r="F61" s="131">
        <f>_xlfn.COMPOUNDVALUE(179)</f>
        <v>2881</v>
      </c>
      <c r="G61" s="132">
        <v>1149229</v>
      </c>
      <c r="H61" s="131">
        <f>_xlfn.COMPOUNDVALUE(180)</f>
        <v>107</v>
      </c>
      <c r="I61" s="133">
        <v>57487</v>
      </c>
      <c r="J61" s="131">
        <v>187</v>
      </c>
      <c r="K61" s="133">
        <v>32423</v>
      </c>
      <c r="L61" s="131">
        <f>_xlfn.COMPOUNDVALUE(180)</f>
        <v>3090</v>
      </c>
      <c r="M61" s="133">
        <v>1124165</v>
      </c>
      <c r="N61" s="12" t="s">
        <v>146</v>
      </c>
    </row>
    <row r="62" spans="1:14" s="17" customFormat="1" ht="15.75" customHeight="1">
      <c r="A62" s="13" t="s">
        <v>69</v>
      </c>
      <c r="B62" s="134">
        <f>_xlfn.COMPOUNDVALUE(181)</f>
        <v>994</v>
      </c>
      <c r="C62" s="135">
        <v>488279</v>
      </c>
      <c r="D62" s="134">
        <f>_xlfn.COMPOUNDVALUE(182)</f>
        <v>1463</v>
      </c>
      <c r="E62" s="135">
        <v>552462</v>
      </c>
      <c r="F62" s="134">
        <f>_xlfn.COMPOUNDVALUE(183)</f>
        <v>2457</v>
      </c>
      <c r="G62" s="135">
        <v>1040741</v>
      </c>
      <c r="H62" s="134">
        <f>_xlfn.COMPOUNDVALUE(184)</f>
        <v>76</v>
      </c>
      <c r="I62" s="136">
        <v>57670</v>
      </c>
      <c r="J62" s="134">
        <v>162</v>
      </c>
      <c r="K62" s="136">
        <v>66002</v>
      </c>
      <c r="L62" s="134">
        <f>_xlfn.COMPOUNDVALUE(184)</f>
        <v>2623</v>
      </c>
      <c r="M62" s="136">
        <v>1049073</v>
      </c>
      <c r="N62" s="14" t="s">
        <v>69</v>
      </c>
    </row>
    <row r="63" spans="1:14" s="17" customFormat="1" ht="15.75" customHeight="1">
      <c r="A63" s="13" t="s">
        <v>70</v>
      </c>
      <c r="B63" s="134">
        <f>_xlfn.COMPOUNDVALUE(185)</f>
        <v>519</v>
      </c>
      <c r="C63" s="135">
        <v>247299</v>
      </c>
      <c r="D63" s="134">
        <f>_xlfn.COMPOUNDVALUE(186)</f>
        <v>954</v>
      </c>
      <c r="E63" s="135">
        <v>327800</v>
      </c>
      <c r="F63" s="134">
        <f>_xlfn.COMPOUNDVALUE(187)</f>
        <v>1473</v>
      </c>
      <c r="G63" s="135">
        <v>575099</v>
      </c>
      <c r="H63" s="134">
        <f>_xlfn.COMPOUNDVALUE(188)</f>
        <v>62</v>
      </c>
      <c r="I63" s="136">
        <v>27322</v>
      </c>
      <c r="J63" s="134">
        <v>72</v>
      </c>
      <c r="K63" s="136">
        <v>13309</v>
      </c>
      <c r="L63" s="134">
        <f>_xlfn.COMPOUNDVALUE(188)</f>
        <v>1562</v>
      </c>
      <c r="M63" s="136">
        <v>561086</v>
      </c>
      <c r="N63" s="14" t="s">
        <v>147</v>
      </c>
    </row>
    <row r="64" spans="1:14" s="17" customFormat="1" ht="15.75" customHeight="1">
      <c r="A64" s="13" t="s">
        <v>71</v>
      </c>
      <c r="B64" s="134">
        <f>_xlfn.COMPOUNDVALUE(189)</f>
        <v>449</v>
      </c>
      <c r="C64" s="135">
        <v>176084</v>
      </c>
      <c r="D64" s="134">
        <f>_xlfn.COMPOUNDVALUE(190)</f>
        <v>798</v>
      </c>
      <c r="E64" s="135">
        <v>239857</v>
      </c>
      <c r="F64" s="134">
        <f>_xlfn.COMPOUNDVALUE(191)</f>
        <v>1247</v>
      </c>
      <c r="G64" s="135">
        <v>415942</v>
      </c>
      <c r="H64" s="134">
        <f>_xlfn.COMPOUNDVALUE(192)</f>
        <v>45</v>
      </c>
      <c r="I64" s="136">
        <v>14024</v>
      </c>
      <c r="J64" s="134">
        <v>125</v>
      </c>
      <c r="K64" s="136">
        <v>21064</v>
      </c>
      <c r="L64" s="134">
        <f>_xlfn.COMPOUNDVALUE(192)</f>
        <v>1366</v>
      </c>
      <c r="M64" s="136">
        <v>422982</v>
      </c>
      <c r="N64" s="14" t="s">
        <v>148</v>
      </c>
    </row>
    <row r="65" spans="1:14" s="17" customFormat="1" ht="15.75" customHeight="1">
      <c r="A65" s="13" t="s">
        <v>72</v>
      </c>
      <c r="B65" s="134">
        <f>_xlfn.COMPOUNDVALUE(193)</f>
        <v>177</v>
      </c>
      <c r="C65" s="135">
        <v>75384</v>
      </c>
      <c r="D65" s="134">
        <f>_xlfn.COMPOUNDVALUE(194)</f>
        <v>390</v>
      </c>
      <c r="E65" s="135">
        <v>117723</v>
      </c>
      <c r="F65" s="134">
        <f>_xlfn.COMPOUNDVALUE(195)</f>
        <v>567</v>
      </c>
      <c r="G65" s="135">
        <v>193107</v>
      </c>
      <c r="H65" s="134">
        <f>_xlfn.COMPOUNDVALUE(196)</f>
        <v>31</v>
      </c>
      <c r="I65" s="136">
        <v>6347</v>
      </c>
      <c r="J65" s="134">
        <v>19</v>
      </c>
      <c r="K65" s="136">
        <v>1836</v>
      </c>
      <c r="L65" s="134">
        <f>_xlfn.COMPOUNDVALUE(196)</f>
        <v>602</v>
      </c>
      <c r="M65" s="136">
        <v>188596</v>
      </c>
      <c r="N65" s="14" t="s">
        <v>149</v>
      </c>
    </row>
    <row r="66" spans="1:14" s="17" customFormat="1" ht="15.75" customHeight="1">
      <c r="A66" s="13" t="s">
        <v>73</v>
      </c>
      <c r="B66" s="134">
        <f>_xlfn.COMPOUNDVALUE(197)</f>
        <v>398</v>
      </c>
      <c r="C66" s="135">
        <v>273889</v>
      </c>
      <c r="D66" s="134">
        <f>_xlfn.COMPOUNDVALUE(198)</f>
        <v>616</v>
      </c>
      <c r="E66" s="135">
        <v>250639</v>
      </c>
      <c r="F66" s="134">
        <f>_xlfn.COMPOUNDVALUE(199)</f>
        <v>1014</v>
      </c>
      <c r="G66" s="135">
        <v>524528</v>
      </c>
      <c r="H66" s="134">
        <f>_xlfn.COMPOUNDVALUE(200)</f>
        <v>101</v>
      </c>
      <c r="I66" s="136">
        <v>110524</v>
      </c>
      <c r="J66" s="134">
        <v>53</v>
      </c>
      <c r="K66" s="136">
        <v>-3472</v>
      </c>
      <c r="L66" s="134">
        <f>_xlfn.COMPOUNDVALUE(200)</f>
        <v>1135</v>
      </c>
      <c r="M66" s="136">
        <v>410533</v>
      </c>
      <c r="N66" s="14" t="s">
        <v>150</v>
      </c>
    </row>
    <row r="67" spans="1:14" s="17" customFormat="1" ht="15.75" customHeight="1">
      <c r="A67" s="13" t="s">
        <v>74</v>
      </c>
      <c r="B67" s="134">
        <f>_xlfn.COMPOUNDVALUE(201)</f>
        <v>300</v>
      </c>
      <c r="C67" s="135">
        <v>136727</v>
      </c>
      <c r="D67" s="134">
        <f>_xlfn.COMPOUNDVALUE(202)</f>
        <v>484</v>
      </c>
      <c r="E67" s="135">
        <v>170080</v>
      </c>
      <c r="F67" s="134">
        <f>_xlfn.COMPOUNDVALUE(203)</f>
        <v>784</v>
      </c>
      <c r="G67" s="135">
        <v>306807</v>
      </c>
      <c r="H67" s="134">
        <f>_xlfn.COMPOUNDVALUE(204)</f>
        <v>40</v>
      </c>
      <c r="I67" s="136">
        <v>14674</v>
      </c>
      <c r="J67" s="134">
        <v>34</v>
      </c>
      <c r="K67" s="136">
        <v>4327</v>
      </c>
      <c r="L67" s="134">
        <f>_xlfn.COMPOUNDVALUE(204)</f>
        <v>837</v>
      </c>
      <c r="M67" s="136">
        <v>296460</v>
      </c>
      <c r="N67" s="14" t="s">
        <v>151</v>
      </c>
    </row>
    <row r="68" spans="1:14" s="17" customFormat="1" ht="15.75" customHeight="1">
      <c r="A68" s="13" t="s">
        <v>75</v>
      </c>
      <c r="B68" s="134">
        <f>_xlfn.COMPOUNDVALUE(205)</f>
        <v>115</v>
      </c>
      <c r="C68" s="135">
        <v>63524</v>
      </c>
      <c r="D68" s="134">
        <f>_xlfn.COMPOUNDVALUE(206)</f>
        <v>227</v>
      </c>
      <c r="E68" s="135">
        <v>73870</v>
      </c>
      <c r="F68" s="134">
        <f>_xlfn.COMPOUNDVALUE(207)</f>
        <v>342</v>
      </c>
      <c r="G68" s="135">
        <v>137394</v>
      </c>
      <c r="H68" s="134">
        <f>_xlfn.COMPOUNDVALUE(208)</f>
        <v>10</v>
      </c>
      <c r="I68" s="136">
        <v>9358</v>
      </c>
      <c r="J68" s="134">
        <v>10</v>
      </c>
      <c r="K68" s="136">
        <v>1085</v>
      </c>
      <c r="L68" s="134">
        <f>_xlfn.COMPOUNDVALUE(208)</f>
        <v>353</v>
      </c>
      <c r="M68" s="136">
        <v>129122</v>
      </c>
      <c r="N68" s="14" t="s">
        <v>152</v>
      </c>
    </row>
    <row r="69" spans="1:14" s="17" customFormat="1" ht="15.75" customHeight="1">
      <c r="A69" s="15" t="s">
        <v>76</v>
      </c>
      <c r="B69" s="137">
        <v>5455</v>
      </c>
      <c r="C69" s="138">
        <v>2662881</v>
      </c>
      <c r="D69" s="137">
        <v>9713</v>
      </c>
      <c r="E69" s="138">
        <v>3391838</v>
      </c>
      <c r="F69" s="137">
        <v>15168</v>
      </c>
      <c r="G69" s="138">
        <v>6054719</v>
      </c>
      <c r="H69" s="137">
        <v>589</v>
      </c>
      <c r="I69" s="139">
        <v>369690</v>
      </c>
      <c r="J69" s="137">
        <v>972</v>
      </c>
      <c r="K69" s="139">
        <v>179687</v>
      </c>
      <c r="L69" s="137">
        <v>16194</v>
      </c>
      <c r="M69" s="139">
        <v>5864715</v>
      </c>
      <c r="N69" s="16" t="s">
        <v>153</v>
      </c>
    </row>
    <row r="70" spans="1:15" s="17" customFormat="1" ht="15.75" customHeight="1" thickBot="1">
      <c r="A70" s="18"/>
      <c r="B70" s="146"/>
      <c r="C70" s="147"/>
      <c r="D70" s="146"/>
      <c r="E70" s="147"/>
      <c r="F70" s="148"/>
      <c r="G70" s="147"/>
      <c r="H70" s="148"/>
      <c r="I70" s="147"/>
      <c r="J70" s="148"/>
      <c r="K70" s="147"/>
      <c r="L70" s="148"/>
      <c r="M70" s="147"/>
      <c r="N70" s="19"/>
      <c r="O70" s="37"/>
    </row>
    <row r="71" spans="1:14" s="17" customFormat="1" ht="15.75" customHeight="1" thickBot="1" thickTop="1">
      <c r="A71" s="21" t="s">
        <v>18</v>
      </c>
      <c r="B71" s="149">
        <v>29616</v>
      </c>
      <c r="C71" s="150">
        <v>15543957</v>
      </c>
      <c r="D71" s="149">
        <v>51740</v>
      </c>
      <c r="E71" s="150">
        <v>17673166</v>
      </c>
      <c r="F71" s="149">
        <v>81356</v>
      </c>
      <c r="G71" s="150">
        <v>33217122</v>
      </c>
      <c r="H71" s="149">
        <v>2588</v>
      </c>
      <c r="I71" s="151">
        <v>1290703</v>
      </c>
      <c r="J71" s="149">
        <v>5291</v>
      </c>
      <c r="K71" s="151">
        <v>713564</v>
      </c>
      <c r="L71" s="149">
        <v>85962</v>
      </c>
      <c r="M71" s="151">
        <v>32639984</v>
      </c>
      <c r="N71" s="22" t="s">
        <v>96</v>
      </c>
    </row>
    <row r="72" spans="1:14" ht="13.5">
      <c r="A72" s="223" t="s">
        <v>242</v>
      </c>
      <c r="B72" s="223"/>
      <c r="C72" s="223"/>
      <c r="D72" s="223"/>
      <c r="E72" s="223"/>
      <c r="F72" s="223"/>
      <c r="G72" s="223"/>
      <c r="H72" s="223"/>
      <c r="I72" s="223"/>
      <c r="J72" s="26"/>
      <c r="K72" s="26"/>
      <c r="L72" s="2"/>
      <c r="M72" s="2"/>
      <c r="N72" s="2"/>
    </row>
    <row r="74" spans="2:10" ht="13.5">
      <c r="B74" s="27"/>
      <c r="C74" s="27"/>
      <c r="D74" s="27"/>
      <c r="E74" s="27"/>
      <c r="F74" s="27"/>
      <c r="G74" s="27"/>
      <c r="H74" s="27"/>
      <c r="J74" s="27"/>
    </row>
    <row r="75" spans="2:10" ht="13.5">
      <c r="B75" s="27"/>
      <c r="C75" s="27"/>
      <c r="D75" s="27"/>
      <c r="E75" s="27"/>
      <c r="F75" s="27"/>
      <c r="G75" s="27"/>
      <c r="H75" s="27"/>
      <c r="J75" s="27"/>
    </row>
    <row r="76" spans="2:10" ht="13.5">
      <c r="B76" s="27"/>
      <c r="C76" s="27"/>
      <c r="D76" s="27"/>
      <c r="E76" s="27"/>
      <c r="F76" s="27"/>
      <c r="G76" s="27"/>
      <c r="H76" s="27"/>
      <c r="J76" s="27"/>
    </row>
    <row r="77" spans="2:10" ht="13.5">
      <c r="B77" s="27"/>
      <c r="C77" s="27"/>
      <c r="D77" s="27"/>
      <c r="E77" s="27"/>
      <c r="F77" s="27"/>
      <c r="G77" s="27"/>
      <c r="H77" s="27"/>
      <c r="J77" s="27"/>
    </row>
    <row r="78" spans="2:10" ht="13.5">
      <c r="B78" s="27"/>
      <c r="C78" s="27"/>
      <c r="D78" s="27"/>
      <c r="E78" s="27"/>
      <c r="F78" s="27"/>
      <c r="G78" s="27"/>
      <c r="H78" s="27"/>
      <c r="J78" s="27"/>
    </row>
    <row r="79" spans="2:10" ht="13.5">
      <c r="B79" s="27"/>
      <c r="C79" s="27"/>
      <c r="D79" s="27"/>
      <c r="E79" s="27"/>
      <c r="F79" s="27"/>
      <c r="G79" s="27"/>
      <c r="H79" s="27"/>
      <c r="J79" s="27"/>
    </row>
    <row r="80" spans="2:10" ht="13.5">
      <c r="B80" s="27"/>
      <c r="C80" s="27"/>
      <c r="D80" s="27"/>
      <c r="E80" s="27"/>
      <c r="F80" s="27"/>
      <c r="G80" s="27"/>
      <c r="H80" s="27"/>
      <c r="J80" s="27"/>
    </row>
    <row r="81" spans="2:10" ht="13.5">
      <c r="B81" s="27"/>
      <c r="C81" s="27"/>
      <c r="D81" s="27"/>
      <c r="E81" s="27"/>
      <c r="F81" s="27"/>
      <c r="G81" s="27"/>
      <c r="H81" s="27"/>
      <c r="J81" s="27"/>
    </row>
    <row r="82" spans="2:10" ht="13.5">
      <c r="B82" s="27"/>
      <c r="C82" s="27"/>
      <c r="D82" s="27"/>
      <c r="E82" s="27"/>
      <c r="F82" s="27"/>
      <c r="G82" s="27"/>
      <c r="H82" s="27"/>
      <c r="J82" s="27"/>
    </row>
    <row r="83" spans="2:10" ht="13.5">
      <c r="B83" s="27"/>
      <c r="C83" s="27"/>
      <c r="D83" s="27"/>
      <c r="E83" s="27"/>
      <c r="F83" s="27"/>
      <c r="G83" s="27"/>
      <c r="H83" s="27"/>
      <c r="J83" s="27"/>
    </row>
    <row r="84" spans="2:10" ht="13.5">
      <c r="B84" s="27"/>
      <c r="C84" s="27"/>
      <c r="D84" s="27"/>
      <c r="E84" s="27"/>
      <c r="F84" s="27"/>
      <c r="G84" s="27"/>
      <c r="H84" s="27"/>
      <c r="J84" s="27"/>
    </row>
    <row r="85" spans="2:10" ht="13.5">
      <c r="B85" s="27"/>
      <c r="C85" s="27"/>
      <c r="D85" s="27"/>
      <c r="E85" s="27"/>
      <c r="F85" s="27"/>
      <c r="G85" s="27"/>
      <c r="H85" s="27"/>
      <c r="J85" s="27"/>
    </row>
    <row r="86" spans="2:10" ht="13.5">
      <c r="B86" s="27"/>
      <c r="C86" s="27"/>
      <c r="D86" s="27"/>
      <c r="E86" s="27"/>
      <c r="F86" s="27"/>
      <c r="G86" s="27"/>
      <c r="H86" s="27"/>
      <c r="J86" s="27"/>
    </row>
  </sheetData>
  <sheetProtection/>
  <mergeCells count="11">
    <mergeCell ref="L3:M4"/>
    <mergeCell ref="A72:I72"/>
    <mergeCell ref="A2:G2"/>
    <mergeCell ref="A3:A5"/>
    <mergeCell ref="B3:G3"/>
    <mergeCell ref="H3:I4"/>
    <mergeCell ref="N3:N5"/>
    <mergeCell ref="B4:C4"/>
    <mergeCell ref="D4:E4"/>
    <mergeCell ref="F4:G4"/>
    <mergeCell ref="J3:K4"/>
  </mergeCells>
  <printOptions horizontalCentered="1"/>
  <pageMargins left="0.5905511811023623" right="0.5905511811023623" top="0.7874015748031497" bottom="0.7874015748031497" header="0.5118110236220472" footer="0.5118110236220472"/>
  <pageSetup fitToHeight="0" horizontalDpi="600" verticalDpi="600" orientation="landscape" paperSize="9" scale="80" r:id="rId1"/>
  <headerFooter alignWithMargins="0">
    <oddFooter>&amp;R仙台国税局
消費税
(H26)</oddFooter>
  </headerFooter>
  <rowBreaks count="1" manualBreakCount="1">
    <brk id="38" max="13" man="1"/>
  </rowBreaks>
</worksheet>
</file>

<file path=xl/worksheets/sheet5.xml><?xml version="1.0" encoding="utf-8"?>
<worksheet xmlns="http://schemas.openxmlformats.org/spreadsheetml/2006/main" xmlns:r="http://schemas.openxmlformats.org/officeDocument/2006/relationships">
  <dimension ref="A1:N72"/>
  <sheetViews>
    <sheetView showGridLines="0" zoomScalePageLayoutView="0" workbookViewId="0" topLeftCell="A1">
      <selection activeCell="A1" sqref="A1"/>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77</v>
      </c>
      <c r="B1" s="1"/>
      <c r="C1" s="1"/>
      <c r="D1" s="1"/>
      <c r="E1" s="1"/>
      <c r="F1" s="1"/>
      <c r="G1" s="1"/>
      <c r="H1" s="1"/>
      <c r="I1" s="1"/>
      <c r="J1" s="1"/>
      <c r="K1" s="1"/>
      <c r="L1" s="2"/>
      <c r="M1" s="2"/>
    </row>
    <row r="2" spans="1:13" ht="14.25" thickBot="1">
      <c r="A2" s="238" t="s">
        <v>78</v>
      </c>
      <c r="B2" s="238"/>
      <c r="C2" s="238"/>
      <c r="D2" s="238"/>
      <c r="E2" s="238"/>
      <c r="F2" s="238"/>
      <c r="G2" s="238"/>
      <c r="H2" s="238"/>
      <c r="I2" s="238"/>
      <c r="J2" s="26"/>
      <c r="K2" s="26"/>
      <c r="L2" s="2"/>
      <c r="M2" s="2"/>
    </row>
    <row r="3" spans="1:14" ht="19.5" customHeight="1">
      <c r="A3" s="224" t="s">
        <v>2</v>
      </c>
      <c r="B3" s="227" t="s">
        <v>3</v>
      </c>
      <c r="C3" s="227"/>
      <c r="D3" s="227"/>
      <c r="E3" s="227"/>
      <c r="F3" s="227"/>
      <c r="G3" s="227"/>
      <c r="H3" s="228" t="s">
        <v>4</v>
      </c>
      <c r="I3" s="229"/>
      <c r="J3" s="237" t="s">
        <v>5</v>
      </c>
      <c r="K3" s="229"/>
      <c r="L3" s="228" t="s">
        <v>6</v>
      </c>
      <c r="M3" s="229"/>
      <c r="N3" s="232" t="s">
        <v>79</v>
      </c>
    </row>
    <row r="4" spans="1:14" ht="17.25" customHeight="1">
      <c r="A4" s="225"/>
      <c r="B4" s="230" t="s">
        <v>8</v>
      </c>
      <c r="C4" s="236"/>
      <c r="D4" s="230" t="s">
        <v>9</v>
      </c>
      <c r="E4" s="236"/>
      <c r="F4" s="230" t="s">
        <v>10</v>
      </c>
      <c r="G4" s="236"/>
      <c r="H4" s="230"/>
      <c r="I4" s="231"/>
      <c r="J4" s="230"/>
      <c r="K4" s="231"/>
      <c r="L4" s="230"/>
      <c r="M4" s="231"/>
      <c r="N4" s="233"/>
    </row>
    <row r="5" spans="1:14" ht="28.5" customHeight="1">
      <c r="A5" s="226"/>
      <c r="B5" s="34" t="s">
        <v>11</v>
      </c>
      <c r="C5" s="35" t="s">
        <v>12</v>
      </c>
      <c r="D5" s="34" t="s">
        <v>11</v>
      </c>
      <c r="E5" s="35" t="s">
        <v>12</v>
      </c>
      <c r="F5" s="34" t="s">
        <v>11</v>
      </c>
      <c r="G5" s="39" t="s">
        <v>13</v>
      </c>
      <c r="H5" s="34" t="s">
        <v>93</v>
      </c>
      <c r="I5" s="38" t="s">
        <v>14</v>
      </c>
      <c r="J5" s="34" t="s">
        <v>93</v>
      </c>
      <c r="K5" s="38" t="s">
        <v>15</v>
      </c>
      <c r="L5" s="34" t="s">
        <v>93</v>
      </c>
      <c r="M5" s="36" t="s">
        <v>94</v>
      </c>
      <c r="N5" s="234"/>
    </row>
    <row r="6" spans="1:14" s="28"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ht="15.75" customHeight="1">
      <c r="A7" s="11" t="s">
        <v>80</v>
      </c>
      <c r="B7" s="131">
        <f>_xlfn.COMPOUNDVALUE(209)</f>
        <v>2539</v>
      </c>
      <c r="C7" s="132">
        <v>14720715</v>
      </c>
      <c r="D7" s="131">
        <f>_xlfn.COMPOUNDVALUE(210)</f>
        <v>941</v>
      </c>
      <c r="E7" s="132">
        <v>509603</v>
      </c>
      <c r="F7" s="131">
        <f>_xlfn.COMPOUNDVALUE(211)</f>
        <v>3480</v>
      </c>
      <c r="G7" s="132">
        <v>15230318</v>
      </c>
      <c r="H7" s="131">
        <f>_xlfn.COMPOUNDVALUE(212)</f>
        <v>122</v>
      </c>
      <c r="I7" s="133">
        <v>362468</v>
      </c>
      <c r="J7" s="131">
        <v>229</v>
      </c>
      <c r="K7" s="133">
        <v>67416</v>
      </c>
      <c r="L7" s="131">
        <f>_xlfn.COMPOUNDVALUE(212)</f>
        <v>3643</v>
      </c>
      <c r="M7" s="133">
        <v>14935266</v>
      </c>
      <c r="N7" s="12" t="s">
        <v>98</v>
      </c>
    </row>
    <row r="8" spans="1:14" ht="15.75" customHeight="1">
      <c r="A8" s="13" t="s">
        <v>81</v>
      </c>
      <c r="B8" s="134">
        <f>_xlfn.COMPOUNDVALUE(213)</f>
        <v>1454</v>
      </c>
      <c r="C8" s="135">
        <v>7720660</v>
      </c>
      <c r="D8" s="134">
        <f>_xlfn.COMPOUNDVALUE(214)</f>
        <v>600</v>
      </c>
      <c r="E8" s="135">
        <v>310502</v>
      </c>
      <c r="F8" s="134">
        <f>_xlfn.COMPOUNDVALUE(215)</f>
        <v>2054</v>
      </c>
      <c r="G8" s="135">
        <v>8031161</v>
      </c>
      <c r="H8" s="134">
        <f>_xlfn.COMPOUNDVALUE(216)</f>
        <v>74</v>
      </c>
      <c r="I8" s="136">
        <v>594397</v>
      </c>
      <c r="J8" s="134">
        <v>103</v>
      </c>
      <c r="K8" s="136">
        <v>31981</v>
      </c>
      <c r="L8" s="134">
        <f>_xlfn.COMPOUNDVALUE(216)</f>
        <v>2147</v>
      </c>
      <c r="M8" s="136">
        <v>7468745</v>
      </c>
      <c r="N8" s="14" t="s">
        <v>99</v>
      </c>
    </row>
    <row r="9" spans="1:14" ht="15.75" customHeight="1">
      <c r="A9" s="13" t="s">
        <v>82</v>
      </c>
      <c r="B9" s="134">
        <f>_xlfn.COMPOUNDVALUE(217)</f>
        <v>2732</v>
      </c>
      <c r="C9" s="135">
        <v>16968432</v>
      </c>
      <c r="D9" s="134">
        <f>_xlfn.COMPOUNDVALUE(218)</f>
        <v>1093</v>
      </c>
      <c r="E9" s="135">
        <v>551830</v>
      </c>
      <c r="F9" s="134">
        <f>_xlfn.COMPOUNDVALUE(219)</f>
        <v>3825</v>
      </c>
      <c r="G9" s="135">
        <v>17520262</v>
      </c>
      <c r="H9" s="134">
        <f>_xlfn.COMPOUNDVALUE(220)</f>
        <v>195</v>
      </c>
      <c r="I9" s="136">
        <v>2300319</v>
      </c>
      <c r="J9" s="134">
        <v>165</v>
      </c>
      <c r="K9" s="136">
        <v>33071</v>
      </c>
      <c r="L9" s="134">
        <f>_xlfn.COMPOUNDVALUE(220)</f>
        <v>4052</v>
      </c>
      <c r="M9" s="136">
        <v>15253014</v>
      </c>
      <c r="N9" s="14" t="s">
        <v>100</v>
      </c>
    </row>
    <row r="10" spans="1:14" ht="15.75" customHeight="1">
      <c r="A10" s="13" t="s">
        <v>83</v>
      </c>
      <c r="B10" s="134">
        <f>_xlfn.COMPOUNDVALUE(221)</f>
        <v>514</v>
      </c>
      <c r="C10" s="135">
        <v>2591207</v>
      </c>
      <c r="D10" s="134">
        <f>_xlfn.COMPOUNDVALUE(222)</f>
        <v>193</v>
      </c>
      <c r="E10" s="135">
        <v>110501</v>
      </c>
      <c r="F10" s="134">
        <f>_xlfn.COMPOUNDVALUE(223)</f>
        <v>707</v>
      </c>
      <c r="G10" s="135">
        <v>2701707</v>
      </c>
      <c r="H10" s="134">
        <f>_xlfn.COMPOUNDVALUE(224)</f>
        <v>23</v>
      </c>
      <c r="I10" s="136">
        <v>94333</v>
      </c>
      <c r="J10" s="134">
        <v>55</v>
      </c>
      <c r="K10" s="136">
        <v>5195</v>
      </c>
      <c r="L10" s="134">
        <f>_xlfn.COMPOUNDVALUE(224)</f>
        <v>740</v>
      </c>
      <c r="M10" s="136">
        <v>2612569</v>
      </c>
      <c r="N10" s="14" t="s">
        <v>101</v>
      </c>
    </row>
    <row r="11" spans="1:14" ht="15.75" customHeight="1">
      <c r="A11" s="13" t="s">
        <v>84</v>
      </c>
      <c r="B11" s="134">
        <f>_xlfn.COMPOUNDVALUE(225)</f>
        <v>1058</v>
      </c>
      <c r="C11" s="135">
        <v>3660725</v>
      </c>
      <c r="D11" s="134">
        <f>_xlfn.COMPOUNDVALUE(226)</f>
        <v>420</v>
      </c>
      <c r="E11" s="135">
        <v>211025</v>
      </c>
      <c r="F11" s="134">
        <f>_xlfn.COMPOUNDVALUE(227)</f>
        <v>1478</v>
      </c>
      <c r="G11" s="135">
        <v>3871749</v>
      </c>
      <c r="H11" s="134">
        <f>_xlfn.COMPOUNDVALUE(228)</f>
        <v>42</v>
      </c>
      <c r="I11" s="136">
        <v>68548</v>
      </c>
      <c r="J11" s="134">
        <v>76</v>
      </c>
      <c r="K11" s="136">
        <v>1130</v>
      </c>
      <c r="L11" s="134">
        <f>_xlfn.COMPOUNDVALUE(228)</f>
        <v>1535</v>
      </c>
      <c r="M11" s="136">
        <v>3804331</v>
      </c>
      <c r="N11" s="14" t="s">
        <v>102</v>
      </c>
    </row>
    <row r="12" spans="1:14" ht="15.75" customHeight="1">
      <c r="A12" s="13" t="s">
        <v>85</v>
      </c>
      <c r="B12" s="134">
        <f>_xlfn.COMPOUNDVALUE(229)</f>
        <v>1747</v>
      </c>
      <c r="C12" s="135">
        <v>19552368</v>
      </c>
      <c r="D12" s="134">
        <f>_xlfn.COMPOUNDVALUE(230)</f>
        <v>669</v>
      </c>
      <c r="E12" s="135">
        <v>354197</v>
      </c>
      <c r="F12" s="134">
        <f>_xlfn.COMPOUNDVALUE(231)</f>
        <v>2416</v>
      </c>
      <c r="G12" s="135">
        <v>19906565</v>
      </c>
      <c r="H12" s="134">
        <f>_xlfn.COMPOUNDVALUE(232)</f>
        <v>101</v>
      </c>
      <c r="I12" s="136">
        <v>1256055</v>
      </c>
      <c r="J12" s="134">
        <v>93</v>
      </c>
      <c r="K12" s="136">
        <v>18068</v>
      </c>
      <c r="L12" s="134">
        <f>_xlfn.COMPOUNDVALUE(232)</f>
        <v>2537</v>
      </c>
      <c r="M12" s="136">
        <v>18668578</v>
      </c>
      <c r="N12" s="14" t="s">
        <v>103</v>
      </c>
    </row>
    <row r="13" spans="1:14" s="17" customFormat="1" ht="15.75" customHeight="1">
      <c r="A13" s="13" t="s">
        <v>25</v>
      </c>
      <c r="B13" s="134">
        <f>_xlfn.COMPOUNDVALUE(233)</f>
        <v>574</v>
      </c>
      <c r="C13" s="135">
        <v>2393619</v>
      </c>
      <c r="D13" s="134">
        <f>_xlfn.COMPOUNDVALUE(234)</f>
        <v>192</v>
      </c>
      <c r="E13" s="135">
        <v>94910</v>
      </c>
      <c r="F13" s="134">
        <f>_xlfn.COMPOUNDVALUE(235)</f>
        <v>766</v>
      </c>
      <c r="G13" s="135">
        <v>2488529</v>
      </c>
      <c r="H13" s="134">
        <f>_xlfn.COMPOUNDVALUE(236)</f>
        <v>27</v>
      </c>
      <c r="I13" s="136">
        <v>1370208</v>
      </c>
      <c r="J13" s="134">
        <v>47</v>
      </c>
      <c r="K13" s="136">
        <v>17329</v>
      </c>
      <c r="L13" s="134">
        <f>_xlfn.COMPOUNDVALUE(236)</f>
        <v>810</v>
      </c>
      <c r="M13" s="136">
        <v>1135650</v>
      </c>
      <c r="N13" s="14" t="s">
        <v>25</v>
      </c>
    </row>
    <row r="14" spans="1:14" s="29" customFormat="1" ht="15.75" customHeight="1">
      <c r="A14" s="15" t="s">
        <v>191</v>
      </c>
      <c r="B14" s="137">
        <v>10618</v>
      </c>
      <c r="C14" s="138">
        <v>67607726</v>
      </c>
      <c r="D14" s="137">
        <v>4108</v>
      </c>
      <c r="E14" s="138">
        <v>2142567</v>
      </c>
      <c r="F14" s="137">
        <v>14726</v>
      </c>
      <c r="G14" s="138">
        <v>69750292</v>
      </c>
      <c r="H14" s="137">
        <v>584</v>
      </c>
      <c r="I14" s="139">
        <v>6046327</v>
      </c>
      <c r="J14" s="137">
        <v>768</v>
      </c>
      <c r="K14" s="139">
        <v>174190</v>
      </c>
      <c r="L14" s="137">
        <v>15464</v>
      </c>
      <c r="M14" s="139">
        <v>63878155</v>
      </c>
      <c r="N14" s="16" t="s">
        <v>97</v>
      </c>
    </row>
    <row r="15" spans="1:14" s="17" customFormat="1" ht="15.75" customHeight="1">
      <c r="A15" s="23"/>
      <c r="B15" s="140"/>
      <c r="C15" s="141"/>
      <c r="D15" s="140"/>
      <c r="E15" s="141"/>
      <c r="F15" s="142"/>
      <c r="G15" s="141"/>
      <c r="H15" s="142"/>
      <c r="I15" s="141"/>
      <c r="J15" s="142"/>
      <c r="K15" s="141"/>
      <c r="L15" s="142"/>
      <c r="M15" s="141"/>
      <c r="N15" s="24"/>
    </row>
    <row r="16" spans="1:14" ht="15.75" customHeight="1">
      <c r="A16" s="11" t="s">
        <v>192</v>
      </c>
      <c r="B16" s="131">
        <f>_xlfn.COMPOUNDVALUE(237)</f>
        <v>3781</v>
      </c>
      <c r="C16" s="132">
        <v>26420444</v>
      </c>
      <c r="D16" s="131">
        <f>_xlfn.COMPOUNDVALUE(238)</f>
        <v>1563</v>
      </c>
      <c r="E16" s="132">
        <v>841334</v>
      </c>
      <c r="F16" s="131">
        <f>_xlfn.COMPOUNDVALUE(239)</f>
        <v>5344</v>
      </c>
      <c r="G16" s="132">
        <v>27261778</v>
      </c>
      <c r="H16" s="131">
        <f>_xlfn.COMPOUNDVALUE(240)</f>
        <v>178</v>
      </c>
      <c r="I16" s="133">
        <v>675824</v>
      </c>
      <c r="J16" s="131">
        <v>231</v>
      </c>
      <c r="K16" s="133">
        <v>17752</v>
      </c>
      <c r="L16" s="131">
        <f>_xlfn.COMPOUNDVALUE(240)</f>
        <v>5552</v>
      </c>
      <c r="M16" s="133">
        <v>26603705</v>
      </c>
      <c r="N16" s="25" t="s">
        <v>104</v>
      </c>
    </row>
    <row r="17" spans="1:14" ht="15.75" customHeight="1">
      <c r="A17" s="13" t="s">
        <v>193</v>
      </c>
      <c r="B17" s="134">
        <f>_xlfn.COMPOUNDVALUE(241)</f>
        <v>608</v>
      </c>
      <c r="C17" s="135">
        <v>2813988</v>
      </c>
      <c r="D17" s="134">
        <f>_xlfn.COMPOUNDVALUE(242)</f>
        <v>206</v>
      </c>
      <c r="E17" s="135">
        <v>132916</v>
      </c>
      <c r="F17" s="134">
        <f>_xlfn.COMPOUNDVALUE(243)</f>
        <v>814</v>
      </c>
      <c r="G17" s="135">
        <v>2946903</v>
      </c>
      <c r="H17" s="134">
        <f>_xlfn.COMPOUNDVALUE(244)</f>
        <v>44</v>
      </c>
      <c r="I17" s="136">
        <v>249048</v>
      </c>
      <c r="J17" s="134">
        <v>44</v>
      </c>
      <c r="K17" s="136">
        <v>8236</v>
      </c>
      <c r="L17" s="134">
        <f>_xlfn.COMPOUNDVALUE(244)</f>
        <v>883</v>
      </c>
      <c r="M17" s="136">
        <v>2706090</v>
      </c>
      <c r="N17" s="14" t="s">
        <v>105</v>
      </c>
    </row>
    <row r="18" spans="1:14" ht="15.75" customHeight="1">
      <c r="A18" s="13" t="s">
        <v>194</v>
      </c>
      <c r="B18" s="134">
        <f>_xlfn.COMPOUNDVALUE(245)</f>
        <v>489</v>
      </c>
      <c r="C18" s="135">
        <v>2727863</v>
      </c>
      <c r="D18" s="134">
        <f>_xlfn.COMPOUNDVALUE(246)</f>
        <v>145</v>
      </c>
      <c r="E18" s="135">
        <v>84766</v>
      </c>
      <c r="F18" s="134">
        <f>_xlfn.COMPOUNDVALUE(247)</f>
        <v>634</v>
      </c>
      <c r="G18" s="135">
        <v>2812629</v>
      </c>
      <c r="H18" s="134">
        <f>_xlfn.COMPOUNDVALUE(248)</f>
        <v>50</v>
      </c>
      <c r="I18" s="136">
        <v>404964</v>
      </c>
      <c r="J18" s="134">
        <v>65</v>
      </c>
      <c r="K18" s="136">
        <v>-3780</v>
      </c>
      <c r="L18" s="134">
        <f>_xlfn.COMPOUNDVALUE(248)</f>
        <v>697</v>
      </c>
      <c r="M18" s="136">
        <v>2403886</v>
      </c>
      <c r="N18" s="14" t="s">
        <v>106</v>
      </c>
    </row>
    <row r="19" spans="1:14" ht="15.75" customHeight="1">
      <c r="A19" s="13" t="s">
        <v>195</v>
      </c>
      <c r="B19" s="134">
        <f>_xlfn.COMPOUNDVALUE(249)</f>
        <v>976</v>
      </c>
      <c r="C19" s="135">
        <v>5623513</v>
      </c>
      <c r="D19" s="134">
        <f>_xlfn.COMPOUNDVALUE(250)</f>
        <v>422</v>
      </c>
      <c r="E19" s="135">
        <v>208276</v>
      </c>
      <c r="F19" s="134">
        <f>_xlfn.COMPOUNDVALUE(251)</f>
        <v>1398</v>
      </c>
      <c r="G19" s="135">
        <v>5831789</v>
      </c>
      <c r="H19" s="134">
        <f>_xlfn.COMPOUNDVALUE(252)</f>
        <v>49</v>
      </c>
      <c r="I19" s="136">
        <v>140085</v>
      </c>
      <c r="J19" s="134">
        <v>75</v>
      </c>
      <c r="K19" s="136">
        <v>26990</v>
      </c>
      <c r="L19" s="134">
        <f>_xlfn.COMPOUNDVALUE(252)</f>
        <v>1477</v>
      </c>
      <c r="M19" s="136">
        <v>5718694</v>
      </c>
      <c r="N19" s="14" t="s">
        <v>107</v>
      </c>
    </row>
    <row r="20" spans="1:14" ht="15.75" customHeight="1">
      <c r="A20" s="13" t="s">
        <v>196</v>
      </c>
      <c r="B20" s="134">
        <f>_xlfn.COMPOUNDVALUE(253)</f>
        <v>1420</v>
      </c>
      <c r="C20" s="135">
        <v>9334696</v>
      </c>
      <c r="D20" s="134">
        <f>_xlfn.COMPOUNDVALUE(254)</f>
        <v>566</v>
      </c>
      <c r="E20" s="135">
        <v>294621</v>
      </c>
      <c r="F20" s="134">
        <f>_xlfn.COMPOUNDVALUE(255)</f>
        <v>1986</v>
      </c>
      <c r="G20" s="135">
        <v>9629317</v>
      </c>
      <c r="H20" s="134">
        <f>_xlfn.COMPOUNDVALUE(256)</f>
        <v>89</v>
      </c>
      <c r="I20" s="136">
        <v>911306</v>
      </c>
      <c r="J20" s="134">
        <v>71</v>
      </c>
      <c r="K20" s="136">
        <v>25504</v>
      </c>
      <c r="L20" s="134">
        <f>_xlfn.COMPOUNDVALUE(256)</f>
        <v>2096</v>
      </c>
      <c r="M20" s="136">
        <v>8743515</v>
      </c>
      <c r="N20" s="14" t="s">
        <v>108</v>
      </c>
    </row>
    <row r="21" spans="1:14" ht="15.75" customHeight="1">
      <c r="A21" s="13" t="s">
        <v>197</v>
      </c>
      <c r="B21" s="134">
        <f>_xlfn.COMPOUNDVALUE(257)</f>
        <v>470</v>
      </c>
      <c r="C21" s="135">
        <v>1851938</v>
      </c>
      <c r="D21" s="134">
        <f>_xlfn.COMPOUNDVALUE(258)</f>
        <v>153</v>
      </c>
      <c r="E21" s="135">
        <v>82404</v>
      </c>
      <c r="F21" s="134">
        <f>_xlfn.COMPOUNDVALUE(259)</f>
        <v>623</v>
      </c>
      <c r="G21" s="135">
        <v>1934342</v>
      </c>
      <c r="H21" s="134">
        <f>_xlfn.COMPOUNDVALUE(260)</f>
        <v>50</v>
      </c>
      <c r="I21" s="136">
        <v>423783</v>
      </c>
      <c r="J21" s="134">
        <v>50</v>
      </c>
      <c r="K21" s="136">
        <v>-980</v>
      </c>
      <c r="L21" s="134">
        <f>_xlfn.COMPOUNDVALUE(260)</f>
        <v>685</v>
      </c>
      <c r="M21" s="136">
        <v>1509579</v>
      </c>
      <c r="N21" s="14" t="s">
        <v>109</v>
      </c>
    </row>
    <row r="22" spans="1:14" ht="15.75" customHeight="1">
      <c r="A22" s="13" t="s">
        <v>198</v>
      </c>
      <c r="B22" s="134">
        <f>_xlfn.COMPOUNDVALUE(261)</f>
        <v>926</v>
      </c>
      <c r="C22" s="135">
        <v>5250881</v>
      </c>
      <c r="D22" s="134">
        <f>_xlfn.COMPOUNDVALUE(262)</f>
        <v>406</v>
      </c>
      <c r="E22" s="135">
        <v>186775</v>
      </c>
      <c r="F22" s="134">
        <f>_xlfn.COMPOUNDVALUE(263)</f>
        <v>1332</v>
      </c>
      <c r="G22" s="135">
        <v>5437655</v>
      </c>
      <c r="H22" s="134">
        <f>_xlfn.COMPOUNDVALUE(264)</f>
        <v>40</v>
      </c>
      <c r="I22" s="136">
        <v>175422</v>
      </c>
      <c r="J22" s="134">
        <v>75</v>
      </c>
      <c r="K22" s="136">
        <v>12757</v>
      </c>
      <c r="L22" s="134">
        <f>_xlfn.COMPOUNDVALUE(264)</f>
        <v>1394</v>
      </c>
      <c r="M22" s="136">
        <v>5274990</v>
      </c>
      <c r="N22" s="14" t="s">
        <v>110</v>
      </c>
    </row>
    <row r="23" spans="1:14" ht="15.75" customHeight="1">
      <c r="A23" s="13" t="s">
        <v>199</v>
      </c>
      <c r="B23" s="134">
        <f>_xlfn.COMPOUNDVALUE(265)</f>
        <v>651</v>
      </c>
      <c r="C23" s="135">
        <v>2926557</v>
      </c>
      <c r="D23" s="134">
        <f>_xlfn.COMPOUNDVALUE(266)</f>
        <v>215</v>
      </c>
      <c r="E23" s="135">
        <v>117330</v>
      </c>
      <c r="F23" s="134">
        <f>_xlfn.COMPOUNDVALUE(267)</f>
        <v>866</v>
      </c>
      <c r="G23" s="135">
        <v>3043887</v>
      </c>
      <c r="H23" s="134">
        <f>_xlfn.COMPOUNDVALUE(268)</f>
        <v>39</v>
      </c>
      <c r="I23" s="136">
        <v>170293</v>
      </c>
      <c r="J23" s="134">
        <v>45</v>
      </c>
      <c r="K23" s="136">
        <v>54273</v>
      </c>
      <c r="L23" s="134">
        <f>_xlfn.COMPOUNDVALUE(268)</f>
        <v>923</v>
      </c>
      <c r="M23" s="136">
        <v>2927867</v>
      </c>
      <c r="N23" s="14" t="s">
        <v>111</v>
      </c>
    </row>
    <row r="24" spans="1:14" ht="15.75" customHeight="1">
      <c r="A24" s="13" t="s">
        <v>200</v>
      </c>
      <c r="B24" s="134">
        <f>_xlfn.COMPOUNDVALUE(269)</f>
        <v>468</v>
      </c>
      <c r="C24" s="135">
        <v>2545795</v>
      </c>
      <c r="D24" s="134">
        <f>_xlfn.COMPOUNDVALUE(270)</f>
        <v>141</v>
      </c>
      <c r="E24" s="135">
        <v>80890</v>
      </c>
      <c r="F24" s="134">
        <f>_xlfn.COMPOUNDVALUE(271)</f>
        <v>609</v>
      </c>
      <c r="G24" s="135">
        <v>2626684</v>
      </c>
      <c r="H24" s="134">
        <f>_xlfn.COMPOUNDVALUE(272)</f>
        <v>31</v>
      </c>
      <c r="I24" s="136">
        <v>59011</v>
      </c>
      <c r="J24" s="134">
        <v>26</v>
      </c>
      <c r="K24" s="136">
        <v>10668</v>
      </c>
      <c r="L24" s="134">
        <f>_xlfn.COMPOUNDVALUE(272)</f>
        <v>656</v>
      </c>
      <c r="M24" s="136">
        <v>2578342</v>
      </c>
      <c r="N24" s="14" t="s">
        <v>112</v>
      </c>
    </row>
    <row r="25" spans="1:14" ht="15.75" customHeight="1">
      <c r="A25" s="15" t="s">
        <v>201</v>
      </c>
      <c r="B25" s="137">
        <v>9789</v>
      </c>
      <c r="C25" s="138">
        <v>59495673</v>
      </c>
      <c r="D25" s="137">
        <v>3817</v>
      </c>
      <c r="E25" s="138">
        <v>2029310</v>
      </c>
      <c r="F25" s="137">
        <v>13606</v>
      </c>
      <c r="G25" s="138">
        <v>61524983</v>
      </c>
      <c r="H25" s="137">
        <v>570</v>
      </c>
      <c r="I25" s="139">
        <v>3209735</v>
      </c>
      <c r="J25" s="137">
        <v>682</v>
      </c>
      <c r="K25" s="139">
        <v>151420</v>
      </c>
      <c r="L25" s="137">
        <v>14363</v>
      </c>
      <c r="M25" s="139">
        <v>58466668</v>
      </c>
      <c r="N25" s="16" t="s">
        <v>113</v>
      </c>
    </row>
    <row r="26" spans="1:14" ht="15.75" customHeight="1">
      <c r="A26" s="23"/>
      <c r="B26" s="140"/>
      <c r="C26" s="141"/>
      <c r="D26" s="140"/>
      <c r="E26" s="141"/>
      <c r="F26" s="142"/>
      <c r="G26" s="141"/>
      <c r="H26" s="142"/>
      <c r="I26" s="141"/>
      <c r="J26" s="142"/>
      <c r="K26" s="141"/>
      <c r="L26" s="142"/>
      <c r="M26" s="141"/>
      <c r="N26" s="24"/>
    </row>
    <row r="27" spans="1:14" ht="15.75" customHeight="1">
      <c r="A27" s="11" t="s">
        <v>202</v>
      </c>
      <c r="B27" s="131">
        <f>_xlfn.COMPOUNDVALUE(273)</f>
        <v>4936</v>
      </c>
      <c r="C27" s="132">
        <v>64141358</v>
      </c>
      <c r="D27" s="131">
        <f>_xlfn.COMPOUNDVALUE(274)</f>
        <v>2281</v>
      </c>
      <c r="E27" s="132">
        <v>1219170</v>
      </c>
      <c r="F27" s="131">
        <f>_xlfn.COMPOUNDVALUE(275)</f>
        <v>7217</v>
      </c>
      <c r="G27" s="132">
        <v>65360529</v>
      </c>
      <c r="H27" s="131">
        <f>_xlfn.COMPOUNDVALUE(276)</f>
        <v>328</v>
      </c>
      <c r="I27" s="133">
        <v>1702413</v>
      </c>
      <c r="J27" s="131">
        <v>410</v>
      </c>
      <c r="K27" s="133">
        <v>86178</v>
      </c>
      <c r="L27" s="131">
        <f>_xlfn.COMPOUNDVALUE(276)</f>
        <v>7632</v>
      </c>
      <c r="M27" s="133">
        <v>63744294</v>
      </c>
      <c r="N27" s="25" t="s">
        <v>114</v>
      </c>
    </row>
    <row r="28" spans="1:14" ht="15.75" customHeight="1">
      <c r="A28" s="13" t="s">
        <v>203</v>
      </c>
      <c r="B28" s="134">
        <f>_xlfn.COMPOUNDVALUE(277)</f>
        <v>4758</v>
      </c>
      <c r="C28" s="135">
        <v>47985526</v>
      </c>
      <c r="D28" s="134">
        <f>_xlfn.COMPOUNDVALUE(278)</f>
        <v>1666</v>
      </c>
      <c r="E28" s="135">
        <v>895124</v>
      </c>
      <c r="F28" s="134">
        <f>_xlfn.COMPOUNDVALUE(279)</f>
        <v>6424</v>
      </c>
      <c r="G28" s="135">
        <v>48880650</v>
      </c>
      <c r="H28" s="134">
        <f>_xlfn.COMPOUNDVALUE(280)</f>
        <v>283</v>
      </c>
      <c r="I28" s="136">
        <v>1937798</v>
      </c>
      <c r="J28" s="134">
        <v>401</v>
      </c>
      <c r="K28" s="136">
        <v>185719</v>
      </c>
      <c r="L28" s="134">
        <f>_xlfn.COMPOUNDVALUE(280)</f>
        <v>6757</v>
      </c>
      <c r="M28" s="136">
        <v>47128570</v>
      </c>
      <c r="N28" s="14" t="s">
        <v>115</v>
      </c>
    </row>
    <row r="29" spans="1:14" ht="15.75" customHeight="1">
      <c r="A29" s="13" t="s">
        <v>204</v>
      </c>
      <c r="B29" s="134">
        <f>_xlfn.COMPOUNDVALUE(281)</f>
        <v>2366</v>
      </c>
      <c r="C29" s="135">
        <v>14367665</v>
      </c>
      <c r="D29" s="134">
        <f>_xlfn.COMPOUNDVALUE(282)</f>
        <v>1068</v>
      </c>
      <c r="E29" s="135">
        <v>543012</v>
      </c>
      <c r="F29" s="134">
        <f>_xlfn.COMPOUNDVALUE(283)</f>
        <v>3434</v>
      </c>
      <c r="G29" s="135">
        <v>14910677</v>
      </c>
      <c r="H29" s="134">
        <f>_xlfn.COMPOUNDVALUE(284)</f>
        <v>137</v>
      </c>
      <c r="I29" s="136">
        <v>471197</v>
      </c>
      <c r="J29" s="134">
        <v>186</v>
      </c>
      <c r="K29" s="136">
        <v>4862</v>
      </c>
      <c r="L29" s="134">
        <f>_xlfn.COMPOUNDVALUE(284)</f>
        <v>3603</v>
      </c>
      <c r="M29" s="136">
        <v>14444343</v>
      </c>
      <c r="N29" s="14" t="s">
        <v>116</v>
      </c>
    </row>
    <row r="30" spans="1:14" ht="15.75" customHeight="1">
      <c r="A30" s="13" t="s">
        <v>205</v>
      </c>
      <c r="B30" s="134">
        <f>_xlfn.COMPOUNDVALUE(285)</f>
        <v>1933</v>
      </c>
      <c r="C30" s="135">
        <v>9060982</v>
      </c>
      <c r="D30" s="134">
        <f>_xlfn.COMPOUNDVALUE(286)</f>
        <v>663</v>
      </c>
      <c r="E30" s="135">
        <v>365442</v>
      </c>
      <c r="F30" s="134">
        <f>_xlfn.COMPOUNDVALUE(287)</f>
        <v>2596</v>
      </c>
      <c r="G30" s="135">
        <v>9426425</v>
      </c>
      <c r="H30" s="134">
        <f>_xlfn.COMPOUNDVALUE(288)</f>
        <v>219</v>
      </c>
      <c r="I30" s="136">
        <v>1688728</v>
      </c>
      <c r="J30" s="134">
        <v>134</v>
      </c>
      <c r="K30" s="136">
        <v>54826</v>
      </c>
      <c r="L30" s="134">
        <f>_xlfn.COMPOUNDVALUE(288)</f>
        <v>2854</v>
      </c>
      <c r="M30" s="136">
        <v>7792523</v>
      </c>
      <c r="N30" s="14" t="s">
        <v>117</v>
      </c>
    </row>
    <row r="31" spans="1:14" ht="15.75" customHeight="1">
      <c r="A31" s="13" t="s">
        <v>206</v>
      </c>
      <c r="B31" s="134">
        <f>_xlfn.COMPOUNDVALUE(289)</f>
        <v>1423</v>
      </c>
      <c r="C31" s="135">
        <v>6338037</v>
      </c>
      <c r="D31" s="134">
        <f>_xlfn.COMPOUNDVALUE(290)</f>
        <v>606</v>
      </c>
      <c r="E31" s="135">
        <v>298752</v>
      </c>
      <c r="F31" s="134">
        <f>_xlfn.COMPOUNDVALUE(291)</f>
        <v>2029</v>
      </c>
      <c r="G31" s="135">
        <v>6636789</v>
      </c>
      <c r="H31" s="134">
        <f>_xlfn.COMPOUNDVALUE(292)</f>
        <v>97</v>
      </c>
      <c r="I31" s="136">
        <v>669511</v>
      </c>
      <c r="J31" s="134">
        <v>85</v>
      </c>
      <c r="K31" s="136">
        <v>15731</v>
      </c>
      <c r="L31" s="134">
        <f>_xlfn.COMPOUNDVALUE(292)</f>
        <v>2140</v>
      </c>
      <c r="M31" s="136">
        <v>5983009</v>
      </c>
      <c r="N31" s="14" t="s">
        <v>118</v>
      </c>
    </row>
    <row r="32" spans="1:14" ht="15.75" customHeight="1">
      <c r="A32" s="13" t="s">
        <v>207</v>
      </c>
      <c r="B32" s="134">
        <f>_xlfn.COMPOUNDVALUE(293)</f>
        <v>1592</v>
      </c>
      <c r="C32" s="135">
        <v>6744564</v>
      </c>
      <c r="D32" s="134">
        <f>_xlfn.COMPOUNDVALUE(294)</f>
        <v>661</v>
      </c>
      <c r="E32" s="135">
        <v>344596</v>
      </c>
      <c r="F32" s="134">
        <f>_xlfn.COMPOUNDVALUE(295)</f>
        <v>2253</v>
      </c>
      <c r="G32" s="135">
        <v>7089160</v>
      </c>
      <c r="H32" s="134">
        <f>_xlfn.COMPOUNDVALUE(296)</f>
        <v>101</v>
      </c>
      <c r="I32" s="136">
        <v>357148</v>
      </c>
      <c r="J32" s="134">
        <v>115</v>
      </c>
      <c r="K32" s="136">
        <v>34147</v>
      </c>
      <c r="L32" s="134">
        <f>_xlfn.COMPOUNDVALUE(296)</f>
        <v>2404</v>
      </c>
      <c r="M32" s="136">
        <v>6766159</v>
      </c>
      <c r="N32" s="14" t="s">
        <v>119</v>
      </c>
    </row>
    <row r="33" spans="1:14" ht="15.75" customHeight="1">
      <c r="A33" s="13" t="s">
        <v>208</v>
      </c>
      <c r="B33" s="134">
        <f>_xlfn.COMPOUNDVALUE(297)</f>
        <v>758</v>
      </c>
      <c r="C33" s="135">
        <v>3203707</v>
      </c>
      <c r="D33" s="134">
        <f>_xlfn.COMPOUNDVALUE(298)</f>
        <v>246</v>
      </c>
      <c r="E33" s="135">
        <v>134738</v>
      </c>
      <c r="F33" s="134">
        <f>_xlfn.COMPOUNDVALUE(299)</f>
        <v>1004</v>
      </c>
      <c r="G33" s="135">
        <v>3338446</v>
      </c>
      <c r="H33" s="134">
        <f>_xlfn.COMPOUNDVALUE(300)</f>
        <v>97</v>
      </c>
      <c r="I33" s="136">
        <v>963222</v>
      </c>
      <c r="J33" s="134">
        <v>48</v>
      </c>
      <c r="K33" s="136">
        <v>12638</v>
      </c>
      <c r="L33" s="134">
        <f>_xlfn.COMPOUNDVALUE(300)</f>
        <v>1113</v>
      </c>
      <c r="M33" s="136">
        <v>2387862</v>
      </c>
      <c r="N33" s="14" t="s">
        <v>120</v>
      </c>
    </row>
    <row r="34" spans="1:14" ht="15.75" customHeight="1">
      <c r="A34" s="13" t="s">
        <v>209</v>
      </c>
      <c r="B34" s="134">
        <f>_xlfn.COMPOUNDVALUE(301)</f>
        <v>1187</v>
      </c>
      <c r="C34" s="135">
        <v>4525623</v>
      </c>
      <c r="D34" s="134">
        <f>_xlfn.COMPOUNDVALUE(302)</f>
        <v>522</v>
      </c>
      <c r="E34" s="135">
        <v>257780</v>
      </c>
      <c r="F34" s="134">
        <f>_xlfn.COMPOUNDVALUE(303)</f>
        <v>1709</v>
      </c>
      <c r="G34" s="135">
        <v>4783402</v>
      </c>
      <c r="H34" s="134">
        <f>_xlfn.COMPOUNDVALUE(304)</f>
        <v>63</v>
      </c>
      <c r="I34" s="136">
        <v>357621</v>
      </c>
      <c r="J34" s="134">
        <v>82</v>
      </c>
      <c r="K34" s="136">
        <v>-712</v>
      </c>
      <c r="L34" s="134">
        <f>_xlfn.COMPOUNDVALUE(304)</f>
        <v>1782</v>
      </c>
      <c r="M34" s="136">
        <v>4425070</v>
      </c>
      <c r="N34" s="14" t="s">
        <v>121</v>
      </c>
    </row>
    <row r="35" spans="1:14" ht="15.75" customHeight="1">
      <c r="A35" s="13" t="s">
        <v>210</v>
      </c>
      <c r="B35" s="134">
        <f>_xlfn.COMPOUNDVALUE(305)</f>
        <v>556</v>
      </c>
      <c r="C35" s="135">
        <v>2618737</v>
      </c>
      <c r="D35" s="134">
        <f>_xlfn.COMPOUNDVALUE(306)</f>
        <v>226</v>
      </c>
      <c r="E35" s="135">
        <v>121646</v>
      </c>
      <c r="F35" s="134">
        <f>_xlfn.COMPOUNDVALUE(307)</f>
        <v>782</v>
      </c>
      <c r="G35" s="135">
        <v>2740383</v>
      </c>
      <c r="H35" s="134">
        <f>_xlfn.COMPOUNDVALUE(308)</f>
        <v>36</v>
      </c>
      <c r="I35" s="136">
        <v>568225</v>
      </c>
      <c r="J35" s="134">
        <v>34</v>
      </c>
      <c r="K35" s="136">
        <v>-1361</v>
      </c>
      <c r="L35" s="134">
        <f>_xlfn.COMPOUNDVALUE(308)</f>
        <v>831</v>
      </c>
      <c r="M35" s="136">
        <v>2170797</v>
      </c>
      <c r="N35" s="14" t="s">
        <v>122</v>
      </c>
    </row>
    <row r="36" spans="1:14" ht="15.75" customHeight="1">
      <c r="A36" s="13" t="s">
        <v>211</v>
      </c>
      <c r="B36" s="134">
        <f>_xlfn.COMPOUNDVALUE(309)</f>
        <v>708</v>
      </c>
      <c r="C36" s="135">
        <v>3456269</v>
      </c>
      <c r="D36" s="134">
        <f>_xlfn.COMPOUNDVALUE(310)</f>
        <v>338</v>
      </c>
      <c r="E36" s="135">
        <v>174384</v>
      </c>
      <c r="F36" s="134">
        <f>_xlfn.COMPOUNDVALUE(311)</f>
        <v>1046</v>
      </c>
      <c r="G36" s="135">
        <v>3630653</v>
      </c>
      <c r="H36" s="134">
        <f>_xlfn.COMPOUNDVALUE(312)</f>
        <v>47</v>
      </c>
      <c r="I36" s="136">
        <v>245676</v>
      </c>
      <c r="J36" s="134">
        <v>66</v>
      </c>
      <c r="K36" s="136">
        <v>19751</v>
      </c>
      <c r="L36" s="134">
        <f>_xlfn.COMPOUNDVALUE(312)</f>
        <v>1112</v>
      </c>
      <c r="M36" s="136">
        <v>3404728</v>
      </c>
      <c r="N36" s="14" t="s">
        <v>123</v>
      </c>
    </row>
    <row r="37" spans="1:14" ht="15.75" customHeight="1">
      <c r="A37" s="15" t="s">
        <v>212</v>
      </c>
      <c r="B37" s="137">
        <v>20217</v>
      </c>
      <c r="C37" s="138">
        <v>162442469</v>
      </c>
      <c r="D37" s="137">
        <v>8277</v>
      </c>
      <c r="E37" s="138">
        <v>4354644</v>
      </c>
      <c r="F37" s="137">
        <v>28494</v>
      </c>
      <c r="G37" s="138">
        <v>166797113</v>
      </c>
      <c r="H37" s="137">
        <v>1408</v>
      </c>
      <c r="I37" s="139">
        <v>8961540</v>
      </c>
      <c r="J37" s="137">
        <v>1561</v>
      </c>
      <c r="K37" s="139">
        <v>411779</v>
      </c>
      <c r="L37" s="137">
        <v>30228</v>
      </c>
      <c r="M37" s="139">
        <v>158247352</v>
      </c>
      <c r="N37" s="16" t="s">
        <v>124</v>
      </c>
    </row>
    <row r="38" spans="1:14" ht="15.75" customHeight="1">
      <c r="A38" s="23"/>
      <c r="B38" s="140"/>
      <c r="C38" s="141"/>
      <c r="D38" s="140"/>
      <c r="E38" s="141"/>
      <c r="F38" s="142"/>
      <c r="G38" s="141"/>
      <c r="H38" s="142"/>
      <c r="I38" s="141"/>
      <c r="J38" s="142"/>
      <c r="K38" s="141"/>
      <c r="L38" s="142"/>
      <c r="M38" s="141"/>
      <c r="N38" s="104"/>
    </row>
    <row r="39" spans="1:14" ht="15.75" customHeight="1">
      <c r="A39" s="11" t="s">
        <v>213</v>
      </c>
      <c r="B39" s="131">
        <f>_xlfn.COMPOUNDVALUE(313)</f>
        <v>2227</v>
      </c>
      <c r="C39" s="132">
        <v>14298094</v>
      </c>
      <c r="D39" s="131">
        <f>_xlfn.COMPOUNDVALUE(314)</f>
        <v>1000</v>
      </c>
      <c r="E39" s="132">
        <v>503000</v>
      </c>
      <c r="F39" s="131">
        <f>_xlfn.COMPOUNDVALUE(315)</f>
        <v>3227</v>
      </c>
      <c r="G39" s="132">
        <v>14801094</v>
      </c>
      <c r="H39" s="131">
        <f>_xlfn.COMPOUNDVALUE(316)</f>
        <v>99</v>
      </c>
      <c r="I39" s="133">
        <v>611228</v>
      </c>
      <c r="J39" s="131">
        <v>212</v>
      </c>
      <c r="K39" s="133">
        <v>83458</v>
      </c>
      <c r="L39" s="131">
        <f>_xlfn.COMPOUNDVALUE(316)</f>
        <v>3375</v>
      </c>
      <c r="M39" s="133">
        <v>14273325</v>
      </c>
      <c r="N39" s="12" t="s">
        <v>125</v>
      </c>
    </row>
    <row r="40" spans="1:14" ht="15.75" customHeight="1">
      <c r="A40" s="13" t="s">
        <v>214</v>
      </c>
      <c r="B40" s="134">
        <f>_xlfn.COMPOUNDVALUE(317)</f>
        <v>1082</v>
      </c>
      <c r="C40" s="135">
        <v>5878300</v>
      </c>
      <c r="D40" s="134">
        <f>_xlfn.COMPOUNDVALUE(318)</f>
        <v>461</v>
      </c>
      <c r="E40" s="135">
        <v>228073</v>
      </c>
      <c r="F40" s="134">
        <f>_xlfn.COMPOUNDVALUE(319)</f>
        <v>1543</v>
      </c>
      <c r="G40" s="135">
        <v>6106372</v>
      </c>
      <c r="H40" s="134">
        <f>_xlfn.COMPOUNDVALUE(320)</f>
        <v>58</v>
      </c>
      <c r="I40" s="136">
        <v>510550</v>
      </c>
      <c r="J40" s="134">
        <v>48</v>
      </c>
      <c r="K40" s="136">
        <v>7382</v>
      </c>
      <c r="L40" s="134">
        <f>_xlfn.COMPOUNDVALUE(320)</f>
        <v>1608</v>
      </c>
      <c r="M40" s="136">
        <v>5603204</v>
      </c>
      <c r="N40" s="14" t="s">
        <v>126</v>
      </c>
    </row>
    <row r="41" spans="1:14" ht="15.75" customHeight="1">
      <c r="A41" s="13" t="s">
        <v>215</v>
      </c>
      <c r="B41" s="134">
        <f>_xlfn.COMPOUNDVALUE(321)</f>
        <v>659</v>
      </c>
      <c r="C41" s="135">
        <v>2624885</v>
      </c>
      <c r="D41" s="134">
        <f>_xlfn.COMPOUNDVALUE(322)</f>
        <v>288</v>
      </c>
      <c r="E41" s="135">
        <v>137336</v>
      </c>
      <c r="F41" s="134">
        <f>_xlfn.COMPOUNDVALUE(323)</f>
        <v>947</v>
      </c>
      <c r="G41" s="135">
        <v>2762221</v>
      </c>
      <c r="H41" s="134">
        <f>_xlfn.COMPOUNDVALUE(324)</f>
        <v>44</v>
      </c>
      <c r="I41" s="136">
        <v>181333</v>
      </c>
      <c r="J41" s="134">
        <v>35</v>
      </c>
      <c r="K41" s="136">
        <v>6287</v>
      </c>
      <c r="L41" s="134">
        <f>_xlfn.COMPOUNDVALUE(324)</f>
        <v>997</v>
      </c>
      <c r="M41" s="136">
        <v>2587175</v>
      </c>
      <c r="N41" s="14" t="s">
        <v>127</v>
      </c>
    </row>
    <row r="42" spans="1:14" ht="15.75" customHeight="1">
      <c r="A42" s="13" t="s">
        <v>216</v>
      </c>
      <c r="B42" s="134">
        <f>_xlfn.COMPOUNDVALUE(325)</f>
        <v>713</v>
      </c>
      <c r="C42" s="135">
        <v>2803525</v>
      </c>
      <c r="D42" s="134">
        <f>_xlfn.COMPOUNDVALUE(326)</f>
        <v>307</v>
      </c>
      <c r="E42" s="135">
        <v>153261</v>
      </c>
      <c r="F42" s="134">
        <f>_xlfn.COMPOUNDVALUE(327)</f>
        <v>1020</v>
      </c>
      <c r="G42" s="135">
        <v>2956787</v>
      </c>
      <c r="H42" s="134">
        <f>_xlfn.COMPOUNDVALUE(328)</f>
        <v>47</v>
      </c>
      <c r="I42" s="136">
        <v>188172</v>
      </c>
      <c r="J42" s="134">
        <v>38</v>
      </c>
      <c r="K42" s="136">
        <v>4984</v>
      </c>
      <c r="L42" s="134">
        <f>_xlfn.COMPOUNDVALUE(328)</f>
        <v>1077</v>
      </c>
      <c r="M42" s="136">
        <v>2773598</v>
      </c>
      <c r="N42" s="14" t="s">
        <v>128</v>
      </c>
    </row>
    <row r="43" spans="1:14" ht="15.75" customHeight="1">
      <c r="A43" s="13" t="s">
        <v>217</v>
      </c>
      <c r="B43" s="134">
        <f>_xlfn.COMPOUNDVALUE(329)</f>
        <v>1165</v>
      </c>
      <c r="C43" s="135">
        <v>5976397</v>
      </c>
      <c r="D43" s="134">
        <f>_xlfn.COMPOUNDVALUE(330)</f>
        <v>506</v>
      </c>
      <c r="E43" s="135">
        <v>252011</v>
      </c>
      <c r="F43" s="134">
        <f>_xlfn.COMPOUNDVALUE(331)</f>
        <v>1671</v>
      </c>
      <c r="G43" s="135">
        <v>6228408</v>
      </c>
      <c r="H43" s="134">
        <f>_xlfn.COMPOUNDVALUE(332)</f>
        <v>90</v>
      </c>
      <c r="I43" s="136">
        <v>268054</v>
      </c>
      <c r="J43" s="134">
        <v>52</v>
      </c>
      <c r="K43" s="136">
        <v>5642</v>
      </c>
      <c r="L43" s="134">
        <f>_xlfn.COMPOUNDVALUE(332)</f>
        <v>1783</v>
      </c>
      <c r="M43" s="136">
        <v>5965996</v>
      </c>
      <c r="N43" s="14" t="s">
        <v>129</v>
      </c>
    </row>
    <row r="44" spans="1:14" ht="15.75" customHeight="1">
      <c r="A44" s="13" t="s">
        <v>218</v>
      </c>
      <c r="B44" s="134">
        <f>_xlfn.COMPOUNDVALUE(333)</f>
        <v>751</v>
      </c>
      <c r="C44" s="135">
        <v>5198230</v>
      </c>
      <c r="D44" s="134">
        <f>_xlfn.COMPOUNDVALUE(334)</f>
        <v>338</v>
      </c>
      <c r="E44" s="135">
        <v>169277</v>
      </c>
      <c r="F44" s="134">
        <f>_xlfn.COMPOUNDVALUE(335)</f>
        <v>1089</v>
      </c>
      <c r="G44" s="135">
        <v>5367507</v>
      </c>
      <c r="H44" s="134">
        <f>_xlfn.COMPOUNDVALUE(336)</f>
        <v>40</v>
      </c>
      <c r="I44" s="136">
        <v>119862</v>
      </c>
      <c r="J44" s="134">
        <v>52</v>
      </c>
      <c r="K44" s="136">
        <v>3863</v>
      </c>
      <c r="L44" s="134">
        <f>_xlfn.COMPOUNDVALUE(336)</f>
        <v>1136</v>
      </c>
      <c r="M44" s="136">
        <v>5251508</v>
      </c>
      <c r="N44" s="14" t="s">
        <v>130</v>
      </c>
    </row>
    <row r="45" spans="1:14" ht="15.75" customHeight="1">
      <c r="A45" s="13" t="s">
        <v>219</v>
      </c>
      <c r="B45" s="134">
        <f>_xlfn.COMPOUNDVALUE(337)</f>
        <v>492</v>
      </c>
      <c r="C45" s="135">
        <v>2370858</v>
      </c>
      <c r="D45" s="134">
        <f>_xlfn.COMPOUNDVALUE(338)</f>
        <v>179</v>
      </c>
      <c r="E45" s="135">
        <v>86851</v>
      </c>
      <c r="F45" s="134">
        <f>_xlfn.COMPOUNDVALUE(339)</f>
        <v>671</v>
      </c>
      <c r="G45" s="135">
        <v>2457709</v>
      </c>
      <c r="H45" s="134">
        <f>_xlfn.COMPOUNDVALUE(340)</f>
        <v>27</v>
      </c>
      <c r="I45" s="136">
        <v>122694</v>
      </c>
      <c r="J45" s="134">
        <v>22</v>
      </c>
      <c r="K45" s="136">
        <v>1801</v>
      </c>
      <c r="L45" s="134">
        <f>_xlfn.COMPOUNDVALUE(340)</f>
        <v>702</v>
      </c>
      <c r="M45" s="136">
        <v>2336816</v>
      </c>
      <c r="N45" s="14" t="s">
        <v>131</v>
      </c>
    </row>
    <row r="46" spans="1:14" ht="15.75" customHeight="1">
      <c r="A46" s="13" t="s">
        <v>220</v>
      </c>
      <c r="B46" s="134">
        <f>_xlfn.COMPOUNDVALUE(341)</f>
        <v>1044</v>
      </c>
      <c r="C46" s="135">
        <v>4032663</v>
      </c>
      <c r="D46" s="134">
        <f>_xlfn.COMPOUNDVALUE(342)</f>
        <v>440</v>
      </c>
      <c r="E46" s="135">
        <v>223091</v>
      </c>
      <c r="F46" s="134">
        <f>_xlfn.COMPOUNDVALUE(343)</f>
        <v>1484</v>
      </c>
      <c r="G46" s="135">
        <v>4255754</v>
      </c>
      <c r="H46" s="134">
        <f>_xlfn.COMPOUNDVALUE(344)</f>
        <v>63</v>
      </c>
      <c r="I46" s="136">
        <v>131183</v>
      </c>
      <c r="J46" s="134">
        <v>51</v>
      </c>
      <c r="K46" s="136">
        <v>9074</v>
      </c>
      <c r="L46" s="134">
        <f>_xlfn.COMPOUNDVALUE(344)</f>
        <v>1557</v>
      </c>
      <c r="M46" s="136">
        <v>4133645</v>
      </c>
      <c r="N46" s="14" t="s">
        <v>132</v>
      </c>
    </row>
    <row r="47" spans="1:14" ht="15.75" customHeight="1">
      <c r="A47" s="15" t="s">
        <v>221</v>
      </c>
      <c r="B47" s="137">
        <v>8133</v>
      </c>
      <c r="C47" s="138">
        <v>43182951</v>
      </c>
      <c r="D47" s="137">
        <v>3519</v>
      </c>
      <c r="E47" s="138">
        <v>1752899</v>
      </c>
      <c r="F47" s="137">
        <v>11652</v>
      </c>
      <c r="G47" s="138">
        <v>44935850</v>
      </c>
      <c r="H47" s="137">
        <v>468</v>
      </c>
      <c r="I47" s="139">
        <v>2133077</v>
      </c>
      <c r="J47" s="137">
        <v>510</v>
      </c>
      <c r="K47" s="139">
        <v>122490</v>
      </c>
      <c r="L47" s="137">
        <v>12235</v>
      </c>
      <c r="M47" s="139">
        <v>42925263</v>
      </c>
      <c r="N47" s="16" t="s">
        <v>133</v>
      </c>
    </row>
    <row r="48" spans="1:14" ht="15.75" customHeight="1">
      <c r="A48" s="23"/>
      <c r="B48" s="140"/>
      <c r="C48" s="141"/>
      <c r="D48" s="140"/>
      <c r="E48" s="141"/>
      <c r="F48" s="142"/>
      <c r="G48" s="141"/>
      <c r="H48" s="142"/>
      <c r="I48" s="141"/>
      <c r="J48" s="142"/>
      <c r="K48" s="141"/>
      <c r="L48" s="142"/>
      <c r="M48" s="141"/>
      <c r="N48" s="24"/>
    </row>
    <row r="49" spans="1:14" ht="15.75" customHeight="1">
      <c r="A49" s="11" t="s">
        <v>222</v>
      </c>
      <c r="B49" s="131">
        <f>_xlfn.COMPOUNDVALUE(345)</f>
        <v>3502</v>
      </c>
      <c r="C49" s="132">
        <v>24113600</v>
      </c>
      <c r="D49" s="131">
        <f>_xlfn.COMPOUNDVALUE(346)</f>
        <v>1625</v>
      </c>
      <c r="E49" s="132">
        <v>792902</v>
      </c>
      <c r="F49" s="131">
        <f>_xlfn.COMPOUNDVALUE(347)</f>
        <v>5127</v>
      </c>
      <c r="G49" s="132">
        <v>24906502</v>
      </c>
      <c r="H49" s="131">
        <f>_xlfn.COMPOUNDVALUE(348)</f>
        <v>169</v>
      </c>
      <c r="I49" s="133">
        <v>1064014</v>
      </c>
      <c r="J49" s="131">
        <v>234</v>
      </c>
      <c r="K49" s="133">
        <v>47202</v>
      </c>
      <c r="L49" s="131">
        <f>_xlfn.COMPOUNDVALUE(348)</f>
        <v>5360</v>
      </c>
      <c r="M49" s="133">
        <v>23889690</v>
      </c>
      <c r="N49" s="25" t="s">
        <v>134</v>
      </c>
    </row>
    <row r="50" spans="1:14" ht="15.75" customHeight="1">
      <c r="A50" s="13" t="s">
        <v>223</v>
      </c>
      <c r="B50" s="134">
        <f>_xlfn.COMPOUNDVALUE(349)</f>
        <v>1388</v>
      </c>
      <c r="C50" s="135">
        <v>8051808</v>
      </c>
      <c r="D50" s="134">
        <f>_xlfn.COMPOUNDVALUE(350)</f>
        <v>667</v>
      </c>
      <c r="E50" s="135">
        <v>329836</v>
      </c>
      <c r="F50" s="134">
        <f>_xlfn.COMPOUNDVALUE(351)</f>
        <v>2055</v>
      </c>
      <c r="G50" s="135">
        <v>8381643</v>
      </c>
      <c r="H50" s="134">
        <f>_xlfn.COMPOUNDVALUE(352)</f>
        <v>73</v>
      </c>
      <c r="I50" s="136">
        <v>855260</v>
      </c>
      <c r="J50" s="134">
        <v>98</v>
      </c>
      <c r="K50" s="136">
        <v>15863</v>
      </c>
      <c r="L50" s="134">
        <f>_xlfn.COMPOUNDVALUE(352)</f>
        <v>2170</v>
      </c>
      <c r="M50" s="136">
        <v>7542246</v>
      </c>
      <c r="N50" s="14" t="s">
        <v>135</v>
      </c>
    </row>
    <row r="51" spans="1:14" ht="15.75" customHeight="1">
      <c r="A51" s="13" t="s">
        <v>224</v>
      </c>
      <c r="B51" s="134">
        <f>_xlfn.COMPOUNDVALUE(353)</f>
        <v>1285</v>
      </c>
      <c r="C51" s="135">
        <v>6792080</v>
      </c>
      <c r="D51" s="134">
        <f>_xlfn.COMPOUNDVALUE(354)</f>
        <v>567</v>
      </c>
      <c r="E51" s="135">
        <v>274470</v>
      </c>
      <c r="F51" s="134">
        <f>_xlfn.COMPOUNDVALUE(355)</f>
        <v>1852</v>
      </c>
      <c r="G51" s="135">
        <v>7066550</v>
      </c>
      <c r="H51" s="134">
        <f>_xlfn.COMPOUNDVALUE(356)</f>
        <v>57</v>
      </c>
      <c r="I51" s="136">
        <v>138592</v>
      </c>
      <c r="J51" s="134">
        <v>34</v>
      </c>
      <c r="K51" s="136">
        <v>11496</v>
      </c>
      <c r="L51" s="134">
        <f>_xlfn.COMPOUNDVALUE(356)</f>
        <v>1912</v>
      </c>
      <c r="M51" s="136">
        <v>6939455</v>
      </c>
      <c r="N51" s="14" t="s">
        <v>136</v>
      </c>
    </row>
    <row r="52" spans="1:14" ht="15.75" customHeight="1">
      <c r="A52" s="13" t="s">
        <v>225</v>
      </c>
      <c r="B52" s="134">
        <f>_xlfn.COMPOUNDVALUE(357)</f>
        <v>1052</v>
      </c>
      <c r="C52" s="135">
        <v>6159822</v>
      </c>
      <c r="D52" s="134">
        <f>_xlfn.COMPOUNDVALUE(358)</f>
        <v>588</v>
      </c>
      <c r="E52" s="135">
        <v>272950</v>
      </c>
      <c r="F52" s="134">
        <f>_xlfn.COMPOUNDVALUE(359)</f>
        <v>1640</v>
      </c>
      <c r="G52" s="135">
        <v>6432771</v>
      </c>
      <c r="H52" s="134">
        <f>_xlfn.COMPOUNDVALUE(360)</f>
        <v>50</v>
      </c>
      <c r="I52" s="136">
        <v>183783</v>
      </c>
      <c r="J52" s="134">
        <v>42</v>
      </c>
      <c r="K52" s="136">
        <v>8018</v>
      </c>
      <c r="L52" s="134">
        <f>_xlfn.COMPOUNDVALUE(360)</f>
        <v>1696</v>
      </c>
      <c r="M52" s="136">
        <v>6257006</v>
      </c>
      <c r="N52" s="14" t="s">
        <v>137</v>
      </c>
    </row>
    <row r="53" spans="1:14" ht="15.75" customHeight="1">
      <c r="A53" s="13" t="s">
        <v>226</v>
      </c>
      <c r="B53" s="134">
        <f>_xlfn.COMPOUNDVALUE(361)</f>
        <v>655</v>
      </c>
      <c r="C53" s="135">
        <v>2694256</v>
      </c>
      <c r="D53" s="134">
        <f>_xlfn.COMPOUNDVALUE(362)</f>
        <v>277</v>
      </c>
      <c r="E53" s="135">
        <v>141880</v>
      </c>
      <c r="F53" s="134">
        <f>_xlfn.COMPOUNDVALUE(363)</f>
        <v>932</v>
      </c>
      <c r="G53" s="135">
        <v>2836136</v>
      </c>
      <c r="H53" s="134">
        <f>_xlfn.COMPOUNDVALUE(364)</f>
        <v>35</v>
      </c>
      <c r="I53" s="136">
        <v>123448</v>
      </c>
      <c r="J53" s="134">
        <v>30</v>
      </c>
      <c r="K53" s="136">
        <v>3994</v>
      </c>
      <c r="L53" s="134">
        <f>_xlfn.COMPOUNDVALUE(364)</f>
        <v>976</v>
      </c>
      <c r="M53" s="136">
        <v>2716682</v>
      </c>
      <c r="N53" s="14" t="s">
        <v>138</v>
      </c>
    </row>
    <row r="54" spans="1:14" ht="15.75" customHeight="1">
      <c r="A54" s="13" t="s">
        <v>227</v>
      </c>
      <c r="B54" s="134">
        <f>_xlfn.COMPOUNDVALUE(365)</f>
        <v>666</v>
      </c>
      <c r="C54" s="135">
        <v>3787811</v>
      </c>
      <c r="D54" s="134">
        <f>_xlfn.COMPOUNDVALUE(366)</f>
        <v>303</v>
      </c>
      <c r="E54" s="135">
        <v>150239</v>
      </c>
      <c r="F54" s="134">
        <f>_xlfn.COMPOUNDVALUE(367)</f>
        <v>969</v>
      </c>
      <c r="G54" s="135">
        <v>3938049</v>
      </c>
      <c r="H54" s="134">
        <f>_xlfn.COMPOUNDVALUE(368)</f>
        <v>24</v>
      </c>
      <c r="I54" s="136">
        <v>71938</v>
      </c>
      <c r="J54" s="134">
        <v>30</v>
      </c>
      <c r="K54" s="136">
        <v>-459</v>
      </c>
      <c r="L54" s="134">
        <f>_xlfn.COMPOUNDVALUE(368)</f>
        <v>1001</v>
      </c>
      <c r="M54" s="136">
        <v>3865652</v>
      </c>
      <c r="N54" s="14" t="s">
        <v>139</v>
      </c>
    </row>
    <row r="55" spans="1:14" ht="15.75" customHeight="1">
      <c r="A55" s="13" t="s">
        <v>228</v>
      </c>
      <c r="B55" s="134">
        <f>_xlfn.COMPOUNDVALUE(369)</f>
        <v>715</v>
      </c>
      <c r="C55" s="135">
        <v>5206336</v>
      </c>
      <c r="D55" s="134">
        <f>_xlfn.COMPOUNDVALUE(370)</f>
        <v>251</v>
      </c>
      <c r="E55" s="135">
        <v>118881</v>
      </c>
      <c r="F55" s="134">
        <f>_xlfn.COMPOUNDVALUE(371)</f>
        <v>966</v>
      </c>
      <c r="G55" s="135">
        <v>5325217</v>
      </c>
      <c r="H55" s="134">
        <f>_xlfn.COMPOUNDVALUE(372)</f>
        <v>48</v>
      </c>
      <c r="I55" s="136">
        <v>1984855</v>
      </c>
      <c r="J55" s="134">
        <v>47</v>
      </c>
      <c r="K55" s="136">
        <v>-102334</v>
      </c>
      <c r="L55" s="134">
        <f>_xlfn.COMPOUNDVALUE(372)</f>
        <v>1024</v>
      </c>
      <c r="M55" s="136">
        <v>3238029</v>
      </c>
      <c r="N55" s="14" t="s">
        <v>140</v>
      </c>
    </row>
    <row r="56" spans="1:14" ht="15.75" customHeight="1">
      <c r="A56" s="13" t="s">
        <v>229</v>
      </c>
      <c r="B56" s="134">
        <f>_xlfn.COMPOUNDVALUE(373)</f>
        <v>529</v>
      </c>
      <c r="C56" s="135">
        <v>2734749</v>
      </c>
      <c r="D56" s="134">
        <f>_xlfn.COMPOUNDVALUE(374)</f>
        <v>221</v>
      </c>
      <c r="E56" s="135">
        <v>110745</v>
      </c>
      <c r="F56" s="134">
        <f>_xlfn.COMPOUNDVALUE(375)</f>
        <v>750</v>
      </c>
      <c r="G56" s="135">
        <v>2845494</v>
      </c>
      <c r="H56" s="134">
        <f>_xlfn.COMPOUNDVALUE(376)</f>
        <v>26</v>
      </c>
      <c r="I56" s="136">
        <v>48856</v>
      </c>
      <c r="J56" s="134">
        <v>45</v>
      </c>
      <c r="K56" s="136">
        <v>5335</v>
      </c>
      <c r="L56" s="134">
        <f>_xlfn.COMPOUNDVALUE(376)</f>
        <v>784</v>
      </c>
      <c r="M56" s="136">
        <v>2801973</v>
      </c>
      <c r="N56" s="14" t="s">
        <v>141</v>
      </c>
    </row>
    <row r="57" spans="1:14" ht="15.75" customHeight="1">
      <c r="A57" s="15" t="s">
        <v>230</v>
      </c>
      <c r="B57" s="137">
        <v>9792</v>
      </c>
      <c r="C57" s="138">
        <v>59540461</v>
      </c>
      <c r="D57" s="137">
        <v>4499</v>
      </c>
      <c r="E57" s="138">
        <v>2191901</v>
      </c>
      <c r="F57" s="137">
        <v>14291</v>
      </c>
      <c r="G57" s="138">
        <v>61732362</v>
      </c>
      <c r="H57" s="137">
        <v>482</v>
      </c>
      <c r="I57" s="139">
        <v>4470746</v>
      </c>
      <c r="J57" s="137">
        <v>560</v>
      </c>
      <c r="K57" s="139">
        <v>-10883</v>
      </c>
      <c r="L57" s="137">
        <v>14923</v>
      </c>
      <c r="M57" s="139">
        <v>57250732</v>
      </c>
      <c r="N57" s="16" t="s">
        <v>142</v>
      </c>
    </row>
    <row r="58" spans="1:14" ht="15.75" customHeight="1">
      <c r="A58" s="23"/>
      <c r="B58" s="140"/>
      <c r="C58" s="141"/>
      <c r="D58" s="140"/>
      <c r="E58" s="141"/>
      <c r="F58" s="142"/>
      <c r="G58" s="141"/>
      <c r="H58" s="142"/>
      <c r="I58" s="141"/>
      <c r="J58" s="142"/>
      <c r="K58" s="141"/>
      <c r="L58" s="142"/>
      <c r="M58" s="141"/>
      <c r="N58" s="24"/>
    </row>
    <row r="59" spans="1:14" ht="15.75" customHeight="1">
      <c r="A59" s="11" t="s">
        <v>231</v>
      </c>
      <c r="B59" s="131">
        <f>_xlfn.COMPOUNDVALUE(377)</f>
        <v>3308</v>
      </c>
      <c r="C59" s="132">
        <v>22481580</v>
      </c>
      <c r="D59" s="131">
        <f>_xlfn.COMPOUNDVALUE(378)</f>
        <v>1533</v>
      </c>
      <c r="E59" s="132">
        <v>809865</v>
      </c>
      <c r="F59" s="131">
        <f>_xlfn.COMPOUNDVALUE(379)</f>
        <v>4841</v>
      </c>
      <c r="G59" s="132">
        <v>23291445</v>
      </c>
      <c r="H59" s="131">
        <f>_xlfn.COMPOUNDVALUE(380)</f>
        <v>183</v>
      </c>
      <c r="I59" s="133">
        <v>935581</v>
      </c>
      <c r="J59" s="131">
        <v>216</v>
      </c>
      <c r="K59" s="133">
        <v>-287</v>
      </c>
      <c r="L59" s="131">
        <f>_xlfn.COMPOUNDVALUE(380)</f>
        <v>5055</v>
      </c>
      <c r="M59" s="133">
        <v>22355577</v>
      </c>
      <c r="N59" s="25" t="s">
        <v>144</v>
      </c>
    </row>
    <row r="60" spans="1:14" ht="15.75" customHeight="1">
      <c r="A60" s="11" t="s">
        <v>232</v>
      </c>
      <c r="B60" s="131">
        <f>_xlfn.COMPOUNDVALUE(381)</f>
        <v>1661</v>
      </c>
      <c r="C60" s="132">
        <v>8810060</v>
      </c>
      <c r="D60" s="131">
        <f>_xlfn.COMPOUNDVALUE(382)</f>
        <v>943</v>
      </c>
      <c r="E60" s="132">
        <v>434277</v>
      </c>
      <c r="F60" s="131">
        <f>_xlfn.COMPOUNDVALUE(383)</f>
        <v>2604</v>
      </c>
      <c r="G60" s="132">
        <v>9244337</v>
      </c>
      <c r="H60" s="131">
        <f>_xlfn.COMPOUNDVALUE(384)</f>
        <v>82</v>
      </c>
      <c r="I60" s="133">
        <v>745412</v>
      </c>
      <c r="J60" s="131">
        <v>125</v>
      </c>
      <c r="K60" s="133">
        <v>28952</v>
      </c>
      <c r="L60" s="131">
        <f>_xlfn.COMPOUNDVALUE(384)</f>
        <v>2711</v>
      </c>
      <c r="M60" s="133">
        <v>8527877</v>
      </c>
      <c r="N60" s="12" t="s">
        <v>145</v>
      </c>
    </row>
    <row r="61" spans="1:14" ht="15.75" customHeight="1">
      <c r="A61" s="11" t="s">
        <v>233</v>
      </c>
      <c r="B61" s="131">
        <f>_xlfn.COMPOUNDVALUE(385)</f>
        <v>4173</v>
      </c>
      <c r="C61" s="132">
        <v>30712146</v>
      </c>
      <c r="D61" s="131">
        <f>_xlfn.COMPOUNDVALUE(386)</f>
        <v>2104</v>
      </c>
      <c r="E61" s="132">
        <v>1127998</v>
      </c>
      <c r="F61" s="131">
        <f>_xlfn.COMPOUNDVALUE(387)</f>
        <v>6277</v>
      </c>
      <c r="G61" s="132">
        <v>31840144</v>
      </c>
      <c r="H61" s="131">
        <f>_xlfn.COMPOUNDVALUE(388)</f>
        <v>249</v>
      </c>
      <c r="I61" s="133">
        <v>683203</v>
      </c>
      <c r="J61" s="131">
        <v>253</v>
      </c>
      <c r="K61" s="133">
        <v>71219</v>
      </c>
      <c r="L61" s="131">
        <f>_xlfn.COMPOUNDVALUE(388)</f>
        <v>6566</v>
      </c>
      <c r="M61" s="133">
        <v>31228160</v>
      </c>
      <c r="N61" s="12" t="s">
        <v>146</v>
      </c>
    </row>
    <row r="62" spans="1:14" ht="15.75" customHeight="1">
      <c r="A62" s="13" t="s">
        <v>69</v>
      </c>
      <c r="B62" s="134">
        <f>_xlfn.COMPOUNDVALUE(389)</f>
        <v>3370</v>
      </c>
      <c r="C62" s="135">
        <v>17974810</v>
      </c>
      <c r="D62" s="134">
        <f>_xlfn.COMPOUNDVALUE(390)</f>
        <v>1618</v>
      </c>
      <c r="E62" s="135">
        <v>843159</v>
      </c>
      <c r="F62" s="134">
        <f>_xlfn.COMPOUNDVALUE(391)</f>
        <v>4988</v>
      </c>
      <c r="G62" s="135">
        <v>18817969</v>
      </c>
      <c r="H62" s="134">
        <f>_xlfn.COMPOUNDVALUE(392)</f>
        <v>248</v>
      </c>
      <c r="I62" s="136">
        <v>4964762</v>
      </c>
      <c r="J62" s="134">
        <v>280</v>
      </c>
      <c r="K62" s="136">
        <v>131104</v>
      </c>
      <c r="L62" s="134">
        <f>_xlfn.COMPOUNDVALUE(392)</f>
        <v>5287</v>
      </c>
      <c r="M62" s="136">
        <v>13984311</v>
      </c>
      <c r="N62" s="14" t="s">
        <v>69</v>
      </c>
    </row>
    <row r="63" spans="1:14" ht="15.75" customHeight="1">
      <c r="A63" s="13" t="s">
        <v>234</v>
      </c>
      <c r="B63" s="134">
        <f>_xlfn.COMPOUNDVALUE(393)</f>
        <v>1144</v>
      </c>
      <c r="C63" s="135">
        <v>5341018</v>
      </c>
      <c r="D63" s="134">
        <f>_xlfn.COMPOUNDVALUE(394)</f>
        <v>518</v>
      </c>
      <c r="E63" s="135">
        <v>280711</v>
      </c>
      <c r="F63" s="134">
        <f>_xlfn.COMPOUNDVALUE(395)</f>
        <v>1662</v>
      </c>
      <c r="G63" s="135">
        <v>5621730</v>
      </c>
      <c r="H63" s="134">
        <f>_xlfn.COMPOUNDVALUE(396)</f>
        <v>78</v>
      </c>
      <c r="I63" s="136">
        <v>647392</v>
      </c>
      <c r="J63" s="134">
        <v>53</v>
      </c>
      <c r="K63" s="136">
        <v>3722</v>
      </c>
      <c r="L63" s="134">
        <f>_xlfn.COMPOUNDVALUE(396)</f>
        <v>1752</v>
      </c>
      <c r="M63" s="136">
        <v>4978060</v>
      </c>
      <c r="N63" s="14" t="s">
        <v>147</v>
      </c>
    </row>
    <row r="64" spans="1:14" ht="15.75" customHeight="1">
      <c r="A64" s="13" t="s">
        <v>235</v>
      </c>
      <c r="B64" s="134">
        <f>_xlfn.COMPOUNDVALUE(397)</f>
        <v>1178</v>
      </c>
      <c r="C64" s="135">
        <v>5545373</v>
      </c>
      <c r="D64" s="134">
        <f>_xlfn.COMPOUNDVALUE(398)</f>
        <v>586</v>
      </c>
      <c r="E64" s="135">
        <v>294445</v>
      </c>
      <c r="F64" s="134">
        <f>_xlfn.COMPOUNDVALUE(399)</f>
        <v>1764</v>
      </c>
      <c r="G64" s="135">
        <v>5839818</v>
      </c>
      <c r="H64" s="134">
        <f>_xlfn.COMPOUNDVALUE(400)</f>
        <v>75</v>
      </c>
      <c r="I64" s="136">
        <v>621679</v>
      </c>
      <c r="J64" s="134">
        <v>50</v>
      </c>
      <c r="K64" s="136">
        <v>14667</v>
      </c>
      <c r="L64" s="134">
        <f>_xlfn.COMPOUNDVALUE(400)</f>
        <v>1844</v>
      </c>
      <c r="M64" s="136">
        <v>5232806</v>
      </c>
      <c r="N64" s="14" t="s">
        <v>148</v>
      </c>
    </row>
    <row r="65" spans="1:14" ht="15.75" customHeight="1">
      <c r="A65" s="13" t="s">
        <v>236</v>
      </c>
      <c r="B65" s="134">
        <f>_xlfn.COMPOUNDVALUE(401)</f>
        <v>431</v>
      </c>
      <c r="C65" s="135">
        <v>1993555</v>
      </c>
      <c r="D65" s="134">
        <f>_xlfn.COMPOUNDVALUE(402)</f>
        <v>280</v>
      </c>
      <c r="E65" s="135">
        <v>132104</v>
      </c>
      <c r="F65" s="134">
        <f>_xlfn.COMPOUNDVALUE(403)</f>
        <v>711</v>
      </c>
      <c r="G65" s="135">
        <v>2125659</v>
      </c>
      <c r="H65" s="134">
        <f>_xlfn.COMPOUNDVALUE(404)</f>
        <v>22</v>
      </c>
      <c r="I65" s="136">
        <v>75543</v>
      </c>
      <c r="J65" s="134">
        <v>26</v>
      </c>
      <c r="K65" s="136">
        <v>-3191</v>
      </c>
      <c r="L65" s="134">
        <f>_xlfn.COMPOUNDVALUE(404)</f>
        <v>743</v>
      </c>
      <c r="M65" s="136">
        <v>2046925</v>
      </c>
      <c r="N65" s="14" t="s">
        <v>149</v>
      </c>
    </row>
    <row r="66" spans="1:14" ht="15.75" customHeight="1">
      <c r="A66" s="13" t="s">
        <v>237</v>
      </c>
      <c r="B66" s="134">
        <f>_xlfn.COMPOUNDVALUE(405)</f>
        <v>1250</v>
      </c>
      <c r="C66" s="135">
        <v>7234625</v>
      </c>
      <c r="D66" s="134">
        <f>_xlfn.COMPOUNDVALUE(406)</f>
        <v>523</v>
      </c>
      <c r="E66" s="135">
        <v>381471</v>
      </c>
      <c r="F66" s="134">
        <f>_xlfn.COMPOUNDVALUE(407)</f>
        <v>1773</v>
      </c>
      <c r="G66" s="135">
        <v>7616096</v>
      </c>
      <c r="H66" s="134">
        <f>_xlfn.COMPOUNDVALUE(408)</f>
        <v>211</v>
      </c>
      <c r="I66" s="136">
        <v>1313530</v>
      </c>
      <c r="J66" s="134">
        <v>92</v>
      </c>
      <c r="K66" s="136">
        <v>22076</v>
      </c>
      <c r="L66" s="134">
        <f>_xlfn.COMPOUNDVALUE(408)</f>
        <v>2010</v>
      </c>
      <c r="M66" s="136">
        <v>6324643</v>
      </c>
      <c r="N66" s="14" t="s">
        <v>150</v>
      </c>
    </row>
    <row r="67" spans="1:14" ht="15.75" customHeight="1">
      <c r="A67" s="13" t="s">
        <v>238</v>
      </c>
      <c r="B67" s="134">
        <f>_xlfn.COMPOUNDVALUE(409)</f>
        <v>817</v>
      </c>
      <c r="C67" s="135">
        <v>3920408</v>
      </c>
      <c r="D67" s="134">
        <f>_xlfn.COMPOUNDVALUE(410)</f>
        <v>342</v>
      </c>
      <c r="E67" s="135">
        <v>199665</v>
      </c>
      <c r="F67" s="134">
        <f>_xlfn.COMPOUNDVALUE(411)</f>
        <v>1159</v>
      </c>
      <c r="G67" s="135">
        <v>4120073</v>
      </c>
      <c r="H67" s="134">
        <f>_xlfn.COMPOUNDVALUE(412)</f>
        <v>57</v>
      </c>
      <c r="I67" s="136">
        <v>258838</v>
      </c>
      <c r="J67" s="134">
        <v>29</v>
      </c>
      <c r="K67" s="136">
        <v>3639</v>
      </c>
      <c r="L67" s="134">
        <f>_xlfn.COMPOUNDVALUE(412)</f>
        <v>1223</v>
      </c>
      <c r="M67" s="136">
        <v>3864875</v>
      </c>
      <c r="N67" s="14" t="s">
        <v>151</v>
      </c>
    </row>
    <row r="68" spans="1:14" ht="15.75" customHeight="1">
      <c r="A68" s="13" t="s">
        <v>239</v>
      </c>
      <c r="B68" s="134">
        <f>_xlfn.COMPOUNDVALUE(413)</f>
        <v>289</v>
      </c>
      <c r="C68" s="135">
        <v>920186</v>
      </c>
      <c r="D68" s="134">
        <f>_xlfn.COMPOUNDVALUE(414)</f>
        <v>145</v>
      </c>
      <c r="E68" s="135">
        <v>87574</v>
      </c>
      <c r="F68" s="134">
        <f>_xlfn.COMPOUNDVALUE(415)</f>
        <v>434</v>
      </c>
      <c r="G68" s="135">
        <v>1007760</v>
      </c>
      <c r="H68" s="134">
        <f>_xlfn.COMPOUNDVALUE(416)</f>
        <v>14</v>
      </c>
      <c r="I68" s="136">
        <v>7858</v>
      </c>
      <c r="J68" s="134">
        <v>23</v>
      </c>
      <c r="K68" s="136">
        <v>4084</v>
      </c>
      <c r="L68" s="134">
        <f>_xlfn.COMPOUNDVALUE(416)</f>
        <v>458</v>
      </c>
      <c r="M68" s="136">
        <v>1003987</v>
      </c>
      <c r="N68" s="14" t="s">
        <v>152</v>
      </c>
    </row>
    <row r="69" spans="1:14" ht="15.75" customHeight="1">
      <c r="A69" s="15" t="s">
        <v>240</v>
      </c>
      <c r="B69" s="137">
        <v>17621</v>
      </c>
      <c r="C69" s="138">
        <v>104933761</v>
      </c>
      <c r="D69" s="137">
        <v>8592</v>
      </c>
      <c r="E69" s="138">
        <v>4591270</v>
      </c>
      <c r="F69" s="137">
        <v>26213</v>
      </c>
      <c r="G69" s="138">
        <v>109525031</v>
      </c>
      <c r="H69" s="137">
        <v>1219</v>
      </c>
      <c r="I69" s="139">
        <v>10253798</v>
      </c>
      <c r="J69" s="137">
        <v>1147</v>
      </c>
      <c r="K69" s="139">
        <v>275986</v>
      </c>
      <c r="L69" s="137">
        <v>27649</v>
      </c>
      <c r="M69" s="139">
        <v>99547219</v>
      </c>
      <c r="N69" s="16" t="s">
        <v>153</v>
      </c>
    </row>
    <row r="70" spans="1:14" ht="15.75" customHeight="1" thickBot="1">
      <c r="A70" s="18"/>
      <c r="B70" s="146"/>
      <c r="C70" s="147"/>
      <c r="D70" s="146"/>
      <c r="E70" s="147"/>
      <c r="F70" s="148"/>
      <c r="G70" s="147"/>
      <c r="H70" s="148"/>
      <c r="I70" s="147"/>
      <c r="J70" s="148"/>
      <c r="K70" s="147"/>
      <c r="L70" s="148"/>
      <c r="M70" s="147"/>
      <c r="N70" s="19"/>
    </row>
    <row r="71" spans="1:14" ht="15.75" customHeight="1" thickBot="1" thickTop="1">
      <c r="A71" s="21" t="s">
        <v>241</v>
      </c>
      <c r="B71" s="149">
        <v>76170</v>
      </c>
      <c r="C71" s="150">
        <v>497203041</v>
      </c>
      <c r="D71" s="149">
        <v>32812</v>
      </c>
      <c r="E71" s="150">
        <v>17062591</v>
      </c>
      <c r="F71" s="149">
        <v>108982</v>
      </c>
      <c r="G71" s="150">
        <v>514265631</v>
      </c>
      <c r="H71" s="149">
        <v>4731</v>
      </c>
      <c r="I71" s="151">
        <v>35075223</v>
      </c>
      <c r="J71" s="149">
        <v>5228</v>
      </c>
      <c r="K71" s="151">
        <v>1124982</v>
      </c>
      <c r="L71" s="149">
        <v>114862</v>
      </c>
      <c r="M71" s="151">
        <v>480315390</v>
      </c>
      <c r="N71" s="22" t="s">
        <v>96</v>
      </c>
    </row>
    <row r="72" spans="1:14" ht="13.5">
      <c r="A72" s="223" t="s">
        <v>242</v>
      </c>
      <c r="B72" s="223"/>
      <c r="C72" s="223"/>
      <c r="D72" s="223"/>
      <c r="E72" s="223"/>
      <c r="F72" s="223"/>
      <c r="G72" s="223"/>
      <c r="H72" s="223"/>
      <c r="I72" s="223"/>
      <c r="J72" s="26"/>
      <c r="K72" s="26"/>
      <c r="L72" s="2"/>
      <c r="M72" s="2"/>
      <c r="N72" s="2"/>
    </row>
  </sheetData>
  <sheetProtection/>
  <mergeCells count="11">
    <mergeCell ref="L3:M4"/>
    <mergeCell ref="A72:I72"/>
    <mergeCell ref="A2:I2"/>
    <mergeCell ref="A3:A5"/>
    <mergeCell ref="B3:G3"/>
    <mergeCell ref="H3:I4"/>
    <mergeCell ref="N3:N5"/>
    <mergeCell ref="B4:C4"/>
    <mergeCell ref="D4:E4"/>
    <mergeCell ref="F4:G4"/>
    <mergeCell ref="J3:K4"/>
  </mergeCells>
  <printOptions horizontalCentered="1"/>
  <pageMargins left="0.5905511811023623" right="0.5905511811023623" top="0.7874015748031497" bottom="0.7874015748031497" header="0.5118110236220472" footer="0.5118110236220472"/>
  <pageSetup fitToHeight="0" horizontalDpi="600" verticalDpi="600" orientation="landscape" paperSize="9" scale="80" r:id="rId1"/>
  <headerFooter alignWithMargins="0">
    <oddFooter>&amp;R仙台国税局
消費税
(H26)</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R72"/>
  <sheetViews>
    <sheetView showGridLines="0" zoomScaleSheetLayoutView="85" zoomScalePageLayoutView="0" workbookViewId="0" topLeftCell="A1">
      <selection activeCell="A1" sqref="A1"/>
    </sheetView>
  </sheetViews>
  <sheetFormatPr defaultColWidth="9.140625" defaultRowHeight="15"/>
  <cols>
    <col min="1" max="1" width="10.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7" width="10.57421875" style="3" customWidth="1"/>
    <col min="18" max="18" width="10.421875" style="3" customWidth="1"/>
    <col min="19" max="16384" width="9.00390625" style="3" customWidth="1"/>
  </cols>
  <sheetData>
    <row r="1" spans="1:16" ht="13.5">
      <c r="A1" s="1" t="s">
        <v>77</v>
      </c>
      <c r="B1" s="1"/>
      <c r="C1" s="1"/>
      <c r="D1" s="1"/>
      <c r="E1" s="1"/>
      <c r="F1" s="1"/>
      <c r="G1" s="1"/>
      <c r="H1" s="1"/>
      <c r="I1" s="1"/>
      <c r="J1" s="1"/>
      <c r="K1" s="1"/>
      <c r="L1" s="2"/>
      <c r="M1" s="2"/>
      <c r="N1" s="2"/>
      <c r="O1" s="2"/>
      <c r="P1" s="2"/>
    </row>
    <row r="2" spans="1:16" ht="14.25" thickBot="1">
      <c r="A2" s="238" t="s">
        <v>86</v>
      </c>
      <c r="B2" s="238"/>
      <c r="C2" s="238"/>
      <c r="D2" s="238"/>
      <c r="E2" s="238"/>
      <c r="F2" s="238"/>
      <c r="G2" s="238"/>
      <c r="H2" s="238"/>
      <c r="I2" s="238"/>
      <c r="J2" s="26"/>
      <c r="K2" s="26"/>
      <c r="L2" s="2"/>
      <c r="M2" s="2"/>
      <c r="N2" s="2"/>
      <c r="O2" s="2"/>
      <c r="P2" s="2"/>
    </row>
    <row r="3" spans="1:18" ht="19.5" customHeight="1">
      <c r="A3" s="224" t="s">
        <v>2</v>
      </c>
      <c r="B3" s="227" t="s">
        <v>3</v>
      </c>
      <c r="C3" s="227"/>
      <c r="D3" s="227"/>
      <c r="E3" s="227"/>
      <c r="F3" s="227"/>
      <c r="G3" s="227"/>
      <c r="H3" s="227" t="s">
        <v>4</v>
      </c>
      <c r="I3" s="227"/>
      <c r="J3" s="244" t="s">
        <v>5</v>
      </c>
      <c r="K3" s="227"/>
      <c r="L3" s="227" t="s">
        <v>6</v>
      </c>
      <c r="M3" s="227"/>
      <c r="N3" s="245" t="s">
        <v>87</v>
      </c>
      <c r="O3" s="246"/>
      <c r="P3" s="246"/>
      <c r="Q3" s="246"/>
      <c r="R3" s="232" t="s">
        <v>79</v>
      </c>
    </row>
    <row r="4" spans="1:18" ht="17.25" customHeight="1">
      <c r="A4" s="225"/>
      <c r="B4" s="235" t="s">
        <v>8</v>
      </c>
      <c r="C4" s="235"/>
      <c r="D4" s="235" t="s">
        <v>9</v>
      </c>
      <c r="E4" s="235"/>
      <c r="F4" s="235" t="s">
        <v>10</v>
      </c>
      <c r="G4" s="235"/>
      <c r="H4" s="235"/>
      <c r="I4" s="235"/>
      <c r="J4" s="235"/>
      <c r="K4" s="235"/>
      <c r="L4" s="235"/>
      <c r="M4" s="235"/>
      <c r="N4" s="247" t="s">
        <v>88</v>
      </c>
      <c r="O4" s="239" t="s">
        <v>89</v>
      </c>
      <c r="P4" s="241" t="s">
        <v>90</v>
      </c>
      <c r="Q4" s="231" t="s">
        <v>91</v>
      </c>
      <c r="R4" s="233"/>
    </row>
    <row r="5" spans="1:18" ht="28.5" customHeight="1">
      <c r="A5" s="226"/>
      <c r="B5" s="34" t="s">
        <v>11</v>
      </c>
      <c r="C5" s="35" t="s">
        <v>12</v>
      </c>
      <c r="D5" s="34" t="s">
        <v>11</v>
      </c>
      <c r="E5" s="35" t="s">
        <v>12</v>
      </c>
      <c r="F5" s="34" t="s">
        <v>11</v>
      </c>
      <c r="G5" s="35" t="s">
        <v>13</v>
      </c>
      <c r="H5" s="34" t="s">
        <v>11</v>
      </c>
      <c r="I5" s="35" t="s">
        <v>14</v>
      </c>
      <c r="J5" s="34" t="s">
        <v>11</v>
      </c>
      <c r="K5" s="35" t="s">
        <v>15</v>
      </c>
      <c r="L5" s="34" t="s">
        <v>11</v>
      </c>
      <c r="M5" s="30" t="s">
        <v>95</v>
      </c>
      <c r="N5" s="248"/>
      <c r="O5" s="240"/>
      <c r="P5" s="242"/>
      <c r="Q5" s="243"/>
      <c r="R5" s="234"/>
    </row>
    <row r="6" spans="1:18" s="28" customFormat="1" ht="10.5">
      <c r="A6" s="5"/>
      <c r="B6" s="6" t="s">
        <v>16</v>
      </c>
      <c r="C6" s="7" t="s">
        <v>17</v>
      </c>
      <c r="D6" s="6" t="s">
        <v>16</v>
      </c>
      <c r="E6" s="7" t="s">
        <v>17</v>
      </c>
      <c r="F6" s="6" t="s">
        <v>16</v>
      </c>
      <c r="G6" s="7" t="s">
        <v>17</v>
      </c>
      <c r="H6" s="6" t="s">
        <v>16</v>
      </c>
      <c r="I6" s="7" t="s">
        <v>17</v>
      </c>
      <c r="J6" s="6" t="s">
        <v>16</v>
      </c>
      <c r="K6" s="7" t="s">
        <v>17</v>
      </c>
      <c r="L6" s="6" t="s">
        <v>16</v>
      </c>
      <c r="M6" s="7" t="s">
        <v>17</v>
      </c>
      <c r="N6" s="6" t="s">
        <v>16</v>
      </c>
      <c r="O6" s="31" t="s">
        <v>16</v>
      </c>
      <c r="P6" s="31" t="s">
        <v>16</v>
      </c>
      <c r="Q6" s="32" t="s">
        <v>16</v>
      </c>
      <c r="R6" s="9"/>
    </row>
    <row r="7" spans="1:18" ht="15.75" customHeight="1">
      <c r="A7" s="11" t="s">
        <v>19</v>
      </c>
      <c r="B7" s="131">
        <f>_xlfn.COMPOUNDVALUE(417)</f>
        <v>3540</v>
      </c>
      <c r="C7" s="132">
        <v>15252386</v>
      </c>
      <c r="D7" s="131">
        <f>_xlfn.COMPOUNDVALUE(418)</f>
        <v>2496</v>
      </c>
      <c r="E7" s="132">
        <v>1044872</v>
      </c>
      <c r="F7" s="131">
        <f>_xlfn.COMPOUNDVALUE(419)</f>
        <v>6036</v>
      </c>
      <c r="G7" s="132">
        <v>16297258</v>
      </c>
      <c r="H7" s="131">
        <f>_xlfn.COMPOUNDVALUE(420)</f>
        <v>173</v>
      </c>
      <c r="I7" s="133">
        <v>371091</v>
      </c>
      <c r="J7" s="131">
        <v>441</v>
      </c>
      <c r="K7" s="133">
        <v>92636</v>
      </c>
      <c r="L7" s="131">
        <f>_xlfn.COMPOUNDVALUE(420)</f>
        <v>6326</v>
      </c>
      <c r="M7" s="133">
        <v>16018803</v>
      </c>
      <c r="N7" s="131">
        <v>6155</v>
      </c>
      <c r="O7" s="152">
        <v>154</v>
      </c>
      <c r="P7" s="152">
        <v>13</v>
      </c>
      <c r="Q7" s="153">
        <v>6322</v>
      </c>
      <c r="R7" s="12" t="s">
        <v>98</v>
      </c>
    </row>
    <row r="8" spans="1:18" ht="15.75" customHeight="1">
      <c r="A8" s="13" t="s">
        <v>20</v>
      </c>
      <c r="B8" s="134">
        <f>_xlfn.COMPOUNDVALUE(421)</f>
        <v>2128</v>
      </c>
      <c r="C8" s="135">
        <v>8050146</v>
      </c>
      <c r="D8" s="134">
        <f>_xlfn.COMPOUNDVALUE(422)</f>
        <v>1702</v>
      </c>
      <c r="E8" s="135">
        <v>671084</v>
      </c>
      <c r="F8" s="134">
        <f>_xlfn.COMPOUNDVALUE(423)</f>
        <v>3830</v>
      </c>
      <c r="G8" s="135">
        <v>8721230</v>
      </c>
      <c r="H8" s="134">
        <f>_xlfn.COMPOUNDVALUE(424)</f>
        <v>99</v>
      </c>
      <c r="I8" s="136">
        <v>602857</v>
      </c>
      <c r="J8" s="134">
        <v>193</v>
      </c>
      <c r="K8" s="136">
        <v>44970</v>
      </c>
      <c r="L8" s="134">
        <f>_xlfn.COMPOUNDVALUE(424)</f>
        <v>3987</v>
      </c>
      <c r="M8" s="136">
        <v>8163343</v>
      </c>
      <c r="N8" s="131">
        <v>3949</v>
      </c>
      <c r="O8" s="152">
        <v>69</v>
      </c>
      <c r="P8" s="152">
        <v>11</v>
      </c>
      <c r="Q8" s="153">
        <v>4029</v>
      </c>
      <c r="R8" s="14" t="s">
        <v>99</v>
      </c>
    </row>
    <row r="9" spans="1:18" ht="15.75" customHeight="1">
      <c r="A9" s="13" t="s">
        <v>21</v>
      </c>
      <c r="B9" s="134">
        <f>_xlfn.COMPOUNDVALUE(425)</f>
        <v>3692</v>
      </c>
      <c r="C9" s="135">
        <v>17495721</v>
      </c>
      <c r="D9" s="134">
        <f>_xlfn.COMPOUNDVALUE(426)</f>
        <v>2674</v>
      </c>
      <c r="E9" s="135">
        <v>1101064</v>
      </c>
      <c r="F9" s="134">
        <f>_xlfn.COMPOUNDVALUE(427)</f>
        <v>6366</v>
      </c>
      <c r="G9" s="135">
        <v>18596785</v>
      </c>
      <c r="H9" s="134">
        <f>_xlfn.COMPOUNDVALUE(428)</f>
        <v>248</v>
      </c>
      <c r="I9" s="136">
        <v>2311913</v>
      </c>
      <c r="J9" s="134">
        <v>324</v>
      </c>
      <c r="K9" s="136">
        <v>48734</v>
      </c>
      <c r="L9" s="134">
        <f>_xlfn.COMPOUNDVALUE(428)</f>
        <v>6701</v>
      </c>
      <c r="M9" s="136">
        <v>16333606</v>
      </c>
      <c r="N9" s="131">
        <v>6487</v>
      </c>
      <c r="O9" s="152">
        <v>153</v>
      </c>
      <c r="P9" s="152">
        <v>14</v>
      </c>
      <c r="Q9" s="153">
        <v>6654</v>
      </c>
      <c r="R9" s="14" t="s">
        <v>100</v>
      </c>
    </row>
    <row r="10" spans="1:18" ht="15.75" customHeight="1">
      <c r="A10" s="13" t="s">
        <v>22</v>
      </c>
      <c r="B10" s="134">
        <f>_xlfn.COMPOUNDVALUE(429)</f>
        <v>854</v>
      </c>
      <c r="C10" s="135">
        <v>2802375</v>
      </c>
      <c r="D10" s="134">
        <f>_xlfn.COMPOUNDVALUE(430)</f>
        <v>839</v>
      </c>
      <c r="E10" s="135">
        <v>303799</v>
      </c>
      <c r="F10" s="134">
        <f>_xlfn.COMPOUNDVALUE(431)</f>
        <v>1693</v>
      </c>
      <c r="G10" s="135">
        <v>3106174</v>
      </c>
      <c r="H10" s="134">
        <f>_xlfn.COMPOUNDVALUE(432)</f>
        <v>36</v>
      </c>
      <c r="I10" s="136">
        <v>97685</v>
      </c>
      <c r="J10" s="134">
        <v>102</v>
      </c>
      <c r="K10" s="136">
        <v>13546</v>
      </c>
      <c r="L10" s="134">
        <f>_xlfn.COMPOUNDVALUE(432)</f>
        <v>1754</v>
      </c>
      <c r="M10" s="136">
        <v>3022035</v>
      </c>
      <c r="N10" s="131">
        <v>1723</v>
      </c>
      <c r="O10" s="152">
        <v>21</v>
      </c>
      <c r="P10" s="152">
        <v>4</v>
      </c>
      <c r="Q10" s="153">
        <v>1748</v>
      </c>
      <c r="R10" s="14" t="s">
        <v>101</v>
      </c>
    </row>
    <row r="11" spans="1:18" ht="15.75" customHeight="1">
      <c r="A11" s="13" t="s">
        <v>23</v>
      </c>
      <c r="B11" s="134">
        <f>_xlfn.COMPOUNDVALUE(433)</f>
        <v>1677</v>
      </c>
      <c r="C11" s="135">
        <v>3971344</v>
      </c>
      <c r="D11" s="134">
        <f>_xlfn.COMPOUNDVALUE(434)</f>
        <v>1801</v>
      </c>
      <c r="E11" s="135">
        <v>594271</v>
      </c>
      <c r="F11" s="134">
        <f>_xlfn.COMPOUNDVALUE(435)</f>
        <v>3478</v>
      </c>
      <c r="G11" s="135">
        <v>4565615</v>
      </c>
      <c r="H11" s="134">
        <f>_xlfn.COMPOUNDVALUE(436)</f>
        <v>83</v>
      </c>
      <c r="I11" s="136">
        <v>84428</v>
      </c>
      <c r="J11" s="134">
        <v>156</v>
      </c>
      <c r="K11" s="136">
        <v>6852</v>
      </c>
      <c r="L11" s="134">
        <f>_xlfn.COMPOUNDVALUE(436)</f>
        <v>3597</v>
      </c>
      <c r="M11" s="136">
        <v>4488039</v>
      </c>
      <c r="N11" s="131">
        <v>3327</v>
      </c>
      <c r="O11" s="152">
        <v>58</v>
      </c>
      <c r="P11" s="152">
        <v>7</v>
      </c>
      <c r="Q11" s="153">
        <v>3392</v>
      </c>
      <c r="R11" s="14" t="s">
        <v>102</v>
      </c>
    </row>
    <row r="12" spans="1:18" ht="15.75" customHeight="1">
      <c r="A12" s="13" t="s">
        <v>24</v>
      </c>
      <c r="B12" s="134">
        <f>_xlfn.COMPOUNDVALUE(437)</f>
        <v>2632</v>
      </c>
      <c r="C12" s="135">
        <v>19998397</v>
      </c>
      <c r="D12" s="134">
        <f>_xlfn.COMPOUNDVALUE(438)</f>
        <v>2644</v>
      </c>
      <c r="E12" s="135">
        <v>1035033</v>
      </c>
      <c r="F12" s="134">
        <f>_xlfn.COMPOUNDVALUE(439)</f>
        <v>5276</v>
      </c>
      <c r="G12" s="135">
        <v>21033430</v>
      </c>
      <c r="H12" s="134">
        <f>_xlfn.COMPOUNDVALUE(440)</f>
        <v>178</v>
      </c>
      <c r="I12" s="136">
        <v>1292747</v>
      </c>
      <c r="J12" s="134">
        <v>305</v>
      </c>
      <c r="K12" s="136">
        <v>65819</v>
      </c>
      <c r="L12" s="134">
        <f>_xlfn.COMPOUNDVALUE(440)</f>
        <v>5556</v>
      </c>
      <c r="M12" s="136">
        <v>19806502</v>
      </c>
      <c r="N12" s="131">
        <v>5358</v>
      </c>
      <c r="O12" s="152">
        <v>102</v>
      </c>
      <c r="P12" s="152">
        <v>14</v>
      </c>
      <c r="Q12" s="153">
        <v>5474</v>
      </c>
      <c r="R12" s="14" t="s">
        <v>103</v>
      </c>
    </row>
    <row r="13" spans="1:18" ht="15.75" customHeight="1">
      <c r="A13" s="13" t="s">
        <v>25</v>
      </c>
      <c r="B13" s="134">
        <f>_xlfn.COMPOUNDVALUE(441)</f>
        <v>883</v>
      </c>
      <c r="C13" s="135">
        <v>2566275</v>
      </c>
      <c r="D13" s="134">
        <f>_xlfn.COMPOUNDVALUE(442)</f>
        <v>810</v>
      </c>
      <c r="E13" s="135">
        <v>311064</v>
      </c>
      <c r="F13" s="134">
        <f>_xlfn.COMPOUNDVALUE(443)</f>
        <v>1693</v>
      </c>
      <c r="G13" s="135">
        <v>2877339</v>
      </c>
      <c r="H13" s="134">
        <f>_xlfn.COMPOUNDVALUE(444)</f>
        <v>37</v>
      </c>
      <c r="I13" s="136">
        <v>1373719</v>
      </c>
      <c r="J13" s="134">
        <v>73</v>
      </c>
      <c r="K13" s="136">
        <v>21712</v>
      </c>
      <c r="L13" s="134">
        <f>_xlfn.COMPOUNDVALUE(444)</f>
        <v>1761</v>
      </c>
      <c r="M13" s="136">
        <v>1525331</v>
      </c>
      <c r="N13" s="131">
        <v>1766</v>
      </c>
      <c r="O13" s="152">
        <v>35</v>
      </c>
      <c r="P13" s="152">
        <v>4</v>
      </c>
      <c r="Q13" s="153">
        <v>1805</v>
      </c>
      <c r="R13" s="14" t="s">
        <v>25</v>
      </c>
    </row>
    <row r="14" spans="1:18" ht="15.75" customHeight="1">
      <c r="A14" s="93" t="s">
        <v>26</v>
      </c>
      <c r="B14" s="154">
        <v>15406</v>
      </c>
      <c r="C14" s="155">
        <v>70136644</v>
      </c>
      <c r="D14" s="154">
        <v>12966</v>
      </c>
      <c r="E14" s="155">
        <v>5061186</v>
      </c>
      <c r="F14" s="154">
        <v>28372</v>
      </c>
      <c r="G14" s="155">
        <v>75197830</v>
      </c>
      <c r="H14" s="154">
        <v>854</v>
      </c>
      <c r="I14" s="156">
        <v>6134440</v>
      </c>
      <c r="J14" s="154">
        <v>1594</v>
      </c>
      <c r="K14" s="156">
        <v>294270</v>
      </c>
      <c r="L14" s="154">
        <v>29682</v>
      </c>
      <c r="M14" s="156">
        <v>69357660</v>
      </c>
      <c r="N14" s="154">
        <v>28765</v>
      </c>
      <c r="O14" s="157">
        <v>592</v>
      </c>
      <c r="P14" s="157">
        <v>67</v>
      </c>
      <c r="Q14" s="158">
        <v>29424</v>
      </c>
      <c r="R14" s="95" t="s">
        <v>97</v>
      </c>
    </row>
    <row r="15" spans="1:18" ht="15.75" customHeight="1">
      <c r="A15" s="97"/>
      <c r="B15" s="159"/>
      <c r="C15" s="160"/>
      <c r="D15" s="159"/>
      <c r="E15" s="160"/>
      <c r="F15" s="161"/>
      <c r="G15" s="160"/>
      <c r="H15" s="161"/>
      <c r="I15" s="160"/>
      <c r="J15" s="161"/>
      <c r="K15" s="160"/>
      <c r="L15" s="161"/>
      <c r="M15" s="160"/>
      <c r="N15" s="162"/>
      <c r="O15" s="163"/>
      <c r="P15" s="163"/>
      <c r="Q15" s="164"/>
      <c r="R15" s="98"/>
    </row>
    <row r="16" spans="1:18" ht="15.75" customHeight="1">
      <c r="A16" s="99" t="s">
        <v>27</v>
      </c>
      <c r="B16" s="165">
        <f>_xlfn.COMPOUNDVALUE(445)</f>
        <v>5290</v>
      </c>
      <c r="C16" s="166">
        <v>27223755</v>
      </c>
      <c r="D16" s="165">
        <f>_xlfn.COMPOUNDVALUE(446)</f>
        <v>3769</v>
      </c>
      <c r="E16" s="166">
        <v>1688242</v>
      </c>
      <c r="F16" s="165">
        <f>_xlfn.COMPOUNDVALUE(447)</f>
        <v>9059</v>
      </c>
      <c r="G16" s="166">
        <v>28911997</v>
      </c>
      <c r="H16" s="165">
        <f>_xlfn.COMPOUNDVALUE(448)</f>
        <v>313</v>
      </c>
      <c r="I16" s="167">
        <v>760328</v>
      </c>
      <c r="J16" s="165">
        <v>408</v>
      </c>
      <c r="K16" s="167">
        <v>37487</v>
      </c>
      <c r="L16" s="165">
        <f>_xlfn.COMPOUNDVALUE(448)</f>
        <v>9470</v>
      </c>
      <c r="M16" s="167">
        <v>28189155</v>
      </c>
      <c r="N16" s="165">
        <v>9385</v>
      </c>
      <c r="O16" s="168">
        <v>205</v>
      </c>
      <c r="P16" s="168">
        <v>22</v>
      </c>
      <c r="Q16" s="169">
        <v>9612</v>
      </c>
      <c r="R16" s="100" t="s">
        <v>104</v>
      </c>
    </row>
    <row r="17" spans="1:18" ht="15.75" customHeight="1">
      <c r="A17" s="13" t="s">
        <v>28</v>
      </c>
      <c r="B17" s="134">
        <f>_xlfn.COMPOUNDVALUE(449)</f>
        <v>946</v>
      </c>
      <c r="C17" s="135">
        <v>3013369</v>
      </c>
      <c r="D17" s="134">
        <f>_xlfn.COMPOUNDVALUE(450)</f>
        <v>774</v>
      </c>
      <c r="E17" s="135">
        <v>336813</v>
      </c>
      <c r="F17" s="134">
        <f>_xlfn.COMPOUNDVALUE(451)</f>
        <v>1720</v>
      </c>
      <c r="G17" s="135">
        <v>3350182</v>
      </c>
      <c r="H17" s="134">
        <f>_xlfn.COMPOUNDVALUE(452)</f>
        <v>66</v>
      </c>
      <c r="I17" s="136">
        <v>263377</v>
      </c>
      <c r="J17" s="134">
        <v>171</v>
      </c>
      <c r="K17" s="136">
        <v>15300</v>
      </c>
      <c r="L17" s="134">
        <f>_xlfn.COMPOUNDVALUE(452)</f>
        <v>1861</v>
      </c>
      <c r="M17" s="136">
        <v>3102105</v>
      </c>
      <c r="N17" s="131">
        <v>1833</v>
      </c>
      <c r="O17" s="152">
        <v>32</v>
      </c>
      <c r="P17" s="152">
        <v>5</v>
      </c>
      <c r="Q17" s="153">
        <v>1870</v>
      </c>
      <c r="R17" s="14" t="s">
        <v>105</v>
      </c>
    </row>
    <row r="18" spans="1:18" ht="15.75" customHeight="1">
      <c r="A18" s="13" t="s">
        <v>29</v>
      </c>
      <c r="B18" s="134">
        <f>_xlfn.COMPOUNDVALUE(453)</f>
        <v>834</v>
      </c>
      <c r="C18" s="135">
        <v>2982471</v>
      </c>
      <c r="D18" s="134">
        <f>_xlfn.COMPOUNDVALUE(454)</f>
        <v>544</v>
      </c>
      <c r="E18" s="135">
        <v>231072</v>
      </c>
      <c r="F18" s="134">
        <f>_xlfn.COMPOUNDVALUE(455)</f>
        <v>1378</v>
      </c>
      <c r="G18" s="135">
        <v>3213543</v>
      </c>
      <c r="H18" s="134">
        <f>_xlfn.COMPOUNDVALUE(456)</f>
        <v>91</v>
      </c>
      <c r="I18" s="136">
        <v>463679</v>
      </c>
      <c r="J18" s="134">
        <v>149</v>
      </c>
      <c r="K18" s="136">
        <v>3436</v>
      </c>
      <c r="L18" s="134">
        <f>_xlfn.COMPOUNDVALUE(456)</f>
        <v>1515</v>
      </c>
      <c r="M18" s="136">
        <v>2753299</v>
      </c>
      <c r="N18" s="131">
        <v>1485</v>
      </c>
      <c r="O18" s="152">
        <v>63</v>
      </c>
      <c r="P18" s="152">
        <v>8</v>
      </c>
      <c r="Q18" s="153">
        <v>1556</v>
      </c>
      <c r="R18" s="14" t="s">
        <v>106</v>
      </c>
    </row>
    <row r="19" spans="1:18" ht="15.75" customHeight="1">
      <c r="A19" s="13" t="s">
        <v>30</v>
      </c>
      <c r="B19" s="134">
        <f>_xlfn.COMPOUNDVALUE(457)</f>
        <v>1421</v>
      </c>
      <c r="C19" s="135">
        <v>5841617</v>
      </c>
      <c r="D19" s="134">
        <f>_xlfn.COMPOUNDVALUE(458)</f>
        <v>1110</v>
      </c>
      <c r="E19" s="135">
        <v>457843</v>
      </c>
      <c r="F19" s="134">
        <f>_xlfn.COMPOUNDVALUE(459)</f>
        <v>2531</v>
      </c>
      <c r="G19" s="135">
        <v>6299461</v>
      </c>
      <c r="H19" s="134">
        <f>_xlfn.COMPOUNDVALUE(460)</f>
        <v>150</v>
      </c>
      <c r="I19" s="136">
        <v>188234</v>
      </c>
      <c r="J19" s="134">
        <v>146</v>
      </c>
      <c r="K19" s="136">
        <v>36659</v>
      </c>
      <c r="L19" s="134">
        <f>_xlfn.COMPOUNDVALUE(460)</f>
        <v>2727</v>
      </c>
      <c r="M19" s="136">
        <v>6147887</v>
      </c>
      <c r="N19" s="131">
        <v>2634</v>
      </c>
      <c r="O19" s="152">
        <v>54</v>
      </c>
      <c r="P19" s="152">
        <v>5</v>
      </c>
      <c r="Q19" s="153">
        <v>2693</v>
      </c>
      <c r="R19" s="14" t="s">
        <v>107</v>
      </c>
    </row>
    <row r="20" spans="1:18" ht="15.75" customHeight="1">
      <c r="A20" s="13" t="s">
        <v>31</v>
      </c>
      <c r="B20" s="134">
        <f>_xlfn.COMPOUNDVALUE(461)</f>
        <v>2072</v>
      </c>
      <c r="C20" s="135">
        <v>9683579</v>
      </c>
      <c r="D20" s="134">
        <f>_xlfn.COMPOUNDVALUE(462)</f>
        <v>1408</v>
      </c>
      <c r="E20" s="135">
        <v>582982</v>
      </c>
      <c r="F20" s="134">
        <f>_xlfn.COMPOUNDVALUE(463)</f>
        <v>3480</v>
      </c>
      <c r="G20" s="135">
        <v>10266561</v>
      </c>
      <c r="H20" s="134">
        <f>_xlfn.COMPOUNDVALUE(464)</f>
        <v>158</v>
      </c>
      <c r="I20" s="136">
        <v>936536</v>
      </c>
      <c r="J20" s="134">
        <v>205</v>
      </c>
      <c r="K20" s="136">
        <v>32684</v>
      </c>
      <c r="L20" s="134">
        <f>_xlfn.COMPOUNDVALUE(464)</f>
        <v>3682</v>
      </c>
      <c r="M20" s="136">
        <v>9362709</v>
      </c>
      <c r="N20" s="131">
        <v>3459</v>
      </c>
      <c r="O20" s="152">
        <v>80</v>
      </c>
      <c r="P20" s="152">
        <v>14</v>
      </c>
      <c r="Q20" s="153">
        <v>3553</v>
      </c>
      <c r="R20" s="14" t="s">
        <v>108</v>
      </c>
    </row>
    <row r="21" spans="1:18" ht="15.75" customHeight="1">
      <c r="A21" s="13" t="s">
        <v>32</v>
      </c>
      <c r="B21" s="134">
        <f>_xlfn.COMPOUNDVALUE(465)</f>
        <v>809</v>
      </c>
      <c r="C21" s="135">
        <v>2028647</v>
      </c>
      <c r="D21" s="134">
        <f>_xlfn.COMPOUNDVALUE(466)</f>
        <v>496</v>
      </c>
      <c r="E21" s="135">
        <v>213411</v>
      </c>
      <c r="F21" s="134">
        <f>_xlfn.COMPOUNDVALUE(467)</f>
        <v>1305</v>
      </c>
      <c r="G21" s="135">
        <v>2242058</v>
      </c>
      <c r="H21" s="134">
        <f>_xlfn.COMPOUNDVALUE(468)</f>
        <v>84</v>
      </c>
      <c r="I21" s="136">
        <v>440709</v>
      </c>
      <c r="J21" s="134">
        <v>76</v>
      </c>
      <c r="K21" s="136">
        <v>835</v>
      </c>
      <c r="L21" s="134">
        <f>_xlfn.COMPOUNDVALUE(468)</f>
        <v>1405</v>
      </c>
      <c r="M21" s="136">
        <v>1802184</v>
      </c>
      <c r="N21" s="131">
        <v>1315</v>
      </c>
      <c r="O21" s="152">
        <v>37</v>
      </c>
      <c r="P21" s="152">
        <v>4</v>
      </c>
      <c r="Q21" s="153">
        <v>1356</v>
      </c>
      <c r="R21" s="14" t="s">
        <v>109</v>
      </c>
    </row>
    <row r="22" spans="1:18" ht="15.75" customHeight="1">
      <c r="A22" s="13" t="s">
        <v>33</v>
      </c>
      <c r="B22" s="134">
        <f>_xlfn.COMPOUNDVALUE(469)</f>
        <v>1377</v>
      </c>
      <c r="C22" s="135">
        <v>5472113</v>
      </c>
      <c r="D22" s="134">
        <f>_xlfn.COMPOUNDVALUE(470)</f>
        <v>1058</v>
      </c>
      <c r="E22" s="135">
        <v>416275</v>
      </c>
      <c r="F22" s="134">
        <f>_xlfn.COMPOUNDVALUE(471)</f>
        <v>2435</v>
      </c>
      <c r="G22" s="135">
        <v>5888387</v>
      </c>
      <c r="H22" s="134">
        <f>_xlfn.COMPOUNDVALUE(472)</f>
        <v>114</v>
      </c>
      <c r="I22" s="136">
        <v>197200</v>
      </c>
      <c r="J22" s="134">
        <v>148</v>
      </c>
      <c r="K22" s="136">
        <v>16348</v>
      </c>
      <c r="L22" s="134">
        <f>_xlfn.COMPOUNDVALUE(472)</f>
        <v>2586</v>
      </c>
      <c r="M22" s="136">
        <v>5707535</v>
      </c>
      <c r="N22" s="131">
        <v>2477</v>
      </c>
      <c r="O22" s="152">
        <v>43</v>
      </c>
      <c r="P22" s="152">
        <v>11</v>
      </c>
      <c r="Q22" s="153">
        <v>2531</v>
      </c>
      <c r="R22" s="14" t="s">
        <v>110</v>
      </c>
    </row>
    <row r="23" spans="1:18" ht="15.75" customHeight="1">
      <c r="A23" s="13" t="s">
        <v>34</v>
      </c>
      <c r="B23" s="134">
        <f>_xlfn.COMPOUNDVALUE(473)</f>
        <v>897</v>
      </c>
      <c r="C23" s="135">
        <v>3088450</v>
      </c>
      <c r="D23" s="134">
        <f>_xlfn.COMPOUNDVALUE(474)</f>
        <v>631</v>
      </c>
      <c r="E23" s="135">
        <v>267290</v>
      </c>
      <c r="F23" s="134">
        <f>_xlfn.COMPOUNDVALUE(475)</f>
        <v>1528</v>
      </c>
      <c r="G23" s="135">
        <v>3355740</v>
      </c>
      <c r="H23" s="134">
        <f>_xlfn.COMPOUNDVALUE(476)</f>
        <v>61</v>
      </c>
      <c r="I23" s="136">
        <v>182718</v>
      </c>
      <c r="J23" s="134">
        <v>108</v>
      </c>
      <c r="K23" s="136">
        <v>53868</v>
      </c>
      <c r="L23" s="134">
        <f>_xlfn.COMPOUNDVALUE(476)</f>
        <v>1625</v>
      </c>
      <c r="M23" s="136">
        <v>3226890</v>
      </c>
      <c r="N23" s="131">
        <v>1605</v>
      </c>
      <c r="O23" s="152">
        <v>58</v>
      </c>
      <c r="P23" s="152">
        <v>5</v>
      </c>
      <c r="Q23" s="153">
        <v>1668</v>
      </c>
      <c r="R23" s="14" t="s">
        <v>111</v>
      </c>
    </row>
    <row r="24" spans="1:18" ht="15.75" customHeight="1">
      <c r="A24" s="13" t="s">
        <v>35</v>
      </c>
      <c r="B24" s="134">
        <f>_xlfn.COMPOUNDVALUE(477)</f>
        <v>768</v>
      </c>
      <c r="C24" s="135">
        <v>2725640</v>
      </c>
      <c r="D24" s="134">
        <f>_xlfn.COMPOUNDVALUE(478)</f>
        <v>569</v>
      </c>
      <c r="E24" s="135">
        <v>230821</v>
      </c>
      <c r="F24" s="134">
        <f>_xlfn.COMPOUNDVALUE(479)</f>
        <v>1337</v>
      </c>
      <c r="G24" s="135">
        <v>2956461</v>
      </c>
      <c r="H24" s="134">
        <f>_xlfn.COMPOUNDVALUE(480)</f>
        <v>70</v>
      </c>
      <c r="I24" s="136">
        <v>70778</v>
      </c>
      <c r="J24" s="134">
        <v>48</v>
      </c>
      <c r="K24" s="136">
        <v>14984</v>
      </c>
      <c r="L24" s="134">
        <f>_xlfn.COMPOUNDVALUE(480)</f>
        <v>1434</v>
      </c>
      <c r="M24" s="136">
        <v>2900668</v>
      </c>
      <c r="N24" s="131">
        <v>1348</v>
      </c>
      <c r="O24" s="152">
        <v>42</v>
      </c>
      <c r="P24" s="152">
        <v>2</v>
      </c>
      <c r="Q24" s="153">
        <v>1392</v>
      </c>
      <c r="R24" s="14" t="s">
        <v>112</v>
      </c>
    </row>
    <row r="25" spans="1:18" ht="15.75" customHeight="1">
      <c r="A25" s="96" t="s">
        <v>92</v>
      </c>
      <c r="B25" s="154">
        <v>14414</v>
      </c>
      <c r="C25" s="155">
        <v>62059642</v>
      </c>
      <c r="D25" s="154">
        <v>10359</v>
      </c>
      <c r="E25" s="155">
        <v>4424748</v>
      </c>
      <c r="F25" s="154">
        <v>24773</v>
      </c>
      <c r="G25" s="155">
        <v>66484390</v>
      </c>
      <c r="H25" s="154">
        <v>1107</v>
      </c>
      <c r="I25" s="156">
        <v>3503558</v>
      </c>
      <c r="J25" s="154">
        <v>1459</v>
      </c>
      <c r="K25" s="156">
        <v>211601</v>
      </c>
      <c r="L25" s="154">
        <v>26305</v>
      </c>
      <c r="M25" s="156">
        <v>63192433</v>
      </c>
      <c r="N25" s="154">
        <v>25541</v>
      </c>
      <c r="O25" s="157">
        <v>614</v>
      </c>
      <c r="P25" s="157">
        <v>76</v>
      </c>
      <c r="Q25" s="158">
        <v>26231</v>
      </c>
      <c r="R25" s="95" t="s">
        <v>113</v>
      </c>
    </row>
    <row r="26" spans="1:18" ht="15.75" customHeight="1">
      <c r="A26" s="97"/>
      <c r="B26" s="159"/>
      <c r="C26" s="160"/>
      <c r="D26" s="159"/>
      <c r="E26" s="160"/>
      <c r="F26" s="161"/>
      <c r="G26" s="160"/>
      <c r="H26" s="161"/>
      <c r="I26" s="160"/>
      <c r="J26" s="161"/>
      <c r="K26" s="160"/>
      <c r="L26" s="161"/>
      <c r="M26" s="160"/>
      <c r="N26" s="162"/>
      <c r="O26" s="163"/>
      <c r="P26" s="163"/>
      <c r="Q26" s="164"/>
      <c r="R26" s="98"/>
    </row>
    <row r="27" spans="1:18" ht="15.75" customHeight="1">
      <c r="A27" s="99" t="s">
        <v>37</v>
      </c>
      <c r="B27" s="165">
        <f>_xlfn.COMPOUNDVALUE(481)</f>
        <v>6673</v>
      </c>
      <c r="C27" s="166">
        <v>65208942</v>
      </c>
      <c r="D27" s="165">
        <f>_xlfn.COMPOUNDVALUE(482)</f>
        <v>4514</v>
      </c>
      <c r="E27" s="166">
        <v>2116133</v>
      </c>
      <c r="F27" s="165">
        <f>_xlfn.COMPOUNDVALUE(483)</f>
        <v>11187</v>
      </c>
      <c r="G27" s="166">
        <v>67325074</v>
      </c>
      <c r="H27" s="165">
        <f>_xlfn.COMPOUNDVALUE(484)</f>
        <v>428</v>
      </c>
      <c r="I27" s="167">
        <v>1800607</v>
      </c>
      <c r="J27" s="165">
        <v>803</v>
      </c>
      <c r="K27" s="167">
        <v>172144</v>
      </c>
      <c r="L27" s="165">
        <f>_xlfn.COMPOUNDVALUE(484)</f>
        <v>11901</v>
      </c>
      <c r="M27" s="167">
        <v>65696610</v>
      </c>
      <c r="N27" s="165">
        <v>11913</v>
      </c>
      <c r="O27" s="168">
        <v>371</v>
      </c>
      <c r="P27" s="168">
        <v>56</v>
      </c>
      <c r="Q27" s="169">
        <v>12340</v>
      </c>
      <c r="R27" s="100" t="s">
        <v>114</v>
      </c>
    </row>
    <row r="28" spans="1:18" ht="15.75" customHeight="1">
      <c r="A28" s="13" t="s">
        <v>38</v>
      </c>
      <c r="B28" s="134">
        <f>_xlfn.COMPOUNDVALUE(485)</f>
        <v>5614</v>
      </c>
      <c r="C28" s="135">
        <v>48554917</v>
      </c>
      <c r="D28" s="134">
        <f>_xlfn.COMPOUNDVALUE(486)</f>
        <v>2938</v>
      </c>
      <c r="E28" s="135">
        <v>1423843</v>
      </c>
      <c r="F28" s="134">
        <f>_xlfn.COMPOUNDVALUE(487)</f>
        <v>8552</v>
      </c>
      <c r="G28" s="135">
        <v>49978759</v>
      </c>
      <c r="H28" s="134">
        <f>_xlfn.COMPOUNDVALUE(488)</f>
        <v>323</v>
      </c>
      <c r="I28" s="136">
        <v>1975342</v>
      </c>
      <c r="J28" s="134">
        <v>503</v>
      </c>
      <c r="K28" s="136">
        <v>201624</v>
      </c>
      <c r="L28" s="134">
        <f>_xlfn.COMPOUNDVALUE(488)</f>
        <v>8976</v>
      </c>
      <c r="M28" s="136">
        <v>48205042</v>
      </c>
      <c r="N28" s="131">
        <v>9067</v>
      </c>
      <c r="O28" s="152">
        <v>252</v>
      </c>
      <c r="P28" s="152">
        <v>60</v>
      </c>
      <c r="Q28" s="153">
        <v>9379</v>
      </c>
      <c r="R28" s="14" t="s">
        <v>115</v>
      </c>
    </row>
    <row r="29" spans="1:18" ht="15.75" customHeight="1">
      <c r="A29" s="13" t="s">
        <v>39</v>
      </c>
      <c r="B29" s="134">
        <f>_xlfn.COMPOUNDVALUE(489)</f>
        <v>3283</v>
      </c>
      <c r="C29" s="135">
        <v>14824882</v>
      </c>
      <c r="D29" s="134">
        <f>_xlfn.COMPOUNDVALUE(490)</f>
        <v>2569</v>
      </c>
      <c r="E29" s="135">
        <v>1048716</v>
      </c>
      <c r="F29" s="134">
        <f>_xlfn.COMPOUNDVALUE(491)</f>
        <v>5852</v>
      </c>
      <c r="G29" s="135">
        <v>15873598</v>
      </c>
      <c r="H29" s="134">
        <f>_xlfn.COMPOUNDVALUE(492)</f>
        <v>195</v>
      </c>
      <c r="I29" s="136">
        <v>517400</v>
      </c>
      <c r="J29" s="134">
        <v>371</v>
      </c>
      <c r="K29" s="136">
        <v>37195</v>
      </c>
      <c r="L29" s="134">
        <f>_xlfn.COMPOUNDVALUE(492)</f>
        <v>6186</v>
      </c>
      <c r="M29" s="136">
        <v>15393393</v>
      </c>
      <c r="N29" s="131">
        <v>6335</v>
      </c>
      <c r="O29" s="152">
        <v>138</v>
      </c>
      <c r="P29" s="152">
        <v>29</v>
      </c>
      <c r="Q29" s="153">
        <v>6502</v>
      </c>
      <c r="R29" s="14" t="s">
        <v>116</v>
      </c>
    </row>
    <row r="30" spans="1:18" ht="15.75" customHeight="1">
      <c r="A30" s="13" t="s">
        <v>40</v>
      </c>
      <c r="B30" s="134">
        <f>_xlfn.COMPOUNDVALUE(493)</f>
        <v>2824</v>
      </c>
      <c r="C30" s="135">
        <v>9625073</v>
      </c>
      <c r="D30" s="134">
        <f>_xlfn.COMPOUNDVALUE(494)</f>
        <v>2134</v>
      </c>
      <c r="E30" s="135">
        <v>893006</v>
      </c>
      <c r="F30" s="134">
        <f>_xlfn.COMPOUNDVALUE(495)</f>
        <v>4958</v>
      </c>
      <c r="G30" s="135">
        <v>10518079</v>
      </c>
      <c r="H30" s="134">
        <f>_xlfn.COMPOUNDVALUE(496)</f>
        <v>289</v>
      </c>
      <c r="I30" s="136">
        <v>1721400</v>
      </c>
      <c r="J30" s="134">
        <v>340</v>
      </c>
      <c r="K30" s="136">
        <v>86259</v>
      </c>
      <c r="L30" s="134">
        <f>_xlfn.COMPOUNDVALUE(496)</f>
        <v>5414</v>
      </c>
      <c r="M30" s="136">
        <v>8882939</v>
      </c>
      <c r="N30" s="131">
        <v>5361</v>
      </c>
      <c r="O30" s="152">
        <v>118</v>
      </c>
      <c r="P30" s="152">
        <v>30</v>
      </c>
      <c r="Q30" s="153">
        <v>5509</v>
      </c>
      <c r="R30" s="14" t="s">
        <v>117</v>
      </c>
    </row>
    <row r="31" spans="1:18" ht="15.75" customHeight="1">
      <c r="A31" s="13" t="s">
        <v>41</v>
      </c>
      <c r="B31" s="134">
        <f>_xlfn.COMPOUNDVALUE(497)</f>
        <v>1985</v>
      </c>
      <c r="C31" s="135">
        <v>6615080</v>
      </c>
      <c r="D31" s="134">
        <f>_xlfn.COMPOUNDVALUE(498)</f>
        <v>1421</v>
      </c>
      <c r="E31" s="135">
        <v>568507</v>
      </c>
      <c r="F31" s="134">
        <f>_xlfn.COMPOUNDVALUE(499)</f>
        <v>3406</v>
      </c>
      <c r="G31" s="135">
        <v>7183588</v>
      </c>
      <c r="H31" s="134">
        <f>_xlfn.COMPOUNDVALUE(500)</f>
        <v>143</v>
      </c>
      <c r="I31" s="136">
        <v>681469</v>
      </c>
      <c r="J31" s="134">
        <v>226</v>
      </c>
      <c r="K31" s="136">
        <v>35788</v>
      </c>
      <c r="L31" s="134">
        <f>_xlfn.COMPOUNDVALUE(500)</f>
        <v>3630</v>
      </c>
      <c r="M31" s="136">
        <v>6537907</v>
      </c>
      <c r="N31" s="131">
        <v>3586</v>
      </c>
      <c r="O31" s="152">
        <v>83</v>
      </c>
      <c r="P31" s="152">
        <v>6</v>
      </c>
      <c r="Q31" s="153">
        <v>3675</v>
      </c>
      <c r="R31" s="14" t="s">
        <v>118</v>
      </c>
    </row>
    <row r="32" spans="1:18" ht="15.75" customHeight="1">
      <c r="A32" s="13" t="s">
        <v>42</v>
      </c>
      <c r="B32" s="134">
        <f>_xlfn.COMPOUNDVALUE(501)</f>
        <v>2434</v>
      </c>
      <c r="C32" s="135">
        <v>7138363</v>
      </c>
      <c r="D32" s="134">
        <f>_xlfn.COMPOUNDVALUE(502)</f>
        <v>2141</v>
      </c>
      <c r="E32" s="135">
        <v>811396</v>
      </c>
      <c r="F32" s="134">
        <f>_xlfn.COMPOUNDVALUE(503)</f>
        <v>4575</v>
      </c>
      <c r="G32" s="135">
        <v>7949759</v>
      </c>
      <c r="H32" s="134">
        <f>_xlfn.COMPOUNDVALUE(504)</f>
        <v>204</v>
      </c>
      <c r="I32" s="136">
        <v>387995</v>
      </c>
      <c r="J32" s="134">
        <v>267</v>
      </c>
      <c r="K32" s="136">
        <v>44773</v>
      </c>
      <c r="L32" s="134">
        <f>_xlfn.COMPOUNDVALUE(504)</f>
        <v>4858</v>
      </c>
      <c r="M32" s="136">
        <v>7606537</v>
      </c>
      <c r="N32" s="131">
        <v>4665</v>
      </c>
      <c r="O32" s="152">
        <v>103</v>
      </c>
      <c r="P32" s="152">
        <v>8</v>
      </c>
      <c r="Q32" s="153">
        <v>4776</v>
      </c>
      <c r="R32" s="14" t="s">
        <v>119</v>
      </c>
    </row>
    <row r="33" spans="1:18" ht="15.75" customHeight="1">
      <c r="A33" s="13" t="s">
        <v>43</v>
      </c>
      <c r="B33" s="134">
        <f>_xlfn.COMPOUNDVALUE(505)</f>
        <v>1144</v>
      </c>
      <c r="C33" s="135">
        <v>3427943</v>
      </c>
      <c r="D33" s="134">
        <f>_xlfn.COMPOUNDVALUE(506)</f>
        <v>735</v>
      </c>
      <c r="E33" s="135">
        <v>306795</v>
      </c>
      <c r="F33" s="134">
        <f>_xlfn.COMPOUNDVALUE(507)</f>
        <v>1879</v>
      </c>
      <c r="G33" s="135">
        <v>3734738</v>
      </c>
      <c r="H33" s="134">
        <f>_xlfn.COMPOUNDVALUE(508)</f>
        <v>141</v>
      </c>
      <c r="I33" s="136">
        <v>1000353</v>
      </c>
      <c r="J33" s="134">
        <v>111</v>
      </c>
      <c r="K33" s="136">
        <v>18275</v>
      </c>
      <c r="L33" s="134">
        <f>_xlfn.COMPOUNDVALUE(508)</f>
        <v>2054</v>
      </c>
      <c r="M33" s="136">
        <v>2752660</v>
      </c>
      <c r="N33" s="131">
        <v>2070</v>
      </c>
      <c r="O33" s="152">
        <v>53</v>
      </c>
      <c r="P33" s="152">
        <v>9</v>
      </c>
      <c r="Q33" s="153">
        <v>2132</v>
      </c>
      <c r="R33" s="14" t="s">
        <v>120</v>
      </c>
    </row>
    <row r="34" spans="1:18" ht="15.75" customHeight="1">
      <c r="A34" s="13" t="s">
        <v>44</v>
      </c>
      <c r="B34" s="134">
        <f>_xlfn.COMPOUNDVALUE(509)</f>
        <v>1816</v>
      </c>
      <c r="C34" s="135">
        <v>4854920</v>
      </c>
      <c r="D34" s="134">
        <f>_xlfn.COMPOUNDVALUE(510)</f>
        <v>1486</v>
      </c>
      <c r="E34" s="135">
        <v>576750</v>
      </c>
      <c r="F34" s="134">
        <f>_xlfn.COMPOUNDVALUE(511)</f>
        <v>3302</v>
      </c>
      <c r="G34" s="135">
        <v>5431670</v>
      </c>
      <c r="H34" s="134">
        <f>_xlfn.COMPOUNDVALUE(512)</f>
        <v>145</v>
      </c>
      <c r="I34" s="136">
        <v>388742</v>
      </c>
      <c r="J34" s="134">
        <v>164</v>
      </c>
      <c r="K34" s="136">
        <v>9889</v>
      </c>
      <c r="L34" s="134">
        <f>_xlfn.COMPOUNDVALUE(512)</f>
        <v>3490</v>
      </c>
      <c r="M34" s="136">
        <v>5052816</v>
      </c>
      <c r="N34" s="131">
        <v>3427</v>
      </c>
      <c r="O34" s="152">
        <v>72</v>
      </c>
      <c r="P34" s="152">
        <v>8</v>
      </c>
      <c r="Q34" s="153">
        <v>3507</v>
      </c>
      <c r="R34" s="14" t="s">
        <v>121</v>
      </c>
    </row>
    <row r="35" spans="1:18" ht="15.75" customHeight="1">
      <c r="A35" s="13" t="s">
        <v>45</v>
      </c>
      <c r="B35" s="134">
        <f>_xlfn.COMPOUNDVALUE(513)</f>
        <v>877</v>
      </c>
      <c r="C35" s="135">
        <v>2762715</v>
      </c>
      <c r="D35" s="134">
        <f>_xlfn.COMPOUNDVALUE(514)</f>
        <v>698</v>
      </c>
      <c r="E35" s="135">
        <v>270183</v>
      </c>
      <c r="F35" s="134">
        <f>_xlfn.COMPOUNDVALUE(515)</f>
        <v>1575</v>
      </c>
      <c r="G35" s="135">
        <v>3032897</v>
      </c>
      <c r="H35" s="134">
        <f>_xlfn.COMPOUNDVALUE(516)</f>
        <v>83</v>
      </c>
      <c r="I35" s="136">
        <v>582153</v>
      </c>
      <c r="J35" s="134">
        <v>128</v>
      </c>
      <c r="K35" s="136">
        <v>3655</v>
      </c>
      <c r="L35" s="134">
        <f>_xlfn.COMPOUNDVALUE(516)</f>
        <v>1695</v>
      </c>
      <c r="M35" s="136">
        <v>2454399</v>
      </c>
      <c r="N35" s="131">
        <v>1602</v>
      </c>
      <c r="O35" s="152">
        <v>42</v>
      </c>
      <c r="P35" s="152">
        <v>1</v>
      </c>
      <c r="Q35" s="153">
        <v>1645</v>
      </c>
      <c r="R35" s="14" t="s">
        <v>122</v>
      </c>
    </row>
    <row r="36" spans="1:18" ht="15.75" customHeight="1">
      <c r="A36" s="13" t="s">
        <v>46</v>
      </c>
      <c r="B36" s="134">
        <f>_xlfn.COMPOUNDVALUE(517)</f>
        <v>1135</v>
      </c>
      <c r="C36" s="135">
        <v>3642213</v>
      </c>
      <c r="D36" s="134">
        <f>_xlfn.COMPOUNDVALUE(518)</f>
        <v>1047</v>
      </c>
      <c r="E36" s="135">
        <v>401867</v>
      </c>
      <c r="F36" s="134">
        <f>_xlfn.COMPOUNDVALUE(519)</f>
        <v>2182</v>
      </c>
      <c r="G36" s="135">
        <v>4044079</v>
      </c>
      <c r="H36" s="134">
        <f>_xlfn.COMPOUNDVALUE(520)</f>
        <v>123</v>
      </c>
      <c r="I36" s="136">
        <v>300523</v>
      </c>
      <c r="J36" s="134">
        <v>128</v>
      </c>
      <c r="K36" s="136">
        <v>24287</v>
      </c>
      <c r="L36" s="134">
        <f>_xlfn.COMPOUNDVALUE(520)</f>
        <v>2347</v>
      </c>
      <c r="M36" s="136">
        <v>3767843</v>
      </c>
      <c r="N36" s="131">
        <v>2198</v>
      </c>
      <c r="O36" s="152">
        <v>40</v>
      </c>
      <c r="P36" s="152">
        <v>5</v>
      </c>
      <c r="Q36" s="153">
        <v>2243</v>
      </c>
      <c r="R36" s="14" t="s">
        <v>123</v>
      </c>
    </row>
    <row r="37" spans="1:18" ht="15.75" customHeight="1">
      <c r="A37" s="96" t="s">
        <v>47</v>
      </c>
      <c r="B37" s="154">
        <v>27785</v>
      </c>
      <c r="C37" s="155">
        <v>166655047</v>
      </c>
      <c r="D37" s="154">
        <v>19683</v>
      </c>
      <c r="E37" s="155">
        <v>8417195</v>
      </c>
      <c r="F37" s="154">
        <v>47468</v>
      </c>
      <c r="G37" s="155">
        <v>175072242</v>
      </c>
      <c r="H37" s="154">
        <v>2074</v>
      </c>
      <c r="I37" s="156">
        <v>9355983</v>
      </c>
      <c r="J37" s="154">
        <v>3041</v>
      </c>
      <c r="K37" s="156">
        <v>633889</v>
      </c>
      <c r="L37" s="154">
        <v>50551</v>
      </c>
      <c r="M37" s="156">
        <v>166350148</v>
      </c>
      <c r="N37" s="154">
        <v>50224</v>
      </c>
      <c r="O37" s="157">
        <v>1272</v>
      </c>
      <c r="P37" s="157">
        <v>212</v>
      </c>
      <c r="Q37" s="158">
        <v>51708</v>
      </c>
      <c r="R37" s="95" t="s">
        <v>124</v>
      </c>
    </row>
    <row r="38" spans="1:18" ht="15.75" customHeight="1">
      <c r="A38" s="101"/>
      <c r="B38" s="170"/>
      <c r="C38" s="171"/>
      <c r="D38" s="170"/>
      <c r="E38" s="171"/>
      <c r="F38" s="172"/>
      <c r="G38" s="171"/>
      <c r="H38" s="172"/>
      <c r="I38" s="171"/>
      <c r="J38" s="172"/>
      <c r="K38" s="171"/>
      <c r="L38" s="172"/>
      <c r="M38" s="171"/>
      <c r="N38" s="173"/>
      <c r="O38" s="174"/>
      <c r="P38" s="174"/>
      <c r="Q38" s="175"/>
      <c r="R38" s="102"/>
    </row>
    <row r="39" spans="1:18" ht="15.75" customHeight="1">
      <c r="A39" s="11" t="s">
        <v>48</v>
      </c>
      <c r="B39" s="131">
        <f>_xlfn.COMPOUNDVALUE(521)</f>
        <v>2865</v>
      </c>
      <c r="C39" s="132">
        <v>14629490</v>
      </c>
      <c r="D39" s="131">
        <f>_xlfn.COMPOUNDVALUE(522)</f>
        <v>2000</v>
      </c>
      <c r="E39" s="132">
        <v>885958</v>
      </c>
      <c r="F39" s="131">
        <f>_xlfn.COMPOUNDVALUE(523)</f>
        <v>4865</v>
      </c>
      <c r="G39" s="132">
        <v>15515448</v>
      </c>
      <c r="H39" s="131">
        <f>_xlfn.COMPOUNDVALUE(524)</f>
        <v>140</v>
      </c>
      <c r="I39" s="133">
        <v>625245</v>
      </c>
      <c r="J39" s="131">
        <v>289</v>
      </c>
      <c r="K39" s="133">
        <v>108034</v>
      </c>
      <c r="L39" s="131">
        <f>_xlfn.COMPOUNDVALUE(524)</f>
        <v>5087</v>
      </c>
      <c r="M39" s="133">
        <v>14998237</v>
      </c>
      <c r="N39" s="131">
        <v>4979</v>
      </c>
      <c r="O39" s="152">
        <v>123</v>
      </c>
      <c r="P39" s="152">
        <v>17</v>
      </c>
      <c r="Q39" s="153">
        <v>5119</v>
      </c>
      <c r="R39" s="12" t="s">
        <v>125</v>
      </c>
    </row>
    <row r="40" spans="1:18" ht="15.75" customHeight="1">
      <c r="A40" s="13" t="s">
        <v>49</v>
      </c>
      <c r="B40" s="134">
        <f>_xlfn.COMPOUNDVALUE(525)</f>
        <v>1514</v>
      </c>
      <c r="C40" s="135">
        <v>6061864</v>
      </c>
      <c r="D40" s="134">
        <f>_xlfn.COMPOUNDVALUE(526)</f>
        <v>1754</v>
      </c>
      <c r="E40" s="135">
        <v>645097</v>
      </c>
      <c r="F40" s="134">
        <f>_xlfn.COMPOUNDVALUE(527)</f>
        <v>3268</v>
      </c>
      <c r="G40" s="135">
        <v>6706961</v>
      </c>
      <c r="H40" s="134">
        <f>_xlfn.COMPOUNDVALUE(528)</f>
        <v>80</v>
      </c>
      <c r="I40" s="136">
        <v>515809</v>
      </c>
      <c r="J40" s="134">
        <v>120</v>
      </c>
      <c r="K40" s="136">
        <v>16955</v>
      </c>
      <c r="L40" s="134">
        <f>_xlfn.COMPOUNDVALUE(528)</f>
        <v>3376</v>
      </c>
      <c r="M40" s="136">
        <v>6208107</v>
      </c>
      <c r="N40" s="131">
        <v>3247</v>
      </c>
      <c r="O40" s="152">
        <v>45</v>
      </c>
      <c r="P40" s="152">
        <v>11</v>
      </c>
      <c r="Q40" s="153">
        <v>3303</v>
      </c>
      <c r="R40" s="14" t="s">
        <v>126</v>
      </c>
    </row>
    <row r="41" spans="1:18" ht="15.75" customHeight="1">
      <c r="A41" s="13" t="s">
        <v>50</v>
      </c>
      <c r="B41" s="134">
        <f>_xlfn.COMPOUNDVALUE(529)</f>
        <v>999</v>
      </c>
      <c r="C41" s="135">
        <v>2798629</v>
      </c>
      <c r="D41" s="134">
        <f>_xlfn.COMPOUNDVALUE(530)</f>
        <v>1001</v>
      </c>
      <c r="E41" s="135">
        <v>349813</v>
      </c>
      <c r="F41" s="134">
        <f>_xlfn.COMPOUNDVALUE(531)</f>
        <v>2000</v>
      </c>
      <c r="G41" s="135">
        <v>3148442</v>
      </c>
      <c r="H41" s="134">
        <f>_xlfn.COMPOUNDVALUE(532)</f>
        <v>73</v>
      </c>
      <c r="I41" s="136">
        <v>187204</v>
      </c>
      <c r="J41" s="134">
        <v>78</v>
      </c>
      <c r="K41" s="136">
        <v>9781</v>
      </c>
      <c r="L41" s="134">
        <f>_xlfn.COMPOUNDVALUE(532)</f>
        <v>2090</v>
      </c>
      <c r="M41" s="136">
        <v>2971019</v>
      </c>
      <c r="N41" s="131">
        <v>1964</v>
      </c>
      <c r="O41" s="152">
        <v>52</v>
      </c>
      <c r="P41" s="152">
        <v>3</v>
      </c>
      <c r="Q41" s="153">
        <v>2019</v>
      </c>
      <c r="R41" s="14" t="s">
        <v>127</v>
      </c>
    </row>
    <row r="42" spans="1:18" ht="15.75" customHeight="1">
      <c r="A42" s="13" t="s">
        <v>51</v>
      </c>
      <c r="B42" s="134">
        <f>_xlfn.COMPOUNDVALUE(533)</f>
        <v>1049</v>
      </c>
      <c r="C42" s="135">
        <v>2964664</v>
      </c>
      <c r="D42" s="134">
        <f>_xlfn.COMPOUNDVALUE(534)</f>
        <v>1004</v>
      </c>
      <c r="E42" s="135">
        <v>364072</v>
      </c>
      <c r="F42" s="134">
        <f>_xlfn.COMPOUNDVALUE(535)</f>
        <v>2053</v>
      </c>
      <c r="G42" s="135">
        <v>3328736</v>
      </c>
      <c r="H42" s="134">
        <f>_xlfn.COMPOUNDVALUE(536)</f>
        <v>74</v>
      </c>
      <c r="I42" s="136">
        <v>194218</v>
      </c>
      <c r="J42" s="134">
        <v>103</v>
      </c>
      <c r="K42" s="136">
        <v>10154</v>
      </c>
      <c r="L42" s="134">
        <f>_xlfn.COMPOUNDVALUE(536)</f>
        <v>2153</v>
      </c>
      <c r="M42" s="136">
        <v>3144672</v>
      </c>
      <c r="N42" s="131">
        <v>1984</v>
      </c>
      <c r="O42" s="152">
        <v>34</v>
      </c>
      <c r="P42" s="152">
        <v>7</v>
      </c>
      <c r="Q42" s="153">
        <v>2025</v>
      </c>
      <c r="R42" s="14" t="s">
        <v>128</v>
      </c>
    </row>
    <row r="43" spans="1:18" ht="15.75" customHeight="1">
      <c r="A43" s="13" t="s">
        <v>52</v>
      </c>
      <c r="B43" s="134">
        <f>_xlfn.COMPOUNDVALUE(537)</f>
        <v>1584</v>
      </c>
      <c r="C43" s="135">
        <v>6179613</v>
      </c>
      <c r="D43" s="134">
        <f>_xlfn.COMPOUNDVALUE(538)</f>
        <v>1379</v>
      </c>
      <c r="E43" s="135">
        <v>542348</v>
      </c>
      <c r="F43" s="134">
        <f>_xlfn.COMPOUNDVALUE(539)</f>
        <v>2963</v>
      </c>
      <c r="G43" s="135">
        <v>6721960</v>
      </c>
      <c r="H43" s="134">
        <f>_xlfn.COMPOUNDVALUE(540)</f>
        <v>118</v>
      </c>
      <c r="I43" s="136">
        <v>274246</v>
      </c>
      <c r="J43" s="134">
        <v>136</v>
      </c>
      <c r="K43" s="136">
        <v>13256</v>
      </c>
      <c r="L43" s="134">
        <f>_xlfn.COMPOUNDVALUE(540)</f>
        <v>3127</v>
      </c>
      <c r="M43" s="136">
        <v>6460970</v>
      </c>
      <c r="N43" s="131">
        <v>2952</v>
      </c>
      <c r="O43" s="152">
        <v>96</v>
      </c>
      <c r="P43" s="152">
        <v>8</v>
      </c>
      <c r="Q43" s="153">
        <v>3056</v>
      </c>
      <c r="R43" s="14" t="s">
        <v>129</v>
      </c>
    </row>
    <row r="44" spans="1:18" ht="15.75" customHeight="1">
      <c r="A44" s="13" t="s">
        <v>53</v>
      </c>
      <c r="B44" s="134">
        <f>_xlfn.COMPOUNDVALUE(541)</f>
        <v>1107</v>
      </c>
      <c r="C44" s="135">
        <v>5390442</v>
      </c>
      <c r="D44" s="134">
        <f>_xlfn.COMPOUNDVALUE(542)</f>
        <v>1067</v>
      </c>
      <c r="E44" s="135">
        <v>385204</v>
      </c>
      <c r="F44" s="134">
        <f>_xlfn.COMPOUNDVALUE(543)</f>
        <v>2174</v>
      </c>
      <c r="G44" s="135">
        <v>5775646</v>
      </c>
      <c r="H44" s="134">
        <f>_xlfn.COMPOUNDVALUE(544)</f>
        <v>54</v>
      </c>
      <c r="I44" s="136">
        <v>122178</v>
      </c>
      <c r="J44" s="134">
        <v>112</v>
      </c>
      <c r="K44" s="136">
        <v>12769</v>
      </c>
      <c r="L44" s="134">
        <f>_xlfn.COMPOUNDVALUE(544)</f>
        <v>2245</v>
      </c>
      <c r="M44" s="136">
        <v>5666237</v>
      </c>
      <c r="N44" s="131">
        <v>2060</v>
      </c>
      <c r="O44" s="152">
        <v>35</v>
      </c>
      <c r="P44" s="152">
        <v>5</v>
      </c>
      <c r="Q44" s="153">
        <v>2100</v>
      </c>
      <c r="R44" s="14" t="s">
        <v>130</v>
      </c>
    </row>
    <row r="45" spans="1:18" ht="15.75" customHeight="1">
      <c r="A45" s="13" t="s">
        <v>54</v>
      </c>
      <c r="B45" s="134">
        <f>_xlfn.COMPOUNDVALUE(545)</f>
        <v>792</v>
      </c>
      <c r="C45" s="135">
        <v>2504784</v>
      </c>
      <c r="D45" s="134">
        <f>_xlfn.COMPOUNDVALUE(546)</f>
        <v>650</v>
      </c>
      <c r="E45" s="135">
        <v>238340</v>
      </c>
      <c r="F45" s="134">
        <f>_xlfn.COMPOUNDVALUE(547)</f>
        <v>1442</v>
      </c>
      <c r="G45" s="135">
        <v>2743123</v>
      </c>
      <c r="H45" s="134">
        <f>_xlfn.COMPOUNDVALUE(548)</f>
        <v>55</v>
      </c>
      <c r="I45" s="136">
        <v>127526</v>
      </c>
      <c r="J45" s="134">
        <v>46</v>
      </c>
      <c r="K45" s="136">
        <v>3741</v>
      </c>
      <c r="L45" s="134">
        <f>_xlfn.COMPOUNDVALUE(548)</f>
        <v>1513</v>
      </c>
      <c r="M45" s="136">
        <v>2619338</v>
      </c>
      <c r="N45" s="131">
        <v>1444</v>
      </c>
      <c r="O45" s="152">
        <v>33</v>
      </c>
      <c r="P45" s="152">
        <v>3</v>
      </c>
      <c r="Q45" s="153">
        <v>1480</v>
      </c>
      <c r="R45" s="14" t="s">
        <v>131</v>
      </c>
    </row>
    <row r="46" spans="1:18" ht="15.75" customHeight="1">
      <c r="A46" s="13" t="s">
        <v>55</v>
      </c>
      <c r="B46" s="134">
        <f>_xlfn.COMPOUNDVALUE(549)</f>
        <v>1474</v>
      </c>
      <c r="C46" s="135">
        <v>4220614</v>
      </c>
      <c r="D46" s="134">
        <f>_xlfn.COMPOUNDVALUE(550)</f>
        <v>1473</v>
      </c>
      <c r="E46" s="135">
        <v>546292</v>
      </c>
      <c r="F46" s="134">
        <f>_xlfn.COMPOUNDVALUE(551)</f>
        <v>2947</v>
      </c>
      <c r="G46" s="135">
        <v>4766906</v>
      </c>
      <c r="H46" s="134">
        <f>_xlfn.COMPOUNDVALUE(552)</f>
        <v>92</v>
      </c>
      <c r="I46" s="136">
        <v>137584</v>
      </c>
      <c r="J46" s="134">
        <v>101</v>
      </c>
      <c r="K46" s="136">
        <v>11373</v>
      </c>
      <c r="L46" s="134">
        <f>_xlfn.COMPOUNDVALUE(552)</f>
        <v>3057</v>
      </c>
      <c r="M46" s="136">
        <v>4640694</v>
      </c>
      <c r="N46" s="131">
        <v>2897</v>
      </c>
      <c r="O46" s="152">
        <v>53</v>
      </c>
      <c r="P46" s="152">
        <v>3</v>
      </c>
      <c r="Q46" s="153">
        <v>2953</v>
      </c>
      <c r="R46" s="14" t="s">
        <v>132</v>
      </c>
    </row>
    <row r="47" spans="1:18" ht="15.75" customHeight="1">
      <c r="A47" s="96" t="s">
        <v>56</v>
      </c>
      <c r="B47" s="154">
        <v>11384</v>
      </c>
      <c r="C47" s="155">
        <v>44750101</v>
      </c>
      <c r="D47" s="154">
        <v>10328</v>
      </c>
      <c r="E47" s="155">
        <v>3957121</v>
      </c>
      <c r="F47" s="154">
        <v>21712</v>
      </c>
      <c r="G47" s="155">
        <v>48707222</v>
      </c>
      <c r="H47" s="154">
        <v>686</v>
      </c>
      <c r="I47" s="156">
        <v>2184010</v>
      </c>
      <c r="J47" s="154">
        <v>985</v>
      </c>
      <c r="K47" s="156">
        <v>186062</v>
      </c>
      <c r="L47" s="154">
        <v>22648</v>
      </c>
      <c r="M47" s="156">
        <v>46709275</v>
      </c>
      <c r="N47" s="154">
        <v>21527</v>
      </c>
      <c r="O47" s="157">
        <v>471</v>
      </c>
      <c r="P47" s="157">
        <v>57</v>
      </c>
      <c r="Q47" s="158">
        <v>22055</v>
      </c>
      <c r="R47" s="95" t="s">
        <v>133</v>
      </c>
    </row>
    <row r="48" spans="1:18" ht="15.75" customHeight="1">
      <c r="A48" s="97"/>
      <c r="B48" s="159"/>
      <c r="C48" s="160"/>
      <c r="D48" s="159"/>
      <c r="E48" s="160"/>
      <c r="F48" s="161"/>
      <c r="G48" s="160"/>
      <c r="H48" s="161"/>
      <c r="I48" s="160"/>
      <c r="J48" s="161"/>
      <c r="K48" s="160"/>
      <c r="L48" s="161"/>
      <c r="M48" s="160"/>
      <c r="N48" s="162"/>
      <c r="O48" s="163"/>
      <c r="P48" s="163"/>
      <c r="Q48" s="164"/>
      <c r="R48" s="98"/>
    </row>
    <row r="49" spans="1:18" ht="15.75" customHeight="1">
      <c r="A49" s="99" t="s">
        <v>57</v>
      </c>
      <c r="B49" s="165">
        <f>_xlfn.COMPOUNDVALUE(553)</f>
        <v>4523</v>
      </c>
      <c r="C49" s="166">
        <v>24635862</v>
      </c>
      <c r="D49" s="165">
        <f>_xlfn.COMPOUNDVALUE(554)</f>
        <v>3818</v>
      </c>
      <c r="E49" s="166">
        <v>1535510</v>
      </c>
      <c r="F49" s="165">
        <f>_xlfn.COMPOUNDVALUE(555)</f>
        <v>8341</v>
      </c>
      <c r="G49" s="166">
        <v>26171372</v>
      </c>
      <c r="H49" s="165">
        <f>_xlfn.COMPOUNDVALUE(556)</f>
        <v>223</v>
      </c>
      <c r="I49" s="167">
        <v>1085163</v>
      </c>
      <c r="J49" s="165">
        <v>483</v>
      </c>
      <c r="K49" s="167">
        <v>77919</v>
      </c>
      <c r="L49" s="165">
        <f>_xlfn.COMPOUNDVALUE(556)</f>
        <v>8709</v>
      </c>
      <c r="M49" s="167">
        <v>25164128</v>
      </c>
      <c r="N49" s="165">
        <v>8488</v>
      </c>
      <c r="O49" s="168">
        <v>151</v>
      </c>
      <c r="P49" s="168">
        <v>19</v>
      </c>
      <c r="Q49" s="169">
        <v>8658</v>
      </c>
      <c r="R49" s="100" t="s">
        <v>134</v>
      </c>
    </row>
    <row r="50" spans="1:18" ht="15.75" customHeight="1">
      <c r="A50" s="13" t="s">
        <v>58</v>
      </c>
      <c r="B50" s="134">
        <f>_xlfn.COMPOUNDVALUE(557)</f>
        <v>1960</v>
      </c>
      <c r="C50" s="135">
        <v>8359299</v>
      </c>
      <c r="D50" s="134">
        <f>_xlfn.COMPOUNDVALUE(558)</f>
        <v>1798</v>
      </c>
      <c r="E50" s="135">
        <v>692937</v>
      </c>
      <c r="F50" s="134">
        <f>_xlfn.COMPOUNDVALUE(559)</f>
        <v>3758</v>
      </c>
      <c r="G50" s="135">
        <v>9052236</v>
      </c>
      <c r="H50" s="134">
        <f>_xlfn.COMPOUNDVALUE(560)</f>
        <v>122</v>
      </c>
      <c r="I50" s="136">
        <v>876194</v>
      </c>
      <c r="J50" s="134">
        <v>194</v>
      </c>
      <c r="K50" s="136">
        <v>24161</v>
      </c>
      <c r="L50" s="134">
        <f>_xlfn.COMPOUNDVALUE(560)</f>
        <v>3954</v>
      </c>
      <c r="M50" s="136">
        <v>8200203</v>
      </c>
      <c r="N50" s="131">
        <v>3779</v>
      </c>
      <c r="O50" s="152">
        <v>80</v>
      </c>
      <c r="P50" s="152">
        <v>11</v>
      </c>
      <c r="Q50" s="153">
        <v>3870</v>
      </c>
      <c r="R50" s="14" t="s">
        <v>135</v>
      </c>
    </row>
    <row r="51" spans="1:18" ht="15.75" customHeight="1">
      <c r="A51" s="13" t="s">
        <v>59</v>
      </c>
      <c r="B51" s="134">
        <f>_xlfn.COMPOUNDVALUE(561)</f>
        <v>1814</v>
      </c>
      <c r="C51" s="135">
        <v>7085691</v>
      </c>
      <c r="D51" s="134">
        <f>_xlfn.COMPOUNDVALUE(562)</f>
        <v>1978</v>
      </c>
      <c r="E51" s="135">
        <v>701942</v>
      </c>
      <c r="F51" s="134">
        <f>_xlfn.COMPOUNDVALUE(563)</f>
        <v>3792</v>
      </c>
      <c r="G51" s="135">
        <v>7787633</v>
      </c>
      <c r="H51" s="134">
        <f>_xlfn.COMPOUNDVALUE(564)</f>
        <v>93</v>
      </c>
      <c r="I51" s="136">
        <v>147703</v>
      </c>
      <c r="J51" s="134">
        <v>177</v>
      </c>
      <c r="K51" s="136">
        <v>25154</v>
      </c>
      <c r="L51" s="134">
        <f>_xlfn.COMPOUNDVALUE(564)</f>
        <v>3922</v>
      </c>
      <c r="M51" s="136">
        <v>7665084</v>
      </c>
      <c r="N51" s="131">
        <v>3810</v>
      </c>
      <c r="O51" s="152">
        <v>41</v>
      </c>
      <c r="P51" s="152">
        <v>6</v>
      </c>
      <c r="Q51" s="153">
        <v>3857</v>
      </c>
      <c r="R51" s="14" t="s">
        <v>136</v>
      </c>
    </row>
    <row r="52" spans="1:18" ht="15.75" customHeight="1">
      <c r="A52" s="13" t="s">
        <v>60</v>
      </c>
      <c r="B52" s="134">
        <f>_xlfn.COMPOUNDVALUE(565)</f>
        <v>1440</v>
      </c>
      <c r="C52" s="135">
        <v>6336428</v>
      </c>
      <c r="D52" s="134">
        <f>_xlfn.COMPOUNDVALUE(566)</f>
        <v>1486</v>
      </c>
      <c r="E52" s="135">
        <v>536117</v>
      </c>
      <c r="F52" s="134">
        <f>_xlfn.COMPOUNDVALUE(567)</f>
        <v>2926</v>
      </c>
      <c r="G52" s="135">
        <v>6872545</v>
      </c>
      <c r="H52" s="134">
        <f>_xlfn.COMPOUNDVALUE(568)</f>
        <v>80</v>
      </c>
      <c r="I52" s="136">
        <v>191782</v>
      </c>
      <c r="J52" s="134">
        <v>99</v>
      </c>
      <c r="K52" s="136">
        <v>11170</v>
      </c>
      <c r="L52" s="134">
        <f>_xlfn.COMPOUNDVALUE(568)</f>
        <v>3025</v>
      </c>
      <c r="M52" s="136">
        <v>6691933</v>
      </c>
      <c r="N52" s="131">
        <v>2852</v>
      </c>
      <c r="O52" s="152">
        <v>46</v>
      </c>
      <c r="P52" s="152">
        <v>2</v>
      </c>
      <c r="Q52" s="153">
        <v>2900</v>
      </c>
      <c r="R52" s="14" t="s">
        <v>137</v>
      </c>
    </row>
    <row r="53" spans="1:18" ht="15.75" customHeight="1">
      <c r="A53" s="13" t="s">
        <v>61</v>
      </c>
      <c r="B53" s="134">
        <f>_xlfn.COMPOUNDVALUE(569)</f>
        <v>1054</v>
      </c>
      <c r="C53" s="135">
        <v>2903965</v>
      </c>
      <c r="D53" s="134">
        <f>_xlfn.COMPOUNDVALUE(570)</f>
        <v>1021</v>
      </c>
      <c r="E53" s="135">
        <v>389823</v>
      </c>
      <c r="F53" s="134">
        <f>_xlfn.COMPOUNDVALUE(571)</f>
        <v>2075</v>
      </c>
      <c r="G53" s="135">
        <v>3293787</v>
      </c>
      <c r="H53" s="134">
        <f>_xlfn.COMPOUNDVALUE(572)</f>
        <v>71</v>
      </c>
      <c r="I53" s="136">
        <v>128914</v>
      </c>
      <c r="J53" s="134">
        <v>90</v>
      </c>
      <c r="K53" s="136">
        <v>8744</v>
      </c>
      <c r="L53" s="134">
        <f>_xlfn.COMPOUNDVALUE(572)</f>
        <v>2170</v>
      </c>
      <c r="M53" s="136">
        <v>3173617</v>
      </c>
      <c r="N53" s="131">
        <v>2030</v>
      </c>
      <c r="O53" s="152">
        <v>37</v>
      </c>
      <c r="P53" s="152" t="s">
        <v>250</v>
      </c>
      <c r="Q53" s="153">
        <v>2067</v>
      </c>
      <c r="R53" s="14" t="s">
        <v>138</v>
      </c>
    </row>
    <row r="54" spans="1:18" ht="15.75" customHeight="1">
      <c r="A54" s="13" t="s">
        <v>62</v>
      </c>
      <c r="B54" s="134">
        <f>_xlfn.COMPOUNDVALUE(573)</f>
        <v>956</v>
      </c>
      <c r="C54" s="135">
        <v>3936640</v>
      </c>
      <c r="D54" s="134">
        <f>_xlfn.COMPOUNDVALUE(574)</f>
        <v>987</v>
      </c>
      <c r="E54" s="135">
        <v>370057</v>
      </c>
      <c r="F54" s="134">
        <f>_xlfn.COMPOUNDVALUE(575)</f>
        <v>1943</v>
      </c>
      <c r="G54" s="135">
        <v>4306698</v>
      </c>
      <c r="H54" s="134">
        <f>_xlfn.COMPOUNDVALUE(576)</f>
        <v>62</v>
      </c>
      <c r="I54" s="136">
        <v>79675</v>
      </c>
      <c r="J54" s="134">
        <v>72</v>
      </c>
      <c r="K54" s="136">
        <v>1514</v>
      </c>
      <c r="L54" s="134">
        <f>_xlfn.COMPOUNDVALUE(576)</f>
        <v>2020</v>
      </c>
      <c r="M54" s="136">
        <v>4228537</v>
      </c>
      <c r="N54" s="131">
        <v>1922</v>
      </c>
      <c r="O54" s="152">
        <v>36</v>
      </c>
      <c r="P54" s="152">
        <v>1</v>
      </c>
      <c r="Q54" s="153">
        <v>1959</v>
      </c>
      <c r="R54" s="14" t="s">
        <v>139</v>
      </c>
    </row>
    <row r="55" spans="1:18" ht="15.75" customHeight="1">
      <c r="A55" s="13" t="s">
        <v>63</v>
      </c>
      <c r="B55" s="134">
        <f>_xlfn.COMPOUNDVALUE(577)</f>
        <v>1181</v>
      </c>
      <c r="C55" s="135">
        <v>5444501</v>
      </c>
      <c r="D55" s="134">
        <f>_xlfn.COMPOUNDVALUE(578)</f>
        <v>1151</v>
      </c>
      <c r="E55" s="135">
        <v>414477</v>
      </c>
      <c r="F55" s="134">
        <f>_xlfn.COMPOUNDVALUE(579)</f>
        <v>2332</v>
      </c>
      <c r="G55" s="135">
        <v>5858978</v>
      </c>
      <c r="H55" s="134">
        <f>_xlfn.COMPOUNDVALUE(580)</f>
        <v>88</v>
      </c>
      <c r="I55" s="136">
        <v>1996157</v>
      </c>
      <c r="J55" s="134">
        <v>128</v>
      </c>
      <c r="K55" s="136">
        <v>-96359</v>
      </c>
      <c r="L55" s="134">
        <f>_xlfn.COMPOUNDVALUE(580)</f>
        <v>2458</v>
      </c>
      <c r="M55" s="136">
        <v>3766462</v>
      </c>
      <c r="N55" s="131">
        <v>2259</v>
      </c>
      <c r="O55" s="152">
        <v>41</v>
      </c>
      <c r="P55" s="152">
        <v>4</v>
      </c>
      <c r="Q55" s="153">
        <v>2304</v>
      </c>
      <c r="R55" s="14" t="s">
        <v>140</v>
      </c>
    </row>
    <row r="56" spans="1:18" ht="15.75" customHeight="1">
      <c r="A56" s="13" t="s">
        <v>64</v>
      </c>
      <c r="B56" s="134">
        <f>_xlfn.COMPOUNDVALUE(581)</f>
        <v>793</v>
      </c>
      <c r="C56" s="135">
        <v>2846538</v>
      </c>
      <c r="D56" s="134">
        <f>_xlfn.COMPOUNDVALUE(582)</f>
        <v>672</v>
      </c>
      <c r="E56" s="135">
        <v>251535</v>
      </c>
      <c r="F56" s="134">
        <f>_xlfn.COMPOUNDVALUE(583)</f>
        <v>1465</v>
      </c>
      <c r="G56" s="135">
        <v>3098073</v>
      </c>
      <c r="H56" s="134">
        <f>_xlfn.COMPOUNDVALUE(584)</f>
        <v>51</v>
      </c>
      <c r="I56" s="136">
        <v>58859</v>
      </c>
      <c r="J56" s="134">
        <v>78</v>
      </c>
      <c r="K56" s="136">
        <v>4747</v>
      </c>
      <c r="L56" s="134">
        <f>_xlfn.COMPOUNDVALUE(584)</f>
        <v>1537</v>
      </c>
      <c r="M56" s="136">
        <v>3043962</v>
      </c>
      <c r="N56" s="131">
        <v>1451</v>
      </c>
      <c r="O56" s="152">
        <v>29</v>
      </c>
      <c r="P56" s="152">
        <v>3</v>
      </c>
      <c r="Q56" s="153">
        <v>1483</v>
      </c>
      <c r="R56" s="14" t="s">
        <v>141</v>
      </c>
    </row>
    <row r="57" spans="1:18" ht="15.75" customHeight="1">
      <c r="A57" s="96" t="s">
        <v>65</v>
      </c>
      <c r="B57" s="154">
        <v>13721</v>
      </c>
      <c r="C57" s="155">
        <v>61548922</v>
      </c>
      <c r="D57" s="154">
        <v>12911</v>
      </c>
      <c r="E57" s="155">
        <v>4892398</v>
      </c>
      <c r="F57" s="154">
        <v>26632</v>
      </c>
      <c r="G57" s="155">
        <v>66441320</v>
      </c>
      <c r="H57" s="154">
        <v>790</v>
      </c>
      <c r="I57" s="156">
        <v>4564448</v>
      </c>
      <c r="J57" s="154">
        <v>1321</v>
      </c>
      <c r="K57" s="156">
        <v>57051</v>
      </c>
      <c r="L57" s="154">
        <v>27795</v>
      </c>
      <c r="M57" s="156">
        <v>61933923</v>
      </c>
      <c r="N57" s="154">
        <v>26591</v>
      </c>
      <c r="O57" s="157">
        <v>461</v>
      </c>
      <c r="P57" s="157">
        <v>46</v>
      </c>
      <c r="Q57" s="158">
        <v>27098</v>
      </c>
      <c r="R57" s="95" t="s">
        <v>142</v>
      </c>
    </row>
    <row r="58" spans="1:18" ht="15.75" customHeight="1">
      <c r="A58" s="97"/>
      <c r="B58" s="159"/>
      <c r="C58" s="160"/>
      <c r="D58" s="159"/>
      <c r="E58" s="160"/>
      <c r="F58" s="161"/>
      <c r="G58" s="160"/>
      <c r="H58" s="161"/>
      <c r="I58" s="160"/>
      <c r="J58" s="161"/>
      <c r="K58" s="160"/>
      <c r="L58" s="161"/>
      <c r="M58" s="160"/>
      <c r="N58" s="162"/>
      <c r="O58" s="163"/>
      <c r="P58" s="163"/>
      <c r="Q58" s="164"/>
      <c r="R58" s="98" t="s">
        <v>143</v>
      </c>
    </row>
    <row r="59" spans="1:18" ht="15.75" customHeight="1">
      <c r="A59" s="99" t="s">
        <v>66</v>
      </c>
      <c r="B59" s="165">
        <f>_xlfn.COMPOUNDVALUE(585)</f>
        <v>4195</v>
      </c>
      <c r="C59" s="166">
        <v>22900159</v>
      </c>
      <c r="D59" s="165">
        <f>_xlfn.COMPOUNDVALUE(586)</f>
        <v>3257</v>
      </c>
      <c r="E59" s="166">
        <v>1428521</v>
      </c>
      <c r="F59" s="165">
        <f>_xlfn.COMPOUNDVALUE(587)</f>
        <v>7452</v>
      </c>
      <c r="G59" s="166">
        <v>24328680</v>
      </c>
      <c r="H59" s="165">
        <f>_xlfn.COMPOUNDVALUE(588)</f>
        <v>253</v>
      </c>
      <c r="I59" s="167">
        <v>991242</v>
      </c>
      <c r="J59" s="165">
        <v>426</v>
      </c>
      <c r="K59" s="167">
        <v>27989</v>
      </c>
      <c r="L59" s="165">
        <f>_xlfn.COMPOUNDVALUE(588)</f>
        <v>7816</v>
      </c>
      <c r="M59" s="167">
        <v>23365427</v>
      </c>
      <c r="N59" s="165">
        <v>7889</v>
      </c>
      <c r="O59" s="168">
        <v>169</v>
      </c>
      <c r="P59" s="168">
        <v>25</v>
      </c>
      <c r="Q59" s="169">
        <v>8083</v>
      </c>
      <c r="R59" s="100" t="s">
        <v>144</v>
      </c>
    </row>
    <row r="60" spans="1:18" ht="15.75" customHeight="1">
      <c r="A60" s="11" t="s">
        <v>67</v>
      </c>
      <c r="B60" s="131">
        <f>_xlfn.COMPOUNDVALUE(589)</f>
        <v>2184</v>
      </c>
      <c r="C60" s="132">
        <v>9076356</v>
      </c>
      <c r="D60" s="131">
        <f>_xlfn.COMPOUNDVALUE(590)</f>
        <v>2212</v>
      </c>
      <c r="E60" s="132">
        <v>842619</v>
      </c>
      <c r="F60" s="131">
        <f>_xlfn.COMPOUNDVALUE(591)</f>
        <v>4396</v>
      </c>
      <c r="G60" s="132">
        <v>9918975</v>
      </c>
      <c r="H60" s="131">
        <f>_xlfn.COMPOUNDVALUE(592)</f>
        <v>129</v>
      </c>
      <c r="I60" s="133">
        <v>762035</v>
      </c>
      <c r="J60" s="131">
        <v>225</v>
      </c>
      <c r="K60" s="133">
        <v>43788</v>
      </c>
      <c r="L60" s="131">
        <f>_xlfn.COMPOUNDVALUE(592)</f>
        <v>4576</v>
      </c>
      <c r="M60" s="133">
        <v>9200728</v>
      </c>
      <c r="N60" s="131">
        <v>4437</v>
      </c>
      <c r="O60" s="152">
        <v>80</v>
      </c>
      <c r="P60" s="152">
        <v>12</v>
      </c>
      <c r="Q60" s="153">
        <v>4529</v>
      </c>
      <c r="R60" s="14" t="s">
        <v>145</v>
      </c>
    </row>
    <row r="61" spans="1:18" ht="15.75" customHeight="1">
      <c r="A61" s="11" t="s">
        <v>68</v>
      </c>
      <c r="B61" s="131">
        <f>_xlfn.COMPOUNDVALUE(593)</f>
        <v>5266</v>
      </c>
      <c r="C61" s="132">
        <v>31228966</v>
      </c>
      <c r="D61" s="131">
        <f>_xlfn.COMPOUNDVALUE(594)</f>
        <v>3892</v>
      </c>
      <c r="E61" s="132">
        <v>1760407</v>
      </c>
      <c r="F61" s="131">
        <f>_xlfn.COMPOUNDVALUE(595)</f>
        <v>9158</v>
      </c>
      <c r="G61" s="132">
        <v>32989373</v>
      </c>
      <c r="H61" s="131">
        <f>_xlfn.COMPOUNDVALUE(596)</f>
        <v>356</v>
      </c>
      <c r="I61" s="133">
        <v>740689</v>
      </c>
      <c r="J61" s="131">
        <v>440</v>
      </c>
      <c r="K61" s="133">
        <v>103641</v>
      </c>
      <c r="L61" s="131">
        <f>_xlfn.COMPOUNDVALUE(596)</f>
        <v>9656</v>
      </c>
      <c r="M61" s="133">
        <v>32352325</v>
      </c>
      <c r="N61" s="131">
        <v>9736</v>
      </c>
      <c r="O61" s="152">
        <v>211</v>
      </c>
      <c r="P61" s="152">
        <v>40</v>
      </c>
      <c r="Q61" s="153">
        <v>9987</v>
      </c>
      <c r="R61" s="14" t="s">
        <v>146</v>
      </c>
    </row>
    <row r="62" spans="1:18" ht="15.75" customHeight="1">
      <c r="A62" s="13" t="s">
        <v>69</v>
      </c>
      <c r="B62" s="134">
        <f>_xlfn.COMPOUNDVALUE(597)</f>
        <v>4364</v>
      </c>
      <c r="C62" s="135">
        <v>18463089</v>
      </c>
      <c r="D62" s="134">
        <f>_xlfn.COMPOUNDVALUE(598)</f>
        <v>3081</v>
      </c>
      <c r="E62" s="135">
        <v>1395620</v>
      </c>
      <c r="F62" s="134">
        <f>_xlfn.COMPOUNDVALUE(599)</f>
        <v>7445</v>
      </c>
      <c r="G62" s="135">
        <v>19858710</v>
      </c>
      <c r="H62" s="134">
        <f>_xlfn.COMPOUNDVALUE(600)</f>
        <v>324</v>
      </c>
      <c r="I62" s="136">
        <v>5022433</v>
      </c>
      <c r="J62" s="134">
        <v>442</v>
      </c>
      <c r="K62" s="136">
        <v>197106</v>
      </c>
      <c r="L62" s="134">
        <f>_xlfn.COMPOUNDVALUE(600)</f>
        <v>7910</v>
      </c>
      <c r="M62" s="136">
        <v>15033382</v>
      </c>
      <c r="N62" s="131">
        <v>7907</v>
      </c>
      <c r="O62" s="152">
        <v>173</v>
      </c>
      <c r="P62" s="152">
        <v>27</v>
      </c>
      <c r="Q62" s="153">
        <v>8107</v>
      </c>
      <c r="R62" s="14" t="s">
        <v>69</v>
      </c>
    </row>
    <row r="63" spans="1:18" ht="15.75" customHeight="1">
      <c r="A63" s="13" t="s">
        <v>70</v>
      </c>
      <c r="B63" s="134">
        <f>_xlfn.COMPOUNDVALUE(601)</f>
        <v>1663</v>
      </c>
      <c r="C63" s="135">
        <v>5588317</v>
      </c>
      <c r="D63" s="134">
        <f>_xlfn.COMPOUNDVALUE(602)</f>
        <v>1472</v>
      </c>
      <c r="E63" s="135">
        <v>608511</v>
      </c>
      <c r="F63" s="134">
        <f>_xlfn.COMPOUNDVALUE(603)</f>
        <v>3135</v>
      </c>
      <c r="G63" s="135">
        <v>6196828</v>
      </c>
      <c r="H63" s="134">
        <f>_xlfn.COMPOUNDVALUE(604)</f>
        <v>140</v>
      </c>
      <c r="I63" s="136">
        <v>674714</v>
      </c>
      <c r="J63" s="134">
        <v>125</v>
      </c>
      <c r="K63" s="136">
        <v>17032</v>
      </c>
      <c r="L63" s="134">
        <f>_xlfn.COMPOUNDVALUE(604)</f>
        <v>3314</v>
      </c>
      <c r="M63" s="136">
        <v>5539146</v>
      </c>
      <c r="N63" s="131">
        <v>3168</v>
      </c>
      <c r="O63" s="152">
        <v>111</v>
      </c>
      <c r="P63" s="152">
        <v>13</v>
      </c>
      <c r="Q63" s="153">
        <v>3292</v>
      </c>
      <c r="R63" s="14" t="s">
        <v>147</v>
      </c>
    </row>
    <row r="64" spans="1:18" ht="15.75" customHeight="1">
      <c r="A64" s="13" t="s">
        <v>71</v>
      </c>
      <c r="B64" s="134">
        <f>_xlfn.COMPOUNDVALUE(605)</f>
        <v>1627</v>
      </c>
      <c r="C64" s="135">
        <v>5721457</v>
      </c>
      <c r="D64" s="134">
        <f>_xlfn.COMPOUNDVALUE(606)</f>
        <v>1384</v>
      </c>
      <c r="E64" s="135">
        <v>534302</v>
      </c>
      <c r="F64" s="134">
        <f>_xlfn.COMPOUNDVALUE(607)</f>
        <v>3011</v>
      </c>
      <c r="G64" s="135">
        <v>6255759</v>
      </c>
      <c r="H64" s="134">
        <f>_xlfn.COMPOUNDVALUE(608)</f>
        <v>120</v>
      </c>
      <c r="I64" s="136">
        <v>635703</v>
      </c>
      <c r="J64" s="134">
        <v>175</v>
      </c>
      <c r="K64" s="136">
        <v>35731</v>
      </c>
      <c r="L64" s="134">
        <f>_xlfn.COMPOUNDVALUE(608)</f>
        <v>3210</v>
      </c>
      <c r="M64" s="136">
        <v>5655787</v>
      </c>
      <c r="N64" s="131">
        <v>3119</v>
      </c>
      <c r="O64" s="152">
        <v>69</v>
      </c>
      <c r="P64" s="152">
        <v>8</v>
      </c>
      <c r="Q64" s="153">
        <v>3196</v>
      </c>
      <c r="R64" s="14" t="s">
        <v>148</v>
      </c>
    </row>
    <row r="65" spans="1:18" ht="15.75" customHeight="1">
      <c r="A65" s="13" t="s">
        <v>72</v>
      </c>
      <c r="B65" s="134">
        <f>_xlfn.COMPOUNDVALUE(609)</f>
        <v>608</v>
      </c>
      <c r="C65" s="135">
        <v>2068938</v>
      </c>
      <c r="D65" s="134">
        <f>_xlfn.COMPOUNDVALUE(610)</f>
        <v>670</v>
      </c>
      <c r="E65" s="135">
        <v>249828</v>
      </c>
      <c r="F65" s="134">
        <f>_xlfn.COMPOUNDVALUE(611)</f>
        <v>1278</v>
      </c>
      <c r="G65" s="135">
        <v>2318766</v>
      </c>
      <c r="H65" s="134">
        <f>_xlfn.COMPOUNDVALUE(612)</f>
        <v>53</v>
      </c>
      <c r="I65" s="136">
        <v>81890</v>
      </c>
      <c r="J65" s="134">
        <v>45</v>
      </c>
      <c r="K65" s="136">
        <v>-1355</v>
      </c>
      <c r="L65" s="134">
        <f>_xlfn.COMPOUNDVALUE(612)</f>
        <v>1345</v>
      </c>
      <c r="M65" s="136">
        <v>2235521</v>
      </c>
      <c r="N65" s="131">
        <v>1280</v>
      </c>
      <c r="O65" s="152">
        <v>25</v>
      </c>
      <c r="P65" s="152">
        <v>5</v>
      </c>
      <c r="Q65" s="153">
        <v>1310</v>
      </c>
      <c r="R65" s="14" t="s">
        <v>149</v>
      </c>
    </row>
    <row r="66" spans="1:18" ht="15.75" customHeight="1">
      <c r="A66" s="13" t="s">
        <v>73</v>
      </c>
      <c r="B66" s="134">
        <f>_xlfn.COMPOUNDVALUE(613)</f>
        <v>1648</v>
      </c>
      <c r="C66" s="135">
        <v>7508515</v>
      </c>
      <c r="D66" s="134">
        <f>_xlfn.COMPOUNDVALUE(614)</f>
        <v>1139</v>
      </c>
      <c r="E66" s="135">
        <v>632110</v>
      </c>
      <c r="F66" s="134">
        <f>_xlfn.COMPOUNDVALUE(615)</f>
        <v>2787</v>
      </c>
      <c r="G66" s="135">
        <v>8140624</v>
      </c>
      <c r="H66" s="134">
        <f>_xlfn.COMPOUNDVALUE(616)</f>
        <v>312</v>
      </c>
      <c r="I66" s="136">
        <v>1424054</v>
      </c>
      <c r="J66" s="134">
        <v>145</v>
      </c>
      <c r="K66" s="136">
        <v>18604</v>
      </c>
      <c r="L66" s="134">
        <f>_xlfn.COMPOUNDVALUE(616)</f>
        <v>3145</v>
      </c>
      <c r="M66" s="136">
        <v>6735174</v>
      </c>
      <c r="N66" s="131">
        <v>3828</v>
      </c>
      <c r="O66" s="152">
        <v>162</v>
      </c>
      <c r="P66" s="152">
        <v>11</v>
      </c>
      <c r="Q66" s="153">
        <v>4001</v>
      </c>
      <c r="R66" s="14" t="s">
        <v>150</v>
      </c>
    </row>
    <row r="67" spans="1:18" ht="15.75" customHeight="1">
      <c r="A67" s="13" t="s">
        <v>74</v>
      </c>
      <c r="B67" s="134">
        <f>_xlfn.COMPOUNDVALUE(617)</f>
        <v>1117</v>
      </c>
      <c r="C67" s="135">
        <v>4057135</v>
      </c>
      <c r="D67" s="134">
        <f>_xlfn.COMPOUNDVALUE(618)</f>
        <v>826</v>
      </c>
      <c r="E67" s="135">
        <v>369745</v>
      </c>
      <c r="F67" s="134">
        <f>_xlfn.COMPOUNDVALUE(619)</f>
        <v>1943</v>
      </c>
      <c r="G67" s="135">
        <v>4426880</v>
      </c>
      <c r="H67" s="134">
        <f>_xlfn.COMPOUNDVALUE(620)</f>
        <v>97</v>
      </c>
      <c r="I67" s="136">
        <v>273512</v>
      </c>
      <c r="J67" s="134">
        <v>63</v>
      </c>
      <c r="K67" s="136">
        <v>7967</v>
      </c>
      <c r="L67" s="134">
        <f>_xlfn.COMPOUNDVALUE(620)</f>
        <v>2060</v>
      </c>
      <c r="M67" s="136">
        <v>4161335</v>
      </c>
      <c r="N67" s="131">
        <v>2033</v>
      </c>
      <c r="O67" s="152">
        <v>63</v>
      </c>
      <c r="P67" s="152">
        <v>5</v>
      </c>
      <c r="Q67" s="153">
        <v>2101</v>
      </c>
      <c r="R67" s="14" t="s">
        <v>151</v>
      </c>
    </row>
    <row r="68" spans="1:18" ht="15.75" customHeight="1">
      <c r="A68" s="13" t="s">
        <v>75</v>
      </c>
      <c r="B68" s="134">
        <f>_xlfn.COMPOUNDVALUE(621)</f>
        <v>404</v>
      </c>
      <c r="C68" s="135">
        <v>983710</v>
      </c>
      <c r="D68" s="134">
        <f>_xlfn.COMPOUNDVALUE(622)</f>
        <v>372</v>
      </c>
      <c r="E68" s="135">
        <v>161444</v>
      </c>
      <c r="F68" s="134">
        <f>_xlfn.COMPOUNDVALUE(623)</f>
        <v>776</v>
      </c>
      <c r="G68" s="135">
        <v>1145154</v>
      </c>
      <c r="H68" s="134">
        <f>_xlfn.COMPOUNDVALUE(624)</f>
        <v>24</v>
      </c>
      <c r="I68" s="136">
        <v>17216</v>
      </c>
      <c r="J68" s="134">
        <v>33</v>
      </c>
      <c r="K68" s="136">
        <v>5170</v>
      </c>
      <c r="L68" s="134">
        <f>_xlfn.COMPOUNDVALUE(624)</f>
        <v>811</v>
      </c>
      <c r="M68" s="136">
        <v>1133107</v>
      </c>
      <c r="N68" s="131">
        <v>754</v>
      </c>
      <c r="O68" s="152">
        <v>16</v>
      </c>
      <c r="P68" s="152">
        <v>2</v>
      </c>
      <c r="Q68" s="153">
        <v>772</v>
      </c>
      <c r="R68" s="14" t="s">
        <v>152</v>
      </c>
    </row>
    <row r="69" spans="1:18" ht="15.75" customHeight="1">
      <c r="A69" s="96" t="s">
        <v>76</v>
      </c>
      <c r="B69" s="154">
        <v>23076</v>
      </c>
      <c r="C69" s="155">
        <v>107596642</v>
      </c>
      <c r="D69" s="154">
        <v>18305</v>
      </c>
      <c r="E69" s="155">
        <v>7983108</v>
      </c>
      <c r="F69" s="154">
        <v>41381</v>
      </c>
      <c r="G69" s="155">
        <v>115579750</v>
      </c>
      <c r="H69" s="154">
        <v>1808</v>
      </c>
      <c r="I69" s="156">
        <v>10623488</v>
      </c>
      <c r="J69" s="154">
        <v>2119</v>
      </c>
      <c r="K69" s="156">
        <v>455673</v>
      </c>
      <c r="L69" s="154">
        <v>43843</v>
      </c>
      <c r="M69" s="156">
        <v>105411935</v>
      </c>
      <c r="N69" s="154">
        <v>44151</v>
      </c>
      <c r="O69" s="157">
        <v>1079</v>
      </c>
      <c r="P69" s="157">
        <v>148</v>
      </c>
      <c r="Q69" s="158">
        <v>45378</v>
      </c>
      <c r="R69" s="95" t="s">
        <v>153</v>
      </c>
    </row>
    <row r="70" spans="1:18" ht="15.75" customHeight="1" thickBot="1">
      <c r="A70" s="18"/>
      <c r="B70" s="176"/>
      <c r="C70" s="177"/>
      <c r="D70" s="176"/>
      <c r="E70" s="177"/>
      <c r="F70" s="178"/>
      <c r="G70" s="177"/>
      <c r="H70" s="178"/>
      <c r="I70" s="177"/>
      <c r="J70" s="178"/>
      <c r="K70" s="177"/>
      <c r="L70" s="178"/>
      <c r="M70" s="177"/>
      <c r="N70" s="179"/>
      <c r="O70" s="180"/>
      <c r="P70" s="180"/>
      <c r="Q70" s="181"/>
      <c r="R70" s="94"/>
    </row>
    <row r="71" spans="1:18" ht="15.75" customHeight="1" thickBot="1" thickTop="1">
      <c r="A71" s="21" t="s">
        <v>96</v>
      </c>
      <c r="B71" s="149">
        <v>105786</v>
      </c>
      <c r="C71" s="150">
        <v>512746997</v>
      </c>
      <c r="D71" s="149">
        <v>84552</v>
      </c>
      <c r="E71" s="150">
        <v>34735756</v>
      </c>
      <c r="F71" s="149">
        <v>190338</v>
      </c>
      <c r="G71" s="150">
        <v>547482754</v>
      </c>
      <c r="H71" s="149">
        <v>7319</v>
      </c>
      <c r="I71" s="151">
        <v>36365926</v>
      </c>
      <c r="J71" s="149">
        <v>10519</v>
      </c>
      <c r="K71" s="151">
        <v>1838546</v>
      </c>
      <c r="L71" s="149">
        <v>200824</v>
      </c>
      <c r="M71" s="151">
        <v>512955374</v>
      </c>
      <c r="N71" s="182">
        <v>196799</v>
      </c>
      <c r="O71" s="183">
        <v>4489</v>
      </c>
      <c r="P71" s="183">
        <v>606</v>
      </c>
      <c r="Q71" s="184">
        <v>201894</v>
      </c>
      <c r="R71" s="33" t="s">
        <v>96</v>
      </c>
    </row>
    <row r="72" spans="1:9" ht="19.5" customHeight="1">
      <c r="A72" s="221" t="s">
        <v>243</v>
      </c>
      <c r="B72" s="221"/>
      <c r="C72" s="221"/>
      <c r="D72" s="221"/>
      <c r="E72" s="221"/>
      <c r="F72" s="221"/>
      <c r="G72" s="221"/>
      <c r="H72" s="221"/>
      <c r="I72" s="221"/>
    </row>
  </sheetData>
  <sheetProtection/>
  <mergeCells count="16">
    <mergeCell ref="A72:I72"/>
    <mergeCell ref="A2:I2"/>
    <mergeCell ref="A3:A5"/>
    <mergeCell ref="B3:G3"/>
    <mergeCell ref="H3:I4"/>
    <mergeCell ref="R3:R5"/>
    <mergeCell ref="B4:C4"/>
    <mergeCell ref="D4:E4"/>
    <mergeCell ref="F4:G4"/>
    <mergeCell ref="N4:N5"/>
    <mergeCell ref="O4:O5"/>
    <mergeCell ref="P4:P5"/>
    <mergeCell ref="Q4:Q5"/>
    <mergeCell ref="J3:K4"/>
    <mergeCell ref="L3:M4"/>
    <mergeCell ref="N3:Q3"/>
  </mergeCells>
  <printOptions horizontalCentered="1"/>
  <pageMargins left="0.5905511811023623" right="0.5905511811023623" top="0.7874015748031497" bottom="0.7874015748031497" header="0.5118110236220472" footer="0.5118110236220472"/>
  <pageSetup fitToHeight="0" fitToWidth="1" horizontalDpi="600" verticalDpi="600" orientation="landscape" paperSize="9" scale="67" r:id="rId1"/>
  <headerFooter alignWithMargins="0">
    <oddFooter>&amp;R仙台国税局
消費税
(H26)</oddFooter>
  </headerFooter>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2016-02-05T01:29:10Z</cp:lastPrinted>
  <dcterms:created xsi:type="dcterms:W3CDTF">2011-12-09T10:59:54Z</dcterms:created>
  <dcterms:modified xsi:type="dcterms:W3CDTF">2016-06-03T06:23:48Z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y fmtid="{D5CDD505-2E9C-101B-9397-08002B2CF9AE}" pid="4" name="ContentType">
    <vt:lpwstr>ドキュメント</vt:lpwstr>
  </property>
</Properties>
</file>