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20" windowHeight="8325"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'(4)税務署別(個人事業者）'!$A$1:$N$72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<sst xmlns="http://schemas.openxmlformats.org/spreadsheetml/2006/main" count="551" uniqueCount="253">
  <si>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</si>
  <si>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</si>
  <si>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</si>
  <si>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</si>
  <si>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</si>
  <si>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</si>
  <si>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</si>
  <si>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</si>
  <si>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</si>
  <si>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</si>
  <si>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</si>
  <si>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</si>
  <si>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</si>
  <si>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</si>
  <si>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</si>
  <si>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</si>
  <si>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</si>
  <si>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</si>
  <si>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</si>
  <si>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</si>
  <si>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</si>
  <si>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</si>
  <si>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</si>
  <si>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</si>
  <si>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</si>
  <si>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</si>
  <si>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</si>
  <si>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</si>
  <si>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</si>
  <si>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</si>
  <si>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</si>
  <si>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</si>
  <si>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</si>
  <si>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</si>
  <si>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</si>
  <si>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</si>
  <si>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</si>
  <si>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</si>
  <si>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</si>
  <si>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</si>
  <si>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</si>
  <si>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</si>
  <si>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</si>
  <si>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</si>
  <si>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</si>
  <si>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</si>
  <si>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</si>
  <si>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</si>
  <si>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</si>
  <si>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</si>
  <si>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</si>
  <si>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</si>
  <si>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</si>
  <si>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</si>
  <si>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</si>
  <si>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</si>
  <si>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</si>
  <si>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</si>
  <si>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</si>
  <si>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</si>
  <si>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</si>
  <si>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</si>
  <si>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</si>
  <si>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</si>
  <si>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</si>
  <si>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</si>
  <si>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</si>
  <si>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</si>
  <si>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</si>
  <si>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</si>
  <si>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</si>
  <si>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</si>
  <si>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</si>
  <si>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</si>
  <si>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</si>
  <si>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</si>
  <si>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</si>
  <si>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(4)　税務署別課税状況（続）</t>
  </si>
  <si>
    <t>　ロ　法　　　人</t>
  </si>
  <si>
    <t>税務署名</t>
  </si>
  <si>
    <t>青森</t>
  </si>
  <si>
    <t>弘前</t>
  </si>
  <si>
    <t>八戸</t>
  </si>
  <si>
    <t>黒石</t>
  </si>
  <si>
    <t>五所川原</t>
  </si>
  <si>
    <t>十和田</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</si>
  <si>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</si>
  <si>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</si>
  <si>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</si>
  <si>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</si>
  <si>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</si>
  <si>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</si>
  <si>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</si>
  <si>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</si>
  <si>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</si>
  <si>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</si>
  <si>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</si>
  <si>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</si>
  <si>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</si>
  <si>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</si>
  <si>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</si>
  <si>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</si>
  <si>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</si>
  <si>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</si>
  <si>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</si>
  <si>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</si>
  <si>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</si>
  <si>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</si>
  <si>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</si>
  <si>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</si>
  <si>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</si>
  <si>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</si>
  <si>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</si>
  <si>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</si>
  <si>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</si>
  <si>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</si>
  <si>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</si>
  <si>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</si>
  <si>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</si>
  <si>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</si>
  <si>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</si>
  <si>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</si>
  <si>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</si>
  <si>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</si>
  <si>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</si>
  <si>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</si>
  <si>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</si>
  <si>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</si>
  <si>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</si>
  <si>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</si>
  <si>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</si>
  <si>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</si>
  <si>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</si>
  <si>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</si>
  <si>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</si>
  <si>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</si>
  <si>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</si>
  <si>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　ハ　個人事業者と法人の合計</t>
  </si>
  <si>
    <t>課　税　事　業　者　等　届　出　件　数</t>
  </si>
  <si>
    <t>課税事業者
届出</t>
  </si>
  <si>
    <t>課税事業者
選択届出</t>
  </si>
  <si>
    <t>新設法人に
該当する旨
の届出</t>
  </si>
  <si>
    <t>合　　　計</t>
  </si>
  <si>
    <t>岩手県計</t>
  </si>
  <si>
    <t>件数</t>
  </si>
  <si>
    <t>件数</t>
  </si>
  <si>
    <t>税　　　額
(①－②＋③)</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</si>
  <si>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</si>
  <si>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</si>
  <si>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</si>
  <si>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</si>
  <si>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</si>
  <si>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</si>
  <si>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</si>
  <si>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</si>
  <si>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</si>
  <si>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</si>
  <si>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</si>
  <si>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</si>
  <si>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</si>
  <si>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</si>
  <si>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</si>
  <si>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</si>
  <si>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</si>
  <si>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</si>
  <si>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</si>
  <si>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</si>
  <si>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</si>
  <si>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</si>
  <si>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</si>
  <si>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</si>
  <si>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</si>
  <si>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</si>
  <si>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</si>
  <si>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</si>
  <si>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</si>
  <si>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</si>
  <si>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</si>
  <si>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</si>
  <si>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</si>
  <si>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</si>
  <si>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</si>
  <si>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</si>
  <si>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</si>
  <si>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</si>
  <si>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</si>
  <si>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</si>
  <si>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</si>
  <si>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</si>
  <si>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</si>
  <si>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</si>
  <si>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</si>
  <si>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</si>
  <si>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</si>
  <si>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</si>
  <si>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</si>
  <si>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</si>
  <si>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</si>
  <si>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</si>
  <si>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</si>
  <si>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</si>
  <si>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</si>
  <si>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</si>
  <si>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</si>
  <si>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</si>
  <si>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</si>
  <si>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</si>
  <si>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７　消　費　税</t>
  </si>
  <si>
    <t>(1)　課税状況</t>
  </si>
  <si>
    <t>区　　　分</t>
  </si>
  <si>
    <t>個　人　事　業　者</t>
  </si>
  <si>
    <t>法　　　　　人</t>
  </si>
  <si>
    <t>合　　　　　計</t>
  </si>
  <si>
    <t>件　　　数</t>
  </si>
  <si>
    <t>税　　　額</t>
  </si>
  <si>
    <t>件</t>
  </si>
  <si>
    <t>千円</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</si>
  <si>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</si>
  <si>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</si>
  <si>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</si>
  <si>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</si>
  <si>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</si>
  <si>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</si>
  <si>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</si>
  <si>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</si>
  <si>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差引計</t>
  </si>
  <si>
    <t>実</t>
  </si>
  <si>
    <t>加算税</t>
  </si>
  <si>
    <t>調査対象等：</t>
  </si>
  <si>
    <t>　　　２　「件数欄」の「実」は、実件数を示す。</t>
  </si>
  <si>
    <t>(2)　課税状況の累年比較</t>
  </si>
  <si>
    <t>法　　　　　　　人</t>
  </si>
  <si>
    <t>合　　　　　　　計</t>
  </si>
  <si>
    <t>件　　数</t>
  </si>
  <si>
    <t>税　　額</t>
  </si>
  <si>
    <t>納税申告計</t>
  </si>
  <si>
    <t>平成22年度</t>
  </si>
  <si>
    <t>平成23年度</t>
  </si>
  <si>
    <t>(3)　課税事業者等届出件数</t>
  </si>
  <si>
    <t>課税事業者届出書</t>
  </si>
  <si>
    <t>課税事業者選択届出書</t>
  </si>
  <si>
    <t>新設法人に該当する旨の届出書</t>
  </si>
  <si>
    <t>合計</t>
  </si>
  <si>
    <t>（注）１　税関分は含まない。</t>
  </si>
  <si>
    <t>（注）　納税義務者でなくなった旨の届出書又は課税事業者選択不適用届出書を提出した者は含まない。</t>
  </si>
  <si>
    <t>（注）　この表は「(1)　課税状況」の現年分を税務署別に示したものである（加算税を除く。）。</t>
  </si>
  <si>
    <t>（注）　この表は「(1)　課税状況」の現年分及び「(3)　課税事業者等届出件数」を税務署別に示したものである（加算税を除く。）。</t>
  </si>
  <si>
    <t>　「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</si>
  <si>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　「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</si>
  <si>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平成20年度</t>
  </si>
  <si>
    <t>平成21年度</t>
  </si>
  <si>
    <t>平成24年度</t>
  </si>
  <si>
    <t>調査対象等：　平成24年度末（平成25年３月31日現在）の届出件数を示している。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</si>
</sst>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quot;△ &quot;#,##0\ "/>
    <numFmt numFmtId="178" formatCode="#,##0_ "/>
  </numFmts>
  <fonts count="46">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thin"/>
      <right style="hair"/>
      <top style="thin"/>
      <bottom style="thin"/>
    </border>
    <border>
      <left style="thin"/>
      <right style="hair"/>
      <top/>
      <bottom style="medium"/>
    </border>
    <border>
      <left/>
      <right/>
      <top style="medium"/>
      <bottom/>
    </border>
    <border>
      <left/>
      <right style="thin"/>
      <top style="thin"/>
      <bottom/>
    </border>
    <border>
      <left/>
      <right style="medium"/>
      <top style="thin"/>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bottom style="medium"/>
    </border>
    <border>
      <left style="thin"/>
      <right style="thin"/>
      <top/>
      <bottom style="medium"/>
    </border>
    <border>
      <left style="thin"/>
      <right/>
      <top/>
      <bottom style="mediu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hair"/>
      <top/>
      <bottom style="medium"/>
    </border>
    <border>
      <left style="hair"/>
      <right style="thin"/>
      <top/>
      <bottom style="medium"/>
    </border>
    <border>
      <left style="hair"/>
      <right style="medium"/>
      <top/>
      <bottom style="hair">
        <color indexed="55"/>
      </bottom>
    </border>
    <border>
      <left style="hair"/>
      <right style="medium"/>
      <top style="hair">
        <color indexed="55"/>
      </top>
      <bottom style="hair">
        <color indexed="55"/>
      </bottom>
    </border>
    <border>
      <left style="hair"/>
      <right style="medium"/>
      <top style="hair">
        <color indexed="55"/>
      </top>
      <bottom/>
    </border>
    <border>
      <left style="hair"/>
      <right style="medium"/>
      <top style="thin"/>
      <bottom style="hair">
        <color indexed="55"/>
      </bottom>
    </border>
    <border>
      <left style="hair"/>
      <right style="medium"/>
      <top style="thin"/>
      <bottom style="thin"/>
    </border>
    <border>
      <left style="hair"/>
      <right style="medium"/>
      <top/>
      <bottom style="mediu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hair"/>
      <right style="hair"/>
      <top style="hair">
        <color indexed="55"/>
      </top>
      <bottom style="thin">
        <color theme="0" tint="-0.3499799966812134"/>
      </bottom>
    </border>
    <border>
      <left style="thin"/>
      <right/>
      <top/>
      <bottom/>
    </border>
    <border>
      <left style="hair"/>
      <right style="thin"/>
      <top/>
      <bottom/>
    </border>
    <border>
      <left style="hair"/>
      <right style="hair"/>
      <top/>
      <bottom/>
    </border>
    <border>
      <left style="hair"/>
      <right/>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hair"/>
      <right style="hair"/>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style="medium"/>
      <right/>
      <top style="medium"/>
      <bottom/>
    </border>
    <border>
      <left/>
      <right style="thin"/>
      <top style="medium"/>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style="hair"/>
      <top style="hair"/>
      <bottom style="thin"/>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thin"/>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245">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10" fillId="0" borderId="26" xfId="60" applyFont="1" applyFill="1" applyBorder="1" applyAlignment="1">
      <alignment horizontal="center" vertical="center"/>
      <protection/>
    </xf>
    <xf numFmtId="0" fontId="3" fillId="36" borderId="27"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8" xfId="60" applyFont="1" applyBorder="1" applyAlignment="1">
      <alignment horizontal="center" vertical="center" wrapText="1"/>
      <protection/>
    </xf>
    <xf numFmtId="0" fontId="5" fillId="34" borderId="29"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30" xfId="60" applyFont="1" applyBorder="1" applyAlignment="1">
      <alignment horizontal="center" vertical="center"/>
      <protection/>
    </xf>
    <xf numFmtId="0" fontId="3" fillId="0" borderId="31" xfId="60" applyFont="1" applyBorder="1" applyAlignment="1">
      <alignment horizontal="distributed" vertical="center" indent="1"/>
      <protection/>
    </xf>
    <xf numFmtId="0" fontId="3" fillId="0" borderId="28" xfId="60" applyFont="1" applyBorder="1" applyAlignment="1">
      <alignment horizontal="distributed" vertical="center" indent="1"/>
      <protection/>
    </xf>
    <xf numFmtId="0" fontId="3" fillId="0" borderId="32" xfId="60" applyFont="1" applyBorder="1" applyAlignment="1">
      <alignment horizontal="centerContinuous" vertical="center" wrapText="1"/>
      <protection/>
    </xf>
    <xf numFmtId="0" fontId="12" fillId="0" borderId="0" xfId="60" applyFont="1">
      <alignment/>
      <protection/>
    </xf>
    <xf numFmtId="0" fontId="3" fillId="0" borderId="32" xfId="60" applyFont="1" applyBorder="1" applyAlignment="1">
      <alignment horizontal="center" vertical="center"/>
      <protection/>
    </xf>
    <xf numFmtId="0" fontId="3" fillId="0" borderId="28"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3"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3" xfId="60" applyFont="1" applyFill="1" applyBorder="1" applyAlignment="1">
      <alignment horizontal="right" vertical="top"/>
      <protection/>
    </xf>
    <xf numFmtId="0" fontId="3" fillId="0" borderId="34" xfId="60" applyFont="1" applyBorder="1" applyAlignment="1">
      <alignment horizontal="distributed" vertical="center"/>
      <protection/>
    </xf>
    <xf numFmtId="0" fontId="3" fillId="0" borderId="35" xfId="60" applyFont="1" applyBorder="1" applyAlignment="1">
      <alignment horizontal="right" vertical="center"/>
      <protection/>
    </xf>
    <xf numFmtId="3" fontId="3" fillId="0" borderId="35" xfId="60" applyNumberFormat="1" applyFont="1" applyBorder="1" applyAlignment="1">
      <alignment horizontal="right" vertical="center"/>
      <protection/>
    </xf>
    <xf numFmtId="0" fontId="3" fillId="0" borderId="36" xfId="60" applyFont="1" applyBorder="1" applyAlignment="1">
      <alignment horizontal="distributed" vertical="center"/>
      <protection/>
    </xf>
    <xf numFmtId="0" fontId="8" fillId="0" borderId="36" xfId="60" applyFont="1" applyBorder="1" applyAlignment="1">
      <alignment horizontal="distributed" vertical="center"/>
      <protection/>
    </xf>
    <xf numFmtId="0" fontId="8" fillId="0" borderId="35" xfId="60" applyFont="1" applyBorder="1" applyAlignment="1">
      <alignment horizontal="right" vertical="center"/>
      <protection/>
    </xf>
    <xf numFmtId="0" fontId="8" fillId="0" borderId="0" xfId="60" applyFont="1" applyAlignment="1">
      <alignment horizontal="left" vertical="top"/>
      <protection/>
    </xf>
    <xf numFmtId="0" fontId="3" fillId="0" borderId="37" xfId="60" applyFont="1" applyBorder="1" applyAlignment="1">
      <alignment horizontal="distributed" vertical="center"/>
      <protection/>
    </xf>
    <xf numFmtId="0" fontId="3" fillId="0" borderId="38"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0" borderId="11" xfId="60" applyNumberFormat="1" applyFont="1" applyBorder="1" applyAlignment="1">
      <alignment horizontal="center" vertical="center"/>
      <protection/>
    </xf>
    <xf numFmtId="0" fontId="3" fillId="0" borderId="36" xfId="60" applyFont="1" applyBorder="1" applyAlignment="1">
      <alignment horizontal="distributed" vertical="center" wrapText="1"/>
      <protection/>
    </xf>
    <xf numFmtId="0" fontId="3" fillId="0" borderId="35" xfId="60" applyFont="1" applyBorder="1" applyAlignment="1">
      <alignment horizontal="center" vertical="center"/>
      <protection/>
    </xf>
    <xf numFmtId="3" fontId="3" fillId="0" borderId="35" xfId="60" applyNumberFormat="1" applyFont="1" applyBorder="1" applyAlignment="1">
      <alignment horizontal="center" vertical="center"/>
      <protection/>
    </xf>
    <xf numFmtId="0" fontId="8" fillId="0" borderId="39" xfId="60" applyFont="1" applyBorder="1" applyAlignment="1">
      <alignment horizontal="right" vertical="center"/>
      <protection/>
    </xf>
    <xf numFmtId="0" fontId="3" fillId="0" borderId="40" xfId="60" applyFont="1" applyBorder="1" applyAlignment="1">
      <alignment horizontal="right" vertical="center"/>
      <protection/>
    </xf>
    <xf numFmtId="3" fontId="3" fillId="0" borderId="40" xfId="60" applyNumberFormat="1" applyFont="1" applyBorder="1" applyAlignment="1">
      <alignment horizontal="right" vertical="center"/>
      <protection/>
    </xf>
    <xf numFmtId="0" fontId="3" fillId="0" borderId="41" xfId="60" applyFont="1" applyBorder="1" applyAlignment="1">
      <alignment horizontal="right" vertical="top" wrapText="1"/>
      <protection/>
    </xf>
    <xf numFmtId="0" fontId="3" fillId="0" borderId="0" xfId="60" applyFont="1" applyAlignment="1" quotePrefix="1">
      <alignment horizontal="left" vertical="top"/>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3" xfId="60" applyFont="1" applyFill="1" applyBorder="1" applyAlignment="1">
      <alignment horizontal="right"/>
      <protection/>
    </xf>
    <xf numFmtId="0" fontId="3" fillId="0" borderId="0" xfId="60" applyFont="1" applyAlignment="1">
      <alignment horizontal="left"/>
      <protection/>
    </xf>
    <xf numFmtId="0" fontId="3" fillId="0" borderId="0" xfId="60" applyFont="1" applyBorder="1" applyAlignment="1">
      <alignment horizontal="left" vertical="top"/>
      <protection/>
    </xf>
    <xf numFmtId="0" fontId="3" fillId="0" borderId="38" xfId="60" applyFont="1" applyBorder="1" applyAlignment="1">
      <alignment horizontal="distributed" vertical="center"/>
      <protection/>
    </xf>
    <xf numFmtId="0" fontId="3" fillId="0" borderId="44"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45" xfId="60" applyFont="1" applyBorder="1" applyAlignment="1">
      <alignment horizontal="distributed" vertical="center"/>
      <protection/>
    </xf>
    <xf numFmtId="0" fontId="3" fillId="0" borderId="46" xfId="60" applyFont="1" applyBorder="1" applyAlignment="1">
      <alignment horizontal="distributed" vertical="center"/>
      <protection/>
    </xf>
    <xf numFmtId="0" fontId="3" fillId="0" borderId="47" xfId="60" applyFont="1" applyBorder="1" applyAlignment="1">
      <alignment horizontal="center" vertical="center"/>
      <protection/>
    </xf>
    <xf numFmtId="0" fontId="3" fillId="0" borderId="48" xfId="60" applyFont="1" applyBorder="1" applyAlignment="1">
      <alignment horizontal="distributed" vertical="center" indent="1"/>
      <protection/>
    </xf>
    <xf numFmtId="0" fontId="5" fillId="34" borderId="49" xfId="60" applyFont="1" applyFill="1" applyBorder="1" applyAlignment="1">
      <alignment horizontal="right"/>
      <protection/>
    </xf>
    <xf numFmtId="0" fontId="5" fillId="34" borderId="50" xfId="60" applyFont="1" applyFill="1" applyBorder="1" applyAlignment="1">
      <alignment horizontal="right"/>
      <protection/>
    </xf>
    <xf numFmtId="0" fontId="5" fillId="34" borderId="51" xfId="60" applyFont="1" applyFill="1" applyBorder="1" applyAlignment="1">
      <alignment horizontal="right"/>
      <protection/>
    </xf>
    <xf numFmtId="0" fontId="5" fillId="34" borderId="14" xfId="60" applyFont="1" applyFill="1" applyBorder="1" applyAlignment="1">
      <alignment horizontal="right"/>
      <protection/>
    </xf>
    <xf numFmtId="3" fontId="3" fillId="34" borderId="52" xfId="60" applyNumberFormat="1" applyFont="1" applyFill="1" applyBorder="1" applyAlignment="1">
      <alignment horizontal="right" vertical="center" indent="1"/>
      <protection/>
    </xf>
    <xf numFmtId="3" fontId="3" fillId="34" borderId="53" xfId="60" applyNumberFormat="1" applyFont="1" applyFill="1" applyBorder="1" applyAlignment="1">
      <alignment horizontal="right" vertical="center" indent="1"/>
      <protection/>
    </xf>
    <xf numFmtId="3" fontId="3" fillId="34" borderId="54" xfId="60" applyNumberFormat="1" applyFont="1" applyFill="1" applyBorder="1" applyAlignment="1">
      <alignment horizontal="right" vertical="center" indent="1"/>
      <protection/>
    </xf>
    <xf numFmtId="3" fontId="3" fillId="34" borderId="24" xfId="60" applyNumberFormat="1" applyFont="1" applyFill="1" applyBorder="1" applyAlignment="1">
      <alignment horizontal="right" vertical="center" indent="1"/>
      <protection/>
    </xf>
    <xf numFmtId="3" fontId="3" fillId="0" borderId="0" xfId="60" applyNumberFormat="1" applyFont="1" applyAlignment="1">
      <alignment horizontal="left" vertical="center"/>
      <protection/>
    </xf>
    <xf numFmtId="0" fontId="8" fillId="36" borderId="55" xfId="60" applyFont="1" applyFill="1" applyBorder="1" applyAlignment="1">
      <alignment horizontal="distributed" vertical="center"/>
      <protection/>
    </xf>
    <xf numFmtId="0" fontId="10" fillId="0" borderId="56" xfId="60" applyFont="1" applyFill="1" applyBorder="1" applyAlignment="1">
      <alignment horizontal="center" vertical="center"/>
      <protection/>
    </xf>
    <xf numFmtId="0" fontId="8" fillId="36" borderId="57" xfId="60" applyFont="1" applyFill="1" applyBorder="1" applyAlignment="1">
      <alignment horizontal="distributed" vertical="center"/>
      <protection/>
    </xf>
    <xf numFmtId="0" fontId="8" fillId="36" borderId="58" xfId="60" applyFont="1" applyFill="1" applyBorder="1" applyAlignment="1">
      <alignment horizontal="distributed" vertical="center"/>
      <protection/>
    </xf>
    <xf numFmtId="0" fontId="10" fillId="0" borderId="59" xfId="60" applyFont="1" applyFill="1" applyBorder="1" applyAlignment="1">
      <alignment horizontal="distributed" vertical="center"/>
      <protection/>
    </xf>
    <xf numFmtId="0" fontId="10" fillId="0" borderId="60" xfId="60" applyFont="1" applyFill="1" applyBorder="1" applyAlignment="1">
      <alignment horizontal="center" vertical="center"/>
      <protection/>
    </xf>
    <xf numFmtId="0" fontId="3" fillId="36" borderId="61" xfId="60" applyFont="1" applyFill="1" applyBorder="1" applyAlignment="1">
      <alignment horizontal="distributed" vertical="center"/>
      <protection/>
    </xf>
    <xf numFmtId="0" fontId="3" fillId="36" borderId="62" xfId="60" applyFont="1" applyFill="1" applyBorder="1" applyAlignment="1">
      <alignment horizontal="distributed" vertical="center"/>
      <protection/>
    </xf>
    <xf numFmtId="0" fontId="10" fillId="0" borderId="63" xfId="60" applyFont="1" applyFill="1" applyBorder="1" applyAlignment="1">
      <alignment horizontal="distributed" vertical="center"/>
      <protection/>
    </xf>
    <xf numFmtId="0" fontId="10" fillId="0" borderId="64" xfId="60" applyFont="1" applyFill="1" applyBorder="1" applyAlignment="1">
      <alignment horizontal="center" vertical="center"/>
      <protection/>
    </xf>
    <xf numFmtId="0" fontId="10" fillId="0" borderId="65" xfId="60" applyFont="1" applyFill="1" applyBorder="1" applyAlignment="1">
      <alignment horizontal="distributed" vertical="center"/>
      <protection/>
    </xf>
    <xf numFmtId="0" fontId="10" fillId="0" borderId="66" xfId="60" applyFont="1" applyFill="1" applyBorder="1" applyAlignment="1">
      <alignment horizontal="center" vertical="center"/>
      <protection/>
    </xf>
    <xf numFmtId="41" fontId="3" fillId="34" borderId="67" xfId="60" applyNumberFormat="1" applyFont="1" applyFill="1" applyBorder="1" applyAlignment="1">
      <alignment horizontal="right" vertical="center"/>
      <protection/>
    </xf>
    <xf numFmtId="41" fontId="3" fillId="35" borderId="34" xfId="60" applyNumberFormat="1" applyFont="1" applyFill="1" applyBorder="1" applyAlignment="1">
      <alignment horizontal="right" vertical="center"/>
      <protection/>
    </xf>
    <xf numFmtId="41" fontId="3" fillId="34" borderId="68" xfId="60" applyNumberFormat="1" applyFont="1" applyFill="1" applyBorder="1" applyAlignment="1">
      <alignment horizontal="right" vertical="center"/>
      <protection/>
    </xf>
    <xf numFmtId="41" fontId="3" fillId="35" borderId="36" xfId="60" applyNumberFormat="1" applyFont="1" applyFill="1" applyBorder="1" applyAlignment="1">
      <alignment horizontal="right" vertical="center"/>
      <protection/>
    </xf>
    <xf numFmtId="41" fontId="8" fillId="34" borderId="68" xfId="60" applyNumberFormat="1" applyFont="1" applyFill="1" applyBorder="1" applyAlignment="1">
      <alignment horizontal="right" vertical="center"/>
      <protection/>
    </xf>
    <xf numFmtId="41" fontId="8" fillId="35" borderId="36" xfId="60" applyNumberFormat="1" applyFont="1" applyFill="1" applyBorder="1" applyAlignment="1">
      <alignment horizontal="right" vertical="center"/>
      <protection/>
    </xf>
    <xf numFmtId="41" fontId="3" fillId="34" borderId="69" xfId="60" applyNumberFormat="1" applyFont="1" applyFill="1" applyBorder="1" applyAlignment="1">
      <alignment horizontal="right" vertical="center"/>
      <protection/>
    </xf>
    <xf numFmtId="41" fontId="3" fillId="35" borderId="70" xfId="60" applyNumberFormat="1" applyFont="1" applyFill="1" applyBorder="1" applyAlignment="1">
      <alignment horizontal="right" vertical="center"/>
      <protection/>
    </xf>
    <xf numFmtId="41" fontId="3" fillId="34" borderId="71" xfId="60" applyNumberFormat="1" applyFont="1" applyFill="1" applyBorder="1" applyAlignment="1">
      <alignment horizontal="right" vertical="center"/>
      <protection/>
    </xf>
    <xf numFmtId="41" fontId="3" fillId="35" borderId="38" xfId="60" applyNumberFormat="1" applyFont="1" applyFill="1" applyBorder="1" applyAlignment="1">
      <alignment horizontal="right" vertical="center"/>
      <protection/>
    </xf>
    <xf numFmtId="41" fontId="8" fillId="34" borderId="72" xfId="60" applyNumberFormat="1" applyFont="1" applyFill="1" applyBorder="1" applyAlignment="1">
      <alignment horizontal="right" vertical="center"/>
      <protection/>
    </xf>
    <xf numFmtId="41" fontId="8" fillId="35" borderId="73" xfId="60" applyNumberFormat="1" applyFont="1" applyFill="1" applyBorder="1" applyAlignment="1">
      <alignment horizontal="right" vertical="center"/>
      <protection/>
    </xf>
    <xf numFmtId="41" fontId="3" fillId="34" borderId="74" xfId="60" applyNumberFormat="1" applyFont="1" applyFill="1" applyBorder="1" applyAlignment="1">
      <alignment horizontal="right" vertical="center"/>
      <protection/>
    </xf>
    <xf numFmtId="41" fontId="3" fillId="35" borderId="75" xfId="60" applyNumberFormat="1" applyFont="1" applyFill="1" applyBorder="1" applyAlignment="1">
      <alignment horizontal="right" vertical="center"/>
      <protection/>
    </xf>
    <xf numFmtId="41" fontId="3" fillId="34" borderId="71" xfId="60" applyNumberFormat="1" applyFont="1" applyFill="1" applyBorder="1" applyAlignment="1">
      <alignment vertical="center"/>
      <protection/>
    </xf>
    <xf numFmtId="41" fontId="3" fillId="34" borderId="68" xfId="60" applyNumberFormat="1" applyFont="1" applyFill="1" applyBorder="1" applyAlignment="1">
      <alignment vertical="center"/>
      <protection/>
    </xf>
    <xf numFmtId="41" fontId="3" fillId="35" borderId="76" xfId="60" applyNumberFormat="1" applyFont="1" applyFill="1" applyBorder="1" applyAlignment="1">
      <alignment horizontal="right" vertical="center"/>
      <protection/>
    </xf>
    <xf numFmtId="41" fontId="3" fillId="35" borderId="77" xfId="60" applyNumberFormat="1" applyFont="1" applyFill="1" applyBorder="1" applyAlignment="1">
      <alignment horizontal="right" vertical="center"/>
      <protection/>
    </xf>
    <xf numFmtId="41" fontId="8" fillId="35" borderId="77" xfId="60" applyNumberFormat="1" applyFont="1" applyFill="1" applyBorder="1" applyAlignment="1">
      <alignment horizontal="right" vertical="center"/>
      <protection/>
    </xf>
    <xf numFmtId="41" fontId="3" fillId="35" borderId="78" xfId="60" applyNumberFormat="1" applyFont="1" applyFill="1" applyBorder="1" applyAlignment="1">
      <alignment horizontal="right" vertical="center"/>
      <protection/>
    </xf>
    <xf numFmtId="41" fontId="3" fillId="35" borderId="79" xfId="60" applyNumberFormat="1" applyFont="1" applyFill="1" applyBorder="1" applyAlignment="1">
      <alignment horizontal="right" vertical="center"/>
      <protection/>
    </xf>
    <xf numFmtId="41" fontId="8" fillId="35" borderId="80" xfId="60" applyNumberFormat="1" applyFont="1" applyFill="1" applyBorder="1" applyAlignment="1">
      <alignment horizontal="right" vertical="center"/>
      <protection/>
    </xf>
    <xf numFmtId="41" fontId="3" fillId="35" borderId="81" xfId="60" applyNumberFormat="1" applyFont="1" applyFill="1" applyBorder="1" applyAlignment="1">
      <alignment horizontal="right" vertical="center"/>
      <protection/>
    </xf>
    <xf numFmtId="41" fontId="3" fillId="34" borderId="82" xfId="60" applyNumberFormat="1" applyFont="1" applyFill="1" applyBorder="1" applyAlignment="1">
      <alignment horizontal="right" vertical="center"/>
      <protection/>
    </xf>
    <xf numFmtId="41" fontId="3" fillId="34" borderId="83" xfId="60" applyNumberFormat="1" applyFont="1" applyFill="1" applyBorder="1" applyAlignment="1">
      <alignment horizontal="right" vertical="center"/>
      <protection/>
    </xf>
    <xf numFmtId="41" fontId="3" fillId="35" borderId="37" xfId="60" applyNumberFormat="1" applyFont="1" applyFill="1" applyBorder="1" applyAlignment="1">
      <alignment horizontal="right" vertical="center"/>
      <protection/>
    </xf>
    <xf numFmtId="41" fontId="3" fillId="35" borderId="84" xfId="60" applyNumberFormat="1" applyFont="1" applyFill="1" applyBorder="1" applyAlignment="1">
      <alignment horizontal="right" vertical="center"/>
      <protection/>
    </xf>
    <xf numFmtId="41" fontId="3" fillId="34" borderId="85" xfId="60" applyNumberFormat="1" applyFont="1" applyFill="1" applyBorder="1" applyAlignment="1">
      <alignment horizontal="right" vertical="center"/>
      <protection/>
    </xf>
    <xf numFmtId="41" fontId="3" fillId="34" borderId="86" xfId="60" applyNumberFormat="1" applyFont="1" applyFill="1" applyBorder="1" applyAlignment="1">
      <alignment horizontal="right" vertical="center"/>
      <protection/>
    </xf>
    <xf numFmtId="41" fontId="3" fillId="35" borderId="44" xfId="60" applyNumberFormat="1" applyFont="1" applyFill="1" applyBorder="1" applyAlignment="1">
      <alignment horizontal="right" vertical="center"/>
      <protection/>
    </xf>
    <xf numFmtId="41" fontId="3" fillId="35" borderId="87" xfId="60" applyNumberFormat="1" applyFont="1" applyFill="1" applyBorder="1" applyAlignment="1">
      <alignment horizontal="right" vertical="center"/>
      <protection/>
    </xf>
    <xf numFmtId="41" fontId="3" fillId="35" borderId="88" xfId="60" applyNumberFormat="1" applyFont="1" applyFill="1" applyBorder="1" applyAlignment="1">
      <alignment horizontal="right" vertical="center"/>
      <protection/>
    </xf>
    <xf numFmtId="41" fontId="3" fillId="34" borderId="89" xfId="60" applyNumberFormat="1" applyFont="1" applyFill="1" applyBorder="1" applyAlignment="1">
      <alignment horizontal="right" vertical="center"/>
      <protection/>
    </xf>
    <xf numFmtId="41" fontId="3" fillId="35" borderId="90" xfId="60" applyNumberFormat="1" applyFont="1" applyFill="1" applyBorder="1" applyAlignment="1">
      <alignment horizontal="right" vertical="center"/>
      <protection/>
    </xf>
    <xf numFmtId="41" fontId="8" fillId="34" borderId="91" xfId="60" applyNumberFormat="1" applyFont="1" applyFill="1" applyBorder="1" applyAlignment="1">
      <alignment horizontal="right" vertical="center"/>
      <protection/>
    </xf>
    <xf numFmtId="41" fontId="8" fillId="35" borderId="92" xfId="60" applyNumberFormat="1" applyFont="1" applyFill="1" applyBorder="1" applyAlignment="1">
      <alignment horizontal="right" vertical="center"/>
      <protection/>
    </xf>
    <xf numFmtId="41" fontId="8" fillId="35" borderId="93" xfId="60" applyNumberFormat="1" applyFont="1" applyFill="1" applyBorder="1" applyAlignment="1">
      <alignment horizontal="right" vertical="center"/>
      <protection/>
    </xf>
    <xf numFmtId="41" fontId="10" fillId="0" borderId="94" xfId="60" applyNumberFormat="1" applyFont="1" applyFill="1" applyBorder="1" applyAlignment="1">
      <alignment horizontal="right" vertical="center"/>
      <protection/>
    </xf>
    <xf numFmtId="41" fontId="10" fillId="0" borderId="95" xfId="60" applyNumberFormat="1" applyFont="1" applyFill="1" applyBorder="1" applyAlignment="1">
      <alignment horizontal="right" vertical="center"/>
      <protection/>
    </xf>
    <xf numFmtId="41" fontId="10" fillId="0" borderId="96" xfId="60" applyNumberFormat="1" applyFont="1" applyFill="1" applyBorder="1" applyAlignment="1">
      <alignment horizontal="right" vertical="center"/>
      <protection/>
    </xf>
    <xf numFmtId="41" fontId="10" fillId="0" borderId="97" xfId="60" applyNumberFormat="1" applyFont="1" applyFill="1" applyBorder="1" applyAlignment="1">
      <alignment horizontal="right" vertical="center"/>
      <protection/>
    </xf>
    <xf numFmtId="41" fontId="10" fillId="0" borderId="98" xfId="60" applyNumberFormat="1" applyFont="1" applyFill="1" applyBorder="1" applyAlignment="1">
      <alignment horizontal="right" vertical="center"/>
      <protection/>
    </xf>
    <xf numFmtId="41" fontId="10" fillId="0" borderId="99" xfId="60" applyNumberFormat="1" applyFont="1" applyFill="1" applyBorder="1" applyAlignment="1">
      <alignment horizontal="right" vertical="center"/>
      <protection/>
    </xf>
    <xf numFmtId="41" fontId="3" fillId="0" borderId="100" xfId="60" applyNumberFormat="1" applyFont="1" applyFill="1" applyBorder="1" applyAlignment="1">
      <alignment horizontal="right" vertical="center"/>
      <protection/>
    </xf>
    <xf numFmtId="41" fontId="3" fillId="0" borderId="101" xfId="60" applyNumberFormat="1" applyFont="1" applyFill="1" applyBorder="1" applyAlignment="1">
      <alignment horizontal="right" vertical="center"/>
      <protection/>
    </xf>
    <xf numFmtId="41" fontId="3" fillId="0" borderId="102" xfId="60" applyNumberFormat="1" applyFont="1" applyFill="1" applyBorder="1" applyAlignment="1">
      <alignment horizontal="right" vertical="center"/>
      <protection/>
    </xf>
    <xf numFmtId="41" fontId="8" fillId="34" borderId="40" xfId="60" applyNumberFormat="1" applyFont="1" applyFill="1" applyBorder="1" applyAlignment="1">
      <alignment horizontal="right" vertical="center"/>
      <protection/>
    </xf>
    <xf numFmtId="41" fontId="8" fillId="35" borderId="75" xfId="60" applyNumberFormat="1" applyFont="1" applyFill="1" applyBorder="1" applyAlignment="1">
      <alignment horizontal="right" vertical="center"/>
      <protection/>
    </xf>
    <xf numFmtId="41" fontId="8" fillId="35" borderId="103" xfId="60" applyNumberFormat="1" applyFont="1" applyFill="1" applyBorder="1" applyAlignment="1">
      <alignment horizontal="right" vertical="center"/>
      <protection/>
    </xf>
    <xf numFmtId="41" fontId="3" fillId="34" borderId="88" xfId="60" applyNumberFormat="1" applyFont="1" applyFill="1" applyBorder="1" applyAlignment="1">
      <alignment horizontal="right" vertical="center"/>
      <protection/>
    </xf>
    <xf numFmtId="41" fontId="8" fillId="34" borderId="104" xfId="60" applyNumberFormat="1" applyFont="1" applyFill="1" applyBorder="1" applyAlignment="1">
      <alignment horizontal="right" vertical="center"/>
      <protection/>
    </xf>
    <xf numFmtId="41" fontId="8" fillId="35" borderId="105" xfId="60" applyNumberFormat="1" applyFont="1" applyFill="1" applyBorder="1" applyAlignment="1">
      <alignment horizontal="right" vertical="center"/>
      <protection/>
    </xf>
    <xf numFmtId="41" fontId="8" fillId="35" borderId="106" xfId="60" applyNumberFormat="1" applyFont="1" applyFill="1" applyBorder="1" applyAlignment="1">
      <alignment horizontal="right" vertical="center"/>
      <protection/>
    </xf>
    <xf numFmtId="41" fontId="8" fillId="34" borderId="107" xfId="60" applyNumberFormat="1" applyFont="1" applyFill="1" applyBorder="1" applyAlignment="1">
      <alignment horizontal="right" vertical="center"/>
      <protection/>
    </xf>
    <xf numFmtId="41" fontId="8" fillId="34" borderId="106" xfId="60" applyNumberFormat="1" applyFont="1" applyFill="1" applyBorder="1" applyAlignment="1">
      <alignment horizontal="right" vertical="center"/>
      <protection/>
    </xf>
    <xf numFmtId="41" fontId="10" fillId="0" borderId="108" xfId="60" applyNumberFormat="1" applyFont="1" applyFill="1" applyBorder="1" applyAlignment="1">
      <alignment horizontal="right" vertical="center"/>
      <protection/>
    </xf>
    <xf numFmtId="41" fontId="10" fillId="0" borderId="109" xfId="60" applyNumberFormat="1" applyFont="1" applyFill="1" applyBorder="1" applyAlignment="1">
      <alignment horizontal="right" vertical="center"/>
      <protection/>
    </xf>
    <xf numFmtId="41" fontId="10" fillId="0" borderId="35" xfId="60" applyNumberFormat="1" applyFont="1" applyFill="1" applyBorder="1" applyAlignment="1">
      <alignment horizontal="right" vertical="center"/>
      <protection/>
    </xf>
    <xf numFmtId="41" fontId="3" fillId="0" borderId="35" xfId="60" applyNumberFormat="1" applyFont="1" applyFill="1" applyBorder="1" applyAlignment="1">
      <alignment horizontal="right" vertical="center"/>
      <protection/>
    </xf>
    <xf numFmtId="41" fontId="3" fillId="0" borderId="110" xfId="60" applyNumberFormat="1" applyFont="1" applyFill="1" applyBorder="1" applyAlignment="1">
      <alignment horizontal="right" vertical="center"/>
      <protection/>
    </xf>
    <xf numFmtId="41" fontId="3" fillId="0" borderId="111" xfId="60" applyNumberFormat="1" applyFont="1" applyFill="1" applyBorder="1" applyAlignment="1">
      <alignment horizontal="right" vertical="center"/>
      <protection/>
    </xf>
    <xf numFmtId="41" fontId="3" fillId="34" borderId="112" xfId="60" applyNumberFormat="1" applyFont="1" applyFill="1" applyBorder="1" applyAlignment="1">
      <alignment horizontal="right" vertical="center"/>
      <protection/>
    </xf>
    <xf numFmtId="41" fontId="3" fillId="35" borderId="113" xfId="60" applyNumberFormat="1" applyFont="1" applyFill="1" applyBorder="1" applyAlignment="1">
      <alignment horizontal="right" vertical="center"/>
      <protection/>
    </xf>
    <xf numFmtId="41" fontId="3" fillId="35" borderId="114" xfId="60" applyNumberFormat="1" applyFont="1" applyFill="1" applyBorder="1" applyAlignment="1">
      <alignment horizontal="right" vertical="center"/>
      <protection/>
    </xf>
    <xf numFmtId="41" fontId="3" fillId="34" borderId="115" xfId="60" applyNumberFormat="1" applyFont="1" applyFill="1" applyBorder="1" applyAlignment="1">
      <alignment horizontal="right" vertical="center"/>
      <protection/>
    </xf>
    <xf numFmtId="41" fontId="3" fillId="34" borderId="114" xfId="60" applyNumberFormat="1" applyFont="1" applyFill="1" applyBorder="1" applyAlignment="1">
      <alignment horizontal="right" vertical="center"/>
      <protection/>
    </xf>
    <xf numFmtId="41" fontId="10" fillId="0" borderId="116" xfId="60" applyNumberFormat="1" applyFont="1" applyFill="1" applyBorder="1" applyAlignment="1">
      <alignment horizontal="right" vertical="center"/>
      <protection/>
    </xf>
    <xf numFmtId="41" fontId="10" fillId="0" borderId="117" xfId="60" applyNumberFormat="1" applyFont="1" applyFill="1" applyBorder="1" applyAlignment="1">
      <alignment horizontal="right" vertical="center"/>
      <protection/>
    </xf>
    <xf numFmtId="41" fontId="10" fillId="0" borderId="118" xfId="60" applyNumberFormat="1" applyFont="1" applyFill="1" applyBorder="1" applyAlignment="1">
      <alignment horizontal="right" vertical="center"/>
      <protection/>
    </xf>
    <xf numFmtId="41" fontId="3" fillId="0" borderId="118" xfId="60" applyNumberFormat="1" applyFont="1" applyFill="1" applyBorder="1" applyAlignment="1">
      <alignment horizontal="right" vertical="center"/>
      <protection/>
    </xf>
    <xf numFmtId="41" fontId="3" fillId="0" borderId="119" xfId="60" applyNumberFormat="1" applyFont="1" applyFill="1" applyBorder="1" applyAlignment="1">
      <alignment horizontal="right" vertical="center"/>
      <protection/>
    </xf>
    <xf numFmtId="41" fontId="3" fillId="0" borderId="120" xfId="60" applyNumberFormat="1" applyFont="1" applyFill="1" applyBorder="1" applyAlignment="1">
      <alignment horizontal="right" vertical="center"/>
      <protection/>
    </xf>
    <xf numFmtId="41" fontId="3" fillId="0" borderId="121" xfId="60" applyNumberFormat="1" applyFont="1" applyFill="1" applyBorder="1" applyAlignment="1">
      <alignment horizontal="right" vertical="center"/>
      <protection/>
    </xf>
    <xf numFmtId="41" fontId="3" fillId="0" borderId="122" xfId="60" applyNumberFormat="1" applyFont="1" applyFill="1" applyBorder="1" applyAlignment="1">
      <alignment horizontal="right" vertical="center"/>
      <protection/>
    </xf>
    <xf numFmtId="41" fontId="3" fillId="0" borderId="123" xfId="60" applyNumberFormat="1" applyFont="1" applyFill="1" applyBorder="1" applyAlignment="1">
      <alignment horizontal="right" vertical="center"/>
      <protection/>
    </xf>
    <xf numFmtId="41" fontId="3" fillId="0" borderId="124" xfId="60" applyNumberFormat="1" applyFont="1" applyFill="1" applyBorder="1" applyAlignment="1">
      <alignment horizontal="right" vertical="center"/>
      <protection/>
    </xf>
    <xf numFmtId="41" fontId="3" fillId="0" borderId="125" xfId="60" applyNumberFormat="1" applyFont="1" applyFill="1" applyBorder="1" applyAlignment="1">
      <alignment horizontal="right" vertical="center"/>
      <protection/>
    </xf>
    <xf numFmtId="41" fontId="3" fillId="0" borderId="126" xfId="60" applyNumberFormat="1" applyFont="1" applyFill="1" applyBorder="1" applyAlignment="1">
      <alignment horizontal="right" vertical="center"/>
      <protection/>
    </xf>
    <xf numFmtId="41" fontId="8" fillId="34" borderId="127" xfId="60" applyNumberFormat="1" applyFont="1" applyFill="1" applyBorder="1" applyAlignment="1">
      <alignment horizontal="right" vertical="center"/>
      <protection/>
    </xf>
    <xf numFmtId="41" fontId="8" fillId="34" borderId="128" xfId="60" applyNumberFormat="1" applyFont="1" applyFill="1" applyBorder="1" applyAlignment="1">
      <alignment horizontal="right" vertical="center"/>
      <protection/>
    </xf>
    <xf numFmtId="41" fontId="8" fillId="34" borderId="129" xfId="60" applyNumberFormat="1" applyFont="1" applyFill="1" applyBorder="1" applyAlignment="1">
      <alignment horizontal="right" vertical="center"/>
      <protection/>
    </xf>
    <xf numFmtId="177" fontId="3" fillId="35" borderId="88" xfId="60" applyNumberFormat="1" applyFont="1" applyFill="1" applyBorder="1" applyAlignment="1">
      <alignment horizontal="right" vertical="center"/>
      <protection/>
    </xf>
    <xf numFmtId="177" fontId="3" fillId="35" borderId="90" xfId="60" applyNumberFormat="1" applyFont="1" applyFill="1" applyBorder="1" applyAlignment="1">
      <alignment horizontal="right" vertical="center"/>
      <protection/>
    </xf>
    <xf numFmtId="177" fontId="8" fillId="35" borderId="93" xfId="60" applyNumberFormat="1" applyFont="1" applyFill="1" applyBorder="1" applyAlignment="1">
      <alignment horizontal="right" vertical="center"/>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30" xfId="60" applyFont="1" applyBorder="1" applyAlignment="1">
      <alignment horizontal="center" vertical="center"/>
      <protection/>
    </xf>
    <xf numFmtId="0" fontId="3" fillId="0" borderId="131" xfId="60" applyFont="1" applyBorder="1" applyAlignment="1">
      <alignment horizontal="center" vertical="center"/>
      <protection/>
    </xf>
    <xf numFmtId="0" fontId="3" fillId="0" borderId="59" xfId="60" applyFont="1" applyBorder="1" applyAlignment="1">
      <alignment horizontal="center" vertical="center"/>
      <protection/>
    </xf>
    <xf numFmtId="0" fontId="3" fillId="0" borderId="132" xfId="60" applyFont="1" applyBorder="1" applyAlignment="1">
      <alignment horizontal="center" vertical="center"/>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3" fillId="0" borderId="135" xfId="60" applyFont="1" applyBorder="1" applyAlignment="1">
      <alignment horizontal="center" vertical="center"/>
      <protection/>
    </xf>
    <xf numFmtId="0" fontId="3" fillId="0" borderId="136"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137" xfId="60" applyFont="1" applyBorder="1" applyAlignment="1">
      <alignment horizontal="distributed" vertical="center" wrapText="1"/>
      <protection/>
    </xf>
    <xf numFmtId="0" fontId="3" fillId="0" borderId="137" xfId="60" applyFont="1" applyBorder="1" applyAlignment="1">
      <alignment horizontal="distributed" vertical="center"/>
      <protection/>
    </xf>
    <xf numFmtId="0" fontId="3" fillId="0" borderId="138" xfId="60" applyFont="1" applyBorder="1" applyAlignment="1">
      <alignment horizontal="distributed" vertical="center"/>
      <protection/>
    </xf>
    <xf numFmtId="0" fontId="3" fillId="0" borderId="139" xfId="60" applyFont="1" applyBorder="1" applyAlignment="1">
      <alignment horizontal="distributed" vertical="center" wrapText="1"/>
      <protection/>
    </xf>
    <xf numFmtId="0" fontId="3" fillId="0" borderId="140" xfId="60" applyFont="1" applyBorder="1" applyAlignment="1">
      <alignment horizontal="distributed" vertical="center"/>
      <protection/>
    </xf>
    <xf numFmtId="0" fontId="8" fillId="0" borderId="141" xfId="60" applyFont="1" applyBorder="1" applyAlignment="1">
      <alignment horizontal="distributed" vertical="center"/>
      <protection/>
    </xf>
    <xf numFmtId="0" fontId="8" fillId="0" borderId="142"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43" xfId="60" applyFont="1" applyBorder="1" applyAlignment="1">
      <alignment horizontal="distributed" vertical="center"/>
      <protection/>
    </xf>
    <xf numFmtId="0" fontId="3" fillId="0" borderId="41" xfId="60" applyFont="1" applyBorder="1" applyAlignment="1">
      <alignment horizontal="justify" vertical="top" wrapText="1"/>
      <protection/>
    </xf>
    <xf numFmtId="0" fontId="3" fillId="0" borderId="0" xfId="60" applyFont="1" applyAlignment="1">
      <alignment horizontal="justify" vertical="top" wrapText="1"/>
      <protection/>
    </xf>
    <xf numFmtId="0" fontId="3" fillId="0" borderId="139" xfId="60" applyFont="1" applyBorder="1" applyAlignment="1">
      <alignment horizontal="center" vertical="center"/>
      <protection/>
    </xf>
    <xf numFmtId="0" fontId="3" fillId="0" borderId="144" xfId="60" applyFont="1" applyBorder="1" applyAlignment="1">
      <alignment horizontal="center" vertical="center"/>
      <protection/>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41"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48" xfId="60" applyFont="1" applyBorder="1" applyAlignment="1">
      <alignment horizontal="center" vertical="center"/>
      <protection/>
    </xf>
    <xf numFmtId="0" fontId="3" fillId="0" borderId="149" xfId="60" applyFont="1" applyBorder="1" applyAlignment="1">
      <alignment horizontal="center" vertical="center"/>
      <protection/>
    </xf>
    <xf numFmtId="0" fontId="3" fillId="0" borderId="138" xfId="60" applyFont="1" applyBorder="1" applyAlignment="1">
      <alignment horizontal="center" vertical="center"/>
      <protection/>
    </xf>
    <xf numFmtId="0" fontId="3" fillId="0" borderId="41" xfId="60" applyFont="1" applyBorder="1" applyAlignment="1">
      <alignment horizontal="left" vertical="center"/>
      <protection/>
    </xf>
    <xf numFmtId="0" fontId="3" fillId="0" borderId="0" xfId="60" applyFont="1" applyAlignment="1">
      <alignment horizontal="left" vertical="center"/>
      <protection/>
    </xf>
    <xf numFmtId="0" fontId="3" fillId="0" borderId="150" xfId="60" applyFont="1" applyBorder="1" applyAlignment="1">
      <alignment horizontal="center" vertical="center"/>
      <protection/>
    </xf>
    <xf numFmtId="0" fontId="3" fillId="0" borderId="151" xfId="60" applyFont="1" applyBorder="1" applyAlignment="1">
      <alignment horizontal="center" vertical="center"/>
      <protection/>
    </xf>
    <xf numFmtId="0" fontId="3" fillId="0" borderId="152" xfId="60" applyFont="1" applyBorder="1" applyAlignment="1">
      <alignment horizontal="center" vertical="center"/>
      <protection/>
    </xf>
    <xf numFmtId="0" fontId="3" fillId="0" borderId="153" xfId="60" applyFont="1" applyBorder="1" applyAlignment="1">
      <alignment horizontal="center" vertical="center"/>
      <protection/>
    </xf>
    <xf numFmtId="0" fontId="3" fillId="0" borderId="130" xfId="60" applyFont="1" applyBorder="1" applyAlignment="1">
      <alignment horizontal="distributed" vertical="center"/>
      <protection/>
    </xf>
    <xf numFmtId="0" fontId="3" fillId="0" borderId="59" xfId="60" applyFont="1" applyBorder="1" applyAlignment="1">
      <alignment horizontal="distributed" vertical="center"/>
      <protection/>
    </xf>
    <xf numFmtId="0" fontId="3" fillId="0" borderId="154" xfId="60" applyFont="1" applyBorder="1" applyAlignment="1">
      <alignment horizontal="distributed" vertical="center"/>
      <protection/>
    </xf>
    <xf numFmtId="0" fontId="3" fillId="0" borderId="155" xfId="60" applyFont="1" applyBorder="1" applyAlignment="1">
      <alignment horizontal="center" vertical="center"/>
      <protection/>
    </xf>
    <xf numFmtId="0" fontId="3" fillId="0" borderId="48" xfId="60" applyFont="1" applyBorder="1" applyAlignment="1">
      <alignment horizontal="distributed" vertical="center" wrapText="1"/>
      <protection/>
    </xf>
    <xf numFmtId="0" fontId="3" fillId="0" borderId="60" xfId="60" applyFont="1" applyBorder="1" applyAlignment="1">
      <alignment horizontal="distributed" vertical="center" wrapText="1"/>
      <protection/>
    </xf>
    <xf numFmtId="0" fontId="3" fillId="0" borderId="156" xfId="60" applyFont="1" applyBorder="1" applyAlignment="1">
      <alignment horizontal="distributed" vertical="center" wrapText="1"/>
      <protection/>
    </xf>
    <xf numFmtId="0" fontId="3" fillId="0" borderId="157" xfId="60" applyFont="1" applyBorder="1" applyAlignment="1">
      <alignment horizontal="center" vertical="center"/>
      <protection/>
    </xf>
    <xf numFmtId="0" fontId="3" fillId="0" borderId="158" xfId="60" applyFont="1" applyBorder="1" applyAlignment="1">
      <alignment horizontal="center" vertical="center"/>
      <protection/>
    </xf>
    <xf numFmtId="0" fontId="3" fillId="0" borderId="150" xfId="60" applyFont="1" applyBorder="1" applyAlignment="1">
      <alignment horizontal="center" vertical="center" wrapText="1"/>
      <protection/>
    </xf>
    <xf numFmtId="0" fontId="3" fillId="0" borderId="159" xfId="60" applyFont="1" applyBorder="1" applyAlignment="1">
      <alignment horizontal="left" vertical="center"/>
      <protection/>
    </xf>
    <xf numFmtId="0" fontId="3" fillId="0" borderId="160" xfId="60" applyFont="1" applyBorder="1" applyAlignment="1">
      <alignment horizontal="distributed" vertical="center" wrapText="1"/>
      <protection/>
    </xf>
    <xf numFmtId="0" fontId="3" fillId="0" borderId="161" xfId="60" applyFont="1" applyBorder="1" applyAlignment="1">
      <alignment horizontal="distributed" vertical="center"/>
      <protection/>
    </xf>
    <xf numFmtId="0" fontId="3" fillId="0" borderId="162" xfId="60" applyFont="1" applyBorder="1" applyAlignment="1">
      <alignment horizontal="distributed" vertical="center" wrapText="1"/>
      <protection/>
    </xf>
    <xf numFmtId="0" fontId="3" fillId="0" borderId="163" xfId="60" applyFont="1" applyBorder="1" applyAlignment="1">
      <alignment horizontal="distributed" vertical="center"/>
      <protection/>
    </xf>
    <xf numFmtId="0" fontId="3" fillId="0" borderId="164" xfId="60" applyFont="1" applyBorder="1" applyAlignment="1">
      <alignment horizontal="distributed" vertical="center" wrapText="1"/>
      <protection/>
    </xf>
    <xf numFmtId="0" fontId="3" fillId="0" borderId="165" xfId="60" applyFont="1" applyBorder="1" applyAlignment="1">
      <alignment horizontal="distributed" vertical="center" wrapText="1"/>
      <protection/>
    </xf>
    <xf numFmtId="0" fontId="3" fillId="0" borderId="32" xfId="60" applyFont="1" applyBorder="1" applyAlignment="1">
      <alignment horizontal="center" vertical="center"/>
      <protection/>
    </xf>
    <xf numFmtId="0" fontId="3" fillId="0" borderId="155" xfId="60" applyFont="1" applyBorder="1" applyAlignment="1">
      <alignment horizontal="center" vertical="center" wrapText="1"/>
      <protection/>
    </xf>
    <xf numFmtId="0" fontId="3" fillId="0" borderId="166" xfId="60" applyFont="1" applyBorder="1" applyAlignment="1">
      <alignment horizontal="center" vertical="center"/>
      <protection/>
    </xf>
    <xf numFmtId="0" fontId="3" fillId="0" borderId="167"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9.421875" style="2" customWidth="1"/>
    <col min="5" max="5" width="12.421875" style="2" customWidth="1"/>
    <col min="6" max="6" width="3.00390625" style="2" customWidth="1"/>
    <col min="7" max="7" width="9.421875" style="2" customWidth="1"/>
    <col min="8" max="8" width="12.421875" style="2" customWidth="1"/>
    <col min="9" max="9" width="3.00390625" style="2" customWidth="1"/>
    <col min="10" max="10" width="9.421875" style="2" customWidth="1"/>
    <col min="11" max="11" width="12.421875" style="2" customWidth="1"/>
    <col min="12" max="16384" width="5.8515625" style="2" customWidth="1"/>
  </cols>
  <sheetData>
    <row r="1" spans="1:11" ht="15">
      <c r="A1" s="186" t="s">
        <v>207</v>
      </c>
      <c r="B1" s="186"/>
      <c r="C1" s="186"/>
      <c r="D1" s="186"/>
      <c r="E1" s="186"/>
      <c r="F1" s="186"/>
      <c r="G1" s="186"/>
      <c r="H1" s="186"/>
      <c r="I1" s="186"/>
      <c r="J1" s="186"/>
      <c r="K1" s="186"/>
    </row>
    <row r="2" spans="1:11" ht="15">
      <c r="A2" s="40"/>
      <c r="B2" s="40"/>
      <c r="C2" s="40"/>
      <c r="D2" s="40"/>
      <c r="E2" s="40"/>
      <c r="F2" s="40"/>
      <c r="G2" s="40"/>
      <c r="H2" s="40"/>
      <c r="I2" s="40"/>
      <c r="J2" s="40"/>
      <c r="K2" s="40"/>
    </row>
    <row r="3" spans="1:11" ht="12" thickBot="1">
      <c r="A3" s="187" t="s">
        <v>208</v>
      </c>
      <c r="B3" s="187"/>
      <c r="C3" s="187"/>
      <c r="D3" s="187"/>
      <c r="E3" s="187"/>
      <c r="F3" s="187"/>
      <c r="G3" s="187"/>
      <c r="H3" s="187"/>
      <c r="I3" s="187"/>
      <c r="J3" s="187"/>
      <c r="K3" s="187"/>
    </row>
    <row r="4" spans="1:11" ht="24" customHeight="1">
      <c r="A4" s="188" t="s">
        <v>209</v>
      </c>
      <c r="B4" s="189"/>
      <c r="C4" s="192" t="s">
        <v>210</v>
      </c>
      <c r="D4" s="193"/>
      <c r="E4" s="194"/>
      <c r="F4" s="192" t="s">
        <v>211</v>
      </c>
      <c r="G4" s="193"/>
      <c r="H4" s="194"/>
      <c r="I4" s="192" t="s">
        <v>212</v>
      </c>
      <c r="J4" s="193"/>
      <c r="K4" s="195"/>
    </row>
    <row r="5" spans="1:11" ht="24" customHeight="1">
      <c r="A5" s="190"/>
      <c r="B5" s="191"/>
      <c r="C5" s="196" t="s">
        <v>213</v>
      </c>
      <c r="D5" s="197"/>
      <c r="E5" s="41" t="s">
        <v>214</v>
      </c>
      <c r="F5" s="196" t="s">
        <v>213</v>
      </c>
      <c r="G5" s="197"/>
      <c r="H5" s="41" t="s">
        <v>214</v>
      </c>
      <c r="I5" s="196" t="s">
        <v>213</v>
      </c>
      <c r="J5" s="197"/>
      <c r="K5" s="42" t="s">
        <v>214</v>
      </c>
    </row>
    <row r="6" spans="1:11" ht="12" customHeight="1">
      <c r="A6" s="43"/>
      <c r="B6" s="44"/>
      <c r="C6" s="45"/>
      <c r="D6" s="31" t="s">
        <v>215</v>
      </c>
      <c r="E6" s="7" t="s">
        <v>216</v>
      </c>
      <c r="F6" s="45"/>
      <c r="G6" s="31" t="s">
        <v>215</v>
      </c>
      <c r="H6" s="7" t="s">
        <v>216</v>
      </c>
      <c r="I6" s="45"/>
      <c r="J6" s="31" t="s">
        <v>215</v>
      </c>
      <c r="K6" s="46" t="s">
        <v>216</v>
      </c>
    </row>
    <row r="7" spans="1:11" ht="30" customHeight="1">
      <c r="A7" s="198" t="s">
        <v>217</v>
      </c>
      <c r="B7" s="47" t="s">
        <v>218</v>
      </c>
      <c r="C7" s="48"/>
      <c r="D7" s="102">
        <v>26961</v>
      </c>
      <c r="E7" s="103">
        <v>9976346</v>
      </c>
      <c r="F7" s="49"/>
      <c r="G7" s="102">
        <v>72484</v>
      </c>
      <c r="H7" s="103">
        <v>324599128</v>
      </c>
      <c r="I7" s="49"/>
      <c r="J7" s="102">
        <v>99445</v>
      </c>
      <c r="K7" s="118">
        <v>334575474</v>
      </c>
    </row>
    <row r="8" spans="1:11" ht="30" customHeight="1">
      <c r="A8" s="199"/>
      <c r="B8" s="50" t="s">
        <v>219</v>
      </c>
      <c r="C8" s="48"/>
      <c r="D8" s="104">
        <v>49036</v>
      </c>
      <c r="E8" s="105">
        <v>12227466</v>
      </c>
      <c r="F8" s="49"/>
      <c r="G8" s="104">
        <v>34281</v>
      </c>
      <c r="H8" s="105">
        <v>14047873</v>
      </c>
      <c r="I8" s="49"/>
      <c r="J8" s="104">
        <v>83317</v>
      </c>
      <c r="K8" s="119">
        <v>26275339</v>
      </c>
    </row>
    <row r="9" spans="1:11" s="53" customFormat="1" ht="30" customHeight="1">
      <c r="A9" s="199"/>
      <c r="B9" s="51" t="s">
        <v>220</v>
      </c>
      <c r="C9" s="52"/>
      <c r="D9" s="106">
        <v>75997</v>
      </c>
      <c r="E9" s="107">
        <v>22203812</v>
      </c>
      <c r="F9" s="52"/>
      <c r="G9" s="106">
        <v>106765</v>
      </c>
      <c r="H9" s="107">
        <v>338647001</v>
      </c>
      <c r="I9" s="52"/>
      <c r="J9" s="106">
        <v>182762</v>
      </c>
      <c r="K9" s="120">
        <v>360850813</v>
      </c>
    </row>
    <row r="10" spans="1:11" ht="30" customHeight="1">
      <c r="A10" s="200"/>
      <c r="B10" s="54" t="s">
        <v>221</v>
      </c>
      <c r="C10" s="48"/>
      <c r="D10" s="108">
        <v>2661</v>
      </c>
      <c r="E10" s="109">
        <v>946015</v>
      </c>
      <c r="F10" s="48"/>
      <c r="G10" s="108">
        <v>4467</v>
      </c>
      <c r="H10" s="109">
        <v>24024924</v>
      </c>
      <c r="I10" s="48"/>
      <c r="J10" s="108">
        <v>7128</v>
      </c>
      <c r="K10" s="121">
        <v>24970939</v>
      </c>
    </row>
    <row r="11" spans="1:11" ht="30" customHeight="1">
      <c r="A11" s="201" t="s">
        <v>222</v>
      </c>
      <c r="B11" s="55" t="s">
        <v>223</v>
      </c>
      <c r="C11" s="56"/>
      <c r="D11" s="110">
        <v>4211</v>
      </c>
      <c r="E11" s="111">
        <v>815648</v>
      </c>
      <c r="F11" s="57"/>
      <c r="G11" s="116">
        <v>4096</v>
      </c>
      <c r="H11" s="111">
        <v>1333018</v>
      </c>
      <c r="I11" s="57"/>
      <c r="J11" s="116">
        <v>8307</v>
      </c>
      <c r="K11" s="122">
        <v>2148666</v>
      </c>
    </row>
    <row r="12" spans="1:11" ht="30" customHeight="1">
      <c r="A12" s="202"/>
      <c r="B12" s="58" t="s">
        <v>224</v>
      </c>
      <c r="C12" s="59"/>
      <c r="D12" s="104">
        <v>743</v>
      </c>
      <c r="E12" s="105">
        <v>103742</v>
      </c>
      <c r="F12" s="60"/>
      <c r="G12" s="117">
        <v>901</v>
      </c>
      <c r="H12" s="105">
        <v>963785</v>
      </c>
      <c r="I12" s="60"/>
      <c r="J12" s="117">
        <v>1644</v>
      </c>
      <c r="K12" s="119">
        <v>1067528</v>
      </c>
    </row>
    <row r="13" spans="1:11" s="53" customFormat="1" ht="30" customHeight="1">
      <c r="A13" s="203" t="s">
        <v>225</v>
      </c>
      <c r="B13" s="204"/>
      <c r="C13" s="61" t="s">
        <v>226</v>
      </c>
      <c r="D13" s="112">
        <v>81321</v>
      </c>
      <c r="E13" s="113">
        <v>21969702</v>
      </c>
      <c r="F13" s="61" t="s">
        <v>226</v>
      </c>
      <c r="G13" s="112">
        <v>112583</v>
      </c>
      <c r="H13" s="113">
        <v>314991310</v>
      </c>
      <c r="I13" s="61" t="s">
        <v>226</v>
      </c>
      <c r="J13" s="112">
        <v>193904</v>
      </c>
      <c r="K13" s="123">
        <v>336961012</v>
      </c>
    </row>
    <row r="14" spans="1:11" ht="30" customHeight="1" thickBot="1">
      <c r="A14" s="205" t="s">
        <v>227</v>
      </c>
      <c r="B14" s="206"/>
      <c r="C14" s="62"/>
      <c r="D14" s="114">
        <v>3805</v>
      </c>
      <c r="E14" s="115">
        <v>141474</v>
      </c>
      <c r="F14" s="63"/>
      <c r="G14" s="114">
        <v>3713</v>
      </c>
      <c r="H14" s="115">
        <v>195517</v>
      </c>
      <c r="I14" s="63"/>
      <c r="J14" s="114">
        <v>7518</v>
      </c>
      <c r="K14" s="124">
        <v>336991</v>
      </c>
    </row>
    <row r="15" spans="1:11" s="1" customFormat="1" ht="37.5" customHeight="1">
      <c r="A15" s="64" t="s">
        <v>228</v>
      </c>
      <c r="B15" s="207" t="s">
        <v>247</v>
      </c>
      <c r="C15" s="207"/>
      <c r="D15" s="207"/>
      <c r="E15" s="207"/>
      <c r="F15" s="207"/>
      <c r="G15" s="207"/>
      <c r="H15" s="207"/>
      <c r="I15" s="207"/>
      <c r="J15" s="207"/>
      <c r="K15" s="207"/>
    </row>
    <row r="16" spans="2:11" ht="45" customHeight="1">
      <c r="B16" s="208" t="s">
        <v>248</v>
      </c>
      <c r="C16" s="208"/>
      <c r="D16" s="208"/>
      <c r="E16" s="208"/>
      <c r="F16" s="208"/>
      <c r="G16" s="208"/>
      <c r="H16" s="208"/>
      <c r="I16" s="208"/>
      <c r="J16" s="208"/>
      <c r="K16" s="208"/>
    </row>
    <row r="17" ht="14.25" customHeight="1">
      <c r="A17" s="2" t="s">
        <v>243</v>
      </c>
    </row>
    <row r="18" ht="11.25">
      <c r="A18" s="65" t="s">
        <v>229</v>
      </c>
    </row>
  </sheetData>
  <sheetProtection/>
  <mergeCells count="15">
    <mergeCell ref="A7:A10"/>
    <mergeCell ref="A11:A12"/>
    <mergeCell ref="A13:B13"/>
    <mergeCell ref="A14:B14"/>
    <mergeCell ref="B15:K15"/>
    <mergeCell ref="B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scaleWithDoc="0">
    <oddFooter>&amp;R仙台国税局
消費税
(H24)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140625" defaultRowHeight="15"/>
  <cols>
    <col min="1" max="1" width="9.0039062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230</v>
      </c>
    </row>
    <row r="2" spans="1:8" s="2" customFormat="1" ht="15" customHeight="1">
      <c r="A2" s="188" t="s">
        <v>209</v>
      </c>
      <c r="B2" s="189"/>
      <c r="C2" s="212" t="s">
        <v>210</v>
      </c>
      <c r="D2" s="212"/>
      <c r="E2" s="212" t="s">
        <v>231</v>
      </c>
      <c r="F2" s="212"/>
      <c r="G2" s="213" t="s">
        <v>232</v>
      </c>
      <c r="H2" s="214"/>
    </row>
    <row r="3" spans="1:8" s="2" customFormat="1" ht="15" customHeight="1">
      <c r="A3" s="190"/>
      <c r="B3" s="191"/>
      <c r="C3" s="56" t="s">
        <v>233</v>
      </c>
      <c r="D3" s="41" t="s">
        <v>234</v>
      </c>
      <c r="E3" s="56" t="s">
        <v>233</v>
      </c>
      <c r="F3" s="66" t="s">
        <v>234</v>
      </c>
      <c r="G3" s="56" t="s">
        <v>233</v>
      </c>
      <c r="H3" s="67" t="s">
        <v>234</v>
      </c>
    </row>
    <row r="4" spans="1:8" s="72" customFormat="1" ht="15" customHeight="1">
      <c r="A4" s="68"/>
      <c r="B4" s="41"/>
      <c r="C4" s="69" t="s">
        <v>16</v>
      </c>
      <c r="D4" s="70" t="s">
        <v>17</v>
      </c>
      <c r="E4" s="69" t="s">
        <v>16</v>
      </c>
      <c r="F4" s="70" t="s">
        <v>17</v>
      </c>
      <c r="G4" s="69" t="s">
        <v>16</v>
      </c>
      <c r="H4" s="71" t="s">
        <v>17</v>
      </c>
    </row>
    <row r="5" spans="1:8" s="73" customFormat="1" ht="30" customHeight="1">
      <c r="A5" s="215" t="s">
        <v>249</v>
      </c>
      <c r="B5" s="47" t="s">
        <v>235</v>
      </c>
      <c r="C5" s="125">
        <v>98108</v>
      </c>
      <c r="D5" s="103">
        <v>26045407</v>
      </c>
      <c r="E5" s="125">
        <v>116268</v>
      </c>
      <c r="F5" s="103">
        <v>351642659</v>
      </c>
      <c r="G5" s="125">
        <v>214376</v>
      </c>
      <c r="H5" s="118">
        <v>377688066</v>
      </c>
    </row>
    <row r="6" spans="1:8" s="73" customFormat="1" ht="30" customHeight="1">
      <c r="A6" s="210"/>
      <c r="B6" s="54" t="s">
        <v>4</v>
      </c>
      <c r="C6" s="126">
        <v>2400</v>
      </c>
      <c r="D6" s="127">
        <v>1164309</v>
      </c>
      <c r="E6" s="126">
        <v>3969</v>
      </c>
      <c r="F6" s="127">
        <v>22547508</v>
      </c>
      <c r="G6" s="126">
        <v>6369</v>
      </c>
      <c r="H6" s="128">
        <v>23711817</v>
      </c>
    </row>
    <row r="7" spans="1:8" s="73" customFormat="1" ht="30" customHeight="1">
      <c r="A7" s="216" t="s">
        <v>250</v>
      </c>
      <c r="B7" s="74" t="s">
        <v>235</v>
      </c>
      <c r="C7" s="129">
        <v>94745</v>
      </c>
      <c r="D7" s="111">
        <v>24390339</v>
      </c>
      <c r="E7" s="129">
        <v>114676</v>
      </c>
      <c r="F7" s="111">
        <v>350310802</v>
      </c>
      <c r="G7" s="129">
        <v>209421</v>
      </c>
      <c r="H7" s="122">
        <v>374701141</v>
      </c>
    </row>
    <row r="8" spans="1:8" s="73" customFormat="1" ht="30" customHeight="1">
      <c r="A8" s="217"/>
      <c r="B8" s="54" t="s">
        <v>4</v>
      </c>
      <c r="C8" s="126">
        <v>2204</v>
      </c>
      <c r="D8" s="127">
        <v>1217147</v>
      </c>
      <c r="E8" s="126">
        <v>3747</v>
      </c>
      <c r="F8" s="127">
        <v>17169481</v>
      </c>
      <c r="G8" s="126">
        <v>5951</v>
      </c>
      <c r="H8" s="128">
        <v>18386628</v>
      </c>
    </row>
    <row r="9" spans="1:8" s="73" customFormat="1" ht="30" customHeight="1">
      <c r="A9" s="209" t="s">
        <v>236</v>
      </c>
      <c r="B9" s="74" t="s">
        <v>235</v>
      </c>
      <c r="C9" s="129">
        <v>83419</v>
      </c>
      <c r="D9" s="111">
        <v>21783119</v>
      </c>
      <c r="E9" s="129">
        <v>106021</v>
      </c>
      <c r="F9" s="111">
        <v>312042106</v>
      </c>
      <c r="G9" s="129">
        <v>189440</v>
      </c>
      <c r="H9" s="122">
        <v>333825225</v>
      </c>
    </row>
    <row r="10" spans="1:8" s="73" customFormat="1" ht="30" customHeight="1">
      <c r="A10" s="210"/>
      <c r="B10" s="54" t="s">
        <v>4</v>
      </c>
      <c r="C10" s="126">
        <v>1766</v>
      </c>
      <c r="D10" s="127">
        <v>645773</v>
      </c>
      <c r="E10" s="126">
        <v>3298</v>
      </c>
      <c r="F10" s="127">
        <v>14743189</v>
      </c>
      <c r="G10" s="126">
        <v>5064</v>
      </c>
      <c r="H10" s="128">
        <v>15388962</v>
      </c>
    </row>
    <row r="11" spans="1:8" s="73" customFormat="1" ht="30" customHeight="1">
      <c r="A11" s="209" t="s">
        <v>237</v>
      </c>
      <c r="B11" s="74" t="s">
        <v>235</v>
      </c>
      <c r="C11" s="129">
        <v>79532</v>
      </c>
      <c r="D11" s="111">
        <v>21236019</v>
      </c>
      <c r="E11" s="129">
        <v>108145</v>
      </c>
      <c r="F11" s="111">
        <v>327904963</v>
      </c>
      <c r="G11" s="129">
        <v>187677</v>
      </c>
      <c r="H11" s="122">
        <v>349140982</v>
      </c>
    </row>
    <row r="12" spans="1:8" s="73" customFormat="1" ht="30" customHeight="1">
      <c r="A12" s="210"/>
      <c r="B12" s="54" t="s">
        <v>4</v>
      </c>
      <c r="C12" s="126">
        <v>2849</v>
      </c>
      <c r="D12" s="127">
        <v>987283</v>
      </c>
      <c r="E12" s="126">
        <v>4093</v>
      </c>
      <c r="F12" s="127">
        <v>19629040</v>
      </c>
      <c r="G12" s="126">
        <v>6942</v>
      </c>
      <c r="H12" s="128">
        <v>20616323</v>
      </c>
    </row>
    <row r="13" spans="1:8" s="2" customFormat="1" ht="30" customHeight="1">
      <c r="A13" s="209" t="s">
        <v>251</v>
      </c>
      <c r="B13" s="74" t="s">
        <v>235</v>
      </c>
      <c r="C13" s="129">
        <v>75997</v>
      </c>
      <c r="D13" s="111">
        <v>22203812</v>
      </c>
      <c r="E13" s="129">
        <v>106765</v>
      </c>
      <c r="F13" s="111">
        <v>338647001</v>
      </c>
      <c r="G13" s="129">
        <v>182762</v>
      </c>
      <c r="H13" s="122">
        <v>360850813</v>
      </c>
    </row>
    <row r="14" spans="1:8" s="2" customFormat="1" ht="30" customHeight="1" thickBot="1">
      <c r="A14" s="211"/>
      <c r="B14" s="75" t="s">
        <v>4</v>
      </c>
      <c r="C14" s="130">
        <v>2661</v>
      </c>
      <c r="D14" s="131">
        <v>946015</v>
      </c>
      <c r="E14" s="130">
        <v>4467</v>
      </c>
      <c r="F14" s="131">
        <v>24024924</v>
      </c>
      <c r="G14" s="130">
        <v>7128</v>
      </c>
      <c r="H14" s="132">
        <v>24970939</v>
      </c>
    </row>
    <row r="15" spans="5:7" s="2" customFormat="1" ht="11.25">
      <c r="E15" s="76"/>
      <c r="G15" s="76"/>
    </row>
    <row r="16" spans="5:7" s="2" customFormat="1" ht="11.25">
      <c r="E16" s="76"/>
      <c r="G16" s="76"/>
    </row>
    <row r="17" spans="5:7" s="2" customFormat="1" ht="11.25">
      <c r="E17" s="76"/>
      <c r="G17" s="76"/>
    </row>
    <row r="18" spans="5:7" s="2" customFormat="1" ht="11.25">
      <c r="E18" s="76"/>
      <c r="G18" s="76"/>
    </row>
    <row r="19" spans="5:7" s="2" customFormat="1" ht="11.25">
      <c r="E19" s="76"/>
      <c r="G19" s="76"/>
    </row>
    <row r="20" spans="5:7" s="2" customFormat="1" ht="11.25">
      <c r="E20" s="76"/>
      <c r="G20" s="76"/>
    </row>
    <row r="21" spans="5:7" s="2" customFormat="1" ht="11.25">
      <c r="E21" s="76"/>
      <c r="G21" s="76"/>
    </row>
    <row r="22" spans="5:7" s="2" customFormat="1" ht="11.25">
      <c r="E22" s="76"/>
      <c r="G22" s="76"/>
    </row>
  </sheetData>
  <sheetProtection/>
  <mergeCells count="9">
    <mergeCell ref="A11:A12"/>
    <mergeCell ref="A13:A14"/>
    <mergeCell ref="A2:B3"/>
    <mergeCell ref="C2:D2"/>
    <mergeCell ref="E2:F2"/>
    <mergeCell ref="G2:H2"/>
    <mergeCell ref="A5:A6"/>
    <mergeCell ref="A7:A8"/>
    <mergeCell ref="A9:A10"/>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scaleWithDoc="0">
    <oddFooter>&amp;R仙台国税局
消費税
(H24)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238</v>
      </c>
    </row>
    <row r="2" spans="1:4" s="1" customFormat="1" ht="19.5" customHeight="1">
      <c r="A2" s="77" t="s">
        <v>239</v>
      </c>
      <c r="B2" s="78" t="s">
        <v>240</v>
      </c>
      <c r="C2" s="79" t="s">
        <v>241</v>
      </c>
      <c r="D2" s="80" t="s">
        <v>242</v>
      </c>
    </row>
    <row r="3" spans="1:4" s="72" customFormat="1" ht="15" customHeight="1">
      <c r="A3" s="81" t="s">
        <v>16</v>
      </c>
      <c r="B3" s="82" t="s">
        <v>16</v>
      </c>
      <c r="C3" s="83" t="s">
        <v>16</v>
      </c>
      <c r="D3" s="84" t="s">
        <v>16</v>
      </c>
    </row>
    <row r="4" spans="1:9" s="1" customFormat="1" ht="30" customHeight="1" thickBot="1">
      <c r="A4" s="85">
        <v>197261</v>
      </c>
      <c r="B4" s="86">
        <v>3929</v>
      </c>
      <c r="C4" s="87">
        <v>549</v>
      </c>
      <c r="D4" s="88">
        <v>201739</v>
      </c>
      <c r="E4" s="89"/>
      <c r="G4" s="89"/>
      <c r="I4" s="89"/>
    </row>
    <row r="5" spans="1:4" s="1" customFormat="1" ht="15" customHeight="1">
      <c r="A5" s="218" t="s">
        <v>252</v>
      </c>
      <c r="B5" s="218"/>
      <c r="C5" s="218"/>
      <c r="D5" s="218"/>
    </row>
    <row r="6" spans="1:4" s="1" customFormat="1" ht="15" customHeight="1">
      <c r="A6" s="219" t="s">
        <v>244</v>
      </c>
      <c r="B6" s="219"/>
      <c r="C6" s="219"/>
      <c r="D6" s="219"/>
    </row>
  </sheetData>
  <sheetProtection/>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scaleWithDoc="0">
    <oddFooter>&amp;R仙台国税局
消費税
(H24)</oddFooter>
  </headerFooter>
</worksheet>
</file>

<file path=xl/worksheets/sheet4.xml><?xml version="1.0" encoding="utf-8"?>
<worksheet xmlns="http://schemas.openxmlformats.org/spreadsheetml/2006/main" xmlns:r="http://schemas.openxmlformats.org/officeDocument/2006/relationships">
  <dimension ref="A1:O86"/>
  <sheetViews>
    <sheetView showGridLines="0" zoomScalePageLayoutView="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219" t="s">
        <v>1</v>
      </c>
      <c r="B2" s="219"/>
      <c r="C2" s="219"/>
      <c r="D2" s="219"/>
      <c r="E2" s="219"/>
      <c r="F2" s="219"/>
      <c r="G2" s="219"/>
      <c r="H2" s="2"/>
      <c r="I2" s="2"/>
      <c r="J2" s="2"/>
      <c r="K2" s="2"/>
      <c r="L2" s="2"/>
      <c r="M2" s="2"/>
      <c r="N2" s="2"/>
    </row>
    <row r="3" spans="1:14" ht="19.5" customHeight="1">
      <c r="A3" s="224" t="s">
        <v>2</v>
      </c>
      <c r="B3" s="227" t="s">
        <v>3</v>
      </c>
      <c r="C3" s="227"/>
      <c r="D3" s="227"/>
      <c r="E3" s="227"/>
      <c r="F3" s="227"/>
      <c r="G3" s="227"/>
      <c r="H3" s="220" t="s">
        <v>4</v>
      </c>
      <c r="I3" s="221"/>
      <c r="J3" s="233" t="s">
        <v>5</v>
      </c>
      <c r="K3" s="221"/>
      <c r="L3" s="220" t="s">
        <v>6</v>
      </c>
      <c r="M3" s="221"/>
      <c r="N3" s="228" t="s">
        <v>7</v>
      </c>
    </row>
    <row r="4" spans="1:14" ht="17.25" customHeight="1">
      <c r="A4" s="225"/>
      <c r="B4" s="231" t="s">
        <v>8</v>
      </c>
      <c r="C4" s="231"/>
      <c r="D4" s="222" t="s">
        <v>9</v>
      </c>
      <c r="E4" s="232"/>
      <c r="F4" s="222" t="s">
        <v>10</v>
      </c>
      <c r="G4" s="232"/>
      <c r="H4" s="222"/>
      <c r="I4" s="223"/>
      <c r="J4" s="222"/>
      <c r="K4" s="223"/>
      <c r="L4" s="222"/>
      <c r="M4" s="223"/>
      <c r="N4" s="229"/>
    </row>
    <row r="5" spans="1:14" s="4" customFormat="1" ht="28.5" customHeight="1">
      <c r="A5" s="226"/>
      <c r="B5" s="34" t="s">
        <v>11</v>
      </c>
      <c r="C5" s="35" t="s">
        <v>12</v>
      </c>
      <c r="D5" s="34" t="s">
        <v>11</v>
      </c>
      <c r="E5" s="35" t="s">
        <v>12</v>
      </c>
      <c r="F5" s="34" t="s">
        <v>11</v>
      </c>
      <c r="G5" s="39" t="s">
        <v>13</v>
      </c>
      <c r="H5" s="34" t="s">
        <v>144</v>
      </c>
      <c r="I5" s="38" t="s">
        <v>14</v>
      </c>
      <c r="J5" s="34" t="s">
        <v>144</v>
      </c>
      <c r="K5" s="38" t="s">
        <v>15</v>
      </c>
      <c r="L5" s="34" t="s">
        <v>144</v>
      </c>
      <c r="M5" s="36" t="s">
        <v>146</v>
      </c>
      <c r="N5" s="230"/>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19</v>
      </c>
      <c r="B7" s="125">
        <f>_xlfn.COMPOUNDVALUE(1)</f>
        <v>1033</v>
      </c>
      <c r="C7" s="103">
        <v>385576</v>
      </c>
      <c r="D7" s="125">
        <f>_xlfn.COMPOUNDVALUE(2)</f>
        <v>1713</v>
      </c>
      <c r="E7" s="103">
        <v>393450</v>
      </c>
      <c r="F7" s="125">
        <f>_xlfn.COMPOUNDVALUE(3)</f>
        <v>2746</v>
      </c>
      <c r="G7" s="103">
        <v>779026</v>
      </c>
      <c r="H7" s="125">
        <f>_xlfn.COMPOUNDVALUE(4)</f>
        <v>41</v>
      </c>
      <c r="I7" s="133">
        <v>5782</v>
      </c>
      <c r="J7" s="125">
        <v>114</v>
      </c>
      <c r="K7" s="133">
        <v>31973</v>
      </c>
      <c r="L7" s="125">
        <v>2840</v>
      </c>
      <c r="M7" s="133">
        <v>805217</v>
      </c>
      <c r="N7" s="12" t="s">
        <v>151</v>
      </c>
    </row>
    <row r="8" spans="1:14" ht="15.75" customHeight="1">
      <c r="A8" s="13" t="s">
        <v>20</v>
      </c>
      <c r="B8" s="134">
        <f>_xlfn.COMPOUNDVALUE(5)</f>
        <v>655</v>
      </c>
      <c r="C8" s="105">
        <v>238863</v>
      </c>
      <c r="D8" s="134">
        <f>_xlfn.COMPOUNDVALUE(6)</f>
        <v>1073</v>
      </c>
      <c r="E8" s="105">
        <v>251246</v>
      </c>
      <c r="F8" s="134">
        <f>_xlfn.COMPOUNDVALUE(7)</f>
        <v>1728</v>
      </c>
      <c r="G8" s="105">
        <v>490108</v>
      </c>
      <c r="H8" s="134">
        <f>_xlfn.COMPOUNDVALUE(8)</f>
        <v>30</v>
      </c>
      <c r="I8" s="135">
        <v>18741</v>
      </c>
      <c r="J8" s="134">
        <v>84</v>
      </c>
      <c r="K8" s="135">
        <v>16055</v>
      </c>
      <c r="L8" s="134">
        <v>1799</v>
      </c>
      <c r="M8" s="135">
        <v>487421</v>
      </c>
      <c r="N8" s="14" t="s">
        <v>152</v>
      </c>
    </row>
    <row r="9" spans="1:14" ht="15.75" customHeight="1">
      <c r="A9" s="13" t="s">
        <v>21</v>
      </c>
      <c r="B9" s="134">
        <f>_xlfn.COMPOUNDVALUE(9)</f>
        <v>979</v>
      </c>
      <c r="C9" s="105">
        <v>349788</v>
      </c>
      <c r="D9" s="134">
        <f>_xlfn.COMPOUNDVALUE(10)</f>
        <v>1602</v>
      </c>
      <c r="E9" s="105">
        <v>376874</v>
      </c>
      <c r="F9" s="134">
        <f>_xlfn.COMPOUNDVALUE(11)</f>
        <v>2581</v>
      </c>
      <c r="G9" s="105">
        <v>726663</v>
      </c>
      <c r="H9" s="134">
        <f>_xlfn.COMPOUNDVALUE(12)</f>
        <v>58</v>
      </c>
      <c r="I9" s="135">
        <v>11637</v>
      </c>
      <c r="J9" s="134">
        <v>204</v>
      </c>
      <c r="K9" s="135">
        <v>19511</v>
      </c>
      <c r="L9" s="134">
        <v>2783</v>
      </c>
      <c r="M9" s="135">
        <v>734537</v>
      </c>
      <c r="N9" s="14" t="s">
        <v>153</v>
      </c>
    </row>
    <row r="10" spans="1:14" ht="15.75" customHeight="1">
      <c r="A10" s="13" t="s">
        <v>22</v>
      </c>
      <c r="B10" s="134">
        <f>_xlfn.COMPOUNDVALUE(13)</f>
        <v>322</v>
      </c>
      <c r="C10" s="105">
        <v>119910</v>
      </c>
      <c r="D10" s="134">
        <f>_xlfn.COMPOUNDVALUE(14)</f>
        <v>577</v>
      </c>
      <c r="E10" s="105">
        <v>132869</v>
      </c>
      <c r="F10" s="134">
        <f>_xlfn.COMPOUNDVALUE(15)</f>
        <v>899</v>
      </c>
      <c r="G10" s="105">
        <v>252778</v>
      </c>
      <c r="H10" s="134">
        <f>_xlfn.COMPOUNDVALUE(16)</f>
        <v>11</v>
      </c>
      <c r="I10" s="135">
        <v>1141</v>
      </c>
      <c r="J10" s="134">
        <v>51</v>
      </c>
      <c r="K10" s="135">
        <v>5593</v>
      </c>
      <c r="L10" s="134">
        <v>926</v>
      </c>
      <c r="M10" s="135">
        <v>257231</v>
      </c>
      <c r="N10" s="14" t="s">
        <v>154</v>
      </c>
    </row>
    <row r="11" spans="1:14" ht="15.75" customHeight="1">
      <c r="A11" s="13" t="s">
        <v>23</v>
      </c>
      <c r="B11" s="134">
        <f>_xlfn.COMPOUNDVALUE(17)</f>
        <v>615</v>
      </c>
      <c r="C11" s="105">
        <v>208851</v>
      </c>
      <c r="D11" s="134">
        <f>_xlfn.COMPOUNDVALUE(18)</f>
        <v>1134</v>
      </c>
      <c r="E11" s="105">
        <v>257392</v>
      </c>
      <c r="F11" s="134">
        <f>_xlfn.COMPOUNDVALUE(19)</f>
        <v>1749</v>
      </c>
      <c r="G11" s="105">
        <v>466242</v>
      </c>
      <c r="H11" s="134">
        <f>_xlfn.COMPOUNDVALUE(20)</f>
        <v>33</v>
      </c>
      <c r="I11" s="135">
        <v>11526</v>
      </c>
      <c r="J11" s="134">
        <v>99</v>
      </c>
      <c r="K11" s="135">
        <v>12662</v>
      </c>
      <c r="L11" s="134">
        <v>1812</v>
      </c>
      <c r="M11" s="135">
        <v>467378</v>
      </c>
      <c r="N11" s="14" t="s">
        <v>155</v>
      </c>
    </row>
    <row r="12" spans="1:14" ht="15.75" customHeight="1">
      <c r="A12" s="13" t="s">
        <v>24</v>
      </c>
      <c r="B12" s="134">
        <f>_xlfn.COMPOUNDVALUE(21)</f>
        <v>845</v>
      </c>
      <c r="C12" s="105">
        <v>303692</v>
      </c>
      <c r="D12" s="134">
        <f>_xlfn.COMPOUNDVALUE(22)</f>
        <v>2073</v>
      </c>
      <c r="E12" s="105">
        <v>490821</v>
      </c>
      <c r="F12" s="134">
        <f>_xlfn.COMPOUNDVALUE(23)</f>
        <v>2918</v>
      </c>
      <c r="G12" s="105">
        <v>794512</v>
      </c>
      <c r="H12" s="134">
        <f>_xlfn.COMPOUNDVALUE(24)</f>
        <v>120</v>
      </c>
      <c r="I12" s="135">
        <v>57936</v>
      </c>
      <c r="J12" s="134">
        <v>100</v>
      </c>
      <c r="K12" s="135">
        <v>7617</v>
      </c>
      <c r="L12" s="134">
        <v>3060</v>
      </c>
      <c r="M12" s="135">
        <v>744193</v>
      </c>
      <c r="N12" s="14" t="s">
        <v>156</v>
      </c>
    </row>
    <row r="13" spans="1:14" ht="15.75" customHeight="1">
      <c r="A13" s="13" t="s">
        <v>25</v>
      </c>
      <c r="B13" s="134">
        <f>_xlfn.COMPOUNDVALUE(25)</f>
        <v>325</v>
      </c>
      <c r="C13" s="105">
        <v>126535</v>
      </c>
      <c r="D13" s="134">
        <f>_xlfn.COMPOUNDVALUE(26)</f>
        <v>643</v>
      </c>
      <c r="E13" s="105">
        <v>149305</v>
      </c>
      <c r="F13" s="134">
        <f>_xlfn.COMPOUNDVALUE(27)</f>
        <v>968</v>
      </c>
      <c r="G13" s="105">
        <v>275840</v>
      </c>
      <c r="H13" s="134">
        <f>_xlfn.COMPOUNDVALUE(28)</f>
        <v>20</v>
      </c>
      <c r="I13" s="135">
        <v>4463</v>
      </c>
      <c r="J13" s="134">
        <v>46</v>
      </c>
      <c r="K13" s="135">
        <v>7984</v>
      </c>
      <c r="L13" s="134">
        <v>1019</v>
      </c>
      <c r="M13" s="135">
        <v>279362</v>
      </c>
      <c r="N13" s="14" t="s">
        <v>25</v>
      </c>
    </row>
    <row r="14" spans="1:14" s="17" customFormat="1" ht="15.75" customHeight="1">
      <c r="A14" s="15" t="s">
        <v>26</v>
      </c>
      <c r="B14" s="136">
        <v>4774</v>
      </c>
      <c r="C14" s="137">
        <v>1733213</v>
      </c>
      <c r="D14" s="136">
        <v>8815</v>
      </c>
      <c r="E14" s="137">
        <v>2051956</v>
      </c>
      <c r="F14" s="136">
        <v>13589</v>
      </c>
      <c r="G14" s="137">
        <v>3785169</v>
      </c>
      <c r="H14" s="136">
        <v>313</v>
      </c>
      <c r="I14" s="138">
        <v>111226</v>
      </c>
      <c r="J14" s="136">
        <v>698</v>
      </c>
      <c r="K14" s="138">
        <v>101396</v>
      </c>
      <c r="L14" s="136">
        <v>14239</v>
      </c>
      <c r="M14" s="138">
        <v>3775339</v>
      </c>
      <c r="N14" s="16" t="s">
        <v>150</v>
      </c>
    </row>
    <row r="15" spans="1:14" s="20" customFormat="1" ht="15.75" customHeight="1">
      <c r="A15" s="23"/>
      <c r="B15" s="139"/>
      <c r="C15" s="140"/>
      <c r="D15" s="139"/>
      <c r="E15" s="140"/>
      <c r="F15" s="141"/>
      <c r="G15" s="140"/>
      <c r="H15" s="141"/>
      <c r="I15" s="140"/>
      <c r="J15" s="141"/>
      <c r="K15" s="140"/>
      <c r="L15" s="141"/>
      <c r="M15" s="140"/>
      <c r="N15" s="24"/>
    </row>
    <row r="16" spans="1:14" ht="15.75" customHeight="1">
      <c r="A16" s="11" t="s">
        <v>27</v>
      </c>
      <c r="B16" s="125">
        <f>_xlfn.COMPOUNDVALUE(29)</f>
        <v>1385</v>
      </c>
      <c r="C16" s="103">
        <v>545310</v>
      </c>
      <c r="D16" s="125">
        <f>_xlfn.COMPOUNDVALUE(30)</f>
        <v>2128</v>
      </c>
      <c r="E16" s="103">
        <v>568408</v>
      </c>
      <c r="F16" s="125">
        <f>_xlfn.COMPOUNDVALUE(31)</f>
        <v>3513</v>
      </c>
      <c r="G16" s="103">
        <v>1113718</v>
      </c>
      <c r="H16" s="125">
        <f>_xlfn.COMPOUNDVALUE(32)</f>
        <v>95</v>
      </c>
      <c r="I16" s="133">
        <v>33852</v>
      </c>
      <c r="J16" s="125">
        <v>197</v>
      </c>
      <c r="K16" s="133">
        <v>27468</v>
      </c>
      <c r="L16" s="125">
        <v>3702</v>
      </c>
      <c r="M16" s="133">
        <v>1107334</v>
      </c>
      <c r="N16" s="25" t="s">
        <v>157</v>
      </c>
    </row>
    <row r="17" spans="1:14" ht="15.75" customHeight="1">
      <c r="A17" s="13" t="s">
        <v>28</v>
      </c>
      <c r="B17" s="134">
        <f>_xlfn.COMPOUNDVALUE(33)</f>
        <v>306</v>
      </c>
      <c r="C17" s="105">
        <v>120506</v>
      </c>
      <c r="D17" s="134">
        <f>_xlfn.COMPOUNDVALUE(34)</f>
        <v>593</v>
      </c>
      <c r="E17" s="105">
        <v>158810</v>
      </c>
      <c r="F17" s="134">
        <f>_xlfn.COMPOUNDVALUE(35)</f>
        <v>899</v>
      </c>
      <c r="G17" s="105">
        <v>279316</v>
      </c>
      <c r="H17" s="134">
        <f>_xlfn.COMPOUNDVALUE(36)</f>
        <v>47</v>
      </c>
      <c r="I17" s="135">
        <v>13695</v>
      </c>
      <c r="J17" s="134">
        <v>20</v>
      </c>
      <c r="K17" s="135">
        <v>596</v>
      </c>
      <c r="L17" s="134">
        <v>953</v>
      </c>
      <c r="M17" s="135">
        <v>266217</v>
      </c>
      <c r="N17" s="14" t="s">
        <v>158</v>
      </c>
    </row>
    <row r="18" spans="1:14" ht="15.75" customHeight="1">
      <c r="A18" s="13" t="s">
        <v>29</v>
      </c>
      <c r="B18" s="134">
        <f>_xlfn.COMPOUNDVALUE(37)</f>
        <v>257</v>
      </c>
      <c r="C18" s="105">
        <v>114972</v>
      </c>
      <c r="D18" s="134">
        <f>_xlfn.COMPOUNDVALUE(38)</f>
        <v>418</v>
      </c>
      <c r="E18" s="105">
        <v>110933</v>
      </c>
      <c r="F18" s="134">
        <f>_xlfn.COMPOUNDVALUE(39)</f>
        <v>675</v>
      </c>
      <c r="G18" s="105">
        <v>225905</v>
      </c>
      <c r="H18" s="134">
        <f>_xlfn.COMPOUNDVALUE(40)</f>
        <v>62</v>
      </c>
      <c r="I18" s="135">
        <v>34260</v>
      </c>
      <c r="J18" s="134">
        <v>69</v>
      </c>
      <c r="K18" s="135">
        <v>5759</v>
      </c>
      <c r="L18" s="134">
        <v>786</v>
      </c>
      <c r="M18" s="135">
        <v>197405</v>
      </c>
      <c r="N18" s="14" t="s">
        <v>159</v>
      </c>
    </row>
    <row r="19" spans="1:14" ht="15.75" customHeight="1">
      <c r="A19" s="13" t="s">
        <v>30</v>
      </c>
      <c r="B19" s="134">
        <f>_xlfn.COMPOUNDVALUE(41)</f>
        <v>457</v>
      </c>
      <c r="C19" s="105">
        <v>167812</v>
      </c>
      <c r="D19" s="134">
        <f>_xlfn.COMPOUNDVALUE(42)</f>
        <v>651</v>
      </c>
      <c r="E19" s="105">
        <v>180709</v>
      </c>
      <c r="F19" s="134">
        <f>_xlfn.COMPOUNDVALUE(43)</f>
        <v>1108</v>
      </c>
      <c r="G19" s="105">
        <v>348521</v>
      </c>
      <c r="H19" s="134">
        <f>_xlfn.COMPOUNDVALUE(44)</f>
        <v>95</v>
      </c>
      <c r="I19" s="135">
        <v>17281</v>
      </c>
      <c r="J19" s="134">
        <v>87</v>
      </c>
      <c r="K19" s="135">
        <v>10816</v>
      </c>
      <c r="L19" s="134">
        <v>1251</v>
      </c>
      <c r="M19" s="135">
        <v>342057</v>
      </c>
      <c r="N19" s="14" t="s">
        <v>160</v>
      </c>
    </row>
    <row r="20" spans="1:14" ht="15.75" customHeight="1">
      <c r="A20" s="13" t="s">
        <v>31</v>
      </c>
      <c r="B20" s="134">
        <f>_xlfn.COMPOUNDVALUE(45)</f>
        <v>640</v>
      </c>
      <c r="C20" s="105">
        <v>250275</v>
      </c>
      <c r="D20" s="134">
        <f>_xlfn.COMPOUNDVALUE(46)</f>
        <v>773</v>
      </c>
      <c r="E20" s="105">
        <v>203367</v>
      </c>
      <c r="F20" s="134">
        <f>_xlfn.COMPOUNDVALUE(47)</f>
        <v>1413</v>
      </c>
      <c r="G20" s="105">
        <v>453642</v>
      </c>
      <c r="H20" s="134">
        <f>_xlfn.COMPOUNDVALUE(48)</f>
        <v>41</v>
      </c>
      <c r="I20" s="135">
        <v>8430</v>
      </c>
      <c r="J20" s="134">
        <v>100</v>
      </c>
      <c r="K20" s="135">
        <v>29694</v>
      </c>
      <c r="L20" s="134">
        <v>1512</v>
      </c>
      <c r="M20" s="135">
        <v>474907</v>
      </c>
      <c r="N20" s="14" t="s">
        <v>161</v>
      </c>
    </row>
    <row r="21" spans="1:14" ht="15.75" customHeight="1">
      <c r="A21" s="13" t="s">
        <v>32</v>
      </c>
      <c r="B21" s="134">
        <f>_xlfn.COMPOUNDVALUE(49)</f>
        <v>327</v>
      </c>
      <c r="C21" s="105">
        <v>105934</v>
      </c>
      <c r="D21" s="134">
        <f>_xlfn.COMPOUNDVALUE(50)</f>
        <v>306</v>
      </c>
      <c r="E21" s="105">
        <v>83917</v>
      </c>
      <c r="F21" s="134">
        <f>_xlfn.COMPOUNDVALUE(51)</f>
        <v>633</v>
      </c>
      <c r="G21" s="105">
        <v>189851</v>
      </c>
      <c r="H21" s="134">
        <f>_xlfn.COMPOUNDVALUE(52)</f>
        <v>35</v>
      </c>
      <c r="I21" s="135">
        <v>8905</v>
      </c>
      <c r="J21" s="134">
        <v>27</v>
      </c>
      <c r="K21" s="135">
        <v>2924</v>
      </c>
      <c r="L21" s="134">
        <v>675</v>
      </c>
      <c r="M21" s="135">
        <v>183870</v>
      </c>
      <c r="N21" s="14" t="s">
        <v>162</v>
      </c>
    </row>
    <row r="22" spans="1:14" ht="15.75" customHeight="1">
      <c r="A22" s="13" t="s">
        <v>33</v>
      </c>
      <c r="B22" s="134">
        <f>_xlfn.COMPOUNDVALUE(53)</f>
        <v>426</v>
      </c>
      <c r="C22" s="105">
        <v>157522</v>
      </c>
      <c r="D22" s="134">
        <f>_xlfn.COMPOUNDVALUE(54)</f>
        <v>636</v>
      </c>
      <c r="E22" s="105">
        <v>170519</v>
      </c>
      <c r="F22" s="134">
        <f>_xlfn.COMPOUNDVALUE(55)</f>
        <v>1062</v>
      </c>
      <c r="G22" s="105">
        <v>328042</v>
      </c>
      <c r="H22" s="134">
        <f>_xlfn.COMPOUNDVALUE(56)</f>
        <v>60</v>
      </c>
      <c r="I22" s="135">
        <v>10126</v>
      </c>
      <c r="J22" s="134">
        <v>91</v>
      </c>
      <c r="K22" s="135">
        <v>4527</v>
      </c>
      <c r="L22" s="134">
        <v>1148</v>
      </c>
      <c r="M22" s="135">
        <v>322443</v>
      </c>
      <c r="N22" s="14" t="s">
        <v>163</v>
      </c>
    </row>
    <row r="23" spans="1:14" ht="15.75" customHeight="1">
      <c r="A23" s="13" t="s">
        <v>34</v>
      </c>
      <c r="B23" s="134">
        <f>_xlfn.COMPOUNDVALUE(57)</f>
        <v>214</v>
      </c>
      <c r="C23" s="105">
        <v>81224</v>
      </c>
      <c r="D23" s="134">
        <f>_xlfn.COMPOUNDVALUE(58)</f>
        <v>381</v>
      </c>
      <c r="E23" s="105">
        <v>111055</v>
      </c>
      <c r="F23" s="134">
        <f>_xlfn.COMPOUNDVALUE(59)</f>
        <v>595</v>
      </c>
      <c r="G23" s="105">
        <v>192279</v>
      </c>
      <c r="H23" s="134">
        <f>_xlfn.COMPOUNDVALUE(60)</f>
        <v>29</v>
      </c>
      <c r="I23" s="135">
        <v>18591</v>
      </c>
      <c r="J23" s="134">
        <v>75</v>
      </c>
      <c r="K23" s="135">
        <v>8964</v>
      </c>
      <c r="L23" s="134">
        <v>688</v>
      </c>
      <c r="M23" s="135">
        <v>182652</v>
      </c>
      <c r="N23" s="14" t="s">
        <v>164</v>
      </c>
    </row>
    <row r="24" spans="1:14" ht="15.75" customHeight="1">
      <c r="A24" s="13" t="s">
        <v>35</v>
      </c>
      <c r="B24" s="134">
        <f>_xlfn.COMPOUNDVALUE(61)</f>
        <v>321</v>
      </c>
      <c r="C24" s="105">
        <v>136226</v>
      </c>
      <c r="D24" s="134">
        <f>_xlfn.COMPOUNDVALUE(62)</f>
        <v>455</v>
      </c>
      <c r="E24" s="105">
        <v>104133</v>
      </c>
      <c r="F24" s="134">
        <f>_xlfn.COMPOUNDVALUE(63)</f>
        <v>776</v>
      </c>
      <c r="G24" s="105">
        <v>240359</v>
      </c>
      <c r="H24" s="134">
        <f>_xlfn.COMPOUNDVALUE(64)</f>
        <v>32</v>
      </c>
      <c r="I24" s="135">
        <v>9118</v>
      </c>
      <c r="J24" s="134">
        <v>23</v>
      </c>
      <c r="K24" s="135">
        <v>2265</v>
      </c>
      <c r="L24" s="134">
        <v>819</v>
      </c>
      <c r="M24" s="135">
        <v>233506</v>
      </c>
      <c r="N24" s="14" t="s">
        <v>165</v>
      </c>
    </row>
    <row r="25" spans="1:14" s="17" customFormat="1" ht="15.75" customHeight="1">
      <c r="A25" s="15" t="s">
        <v>36</v>
      </c>
      <c r="B25" s="136">
        <v>4333</v>
      </c>
      <c r="C25" s="137">
        <v>1679783</v>
      </c>
      <c r="D25" s="136">
        <v>6341</v>
      </c>
      <c r="E25" s="137">
        <v>1691850</v>
      </c>
      <c r="F25" s="136">
        <v>10674</v>
      </c>
      <c r="G25" s="137">
        <v>3371633</v>
      </c>
      <c r="H25" s="136">
        <v>496</v>
      </c>
      <c r="I25" s="138">
        <v>154258</v>
      </c>
      <c r="J25" s="136">
        <v>689</v>
      </c>
      <c r="K25" s="138">
        <v>93016</v>
      </c>
      <c r="L25" s="136">
        <v>11534</v>
      </c>
      <c r="M25" s="138">
        <v>3310391</v>
      </c>
      <c r="N25" s="16" t="s">
        <v>166</v>
      </c>
    </row>
    <row r="26" spans="1:14" s="20" customFormat="1" ht="15.75" customHeight="1">
      <c r="A26" s="23"/>
      <c r="B26" s="139"/>
      <c r="C26" s="140"/>
      <c r="D26" s="139"/>
      <c r="E26" s="140"/>
      <c r="F26" s="141"/>
      <c r="G26" s="140"/>
      <c r="H26" s="141"/>
      <c r="I26" s="140"/>
      <c r="J26" s="141"/>
      <c r="K26" s="140"/>
      <c r="L26" s="141"/>
      <c r="M26" s="140"/>
      <c r="N26" s="24"/>
    </row>
    <row r="27" spans="1:14" s="17" customFormat="1" ht="15.75" customHeight="1">
      <c r="A27" s="11" t="s">
        <v>37</v>
      </c>
      <c r="B27" s="125">
        <f>_xlfn.COMPOUNDVALUE(65)</f>
        <v>1412</v>
      </c>
      <c r="C27" s="103">
        <v>640083</v>
      </c>
      <c r="D27" s="125">
        <f>_xlfn.COMPOUNDVALUE(66)</f>
        <v>1970</v>
      </c>
      <c r="E27" s="103">
        <v>602280</v>
      </c>
      <c r="F27" s="125">
        <f>_xlfn.COMPOUNDVALUE(67)</f>
        <v>3382</v>
      </c>
      <c r="G27" s="103">
        <v>1242363</v>
      </c>
      <c r="H27" s="125">
        <f>_xlfn.COMPOUNDVALUE(68)</f>
        <v>96</v>
      </c>
      <c r="I27" s="133">
        <v>54951</v>
      </c>
      <c r="J27" s="125">
        <v>373</v>
      </c>
      <c r="K27" s="133">
        <v>71754</v>
      </c>
      <c r="L27" s="125">
        <v>3701</v>
      </c>
      <c r="M27" s="133">
        <v>1259166</v>
      </c>
      <c r="N27" s="25" t="s">
        <v>167</v>
      </c>
    </row>
    <row r="28" spans="1:14" s="17" customFormat="1" ht="15.75" customHeight="1">
      <c r="A28" s="13" t="s">
        <v>38</v>
      </c>
      <c r="B28" s="134">
        <f>_xlfn.COMPOUNDVALUE(69)</f>
        <v>726</v>
      </c>
      <c r="C28" s="105">
        <v>350202</v>
      </c>
      <c r="D28" s="134">
        <f>_xlfn.COMPOUNDVALUE(70)</f>
        <v>1148</v>
      </c>
      <c r="E28" s="105">
        <v>367409</v>
      </c>
      <c r="F28" s="134">
        <f>_xlfn.COMPOUNDVALUE(71)</f>
        <v>1874</v>
      </c>
      <c r="G28" s="105">
        <v>717611</v>
      </c>
      <c r="H28" s="134">
        <f>_xlfn.COMPOUNDVALUE(72)</f>
        <v>43</v>
      </c>
      <c r="I28" s="135">
        <v>25161</v>
      </c>
      <c r="J28" s="134">
        <v>163</v>
      </c>
      <c r="K28" s="135">
        <v>43693</v>
      </c>
      <c r="L28" s="134">
        <v>2023</v>
      </c>
      <c r="M28" s="135">
        <v>736144</v>
      </c>
      <c r="N28" s="14" t="s">
        <v>168</v>
      </c>
    </row>
    <row r="29" spans="1:14" s="17" customFormat="1" ht="15.75" customHeight="1">
      <c r="A29" s="13" t="s">
        <v>39</v>
      </c>
      <c r="B29" s="134">
        <f>_xlfn.COMPOUNDVALUE(73)</f>
        <v>791</v>
      </c>
      <c r="C29" s="105">
        <v>293670</v>
      </c>
      <c r="D29" s="134">
        <f>_xlfn.COMPOUNDVALUE(74)</f>
        <v>1368</v>
      </c>
      <c r="E29" s="105">
        <v>349396</v>
      </c>
      <c r="F29" s="134">
        <f>_xlfn.COMPOUNDVALUE(75)</f>
        <v>2159</v>
      </c>
      <c r="G29" s="105">
        <v>643066</v>
      </c>
      <c r="H29" s="134">
        <f>_xlfn.COMPOUNDVALUE(76)</f>
        <v>56</v>
      </c>
      <c r="I29" s="135">
        <v>34941</v>
      </c>
      <c r="J29" s="134">
        <v>269</v>
      </c>
      <c r="K29" s="135">
        <v>16996</v>
      </c>
      <c r="L29" s="134">
        <v>2364</v>
      </c>
      <c r="M29" s="135">
        <v>625122</v>
      </c>
      <c r="N29" s="14" t="s">
        <v>169</v>
      </c>
    </row>
    <row r="30" spans="1:14" s="17" customFormat="1" ht="15.75" customHeight="1">
      <c r="A30" s="13" t="s">
        <v>40</v>
      </c>
      <c r="B30" s="134">
        <f>_xlfn.COMPOUNDVALUE(77)</f>
        <v>669</v>
      </c>
      <c r="C30" s="105">
        <v>303612</v>
      </c>
      <c r="D30" s="134">
        <f>_xlfn.COMPOUNDVALUE(78)</f>
        <v>1352</v>
      </c>
      <c r="E30" s="105">
        <v>354355</v>
      </c>
      <c r="F30" s="134">
        <f>_xlfn.COMPOUNDVALUE(79)</f>
        <v>2021</v>
      </c>
      <c r="G30" s="105">
        <v>657967</v>
      </c>
      <c r="H30" s="134">
        <f>_xlfn.COMPOUNDVALUE(80)</f>
        <v>174</v>
      </c>
      <c r="I30" s="135">
        <v>63486</v>
      </c>
      <c r="J30" s="134">
        <v>54</v>
      </c>
      <c r="K30" s="135">
        <v>4599</v>
      </c>
      <c r="L30" s="134">
        <v>2234</v>
      </c>
      <c r="M30" s="135">
        <v>599080</v>
      </c>
      <c r="N30" s="14" t="s">
        <v>170</v>
      </c>
    </row>
    <row r="31" spans="1:14" s="17" customFormat="1" ht="15.75" customHeight="1">
      <c r="A31" s="13" t="s">
        <v>41</v>
      </c>
      <c r="B31" s="134">
        <f>_xlfn.COMPOUNDVALUE(81)</f>
        <v>489</v>
      </c>
      <c r="C31" s="105">
        <v>165745</v>
      </c>
      <c r="D31" s="134">
        <f>_xlfn.COMPOUNDVALUE(82)</f>
        <v>770</v>
      </c>
      <c r="E31" s="105">
        <v>195279</v>
      </c>
      <c r="F31" s="134">
        <f>_xlfn.COMPOUNDVALUE(83)</f>
        <v>1259</v>
      </c>
      <c r="G31" s="105">
        <v>361023</v>
      </c>
      <c r="H31" s="134">
        <f>_xlfn.COMPOUNDVALUE(84)</f>
        <v>49</v>
      </c>
      <c r="I31" s="135">
        <v>13474</v>
      </c>
      <c r="J31" s="134">
        <v>144</v>
      </c>
      <c r="K31" s="135">
        <v>51847</v>
      </c>
      <c r="L31" s="134">
        <v>1429</v>
      </c>
      <c r="M31" s="135">
        <v>399396</v>
      </c>
      <c r="N31" s="14" t="s">
        <v>171</v>
      </c>
    </row>
    <row r="32" spans="1:14" s="17" customFormat="1" ht="15.75" customHeight="1">
      <c r="A32" s="13" t="s">
        <v>42</v>
      </c>
      <c r="B32" s="134">
        <f>_xlfn.COMPOUNDVALUE(85)</f>
        <v>676</v>
      </c>
      <c r="C32" s="105">
        <v>221670</v>
      </c>
      <c r="D32" s="134">
        <f>_xlfn.COMPOUNDVALUE(86)</f>
        <v>1263</v>
      </c>
      <c r="E32" s="105">
        <v>329397</v>
      </c>
      <c r="F32" s="134">
        <f>_xlfn.COMPOUNDVALUE(87)</f>
        <v>1939</v>
      </c>
      <c r="G32" s="105">
        <v>551067</v>
      </c>
      <c r="H32" s="134">
        <f>_xlfn.COMPOUNDVALUE(88)</f>
        <v>97</v>
      </c>
      <c r="I32" s="135">
        <v>16394</v>
      </c>
      <c r="J32" s="134">
        <v>105</v>
      </c>
      <c r="K32" s="135">
        <v>5821</v>
      </c>
      <c r="L32" s="134">
        <v>2064</v>
      </c>
      <c r="M32" s="135">
        <v>540494</v>
      </c>
      <c r="N32" s="14" t="s">
        <v>172</v>
      </c>
    </row>
    <row r="33" spans="1:14" s="17" customFormat="1" ht="15.75" customHeight="1">
      <c r="A33" s="13" t="s">
        <v>43</v>
      </c>
      <c r="B33" s="134">
        <f>_xlfn.COMPOUNDVALUE(89)</f>
        <v>296</v>
      </c>
      <c r="C33" s="105">
        <v>119724</v>
      </c>
      <c r="D33" s="134">
        <f>_xlfn.COMPOUNDVALUE(90)</f>
        <v>470</v>
      </c>
      <c r="E33" s="105">
        <v>122253</v>
      </c>
      <c r="F33" s="134">
        <f>_xlfn.COMPOUNDVALUE(91)</f>
        <v>766</v>
      </c>
      <c r="G33" s="105">
        <v>241977</v>
      </c>
      <c r="H33" s="134">
        <f>_xlfn.COMPOUNDVALUE(92)</f>
        <v>61</v>
      </c>
      <c r="I33" s="135">
        <v>19405</v>
      </c>
      <c r="J33" s="134">
        <v>48</v>
      </c>
      <c r="K33" s="135">
        <v>742</v>
      </c>
      <c r="L33" s="134">
        <v>859</v>
      </c>
      <c r="M33" s="135">
        <v>223314</v>
      </c>
      <c r="N33" s="14" t="s">
        <v>173</v>
      </c>
    </row>
    <row r="34" spans="1:14" s="17" customFormat="1" ht="15.75" customHeight="1">
      <c r="A34" s="13" t="s">
        <v>44</v>
      </c>
      <c r="B34" s="134">
        <f>_xlfn.COMPOUNDVALUE(93)</f>
        <v>542</v>
      </c>
      <c r="C34" s="105">
        <v>195061</v>
      </c>
      <c r="D34" s="134">
        <f>_xlfn.COMPOUNDVALUE(94)</f>
        <v>881</v>
      </c>
      <c r="E34" s="105">
        <v>228145</v>
      </c>
      <c r="F34" s="134">
        <f>_xlfn.COMPOUNDVALUE(95)</f>
        <v>1423</v>
      </c>
      <c r="G34" s="105">
        <v>423205</v>
      </c>
      <c r="H34" s="134">
        <f>_xlfn.COMPOUNDVALUE(96)</f>
        <v>91</v>
      </c>
      <c r="I34" s="135">
        <v>29308</v>
      </c>
      <c r="J34" s="134">
        <v>82</v>
      </c>
      <c r="K34" s="135">
        <v>13046</v>
      </c>
      <c r="L34" s="134">
        <v>1559</v>
      </c>
      <c r="M34" s="135">
        <v>406944</v>
      </c>
      <c r="N34" s="14" t="s">
        <v>174</v>
      </c>
    </row>
    <row r="35" spans="1:14" s="17" customFormat="1" ht="15.75" customHeight="1">
      <c r="A35" s="13" t="s">
        <v>45</v>
      </c>
      <c r="B35" s="134">
        <f>_xlfn.COMPOUNDVALUE(97)</f>
        <v>271</v>
      </c>
      <c r="C35" s="105">
        <v>89726</v>
      </c>
      <c r="D35" s="134">
        <f>_xlfn.COMPOUNDVALUE(98)</f>
        <v>425</v>
      </c>
      <c r="E35" s="105">
        <v>105822</v>
      </c>
      <c r="F35" s="134">
        <f>_xlfn.COMPOUNDVALUE(99)</f>
        <v>696</v>
      </c>
      <c r="G35" s="105">
        <v>195548</v>
      </c>
      <c r="H35" s="134">
        <f>_xlfn.COMPOUNDVALUE(100)</f>
        <v>53</v>
      </c>
      <c r="I35" s="135">
        <v>12892</v>
      </c>
      <c r="J35" s="134">
        <v>75</v>
      </c>
      <c r="K35" s="135">
        <v>8897</v>
      </c>
      <c r="L35" s="134">
        <v>784</v>
      </c>
      <c r="M35" s="135">
        <v>191553</v>
      </c>
      <c r="N35" s="14" t="s">
        <v>175</v>
      </c>
    </row>
    <row r="36" spans="1:14" s="17" customFormat="1" ht="15.75" customHeight="1">
      <c r="A36" s="13" t="s">
        <v>46</v>
      </c>
      <c r="B36" s="134">
        <f>_xlfn.COMPOUNDVALUE(101)</f>
        <v>322</v>
      </c>
      <c r="C36" s="105">
        <v>109640</v>
      </c>
      <c r="D36" s="134">
        <f>_xlfn.COMPOUNDVALUE(102)</f>
        <v>572</v>
      </c>
      <c r="E36" s="105">
        <v>156348</v>
      </c>
      <c r="F36" s="134">
        <f>_xlfn.COMPOUNDVALUE(103)</f>
        <v>894</v>
      </c>
      <c r="G36" s="105">
        <v>265988</v>
      </c>
      <c r="H36" s="134">
        <f>_xlfn.COMPOUNDVALUE(104)</f>
        <v>93</v>
      </c>
      <c r="I36" s="135">
        <v>48272</v>
      </c>
      <c r="J36" s="134">
        <v>46</v>
      </c>
      <c r="K36" s="135">
        <v>4906</v>
      </c>
      <c r="L36" s="134">
        <v>1011</v>
      </c>
      <c r="M36" s="135">
        <v>222622</v>
      </c>
      <c r="N36" s="14" t="s">
        <v>176</v>
      </c>
    </row>
    <row r="37" spans="1:14" s="17" customFormat="1" ht="15.75" customHeight="1">
      <c r="A37" s="15" t="s">
        <v>47</v>
      </c>
      <c r="B37" s="136">
        <v>6194</v>
      </c>
      <c r="C37" s="137">
        <v>2489132</v>
      </c>
      <c r="D37" s="136">
        <v>10219</v>
      </c>
      <c r="E37" s="137">
        <v>2810685</v>
      </c>
      <c r="F37" s="136">
        <v>16413</v>
      </c>
      <c r="G37" s="137">
        <v>5299817</v>
      </c>
      <c r="H37" s="136">
        <v>813</v>
      </c>
      <c r="I37" s="138">
        <v>318284</v>
      </c>
      <c r="J37" s="136">
        <v>1359</v>
      </c>
      <c r="K37" s="138">
        <v>222302</v>
      </c>
      <c r="L37" s="136">
        <v>18028</v>
      </c>
      <c r="M37" s="138">
        <v>5203835</v>
      </c>
      <c r="N37" s="16" t="s">
        <v>177</v>
      </c>
    </row>
    <row r="38" spans="1:14" s="17" customFormat="1" ht="15.75" customHeight="1">
      <c r="A38" s="100"/>
      <c r="B38" s="142"/>
      <c r="C38" s="143"/>
      <c r="D38" s="142"/>
      <c r="E38" s="143"/>
      <c r="F38" s="144"/>
      <c r="G38" s="143"/>
      <c r="H38" s="144"/>
      <c r="I38" s="143"/>
      <c r="J38" s="144"/>
      <c r="K38" s="143"/>
      <c r="L38" s="144"/>
      <c r="M38" s="143"/>
      <c r="N38" s="101"/>
    </row>
    <row r="39" spans="1:14" s="17" customFormat="1" ht="15.75" customHeight="1">
      <c r="A39" s="11" t="s">
        <v>48</v>
      </c>
      <c r="B39" s="125">
        <f>_xlfn.COMPOUNDVALUE(105)</f>
        <v>634</v>
      </c>
      <c r="C39" s="103">
        <v>231083</v>
      </c>
      <c r="D39" s="125">
        <f>_xlfn.COMPOUNDVALUE(106)</f>
        <v>988</v>
      </c>
      <c r="E39" s="103">
        <v>267069</v>
      </c>
      <c r="F39" s="125">
        <f>_xlfn.COMPOUNDVALUE(107)</f>
        <v>1622</v>
      </c>
      <c r="G39" s="103">
        <v>498153</v>
      </c>
      <c r="H39" s="125">
        <f>_xlfn.COMPOUNDVALUE(108)</f>
        <v>27</v>
      </c>
      <c r="I39" s="133">
        <v>6070</v>
      </c>
      <c r="J39" s="125">
        <v>112</v>
      </c>
      <c r="K39" s="133">
        <v>22480</v>
      </c>
      <c r="L39" s="125">
        <v>1704</v>
      </c>
      <c r="M39" s="133">
        <v>514562</v>
      </c>
      <c r="N39" s="12" t="s">
        <v>178</v>
      </c>
    </row>
    <row r="40" spans="1:14" s="17" customFormat="1" ht="15.75" customHeight="1">
      <c r="A40" s="13" t="s">
        <v>49</v>
      </c>
      <c r="B40" s="134">
        <f>_xlfn.COMPOUNDVALUE(109)</f>
        <v>424</v>
      </c>
      <c r="C40" s="105">
        <v>130362</v>
      </c>
      <c r="D40" s="134">
        <f>_xlfn.COMPOUNDVALUE(110)</f>
        <v>1198</v>
      </c>
      <c r="E40" s="105">
        <v>306459</v>
      </c>
      <c r="F40" s="134">
        <f>_xlfn.COMPOUNDVALUE(111)</f>
        <v>1622</v>
      </c>
      <c r="G40" s="105">
        <v>436821</v>
      </c>
      <c r="H40" s="134">
        <f>_xlfn.COMPOUNDVALUE(112)</f>
        <v>22</v>
      </c>
      <c r="I40" s="135">
        <v>5221</v>
      </c>
      <c r="J40" s="134">
        <v>75</v>
      </c>
      <c r="K40" s="135">
        <v>10443</v>
      </c>
      <c r="L40" s="134">
        <v>1694</v>
      </c>
      <c r="M40" s="135">
        <v>442043</v>
      </c>
      <c r="N40" s="14" t="s">
        <v>179</v>
      </c>
    </row>
    <row r="41" spans="1:14" s="17" customFormat="1" ht="15.75" customHeight="1">
      <c r="A41" s="13" t="s">
        <v>50</v>
      </c>
      <c r="B41" s="134">
        <f>_xlfn.COMPOUNDVALUE(113)</f>
        <v>320</v>
      </c>
      <c r="C41" s="105">
        <v>110878</v>
      </c>
      <c r="D41" s="134">
        <f>_xlfn.COMPOUNDVALUE(114)</f>
        <v>653</v>
      </c>
      <c r="E41" s="105">
        <v>150713</v>
      </c>
      <c r="F41" s="134">
        <f>_xlfn.COMPOUNDVALUE(115)</f>
        <v>973</v>
      </c>
      <c r="G41" s="105">
        <v>261591</v>
      </c>
      <c r="H41" s="134">
        <f>_xlfn.COMPOUNDVALUE(116)</f>
        <v>35</v>
      </c>
      <c r="I41" s="135">
        <v>6762</v>
      </c>
      <c r="J41" s="134">
        <v>53</v>
      </c>
      <c r="K41" s="135">
        <v>2755</v>
      </c>
      <c r="L41" s="134">
        <v>1019</v>
      </c>
      <c r="M41" s="135">
        <v>257585</v>
      </c>
      <c r="N41" s="14" t="s">
        <v>180</v>
      </c>
    </row>
    <row r="42" spans="1:14" s="17" customFormat="1" ht="15.75" customHeight="1">
      <c r="A42" s="13" t="s">
        <v>51</v>
      </c>
      <c r="B42" s="134">
        <f>_xlfn.COMPOUNDVALUE(117)</f>
        <v>307</v>
      </c>
      <c r="C42" s="105">
        <v>105630</v>
      </c>
      <c r="D42" s="134">
        <f>_xlfn.COMPOUNDVALUE(118)</f>
        <v>666</v>
      </c>
      <c r="E42" s="105">
        <v>152800</v>
      </c>
      <c r="F42" s="134">
        <f>_xlfn.COMPOUNDVALUE(119)</f>
        <v>973</v>
      </c>
      <c r="G42" s="105">
        <v>258430</v>
      </c>
      <c r="H42" s="134">
        <f>_xlfn.COMPOUNDVALUE(120)</f>
        <v>30</v>
      </c>
      <c r="I42" s="135">
        <v>4399</v>
      </c>
      <c r="J42" s="134">
        <v>64</v>
      </c>
      <c r="K42" s="135">
        <v>5260</v>
      </c>
      <c r="L42" s="134">
        <v>1017</v>
      </c>
      <c r="M42" s="135">
        <v>259290</v>
      </c>
      <c r="N42" s="14" t="s">
        <v>181</v>
      </c>
    </row>
    <row r="43" spans="1:14" s="17" customFormat="1" ht="15.75" customHeight="1">
      <c r="A43" s="13" t="s">
        <v>52</v>
      </c>
      <c r="B43" s="134">
        <f>_xlfn.COMPOUNDVALUE(121)</f>
        <v>393</v>
      </c>
      <c r="C43" s="105">
        <v>138106</v>
      </c>
      <c r="D43" s="134">
        <f>_xlfn.COMPOUNDVALUE(122)</f>
        <v>864</v>
      </c>
      <c r="E43" s="105">
        <v>212112</v>
      </c>
      <c r="F43" s="134">
        <f>_xlfn.COMPOUNDVALUE(123)</f>
        <v>1257</v>
      </c>
      <c r="G43" s="105">
        <v>350218</v>
      </c>
      <c r="H43" s="134">
        <f>_xlfn.COMPOUNDVALUE(124)</f>
        <v>21</v>
      </c>
      <c r="I43" s="135">
        <v>6287</v>
      </c>
      <c r="J43" s="134">
        <v>66</v>
      </c>
      <c r="K43" s="135">
        <v>6380</v>
      </c>
      <c r="L43" s="134">
        <v>1294</v>
      </c>
      <c r="M43" s="135">
        <v>350311</v>
      </c>
      <c r="N43" s="14" t="s">
        <v>182</v>
      </c>
    </row>
    <row r="44" spans="1:14" s="17" customFormat="1" ht="15.75" customHeight="1">
      <c r="A44" s="13" t="s">
        <v>53</v>
      </c>
      <c r="B44" s="134">
        <f>_xlfn.COMPOUNDVALUE(125)</f>
        <v>366</v>
      </c>
      <c r="C44" s="105">
        <v>138350</v>
      </c>
      <c r="D44" s="134">
        <f>_xlfn.COMPOUNDVALUE(126)</f>
        <v>727</v>
      </c>
      <c r="E44" s="105">
        <v>154052</v>
      </c>
      <c r="F44" s="134">
        <f>_xlfn.COMPOUNDVALUE(127)</f>
        <v>1093</v>
      </c>
      <c r="G44" s="105">
        <v>292401</v>
      </c>
      <c r="H44" s="134">
        <f>_xlfn.COMPOUNDVALUE(128)</f>
        <v>21</v>
      </c>
      <c r="I44" s="135">
        <v>2368</v>
      </c>
      <c r="J44" s="134">
        <v>55</v>
      </c>
      <c r="K44" s="135">
        <v>6166</v>
      </c>
      <c r="L44" s="134">
        <v>1139</v>
      </c>
      <c r="M44" s="135">
        <v>296199</v>
      </c>
      <c r="N44" s="14" t="s">
        <v>183</v>
      </c>
    </row>
    <row r="45" spans="1:14" s="17" customFormat="1" ht="15.75" customHeight="1">
      <c r="A45" s="13" t="s">
        <v>54</v>
      </c>
      <c r="B45" s="134">
        <f>_xlfn.COMPOUNDVALUE(129)</f>
        <v>287</v>
      </c>
      <c r="C45" s="105">
        <v>88228</v>
      </c>
      <c r="D45" s="134">
        <f>_xlfn.COMPOUNDVALUE(130)</f>
        <v>478</v>
      </c>
      <c r="E45" s="105">
        <v>109983</v>
      </c>
      <c r="F45" s="134">
        <f>_xlfn.COMPOUNDVALUE(131)</f>
        <v>765</v>
      </c>
      <c r="G45" s="105">
        <v>198211</v>
      </c>
      <c r="H45" s="134">
        <f>_xlfn.COMPOUNDVALUE(132)</f>
        <v>20</v>
      </c>
      <c r="I45" s="135">
        <v>4410</v>
      </c>
      <c r="J45" s="134">
        <v>24</v>
      </c>
      <c r="K45" s="135">
        <v>3219</v>
      </c>
      <c r="L45" s="134">
        <v>797</v>
      </c>
      <c r="M45" s="135">
        <v>197020</v>
      </c>
      <c r="N45" s="14" t="s">
        <v>184</v>
      </c>
    </row>
    <row r="46" spans="1:14" s="17" customFormat="1" ht="15.75" customHeight="1">
      <c r="A46" s="13" t="s">
        <v>55</v>
      </c>
      <c r="B46" s="134">
        <f>_xlfn.COMPOUNDVALUE(133)</f>
        <v>390</v>
      </c>
      <c r="C46" s="105">
        <v>137196</v>
      </c>
      <c r="D46" s="134">
        <f>_xlfn.COMPOUNDVALUE(134)</f>
        <v>883</v>
      </c>
      <c r="E46" s="105">
        <v>207965</v>
      </c>
      <c r="F46" s="134">
        <f>_xlfn.COMPOUNDVALUE(135)</f>
        <v>1273</v>
      </c>
      <c r="G46" s="105">
        <v>345161</v>
      </c>
      <c r="H46" s="134">
        <f>_xlfn.COMPOUNDVALUE(136)</f>
        <v>10</v>
      </c>
      <c r="I46" s="135">
        <v>702</v>
      </c>
      <c r="J46" s="134">
        <v>69</v>
      </c>
      <c r="K46" s="135">
        <v>3952</v>
      </c>
      <c r="L46" s="134">
        <v>1307</v>
      </c>
      <c r="M46" s="135">
        <v>348412</v>
      </c>
      <c r="N46" s="14" t="s">
        <v>185</v>
      </c>
    </row>
    <row r="47" spans="1:14" s="17" customFormat="1" ht="15.75" customHeight="1">
      <c r="A47" s="15" t="s">
        <v>56</v>
      </c>
      <c r="B47" s="136">
        <v>3121</v>
      </c>
      <c r="C47" s="137">
        <v>1079833</v>
      </c>
      <c r="D47" s="136">
        <v>6457</v>
      </c>
      <c r="E47" s="137">
        <v>1561153</v>
      </c>
      <c r="F47" s="136">
        <v>9578</v>
      </c>
      <c r="G47" s="137">
        <v>2640986</v>
      </c>
      <c r="H47" s="136">
        <v>186</v>
      </c>
      <c r="I47" s="138">
        <v>36219</v>
      </c>
      <c r="J47" s="136">
        <v>518</v>
      </c>
      <c r="K47" s="138">
        <v>60654</v>
      </c>
      <c r="L47" s="136">
        <v>9971</v>
      </c>
      <c r="M47" s="138">
        <v>2665421</v>
      </c>
      <c r="N47" s="16" t="s">
        <v>186</v>
      </c>
    </row>
    <row r="48" spans="1:14" s="17" customFormat="1" ht="15.75" customHeight="1">
      <c r="A48" s="23"/>
      <c r="B48" s="139"/>
      <c r="C48" s="140"/>
      <c r="D48" s="139"/>
      <c r="E48" s="140"/>
      <c r="F48" s="141"/>
      <c r="G48" s="140"/>
      <c r="H48" s="141"/>
      <c r="I48" s="140"/>
      <c r="J48" s="141"/>
      <c r="K48" s="140"/>
      <c r="L48" s="141"/>
      <c r="M48" s="140"/>
      <c r="N48" s="24"/>
    </row>
    <row r="49" spans="1:14" s="17" customFormat="1" ht="15.75" customHeight="1">
      <c r="A49" s="11" t="s">
        <v>57</v>
      </c>
      <c r="B49" s="125">
        <f>_xlfn.COMPOUNDVALUE(137)</f>
        <v>995</v>
      </c>
      <c r="C49" s="103">
        <v>364844</v>
      </c>
      <c r="D49" s="125">
        <f>_xlfn.COMPOUNDVALUE(138)</f>
        <v>2143</v>
      </c>
      <c r="E49" s="103">
        <v>505529</v>
      </c>
      <c r="F49" s="125">
        <f>_xlfn.COMPOUNDVALUE(139)</f>
        <v>3138</v>
      </c>
      <c r="G49" s="103">
        <v>870372</v>
      </c>
      <c r="H49" s="125">
        <f>_xlfn.COMPOUNDVALUE(140)</f>
        <v>35</v>
      </c>
      <c r="I49" s="133">
        <v>7408</v>
      </c>
      <c r="J49" s="125">
        <v>107</v>
      </c>
      <c r="K49" s="133">
        <v>22433</v>
      </c>
      <c r="L49" s="125">
        <v>3221</v>
      </c>
      <c r="M49" s="133">
        <v>885397</v>
      </c>
      <c r="N49" s="25" t="s">
        <v>187</v>
      </c>
    </row>
    <row r="50" spans="1:14" s="17" customFormat="1" ht="15.75" customHeight="1">
      <c r="A50" s="13" t="s">
        <v>58</v>
      </c>
      <c r="B50" s="134">
        <f>_xlfn.COMPOUNDVALUE(141)</f>
        <v>548</v>
      </c>
      <c r="C50" s="105">
        <v>193444</v>
      </c>
      <c r="D50" s="134">
        <f>_xlfn.COMPOUNDVALUE(142)</f>
        <v>1026</v>
      </c>
      <c r="E50" s="105">
        <v>245503</v>
      </c>
      <c r="F50" s="134">
        <f>_xlfn.COMPOUNDVALUE(143)</f>
        <v>1574</v>
      </c>
      <c r="G50" s="105">
        <v>438946</v>
      </c>
      <c r="H50" s="134">
        <f>_xlfn.COMPOUNDVALUE(144)</f>
        <v>43</v>
      </c>
      <c r="I50" s="135">
        <v>6181</v>
      </c>
      <c r="J50" s="134">
        <v>59</v>
      </c>
      <c r="K50" s="135">
        <v>7794</v>
      </c>
      <c r="L50" s="134">
        <v>1656</v>
      </c>
      <c r="M50" s="135">
        <v>440560</v>
      </c>
      <c r="N50" s="14" t="s">
        <v>188</v>
      </c>
    </row>
    <row r="51" spans="1:14" s="17" customFormat="1" ht="15.75" customHeight="1">
      <c r="A51" s="13" t="s">
        <v>59</v>
      </c>
      <c r="B51" s="134">
        <f>_xlfn.COMPOUNDVALUE(145)</f>
        <v>508</v>
      </c>
      <c r="C51" s="105">
        <v>194126</v>
      </c>
      <c r="D51" s="134">
        <f>_xlfn.COMPOUNDVALUE(146)</f>
        <v>1190</v>
      </c>
      <c r="E51" s="105">
        <v>274711</v>
      </c>
      <c r="F51" s="134">
        <f>_xlfn.COMPOUNDVALUE(147)</f>
        <v>1698</v>
      </c>
      <c r="G51" s="105">
        <v>468837</v>
      </c>
      <c r="H51" s="134">
        <f>_xlfn.COMPOUNDVALUE(148)</f>
        <v>36</v>
      </c>
      <c r="I51" s="135">
        <v>7703</v>
      </c>
      <c r="J51" s="134">
        <v>101</v>
      </c>
      <c r="K51" s="135">
        <v>17308</v>
      </c>
      <c r="L51" s="134">
        <v>1787</v>
      </c>
      <c r="M51" s="135">
        <v>478442</v>
      </c>
      <c r="N51" s="14" t="s">
        <v>189</v>
      </c>
    </row>
    <row r="52" spans="1:14" s="17" customFormat="1" ht="15.75" customHeight="1">
      <c r="A52" s="13" t="s">
        <v>60</v>
      </c>
      <c r="B52" s="134">
        <f>_xlfn.COMPOUNDVALUE(149)</f>
        <v>391</v>
      </c>
      <c r="C52" s="105">
        <v>117410</v>
      </c>
      <c r="D52" s="134">
        <f>_xlfn.COMPOUNDVALUE(150)</f>
        <v>795</v>
      </c>
      <c r="E52" s="105">
        <v>173508</v>
      </c>
      <c r="F52" s="134">
        <f>_xlfn.COMPOUNDVALUE(151)</f>
        <v>1186</v>
      </c>
      <c r="G52" s="105">
        <v>290918</v>
      </c>
      <c r="H52" s="134">
        <f>_xlfn.COMPOUNDVALUE(152)</f>
        <v>25</v>
      </c>
      <c r="I52" s="135">
        <v>3796</v>
      </c>
      <c r="J52" s="134">
        <v>64</v>
      </c>
      <c r="K52" s="135">
        <v>3826</v>
      </c>
      <c r="L52" s="134">
        <v>1244</v>
      </c>
      <c r="M52" s="135">
        <v>290947</v>
      </c>
      <c r="N52" s="14" t="s">
        <v>190</v>
      </c>
    </row>
    <row r="53" spans="1:14" s="17" customFormat="1" ht="15.75" customHeight="1">
      <c r="A53" s="13" t="s">
        <v>61</v>
      </c>
      <c r="B53" s="134">
        <f>_xlfn.COMPOUNDVALUE(153)</f>
        <v>401</v>
      </c>
      <c r="C53" s="105">
        <v>156183</v>
      </c>
      <c r="D53" s="134">
        <f>_xlfn.COMPOUNDVALUE(154)</f>
        <v>637</v>
      </c>
      <c r="E53" s="105">
        <v>159886</v>
      </c>
      <c r="F53" s="134">
        <f>_xlfn.COMPOUNDVALUE(155)</f>
        <v>1038</v>
      </c>
      <c r="G53" s="105">
        <v>316068</v>
      </c>
      <c r="H53" s="134">
        <f>_xlfn.COMPOUNDVALUE(156)</f>
        <v>13</v>
      </c>
      <c r="I53" s="135">
        <v>3149</v>
      </c>
      <c r="J53" s="134">
        <v>57</v>
      </c>
      <c r="K53" s="135">
        <v>5103</v>
      </c>
      <c r="L53" s="134">
        <v>1070</v>
      </c>
      <c r="M53" s="135">
        <v>318022</v>
      </c>
      <c r="N53" s="14" t="s">
        <v>191</v>
      </c>
    </row>
    <row r="54" spans="1:14" s="17" customFormat="1" ht="15.75" customHeight="1">
      <c r="A54" s="13" t="s">
        <v>62</v>
      </c>
      <c r="B54" s="134">
        <f>_xlfn.COMPOUNDVALUE(157)</f>
        <v>266</v>
      </c>
      <c r="C54" s="105">
        <v>93952</v>
      </c>
      <c r="D54" s="134">
        <f>_xlfn.COMPOUNDVALUE(158)</f>
        <v>665</v>
      </c>
      <c r="E54" s="105">
        <v>152817</v>
      </c>
      <c r="F54" s="134">
        <f>_xlfn.COMPOUNDVALUE(159)</f>
        <v>931</v>
      </c>
      <c r="G54" s="105">
        <v>246769</v>
      </c>
      <c r="H54" s="134">
        <f>_xlfn.COMPOUNDVALUE(160)</f>
        <v>19</v>
      </c>
      <c r="I54" s="135">
        <v>8248</v>
      </c>
      <c r="J54" s="134">
        <v>73</v>
      </c>
      <c r="K54" s="135">
        <v>5674</v>
      </c>
      <c r="L54" s="134">
        <v>977</v>
      </c>
      <c r="M54" s="135">
        <v>244194</v>
      </c>
      <c r="N54" s="14" t="s">
        <v>192</v>
      </c>
    </row>
    <row r="55" spans="1:14" s="17" customFormat="1" ht="15.75" customHeight="1">
      <c r="A55" s="13" t="s">
        <v>63</v>
      </c>
      <c r="B55" s="134">
        <f>_xlfn.COMPOUNDVALUE(161)</f>
        <v>412</v>
      </c>
      <c r="C55" s="105">
        <v>159942</v>
      </c>
      <c r="D55" s="134">
        <f>_xlfn.COMPOUNDVALUE(162)</f>
        <v>855</v>
      </c>
      <c r="E55" s="105">
        <v>206599</v>
      </c>
      <c r="F55" s="134">
        <f>_xlfn.COMPOUNDVALUE(163)</f>
        <v>1267</v>
      </c>
      <c r="G55" s="105">
        <v>366541</v>
      </c>
      <c r="H55" s="134">
        <f>_xlfn.COMPOUNDVALUE(164)</f>
        <v>26</v>
      </c>
      <c r="I55" s="135">
        <v>9069</v>
      </c>
      <c r="J55" s="134">
        <v>74</v>
      </c>
      <c r="K55" s="135">
        <v>13550</v>
      </c>
      <c r="L55" s="134">
        <v>1316</v>
      </c>
      <c r="M55" s="135">
        <v>371022</v>
      </c>
      <c r="N55" s="14" t="s">
        <v>193</v>
      </c>
    </row>
    <row r="56" spans="1:14" s="17" customFormat="1" ht="15.75" customHeight="1">
      <c r="A56" s="13" t="s">
        <v>64</v>
      </c>
      <c r="B56" s="134">
        <f>_xlfn.COMPOUNDVALUE(165)</f>
        <v>240</v>
      </c>
      <c r="C56" s="105">
        <v>73674</v>
      </c>
      <c r="D56" s="134">
        <f>_xlfn.COMPOUNDVALUE(166)</f>
        <v>446</v>
      </c>
      <c r="E56" s="105">
        <v>105321</v>
      </c>
      <c r="F56" s="134">
        <f>_xlfn.COMPOUNDVALUE(167)</f>
        <v>686</v>
      </c>
      <c r="G56" s="105">
        <v>178995</v>
      </c>
      <c r="H56" s="134">
        <f>_xlfn.COMPOUNDVALUE(168)</f>
        <v>36</v>
      </c>
      <c r="I56" s="135">
        <v>15136</v>
      </c>
      <c r="J56" s="134">
        <v>27</v>
      </c>
      <c r="K56" s="135">
        <v>3530</v>
      </c>
      <c r="L56" s="134">
        <v>737</v>
      </c>
      <c r="M56" s="135">
        <v>167389</v>
      </c>
      <c r="N56" s="14" t="s">
        <v>194</v>
      </c>
    </row>
    <row r="57" spans="1:14" s="17" customFormat="1" ht="15.75" customHeight="1">
      <c r="A57" s="15" t="s">
        <v>65</v>
      </c>
      <c r="B57" s="136">
        <v>3761</v>
      </c>
      <c r="C57" s="137">
        <v>1353574</v>
      </c>
      <c r="D57" s="136">
        <v>7757</v>
      </c>
      <c r="E57" s="137">
        <v>1823872</v>
      </c>
      <c r="F57" s="136">
        <v>11518</v>
      </c>
      <c r="G57" s="137">
        <v>3177446</v>
      </c>
      <c r="H57" s="136">
        <v>233</v>
      </c>
      <c r="I57" s="138">
        <v>60690</v>
      </c>
      <c r="J57" s="136">
        <v>562</v>
      </c>
      <c r="K57" s="138">
        <v>79218</v>
      </c>
      <c r="L57" s="136">
        <v>12008</v>
      </c>
      <c r="M57" s="138">
        <v>3195974</v>
      </c>
      <c r="N57" s="16" t="s">
        <v>195</v>
      </c>
    </row>
    <row r="58" spans="1:14" s="17" customFormat="1" ht="15.75" customHeight="1">
      <c r="A58" s="23"/>
      <c r="B58" s="139"/>
      <c r="C58" s="140"/>
      <c r="D58" s="139"/>
      <c r="E58" s="140"/>
      <c r="F58" s="141"/>
      <c r="G58" s="140"/>
      <c r="H58" s="141"/>
      <c r="I58" s="140"/>
      <c r="J58" s="141"/>
      <c r="K58" s="140"/>
      <c r="L58" s="141"/>
      <c r="M58" s="140"/>
      <c r="N58" s="24"/>
    </row>
    <row r="59" spans="1:14" s="17" customFormat="1" ht="15.75" customHeight="1">
      <c r="A59" s="11" t="s">
        <v>66</v>
      </c>
      <c r="B59" s="125">
        <f>_xlfn.COMPOUNDVALUE(169)</f>
        <v>835</v>
      </c>
      <c r="C59" s="103">
        <v>293768</v>
      </c>
      <c r="D59" s="125">
        <f>_xlfn.COMPOUNDVALUE(170)</f>
        <v>1782</v>
      </c>
      <c r="E59" s="103">
        <v>410363</v>
      </c>
      <c r="F59" s="125">
        <f>_xlfn.COMPOUNDVALUE(171)</f>
        <v>2617</v>
      </c>
      <c r="G59" s="103">
        <v>704132</v>
      </c>
      <c r="H59" s="125">
        <f>_xlfn.COMPOUNDVALUE(172)</f>
        <v>69</v>
      </c>
      <c r="I59" s="133">
        <v>28236</v>
      </c>
      <c r="J59" s="125">
        <v>263</v>
      </c>
      <c r="K59" s="133">
        <v>34815</v>
      </c>
      <c r="L59" s="125">
        <v>2821</v>
      </c>
      <c r="M59" s="133">
        <v>710711</v>
      </c>
      <c r="N59" s="25" t="s">
        <v>197</v>
      </c>
    </row>
    <row r="60" spans="1:14" s="17" customFormat="1" ht="15.75" customHeight="1">
      <c r="A60" s="11" t="s">
        <v>67</v>
      </c>
      <c r="B60" s="125">
        <f>_xlfn.COMPOUNDVALUE(173)</f>
        <v>485</v>
      </c>
      <c r="C60" s="103">
        <v>181584</v>
      </c>
      <c r="D60" s="125">
        <f>_xlfn.COMPOUNDVALUE(174)</f>
        <v>1196</v>
      </c>
      <c r="E60" s="103">
        <v>284371</v>
      </c>
      <c r="F60" s="125">
        <f>_xlfn.COMPOUNDVALUE(175)</f>
        <v>1681</v>
      </c>
      <c r="G60" s="103">
        <v>465955</v>
      </c>
      <c r="H60" s="125">
        <f>_xlfn.COMPOUNDVALUE(176)</f>
        <v>40</v>
      </c>
      <c r="I60" s="133">
        <v>13820</v>
      </c>
      <c r="J60" s="125">
        <v>130</v>
      </c>
      <c r="K60" s="133">
        <v>19293</v>
      </c>
      <c r="L60" s="125">
        <v>1783</v>
      </c>
      <c r="M60" s="133">
        <v>471428</v>
      </c>
      <c r="N60" s="12" t="s">
        <v>198</v>
      </c>
    </row>
    <row r="61" spans="1:14" s="17" customFormat="1" ht="15.75" customHeight="1">
      <c r="A61" s="11" t="s">
        <v>68</v>
      </c>
      <c r="B61" s="125">
        <f>_xlfn.COMPOUNDVALUE(177)</f>
        <v>900</v>
      </c>
      <c r="C61" s="103">
        <v>309907</v>
      </c>
      <c r="D61" s="125">
        <f>_xlfn.COMPOUNDVALUE(62)</f>
        <v>1596</v>
      </c>
      <c r="E61" s="103">
        <v>410640</v>
      </c>
      <c r="F61" s="125">
        <f>_xlfn.COMPOUNDVALUE(178)</f>
        <v>2496</v>
      </c>
      <c r="G61" s="103">
        <v>720547</v>
      </c>
      <c r="H61" s="125">
        <f>_xlfn.COMPOUNDVALUE(179)</f>
        <v>114</v>
      </c>
      <c r="I61" s="133">
        <v>65737</v>
      </c>
      <c r="J61" s="125">
        <v>193</v>
      </c>
      <c r="K61" s="133">
        <v>39907</v>
      </c>
      <c r="L61" s="125">
        <v>2751</v>
      </c>
      <c r="M61" s="133">
        <v>694717</v>
      </c>
      <c r="N61" s="12" t="s">
        <v>199</v>
      </c>
    </row>
    <row r="62" spans="1:14" s="17" customFormat="1" ht="15.75" customHeight="1">
      <c r="A62" s="13" t="s">
        <v>69</v>
      </c>
      <c r="B62" s="134">
        <f>_xlfn.COMPOUNDVALUE(180)</f>
        <v>836</v>
      </c>
      <c r="C62" s="105">
        <v>291606</v>
      </c>
      <c r="D62" s="134">
        <f>_xlfn.COMPOUNDVALUE(181)</f>
        <v>1374</v>
      </c>
      <c r="E62" s="105">
        <v>386294</v>
      </c>
      <c r="F62" s="134">
        <f>_xlfn.COMPOUNDVALUE(182)</f>
        <v>2210</v>
      </c>
      <c r="G62" s="105">
        <v>677900</v>
      </c>
      <c r="H62" s="134">
        <f>_xlfn.COMPOUNDVALUE(183)</f>
        <v>57</v>
      </c>
      <c r="I62" s="135">
        <v>17360</v>
      </c>
      <c r="J62" s="134">
        <v>222</v>
      </c>
      <c r="K62" s="135">
        <v>28306</v>
      </c>
      <c r="L62" s="134">
        <v>2421</v>
      </c>
      <c r="M62" s="135">
        <v>688847</v>
      </c>
      <c r="N62" s="14" t="s">
        <v>69</v>
      </c>
    </row>
    <row r="63" spans="1:14" s="17" customFormat="1" ht="15.75" customHeight="1">
      <c r="A63" s="13" t="s">
        <v>70</v>
      </c>
      <c r="B63" s="134">
        <f>_xlfn.COMPOUNDVALUE(184)</f>
        <v>467</v>
      </c>
      <c r="C63" s="105">
        <v>156724</v>
      </c>
      <c r="D63" s="134">
        <f>_xlfn.COMPOUNDVALUE(185)</f>
        <v>943</v>
      </c>
      <c r="E63" s="105">
        <v>232541</v>
      </c>
      <c r="F63" s="134">
        <f>_xlfn.COMPOUNDVALUE(186)</f>
        <v>1410</v>
      </c>
      <c r="G63" s="105">
        <v>389265</v>
      </c>
      <c r="H63" s="134">
        <f>_xlfn.COMPOUNDVALUE(187)</f>
        <v>82</v>
      </c>
      <c r="I63" s="135">
        <v>30089</v>
      </c>
      <c r="J63" s="134">
        <v>79</v>
      </c>
      <c r="K63" s="135">
        <v>8208</v>
      </c>
      <c r="L63" s="134">
        <v>1538</v>
      </c>
      <c r="M63" s="135">
        <v>367384</v>
      </c>
      <c r="N63" s="14" t="s">
        <v>200</v>
      </c>
    </row>
    <row r="64" spans="1:14" s="17" customFormat="1" ht="15.75" customHeight="1">
      <c r="A64" s="13" t="s">
        <v>71</v>
      </c>
      <c r="B64" s="134">
        <f>_xlfn.COMPOUNDVALUE(188)</f>
        <v>414</v>
      </c>
      <c r="C64" s="105">
        <v>115794</v>
      </c>
      <c r="D64" s="134">
        <f>_xlfn.COMPOUNDVALUE(189)</f>
        <v>760</v>
      </c>
      <c r="E64" s="105">
        <v>173025</v>
      </c>
      <c r="F64" s="134">
        <f>_xlfn.COMPOUNDVALUE(190)</f>
        <v>1174</v>
      </c>
      <c r="G64" s="105">
        <v>288819</v>
      </c>
      <c r="H64" s="134">
        <f>_xlfn.COMPOUNDVALUE(191)</f>
        <v>49</v>
      </c>
      <c r="I64" s="135">
        <v>18978</v>
      </c>
      <c r="J64" s="134">
        <v>88</v>
      </c>
      <c r="K64" s="135">
        <v>6433</v>
      </c>
      <c r="L64" s="134">
        <v>1288</v>
      </c>
      <c r="M64" s="135">
        <v>276273</v>
      </c>
      <c r="N64" s="14" t="s">
        <v>201</v>
      </c>
    </row>
    <row r="65" spans="1:14" s="17" customFormat="1" ht="15.75" customHeight="1">
      <c r="A65" s="13" t="s">
        <v>72</v>
      </c>
      <c r="B65" s="134">
        <f>_xlfn.COMPOUNDVALUE(192)</f>
        <v>192</v>
      </c>
      <c r="C65" s="105">
        <v>46580</v>
      </c>
      <c r="D65" s="134">
        <f>_xlfn.COMPOUNDVALUE(193)</f>
        <v>377</v>
      </c>
      <c r="E65" s="105">
        <v>81099</v>
      </c>
      <c r="F65" s="134">
        <f>_xlfn.COMPOUNDVALUE(194)</f>
        <v>569</v>
      </c>
      <c r="G65" s="105">
        <v>127679</v>
      </c>
      <c r="H65" s="134">
        <f>_xlfn.COMPOUNDVALUE(195)</f>
        <v>31</v>
      </c>
      <c r="I65" s="135">
        <v>10157</v>
      </c>
      <c r="J65" s="134">
        <v>17</v>
      </c>
      <c r="K65" s="135">
        <v>1945</v>
      </c>
      <c r="L65" s="134">
        <v>612</v>
      </c>
      <c r="M65" s="135">
        <v>119467</v>
      </c>
      <c r="N65" s="14" t="s">
        <v>202</v>
      </c>
    </row>
    <row r="66" spans="1:14" s="17" customFormat="1" ht="15.75" customHeight="1">
      <c r="A66" s="13" t="s">
        <v>73</v>
      </c>
      <c r="B66" s="134">
        <f>_xlfn.COMPOUNDVALUE(196)</f>
        <v>281</v>
      </c>
      <c r="C66" s="105">
        <v>118462</v>
      </c>
      <c r="D66" s="134">
        <f>_xlfn.COMPOUNDVALUE(197)</f>
        <v>698</v>
      </c>
      <c r="E66" s="105">
        <v>143828</v>
      </c>
      <c r="F66" s="134">
        <f>_xlfn.COMPOUNDVALUE(198)</f>
        <v>979</v>
      </c>
      <c r="G66" s="105">
        <v>262289</v>
      </c>
      <c r="H66" s="134">
        <f>_xlfn.COMPOUNDVALUE(199)</f>
        <v>122</v>
      </c>
      <c r="I66" s="135">
        <v>51826</v>
      </c>
      <c r="J66" s="134">
        <v>65</v>
      </c>
      <c r="K66" s="135">
        <v>3718</v>
      </c>
      <c r="L66" s="134">
        <v>1140</v>
      </c>
      <c r="M66" s="135">
        <v>214181</v>
      </c>
      <c r="N66" s="14" t="s">
        <v>203</v>
      </c>
    </row>
    <row r="67" spans="1:14" s="17" customFormat="1" ht="15.75" customHeight="1">
      <c r="A67" s="13" t="s">
        <v>74</v>
      </c>
      <c r="B67" s="134">
        <f>_xlfn.COMPOUNDVALUE(200)</f>
        <v>253</v>
      </c>
      <c r="C67" s="105">
        <v>82611</v>
      </c>
      <c r="D67" s="134">
        <f>_xlfn.COMPOUNDVALUE(201)</f>
        <v>486</v>
      </c>
      <c r="E67" s="105">
        <v>113781</v>
      </c>
      <c r="F67" s="134">
        <f>_xlfn.COMPOUNDVALUE(202)</f>
        <v>739</v>
      </c>
      <c r="G67" s="105">
        <v>196392</v>
      </c>
      <c r="H67" s="134">
        <f>_xlfn.COMPOUNDVALUE(203)</f>
        <v>50</v>
      </c>
      <c r="I67" s="135">
        <v>27896</v>
      </c>
      <c r="J67" s="134">
        <v>68</v>
      </c>
      <c r="K67" s="135">
        <v>12620</v>
      </c>
      <c r="L67" s="134">
        <v>831</v>
      </c>
      <c r="M67" s="135">
        <v>181116</v>
      </c>
      <c r="N67" s="14" t="s">
        <v>204</v>
      </c>
    </row>
    <row r="68" spans="1:14" s="17" customFormat="1" ht="15.75" customHeight="1">
      <c r="A68" s="13" t="s">
        <v>75</v>
      </c>
      <c r="B68" s="134">
        <f>_xlfn.COMPOUNDVALUE(204)</f>
        <v>115</v>
      </c>
      <c r="C68" s="105">
        <v>43775</v>
      </c>
      <c r="D68" s="134">
        <f>_xlfn.COMPOUNDVALUE(205)</f>
        <v>235</v>
      </c>
      <c r="E68" s="105">
        <v>52008</v>
      </c>
      <c r="F68" s="134">
        <f>_xlfn.COMPOUNDVALUE(206)</f>
        <v>350</v>
      </c>
      <c r="G68" s="105">
        <v>95783</v>
      </c>
      <c r="H68" s="134">
        <f>_xlfn.COMPOUNDVALUE(207)</f>
        <v>6</v>
      </c>
      <c r="I68" s="135">
        <v>1239</v>
      </c>
      <c r="J68" s="134">
        <v>3</v>
      </c>
      <c r="K68" s="135">
        <v>76</v>
      </c>
      <c r="L68" s="134">
        <v>356</v>
      </c>
      <c r="M68" s="135">
        <v>94620</v>
      </c>
      <c r="N68" s="14" t="s">
        <v>205</v>
      </c>
    </row>
    <row r="69" spans="1:14" s="17" customFormat="1" ht="15.75" customHeight="1">
      <c r="A69" s="15" t="s">
        <v>76</v>
      </c>
      <c r="B69" s="136">
        <v>4778</v>
      </c>
      <c r="C69" s="137">
        <v>1640811</v>
      </c>
      <c r="D69" s="136">
        <v>9447</v>
      </c>
      <c r="E69" s="137">
        <v>2287950</v>
      </c>
      <c r="F69" s="136">
        <v>14225</v>
      </c>
      <c r="G69" s="137">
        <v>3928761</v>
      </c>
      <c r="H69" s="136">
        <v>620</v>
      </c>
      <c r="I69" s="138">
        <v>265338</v>
      </c>
      <c r="J69" s="136">
        <v>1128</v>
      </c>
      <c r="K69" s="138">
        <v>155320</v>
      </c>
      <c r="L69" s="136">
        <v>15541</v>
      </c>
      <c r="M69" s="138">
        <v>3818743</v>
      </c>
      <c r="N69" s="16" t="s">
        <v>206</v>
      </c>
    </row>
    <row r="70" spans="1:15" s="17" customFormat="1" ht="15.75" customHeight="1" thickBot="1">
      <c r="A70" s="18"/>
      <c r="B70" s="145"/>
      <c r="C70" s="146"/>
      <c r="D70" s="145"/>
      <c r="E70" s="146"/>
      <c r="F70" s="147"/>
      <c r="G70" s="146"/>
      <c r="H70" s="147"/>
      <c r="I70" s="146"/>
      <c r="J70" s="147"/>
      <c r="K70" s="146"/>
      <c r="L70" s="147"/>
      <c r="M70" s="146"/>
      <c r="N70" s="19"/>
      <c r="O70" s="37"/>
    </row>
    <row r="71" spans="1:14" s="17" customFormat="1" ht="15.75" customHeight="1" thickBot="1" thickTop="1">
      <c r="A71" s="21" t="s">
        <v>18</v>
      </c>
      <c r="B71" s="148">
        <v>26961</v>
      </c>
      <c r="C71" s="149">
        <v>9976346</v>
      </c>
      <c r="D71" s="148">
        <v>49036</v>
      </c>
      <c r="E71" s="149">
        <v>12227466</v>
      </c>
      <c r="F71" s="148">
        <v>75997</v>
      </c>
      <c r="G71" s="149">
        <v>22203812</v>
      </c>
      <c r="H71" s="148">
        <v>2661</v>
      </c>
      <c r="I71" s="150">
        <v>946015</v>
      </c>
      <c r="J71" s="148">
        <v>4954</v>
      </c>
      <c r="K71" s="150">
        <v>711906</v>
      </c>
      <c r="L71" s="148">
        <v>81321</v>
      </c>
      <c r="M71" s="150">
        <v>21969702</v>
      </c>
      <c r="N71" s="22" t="s">
        <v>149</v>
      </c>
    </row>
    <row r="72" spans="1:14" ht="13.5">
      <c r="A72" s="218" t="s">
        <v>245</v>
      </c>
      <c r="B72" s="218"/>
      <c r="C72" s="218"/>
      <c r="D72" s="218"/>
      <c r="E72" s="218"/>
      <c r="F72" s="218"/>
      <c r="G72" s="218"/>
      <c r="H72" s="218"/>
      <c r="I72" s="218"/>
      <c r="J72" s="26"/>
      <c r="K72" s="26"/>
      <c r="L72" s="2"/>
      <c r="M72" s="2"/>
      <c r="N72" s="2"/>
    </row>
    <row r="74" spans="2:10" ht="13.5">
      <c r="B74" s="27"/>
      <c r="C74" s="27"/>
      <c r="D74" s="27"/>
      <c r="E74" s="27"/>
      <c r="F74" s="27"/>
      <c r="G74" s="27"/>
      <c r="H74" s="27"/>
      <c r="J74" s="27"/>
    </row>
    <row r="75" spans="2:10" ht="13.5">
      <c r="B75" s="27"/>
      <c r="C75" s="27"/>
      <c r="D75" s="27"/>
      <c r="E75" s="27"/>
      <c r="F75" s="27"/>
      <c r="G75" s="27"/>
      <c r="H75" s="27"/>
      <c r="J75" s="27"/>
    </row>
    <row r="76" spans="2:10" ht="13.5">
      <c r="B76" s="27"/>
      <c r="C76" s="27"/>
      <c r="D76" s="27"/>
      <c r="E76" s="27"/>
      <c r="F76" s="27"/>
      <c r="G76" s="27"/>
      <c r="H76" s="27"/>
      <c r="J76" s="27"/>
    </row>
    <row r="77" spans="2:10" ht="13.5">
      <c r="B77" s="27"/>
      <c r="C77" s="27"/>
      <c r="D77" s="27"/>
      <c r="E77" s="27"/>
      <c r="F77" s="27"/>
      <c r="G77" s="27"/>
      <c r="H77" s="27"/>
      <c r="J77" s="27"/>
    </row>
    <row r="78" spans="2:10" ht="13.5">
      <c r="B78" s="27"/>
      <c r="C78" s="27"/>
      <c r="D78" s="27"/>
      <c r="E78" s="27"/>
      <c r="F78" s="27"/>
      <c r="G78" s="27"/>
      <c r="H78" s="27"/>
      <c r="J78" s="27"/>
    </row>
    <row r="79" spans="2:10" ht="13.5">
      <c r="B79" s="27"/>
      <c r="C79" s="27"/>
      <c r="D79" s="27"/>
      <c r="E79" s="27"/>
      <c r="F79" s="27"/>
      <c r="G79" s="27"/>
      <c r="H79" s="27"/>
      <c r="J79" s="27"/>
    </row>
    <row r="80" spans="2:10" ht="13.5">
      <c r="B80" s="27"/>
      <c r="C80" s="27"/>
      <c r="D80" s="27"/>
      <c r="E80" s="27"/>
      <c r="F80" s="27"/>
      <c r="G80" s="27"/>
      <c r="H80" s="27"/>
      <c r="J80" s="27"/>
    </row>
    <row r="81" spans="2:10" ht="13.5">
      <c r="B81" s="27"/>
      <c r="C81" s="27"/>
      <c r="D81" s="27"/>
      <c r="E81" s="27"/>
      <c r="F81" s="27"/>
      <c r="G81" s="27"/>
      <c r="H81" s="27"/>
      <c r="J81" s="27"/>
    </row>
    <row r="82" spans="2:10" ht="13.5">
      <c r="B82" s="27"/>
      <c r="C82" s="27"/>
      <c r="D82" s="27"/>
      <c r="E82" s="27"/>
      <c r="F82" s="27"/>
      <c r="G82" s="27"/>
      <c r="H82" s="27"/>
      <c r="J82" s="27"/>
    </row>
    <row r="83" spans="2:10" ht="13.5">
      <c r="B83" s="27"/>
      <c r="C83" s="27"/>
      <c r="D83" s="27"/>
      <c r="E83" s="27"/>
      <c r="F83" s="27"/>
      <c r="G83" s="27"/>
      <c r="H83" s="27"/>
      <c r="J83" s="27"/>
    </row>
    <row r="84" spans="2:10" ht="13.5">
      <c r="B84" s="27"/>
      <c r="C84" s="27"/>
      <c r="D84" s="27"/>
      <c r="E84" s="27"/>
      <c r="F84" s="27"/>
      <c r="G84" s="27"/>
      <c r="H84" s="27"/>
      <c r="J84" s="27"/>
    </row>
    <row r="85" spans="2:10" ht="13.5">
      <c r="B85" s="27"/>
      <c r="C85" s="27"/>
      <c r="D85" s="27"/>
      <c r="E85" s="27"/>
      <c r="F85" s="27"/>
      <c r="G85" s="27"/>
      <c r="H85" s="27"/>
      <c r="J85" s="27"/>
    </row>
    <row r="86" spans="2:10" ht="13.5">
      <c r="B86" s="27"/>
      <c r="C86" s="27"/>
      <c r="D86" s="27"/>
      <c r="E86" s="27"/>
      <c r="F86" s="27"/>
      <c r="G86" s="27"/>
      <c r="H86" s="27"/>
      <c r="J86" s="27"/>
    </row>
  </sheetData>
  <sheetProtection/>
  <mergeCells count="11">
    <mergeCell ref="N3:N5"/>
    <mergeCell ref="B4:C4"/>
    <mergeCell ref="D4:E4"/>
    <mergeCell ref="F4:G4"/>
    <mergeCell ref="J3:K4"/>
    <mergeCell ref="L3:M4"/>
    <mergeCell ref="A72:I72"/>
    <mergeCell ref="A2:G2"/>
    <mergeCell ref="A3:A5"/>
    <mergeCell ref="B3:G3"/>
    <mergeCell ref="H3:I4"/>
  </mergeCells>
  <printOptions/>
  <pageMargins left="0.5905511811023623" right="0.5905511811023623" top="0.7874015748031497" bottom="0.7874015748031497" header="0.5118110236220472" footer="0.5118110236220472"/>
  <pageSetup fitToHeight="0" horizontalDpi="600" verticalDpi="600" orientation="landscape" paperSize="9" scale="80" r:id="rId1"/>
  <headerFooter scaleWithDoc="0">
    <oddFooter>&amp;R仙台国税局
消費税
(H24)</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72"/>
  <sheetViews>
    <sheetView showGridLines="0" zoomScalePageLayoutView="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77</v>
      </c>
      <c r="B1" s="1"/>
      <c r="C1" s="1"/>
      <c r="D1" s="1"/>
      <c r="E1" s="1"/>
      <c r="F1" s="1"/>
      <c r="G1" s="1"/>
      <c r="H1" s="1"/>
      <c r="I1" s="1"/>
      <c r="J1" s="1"/>
      <c r="K1" s="1"/>
      <c r="L1" s="2"/>
      <c r="M1" s="2"/>
    </row>
    <row r="2" spans="1:13" ht="14.25" thickBot="1">
      <c r="A2" s="234" t="s">
        <v>78</v>
      </c>
      <c r="B2" s="234"/>
      <c r="C2" s="234"/>
      <c r="D2" s="234"/>
      <c r="E2" s="234"/>
      <c r="F2" s="234"/>
      <c r="G2" s="234"/>
      <c r="H2" s="234"/>
      <c r="I2" s="234"/>
      <c r="J2" s="26"/>
      <c r="K2" s="26"/>
      <c r="L2" s="2"/>
      <c r="M2" s="2"/>
    </row>
    <row r="3" spans="1:14" ht="19.5" customHeight="1">
      <c r="A3" s="224" t="s">
        <v>2</v>
      </c>
      <c r="B3" s="227" t="s">
        <v>3</v>
      </c>
      <c r="C3" s="227"/>
      <c r="D3" s="227"/>
      <c r="E3" s="227"/>
      <c r="F3" s="227"/>
      <c r="G3" s="227"/>
      <c r="H3" s="220" t="s">
        <v>4</v>
      </c>
      <c r="I3" s="221"/>
      <c r="J3" s="233" t="s">
        <v>5</v>
      </c>
      <c r="K3" s="221"/>
      <c r="L3" s="220" t="s">
        <v>6</v>
      </c>
      <c r="M3" s="221"/>
      <c r="N3" s="228" t="s">
        <v>79</v>
      </c>
    </row>
    <row r="4" spans="1:14" ht="17.25" customHeight="1">
      <c r="A4" s="225"/>
      <c r="B4" s="222" t="s">
        <v>8</v>
      </c>
      <c r="C4" s="232"/>
      <c r="D4" s="222" t="s">
        <v>9</v>
      </c>
      <c r="E4" s="232"/>
      <c r="F4" s="222" t="s">
        <v>10</v>
      </c>
      <c r="G4" s="232"/>
      <c r="H4" s="222"/>
      <c r="I4" s="223"/>
      <c r="J4" s="222"/>
      <c r="K4" s="223"/>
      <c r="L4" s="222"/>
      <c r="M4" s="223"/>
      <c r="N4" s="229"/>
    </row>
    <row r="5" spans="1:14" ht="28.5" customHeight="1">
      <c r="A5" s="226"/>
      <c r="B5" s="34" t="s">
        <v>11</v>
      </c>
      <c r="C5" s="35" t="s">
        <v>12</v>
      </c>
      <c r="D5" s="34" t="s">
        <v>11</v>
      </c>
      <c r="E5" s="35" t="s">
        <v>12</v>
      </c>
      <c r="F5" s="34" t="s">
        <v>11</v>
      </c>
      <c r="G5" s="39" t="s">
        <v>13</v>
      </c>
      <c r="H5" s="34" t="s">
        <v>145</v>
      </c>
      <c r="I5" s="38" t="s">
        <v>14</v>
      </c>
      <c r="J5" s="34" t="s">
        <v>145</v>
      </c>
      <c r="K5" s="38" t="s">
        <v>15</v>
      </c>
      <c r="L5" s="34" t="s">
        <v>145</v>
      </c>
      <c r="M5" s="36" t="s">
        <v>147</v>
      </c>
      <c r="N5" s="230"/>
    </row>
    <row r="6" spans="1:14" s="28"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80</v>
      </c>
      <c r="B7" s="125">
        <f>_xlfn.COMPOUNDVALUE(208)</f>
        <v>2501</v>
      </c>
      <c r="C7" s="103">
        <v>10374935</v>
      </c>
      <c r="D7" s="125">
        <f>_xlfn.COMPOUNDVALUE(209)</f>
        <v>996</v>
      </c>
      <c r="E7" s="103">
        <v>419457</v>
      </c>
      <c r="F7" s="125">
        <f>_xlfn.COMPOUNDVALUE(210)</f>
        <v>3497</v>
      </c>
      <c r="G7" s="103">
        <v>10794392</v>
      </c>
      <c r="H7" s="125">
        <f>_xlfn.COMPOUNDVALUE(211)</f>
        <v>111</v>
      </c>
      <c r="I7" s="133">
        <v>198053</v>
      </c>
      <c r="J7" s="125">
        <v>175</v>
      </c>
      <c r="K7" s="183">
        <v>-24057</v>
      </c>
      <c r="L7" s="125">
        <v>3645</v>
      </c>
      <c r="M7" s="133">
        <v>10572282</v>
      </c>
      <c r="N7" s="12" t="s">
        <v>151</v>
      </c>
    </row>
    <row r="8" spans="1:14" ht="15.75" customHeight="1">
      <c r="A8" s="13" t="s">
        <v>81</v>
      </c>
      <c r="B8" s="134">
        <f>_xlfn.COMPOUNDVALUE(212)</f>
        <v>1450</v>
      </c>
      <c r="C8" s="105">
        <v>5380573</v>
      </c>
      <c r="D8" s="134">
        <f>_xlfn.COMPOUNDVALUE(213)</f>
        <v>644</v>
      </c>
      <c r="E8" s="105">
        <v>238778</v>
      </c>
      <c r="F8" s="134">
        <f>_xlfn.COMPOUNDVALUE(214)</f>
        <v>2094</v>
      </c>
      <c r="G8" s="105">
        <v>5619351</v>
      </c>
      <c r="H8" s="134">
        <f>_xlfn.COMPOUNDVALUE(215)</f>
        <v>57</v>
      </c>
      <c r="I8" s="135">
        <v>408014</v>
      </c>
      <c r="J8" s="134">
        <v>92</v>
      </c>
      <c r="K8" s="135">
        <v>13388</v>
      </c>
      <c r="L8" s="134">
        <v>2172</v>
      </c>
      <c r="M8" s="135">
        <v>5224724</v>
      </c>
      <c r="N8" s="14" t="s">
        <v>152</v>
      </c>
    </row>
    <row r="9" spans="1:14" ht="15.75" customHeight="1">
      <c r="A9" s="13" t="s">
        <v>82</v>
      </c>
      <c r="B9" s="134">
        <f>_xlfn.COMPOUNDVALUE(216)</f>
        <v>2693</v>
      </c>
      <c r="C9" s="105">
        <v>11694542</v>
      </c>
      <c r="D9" s="134">
        <f>_xlfn.COMPOUNDVALUE(217)</f>
        <v>1155</v>
      </c>
      <c r="E9" s="105">
        <v>454555</v>
      </c>
      <c r="F9" s="134">
        <f>_xlfn.COMPOUNDVALUE(218)</f>
        <v>3848</v>
      </c>
      <c r="G9" s="105">
        <v>12149097</v>
      </c>
      <c r="H9" s="134">
        <f>_xlfn.COMPOUNDVALUE(219)</f>
        <v>120</v>
      </c>
      <c r="I9" s="135">
        <v>1265998</v>
      </c>
      <c r="J9" s="134">
        <v>177</v>
      </c>
      <c r="K9" s="135">
        <v>29279</v>
      </c>
      <c r="L9" s="134">
        <v>4001</v>
      </c>
      <c r="M9" s="135">
        <v>10912378</v>
      </c>
      <c r="N9" s="14" t="s">
        <v>153</v>
      </c>
    </row>
    <row r="10" spans="1:14" ht="15.75" customHeight="1">
      <c r="A10" s="13" t="s">
        <v>83</v>
      </c>
      <c r="B10" s="134">
        <f>_xlfn.COMPOUNDVALUE(220)</f>
        <v>512</v>
      </c>
      <c r="C10" s="105">
        <v>1790769</v>
      </c>
      <c r="D10" s="134">
        <f>_xlfn.COMPOUNDVALUE(221)</f>
        <v>215</v>
      </c>
      <c r="E10" s="105">
        <v>81421</v>
      </c>
      <c r="F10" s="134">
        <f>_xlfn.COMPOUNDVALUE(222)</f>
        <v>727</v>
      </c>
      <c r="G10" s="105">
        <v>1872190</v>
      </c>
      <c r="H10" s="134">
        <f>_xlfn.COMPOUNDVALUE(223)</f>
        <v>15</v>
      </c>
      <c r="I10" s="135">
        <v>31324</v>
      </c>
      <c r="J10" s="134">
        <v>60</v>
      </c>
      <c r="K10" s="135">
        <v>7975</v>
      </c>
      <c r="L10" s="134">
        <v>754</v>
      </c>
      <c r="M10" s="135">
        <v>1848841</v>
      </c>
      <c r="N10" s="14" t="s">
        <v>154</v>
      </c>
    </row>
    <row r="11" spans="1:14" ht="15.75" customHeight="1">
      <c r="A11" s="13" t="s">
        <v>84</v>
      </c>
      <c r="B11" s="134">
        <f>_xlfn.COMPOUNDVALUE(224)</f>
        <v>1048</v>
      </c>
      <c r="C11" s="105">
        <v>2538475</v>
      </c>
      <c r="D11" s="134">
        <f>_xlfn.COMPOUNDVALUE(225)</f>
        <v>426</v>
      </c>
      <c r="E11" s="105">
        <v>163878</v>
      </c>
      <c r="F11" s="134">
        <f>_xlfn.COMPOUNDVALUE(226)</f>
        <v>1474</v>
      </c>
      <c r="G11" s="105">
        <v>2702353</v>
      </c>
      <c r="H11" s="134">
        <f>_xlfn.COMPOUNDVALUE(227)</f>
        <v>36</v>
      </c>
      <c r="I11" s="135">
        <v>50836</v>
      </c>
      <c r="J11" s="134">
        <v>55</v>
      </c>
      <c r="K11" s="135">
        <v>744</v>
      </c>
      <c r="L11" s="134">
        <v>1519</v>
      </c>
      <c r="M11" s="135">
        <v>2652261</v>
      </c>
      <c r="N11" s="14" t="s">
        <v>155</v>
      </c>
    </row>
    <row r="12" spans="1:14" ht="15.75" customHeight="1">
      <c r="A12" s="13" t="s">
        <v>85</v>
      </c>
      <c r="B12" s="134">
        <f>_xlfn.COMPOUNDVALUE(228)</f>
        <v>1731</v>
      </c>
      <c r="C12" s="105">
        <v>12873714</v>
      </c>
      <c r="D12" s="134">
        <f>_xlfn.COMPOUNDVALUE(229)</f>
        <v>695</v>
      </c>
      <c r="E12" s="105">
        <v>259404</v>
      </c>
      <c r="F12" s="134">
        <f>_xlfn.COMPOUNDVALUE(230)</f>
        <v>2426</v>
      </c>
      <c r="G12" s="105">
        <v>13133119</v>
      </c>
      <c r="H12" s="134">
        <f>_xlfn.COMPOUNDVALUE(231)</f>
        <v>97</v>
      </c>
      <c r="I12" s="135">
        <v>487580</v>
      </c>
      <c r="J12" s="134">
        <v>99</v>
      </c>
      <c r="K12" s="135">
        <v>20174</v>
      </c>
      <c r="L12" s="134">
        <v>2543</v>
      </c>
      <c r="M12" s="135">
        <v>12665712</v>
      </c>
      <c r="N12" s="14" t="s">
        <v>156</v>
      </c>
    </row>
    <row r="13" spans="1:14" s="17" customFormat="1" ht="15.75" customHeight="1">
      <c r="A13" s="13" t="s">
        <v>25</v>
      </c>
      <c r="B13" s="134">
        <f>_xlfn.COMPOUNDVALUE(232)</f>
        <v>579</v>
      </c>
      <c r="C13" s="105">
        <v>1664521</v>
      </c>
      <c r="D13" s="134">
        <f>_xlfn.COMPOUNDVALUE(233)</f>
        <v>201</v>
      </c>
      <c r="E13" s="105">
        <v>72387</v>
      </c>
      <c r="F13" s="134">
        <f>_xlfn.COMPOUNDVALUE(234)</f>
        <v>780</v>
      </c>
      <c r="G13" s="105">
        <v>1736908</v>
      </c>
      <c r="H13" s="134">
        <f>_xlfn.COMPOUNDVALUE(235)</f>
        <v>23</v>
      </c>
      <c r="I13" s="135">
        <v>120322</v>
      </c>
      <c r="J13" s="134">
        <v>51</v>
      </c>
      <c r="K13" s="135">
        <v>15036</v>
      </c>
      <c r="L13" s="134">
        <v>826</v>
      </c>
      <c r="M13" s="135">
        <v>1631623</v>
      </c>
      <c r="N13" s="14" t="s">
        <v>25</v>
      </c>
    </row>
    <row r="14" spans="1:14" s="29" customFormat="1" ht="15.75" customHeight="1">
      <c r="A14" s="15" t="s">
        <v>86</v>
      </c>
      <c r="B14" s="136">
        <v>10514</v>
      </c>
      <c r="C14" s="137">
        <v>46317530</v>
      </c>
      <c r="D14" s="136">
        <v>4332</v>
      </c>
      <c r="E14" s="137">
        <v>1689880</v>
      </c>
      <c r="F14" s="136">
        <v>14846</v>
      </c>
      <c r="G14" s="137">
        <v>48007410</v>
      </c>
      <c r="H14" s="136">
        <v>459</v>
      </c>
      <c r="I14" s="138">
        <v>2562127</v>
      </c>
      <c r="J14" s="136">
        <v>709</v>
      </c>
      <c r="K14" s="138">
        <v>62538</v>
      </c>
      <c r="L14" s="136">
        <v>15460</v>
      </c>
      <c r="M14" s="138">
        <v>45507821</v>
      </c>
      <c r="N14" s="16" t="s">
        <v>150</v>
      </c>
    </row>
    <row r="15" spans="1:14" s="17" customFormat="1" ht="15.75" customHeight="1">
      <c r="A15" s="23"/>
      <c r="B15" s="139"/>
      <c r="C15" s="140"/>
      <c r="D15" s="139"/>
      <c r="E15" s="140"/>
      <c r="F15" s="141"/>
      <c r="G15" s="140"/>
      <c r="H15" s="141"/>
      <c r="I15" s="140"/>
      <c r="J15" s="141"/>
      <c r="K15" s="140"/>
      <c r="L15" s="141"/>
      <c r="M15" s="140"/>
      <c r="N15" s="24"/>
    </row>
    <row r="16" spans="1:14" ht="15.75" customHeight="1">
      <c r="A16" s="11" t="s">
        <v>87</v>
      </c>
      <c r="B16" s="125">
        <f>_xlfn.COMPOUNDVALUE(236)</f>
        <v>3673</v>
      </c>
      <c r="C16" s="103">
        <v>18450649</v>
      </c>
      <c r="D16" s="125">
        <f>_xlfn.COMPOUNDVALUE(237)</f>
        <v>1595</v>
      </c>
      <c r="E16" s="103">
        <v>673010</v>
      </c>
      <c r="F16" s="125">
        <f>_xlfn.COMPOUNDVALUE(238)</f>
        <v>5268</v>
      </c>
      <c r="G16" s="103">
        <v>19123659</v>
      </c>
      <c r="H16" s="125">
        <f>_xlfn.COMPOUNDVALUE(239)</f>
        <v>173</v>
      </c>
      <c r="I16" s="133">
        <v>278472</v>
      </c>
      <c r="J16" s="125">
        <v>278</v>
      </c>
      <c r="K16" s="183">
        <v>-23670</v>
      </c>
      <c r="L16" s="125">
        <v>5525</v>
      </c>
      <c r="M16" s="133">
        <v>18821517</v>
      </c>
      <c r="N16" s="25" t="s">
        <v>157</v>
      </c>
    </row>
    <row r="17" spans="1:14" ht="15.75" customHeight="1">
      <c r="A17" s="13" t="s">
        <v>88</v>
      </c>
      <c r="B17" s="134">
        <f>_xlfn.COMPOUNDVALUE(240)</f>
        <v>553</v>
      </c>
      <c r="C17" s="105">
        <v>1638565</v>
      </c>
      <c r="D17" s="134">
        <f>_xlfn.COMPOUNDVALUE(241)</f>
        <v>228</v>
      </c>
      <c r="E17" s="105">
        <v>110009</v>
      </c>
      <c r="F17" s="134">
        <f>_xlfn.COMPOUNDVALUE(242)</f>
        <v>781</v>
      </c>
      <c r="G17" s="105">
        <v>1748573</v>
      </c>
      <c r="H17" s="134">
        <f>_xlfn.COMPOUNDVALUE(243)</f>
        <v>88</v>
      </c>
      <c r="I17" s="135">
        <v>852270</v>
      </c>
      <c r="J17" s="134">
        <v>15</v>
      </c>
      <c r="K17" s="135">
        <v>12</v>
      </c>
      <c r="L17" s="134">
        <v>878</v>
      </c>
      <c r="M17" s="135">
        <v>896315</v>
      </c>
      <c r="N17" s="14" t="s">
        <v>158</v>
      </c>
    </row>
    <row r="18" spans="1:14" ht="15.75" customHeight="1">
      <c r="A18" s="13" t="s">
        <v>89</v>
      </c>
      <c r="B18" s="134">
        <f>_xlfn.COMPOUNDVALUE(244)</f>
        <v>400</v>
      </c>
      <c r="C18" s="105">
        <v>1656806</v>
      </c>
      <c r="D18" s="134">
        <f>_xlfn.COMPOUNDVALUE(245)</f>
        <v>186</v>
      </c>
      <c r="E18" s="105">
        <v>97973</v>
      </c>
      <c r="F18" s="134">
        <f>_xlfn.COMPOUNDVALUE(246)</f>
        <v>586</v>
      </c>
      <c r="G18" s="105">
        <v>1754778</v>
      </c>
      <c r="H18" s="134">
        <f>_xlfn.COMPOUNDVALUE(247)</f>
        <v>77</v>
      </c>
      <c r="I18" s="135">
        <v>589667</v>
      </c>
      <c r="J18" s="134">
        <v>26</v>
      </c>
      <c r="K18" s="184">
        <v>-7416</v>
      </c>
      <c r="L18" s="134">
        <v>676</v>
      </c>
      <c r="M18" s="135">
        <v>1157696</v>
      </c>
      <c r="N18" s="14" t="s">
        <v>159</v>
      </c>
    </row>
    <row r="19" spans="1:14" ht="15.75" customHeight="1">
      <c r="A19" s="13" t="s">
        <v>90</v>
      </c>
      <c r="B19" s="134">
        <f>_xlfn.COMPOUNDVALUE(248)</f>
        <v>937</v>
      </c>
      <c r="C19" s="105">
        <v>3897085</v>
      </c>
      <c r="D19" s="134">
        <f>_xlfn.COMPOUNDVALUE(249)</f>
        <v>447</v>
      </c>
      <c r="E19" s="105">
        <v>176324</v>
      </c>
      <c r="F19" s="134">
        <f>_xlfn.COMPOUNDVALUE(250)</f>
        <v>1384</v>
      </c>
      <c r="G19" s="105">
        <v>4073409</v>
      </c>
      <c r="H19" s="134">
        <f>_xlfn.COMPOUNDVALUE(251)</f>
        <v>51</v>
      </c>
      <c r="I19" s="135">
        <v>643224</v>
      </c>
      <c r="J19" s="134">
        <v>57</v>
      </c>
      <c r="K19" s="135">
        <v>6435</v>
      </c>
      <c r="L19" s="134">
        <v>1445</v>
      </c>
      <c r="M19" s="135">
        <v>3436620</v>
      </c>
      <c r="N19" s="14" t="s">
        <v>160</v>
      </c>
    </row>
    <row r="20" spans="1:14" ht="15.75" customHeight="1">
      <c r="A20" s="13" t="s">
        <v>91</v>
      </c>
      <c r="B20" s="134">
        <f>_xlfn.COMPOUNDVALUE(252)</f>
        <v>1404</v>
      </c>
      <c r="C20" s="105">
        <v>7397197</v>
      </c>
      <c r="D20" s="134">
        <f>_xlfn.COMPOUNDVALUE(253)</f>
        <v>603</v>
      </c>
      <c r="E20" s="105">
        <v>240724</v>
      </c>
      <c r="F20" s="134">
        <f>_xlfn.COMPOUNDVALUE(254)</f>
        <v>2007</v>
      </c>
      <c r="G20" s="105">
        <v>7637921</v>
      </c>
      <c r="H20" s="134">
        <f>_xlfn.COMPOUNDVALUE(255)</f>
        <v>54</v>
      </c>
      <c r="I20" s="135">
        <v>127266</v>
      </c>
      <c r="J20" s="134">
        <v>101</v>
      </c>
      <c r="K20" s="135">
        <v>15569</v>
      </c>
      <c r="L20" s="134">
        <v>2098</v>
      </c>
      <c r="M20" s="135">
        <v>7526224</v>
      </c>
      <c r="N20" s="14" t="s">
        <v>161</v>
      </c>
    </row>
    <row r="21" spans="1:14" ht="15.75" customHeight="1">
      <c r="A21" s="13" t="s">
        <v>92</v>
      </c>
      <c r="B21" s="134">
        <f>_xlfn.COMPOUNDVALUE(256)</f>
        <v>450</v>
      </c>
      <c r="C21" s="105">
        <v>1152022</v>
      </c>
      <c r="D21" s="134">
        <f>_xlfn.COMPOUNDVALUE(257)</f>
        <v>154</v>
      </c>
      <c r="E21" s="105">
        <v>72488</v>
      </c>
      <c r="F21" s="134">
        <f>_xlfn.COMPOUNDVALUE(258)</f>
        <v>604</v>
      </c>
      <c r="G21" s="105">
        <v>1224510</v>
      </c>
      <c r="H21" s="134">
        <f>_xlfn.COMPOUNDVALUE(259)</f>
        <v>42</v>
      </c>
      <c r="I21" s="135">
        <v>270541</v>
      </c>
      <c r="J21" s="134">
        <v>23</v>
      </c>
      <c r="K21" s="135">
        <v>3688</v>
      </c>
      <c r="L21" s="134">
        <v>654</v>
      </c>
      <c r="M21" s="135">
        <v>957656</v>
      </c>
      <c r="N21" s="14" t="s">
        <v>162</v>
      </c>
    </row>
    <row r="22" spans="1:14" ht="15.75" customHeight="1">
      <c r="A22" s="13" t="s">
        <v>93</v>
      </c>
      <c r="B22" s="134">
        <f>_xlfn.COMPOUNDVALUE(260)</f>
        <v>861</v>
      </c>
      <c r="C22" s="105">
        <v>3764987</v>
      </c>
      <c r="D22" s="134">
        <f>_xlfn.COMPOUNDVALUE(261)</f>
        <v>431</v>
      </c>
      <c r="E22" s="105">
        <v>177989</v>
      </c>
      <c r="F22" s="134">
        <f>_xlfn.COMPOUNDVALUE(262)</f>
        <v>1292</v>
      </c>
      <c r="G22" s="105">
        <v>3942976</v>
      </c>
      <c r="H22" s="134">
        <f>_xlfn.COMPOUNDVALUE(263)</f>
        <v>29</v>
      </c>
      <c r="I22" s="135">
        <v>72938</v>
      </c>
      <c r="J22" s="134">
        <v>87</v>
      </c>
      <c r="K22" s="135">
        <v>19209</v>
      </c>
      <c r="L22" s="134">
        <v>1354</v>
      </c>
      <c r="M22" s="135">
        <v>3889248</v>
      </c>
      <c r="N22" s="14" t="s">
        <v>163</v>
      </c>
    </row>
    <row r="23" spans="1:14" ht="15.75" customHeight="1">
      <c r="A23" s="13" t="s">
        <v>94</v>
      </c>
      <c r="B23" s="134">
        <f>_xlfn.COMPOUNDVALUE(264)</f>
        <v>536</v>
      </c>
      <c r="C23" s="105">
        <v>1579738</v>
      </c>
      <c r="D23" s="134">
        <f>_xlfn.COMPOUNDVALUE(265)</f>
        <v>252</v>
      </c>
      <c r="E23" s="105">
        <v>109780</v>
      </c>
      <c r="F23" s="134">
        <f>_xlfn.COMPOUNDVALUE(266)</f>
        <v>788</v>
      </c>
      <c r="G23" s="105">
        <v>1689518</v>
      </c>
      <c r="H23" s="134">
        <f>_xlfn.COMPOUNDVALUE(267)</f>
        <v>91</v>
      </c>
      <c r="I23" s="135">
        <v>779567</v>
      </c>
      <c r="J23" s="134">
        <v>24</v>
      </c>
      <c r="K23" s="135">
        <v>2372</v>
      </c>
      <c r="L23" s="134">
        <v>890</v>
      </c>
      <c r="M23" s="135">
        <v>912323</v>
      </c>
      <c r="N23" s="14" t="s">
        <v>164</v>
      </c>
    </row>
    <row r="24" spans="1:14" ht="15.75" customHeight="1">
      <c r="A24" s="13" t="s">
        <v>95</v>
      </c>
      <c r="B24" s="134">
        <f>_xlfn.COMPOUNDVALUE(268)</f>
        <v>447</v>
      </c>
      <c r="C24" s="105">
        <v>1438660</v>
      </c>
      <c r="D24" s="134">
        <f>_xlfn.COMPOUNDVALUE(269)</f>
        <v>147</v>
      </c>
      <c r="E24" s="105">
        <v>66827</v>
      </c>
      <c r="F24" s="134">
        <f>_xlfn.COMPOUNDVALUE(270)</f>
        <v>594</v>
      </c>
      <c r="G24" s="105">
        <v>1505487</v>
      </c>
      <c r="H24" s="134">
        <f>_xlfn.COMPOUNDVALUE(271)</f>
        <v>25</v>
      </c>
      <c r="I24" s="135">
        <v>55974</v>
      </c>
      <c r="J24" s="134">
        <v>10</v>
      </c>
      <c r="K24" s="135">
        <v>2172</v>
      </c>
      <c r="L24" s="134">
        <v>623</v>
      </c>
      <c r="M24" s="135">
        <v>1451685</v>
      </c>
      <c r="N24" s="14" t="s">
        <v>165</v>
      </c>
    </row>
    <row r="25" spans="1:14" ht="15.75" customHeight="1">
      <c r="A25" s="15" t="s">
        <v>96</v>
      </c>
      <c r="B25" s="136">
        <v>9261</v>
      </c>
      <c r="C25" s="137">
        <v>40975709</v>
      </c>
      <c r="D25" s="136">
        <v>4043</v>
      </c>
      <c r="E25" s="137">
        <v>1725124</v>
      </c>
      <c r="F25" s="136">
        <v>13304</v>
      </c>
      <c r="G25" s="137">
        <v>42700832</v>
      </c>
      <c r="H25" s="136">
        <v>630</v>
      </c>
      <c r="I25" s="138">
        <v>3669920</v>
      </c>
      <c r="J25" s="136">
        <v>621</v>
      </c>
      <c r="K25" s="138">
        <v>18371</v>
      </c>
      <c r="L25" s="136">
        <v>14143</v>
      </c>
      <c r="M25" s="138">
        <v>39049284</v>
      </c>
      <c r="N25" s="16" t="s">
        <v>166</v>
      </c>
    </row>
    <row r="26" spans="1:14" ht="15.75" customHeight="1">
      <c r="A26" s="23"/>
      <c r="B26" s="139"/>
      <c r="C26" s="140"/>
      <c r="D26" s="139"/>
      <c r="E26" s="140"/>
      <c r="F26" s="141"/>
      <c r="G26" s="140"/>
      <c r="H26" s="141"/>
      <c r="I26" s="140"/>
      <c r="J26" s="141"/>
      <c r="K26" s="140"/>
      <c r="L26" s="141"/>
      <c r="M26" s="140"/>
      <c r="N26" s="24"/>
    </row>
    <row r="27" spans="1:14" ht="15.75" customHeight="1">
      <c r="A27" s="11" t="s">
        <v>97</v>
      </c>
      <c r="B27" s="125">
        <f>_xlfn.COMPOUNDVALUE(272)</f>
        <v>4585</v>
      </c>
      <c r="C27" s="103">
        <v>29201525</v>
      </c>
      <c r="D27" s="125">
        <f>_xlfn.COMPOUNDVALUE(273)</f>
        <v>2261</v>
      </c>
      <c r="E27" s="103">
        <v>985720</v>
      </c>
      <c r="F27" s="125">
        <f>_xlfn.COMPOUNDVALUE(274)</f>
        <v>6846</v>
      </c>
      <c r="G27" s="103">
        <v>30187245</v>
      </c>
      <c r="H27" s="125">
        <f>_xlfn.COMPOUNDVALUE(275)</f>
        <v>271</v>
      </c>
      <c r="I27" s="133">
        <v>1527627</v>
      </c>
      <c r="J27" s="125">
        <v>462</v>
      </c>
      <c r="K27" s="133">
        <v>75227</v>
      </c>
      <c r="L27" s="125">
        <v>7235</v>
      </c>
      <c r="M27" s="133">
        <v>28734844</v>
      </c>
      <c r="N27" s="25" t="s">
        <v>167</v>
      </c>
    </row>
    <row r="28" spans="1:14" ht="15.75" customHeight="1">
      <c r="A28" s="13" t="s">
        <v>98</v>
      </c>
      <c r="B28" s="134">
        <f>_xlfn.COMPOUNDVALUE(276)</f>
        <v>4474</v>
      </c>
      <c r="C28" s="105">
        <v>32940960</v>
      </c>
      <c r="D28" s="134">
        <f>_xlfn.COMPOUNDVALUE(277)</f>
        <v>1744</v>
      </c>
      <c r="E28" s="105">
        <v>770647</v>
      </c>
      <c r="F28" s="134">
        <f>_xlfn.COMPOUNDVALUE(278)</f>
        <v>6218</v>
      </c>
      <c r="G28" s="105">
        <v>33711608</v>
      </c>
      <c r="H28" s="134">
        <f>_xlfn.COMPOUNDVALUE(279)</f>
        <v>242</v>
      </c>
      <c r="I28" s="135">
        <v>589195</v>
      </c>
      <c r="J28" s="134">
        <v>364</v>
      </c>
      <c r="K28" s="135">
        <v>28257</v>
      </c>
      <c r="L28" s="134">
        <v>6526</v>
      </c>
      <c r="M28" s="135">
        <v>33150669</v>
      </c>
      <c r="N28" s="14" t="s">
        <v>168</v>
      </c>
    </row>
    <row r="29" spans="1:14" ht="15.75" customHeight="1">
      <c r="A29" s="13" t="s">
        <v>99</v>
      </c>
      <c r="B29" s="134">
        <f>_xlfn.COMPOUNDVALUE(280)</f>
        <v>2122</v>
      </c>
      <c r="C29" s="105">
        <v>10020650</v>
      </c>
      <c r="D29" s="134">
        <f>_xlfn.COMPOUNDVALUE(281)</f>
        <v>1124</v>
      </c>
      <c r="E29" s="105">
        <v>496924</v>
      </c>
      <c r="F29" s="134">
        <f>_xlfn.COMPOUNDVALUE(282)</f>
        <v>3246</v>
      </c>
      <c r="G29" s="105">
        <v>10517573</v>
      </c>
      <c r="H29" s="134">
        <f>_xlfn.COMPOUNDVALUE(283)</f>
        <v>144</v>
      </c>
      <c r="I29" s="135">
        <v>736758</v>
      </c>
      <c r="J29" s="134">
        <v>183</v>
      </c>
      <c r="K29" s="135">
        <v>27486</v>
      </c>
      <c r="L29" s="134">
        <v>3435</v>
      </c>
      <c r="M29" s="135">
        <v>9808302</v>
      </c>
      <c r="N29" s="14" t="s">
        <v>169</v>
      </c>
    </row>
    <row r="30" spans="1:14" ht="15.75" customHeight="1">
      <c r="A30" s="13" t="s">
        <v>100</v>
      </c>
      <c r="B30" s="134">
        <f>_xlfn.COMPOUNDVALUE(284)</f>
        <v>1647</v>
      </c>
      <c r="C30" s="105">
        <v>5775307</v>
      </c>
      <c r="D30" s="134">
        <f>_xlfn.COMPOUNDVALUE(285)</f>
        <v>760</v>
      </c>
      <c r="E30" s="105">
        <v>378243</v>
      </c>
      <c r="F30" s="134">
        <f>_xlfn.COMPOUNDVALUE(286)</f>
        <v>2407</v>
      </c>
      <c r="G30" s="105">
        <v>6153550</v>
      </c>
      <c r="H30" s="134">
        <f>_xlfn.COMPOUNDVALUE(287)</f>
        <v>381</v>
      </c>
      <c r="I30" s="135">
        <v>2375769</v>
      </c>
      <c r="J30" s="134">
        <v>80</v>
      </c>
      <c r="K30" s="135">
        <v>4986</v>
      </c>
      <c r="L30" s="134">
        <v>2824</v>
      </c>
      <c r="M30" s="135">
        <v>3782766</v>
      </c>
      <c r="N30" s="14" t="s">
        <v>170</v>
      </c>
    </row>
    <row r="31" spans="1:14" ht="15.75" customHeight="1">
      <c r="A31" s="13" t="s">
        <v>101</v>
      </c>
      <c r="B31" s="134">
        <f>_xlfn.COMPOUNDVALUE(288)</f>
        <v>1297</v>
      </c>
      <c r="C31" s="105">
        <v>4084216</v>
      </c>
      <c r="D31" s="134">
        <f>_xlfn.COMPOUNDVALUE(289)</f>
        <v>618</v>
      </c>
      <c r="E31" s="105">
        <v>282010</v>
      </c>
      <c r="F31" s="134">
        <f>_xlfn.COMPOUNDVALUE(290)</f>
        <v>1915</v>
      </c>
      <c r="G31" s="105">
        <v>4366227</v>
      </c>
      <c r="H31" s="134">
        <f>_xlfn.COMPOUNDVALUE(291)</f>
        <v>125</v>
      </c>
      <c r="I31" s="135">
        <v>687474</v>
      </c>
      <c r="J31" s="134">
        <v>117</v>
      </c>
      <c r="K31" s="135">
        <v>22567</v>
      </c>
      <c r="L31" s="134">
        <v>2077</v>
      </c>
      <c r="M31" s="135">
        <v>3701320</v>
      </c>
      <c r="N31" s="14" t="s">
        <v>171</v>
      </c>
    </row>
    <row r="32" spans="1:14" ht="15.75" customHeight="1">
      <c r="A32" s="13" t="s">
        <v>102</v>
      </c>
      <c r="B32" s="134">
        <f>_xlfn.COMPOUNDVALUE(292)</f>
        <v>1436</v>
      </c>
      <c r="C32" s="105">
        <v>4754134</v>
      </c>
      <c r="D32" s="134">
        <f>_xlfn.COMPOUNDVALUE(293)</f>
        <v>694</v>
      </c>
      <c r="E32" s="105">
        <v>299789</v>
      </c>
      <c r="F32" s="134">
        <f>_xlfn.COMPOUNDVALUE(294)</f>
        <v>2130</v>
      </c>
      <c r="G32" s="105">
        <v>5053922</v>
      </c>
      <c r="H32" s="134">
        <f>_xlfn.COMPOUNDVALUE(295)</f>
        <v>86</v>
      </c>
      <c r="I32" s="135">
        <v>172012</v>
      </c>
      <c r="J32" s="134">
        <v>99</v>
      </c>
      <c r="K32" s="135">
        <v>1873</v>
      </c>
      <c r="L32" s="134">
        <v>2247</v>
      </c>
      <c r="M32" s="135">
        <v>4883784</v>
      </c>
      <c r="N32" s="14" t="s">
        <v>172</v>
      </c>
    </row>
    <row r="33" spans="1:14" ht="15.75" customHeight="1">
      <c r="A33" s="13" t="s">
        <v>103</v>
      </c>
      <c r="B33" s="134">
        <f>_xlfn.COMPOUNDVALUE(296)</f>
        <v>668</v>
      </c>
      <c r="C33" s="105">
        <v>2008350</v>
      </c>
      <c r="D33" s="134">
        <f>_xlfn.COMPOUNDVALUE(297)</f>
        <v>287</v>
      </c>
      <c r="E33" s="105">
        <v>123462</v>
      </c>
      <c r="F33" s="134">
        <f>_xlfn.COMPOUNDVALUE(298)</f>
        <v>955</v>
      </c>
      <c r="G33" s="105">
        <v>2131812</v>
      </c>
      <c r="H33" s="134">
        <f>_xlfn.COMPOUNDVALUE(299)</f>
        <v>178</v>
      </c>
      <c r="I33" s="135">
        <v>1407951</v>
      </c>
      <c r="J33" s="134">
        <v>31</v>
      </c>
      <c r="K33" s="184">
        <v>-34283</v>
      </c>
      <c r="L33" s="134">
        <v>1151</v>
      </c>
      <c r="M33" s="135">
        <v>689578</v>
      </c>
      <c r="N33" s="14" t="s">
        <v>173</v>
      </c>
    </row>
    <row r="34" spans="1:14" ht="15.75" customHeight="1">
      <c r="A34" s="13" t="s">
        <v>104</v>
      </c>
      <c r="B34" s="134">
        <f>_xlfn.COMPOUNDVALUE(300)</f>
        <v>1106</v>
      </c>
      <c r="C34" s="105">
        <v>3272447</v>
      </c>
      <c r="D34" s="134">
        <f>_xlfn.COMPOUNDVALUE(301)</f>
        <v>582</v>
      </c>
      <c r="E34" s="105">
        <v>262193</v>
      </c>
      <c r="F34" s="134">
        <f>_xlfn.COMPOUNDVALUE(302)</f>
        <v>1688</v>
      </c>
      <c r="G34" s="105">
        <v>3534640</v>
      </c>
      <c r="H34" s="134">
        <f>_xlfn.COMPOUNDVALUE(303)</f>
        <v>50</v>
      </c>
      <c r="I34" s="135">
        <v>77727</v>
      </c>
      <c r="J34" s="134">
        <v>70</v>
      </c>
      <c r="K34" s="135">
        <v>31139</v>
      </c>
      <c r="L34" s="134">
        <v>1752</v>
      </c>
      <c r="M34" s="135">
        <v>3488052</v>
      </c>
      <c r="N34" s="14" t="s">
        <v>174</v>
      </c>
    </row>
    <row r="35" spans="1:14" ht="15.75" customHeight="1">
      <c r="A35" s="13" t="s">
        <v>105</v>
      </c>
      <c r="B35" s="134">
        <f>_xlfn.COMPOUNDVALUE(304)</f>
        <v>544</v>
      </c>
      <c r="C35" s="105">
        <v>1865586</v>
      </c>
      <c r="D35" s="134">
        <f>_xlfn.COMPOUNDVALUE(305)</f>
        <v>228</v>
      </c>
      <c r="E35" s="105">
        <v>101643</v>
      </c>
      <c r="F35" s="134">
        <f>_xlfn.COMPOUNDVALUE(306)</f>
        <v>772</v>
      </c>
      <c r="G35" s="105">
        <v>1967229</v>
      </c>
      <c r="H35" s="134">
        <f>_xlfn.COMPOUNDVALUE(307)</f>
        <v>26</v>
      </c>
      <c r="I35" s="135">
        <v>263401</v>
      </c>
      <c r="J35" s="134">
        <v>57</v>
      </c>
      <c r="K35" s="184">
        <v>-5989</v>
      </c>
      <c r="L35" s="134">
        <v>812</v>
      </c>
      <c r="M35" s="135">
        <v>1697838</v>
      </c>
      <c r="N35" s="14" t="s">
        <v>175</v>
      </c>
    </row>
    <row r="36" spans="1:14" ht="15.75" customHeight="1">
      <c r="A36" s="13" t="s">
        <v>106</v>
      </c>
      <c r="B36" s="134">
        <f>_xlfn.COMPOUNDVALUE(308)</f>
        <v>662</v>
      </c>
      <c r="C36" s="105">
        <v>2234390</v>
      </c>
      <c r="D36" s="134">
        <f>_xlfn.COMPOUNDVALUE(309)</f>
        <v>338</v>
      </c>
      <c r="E36" s="105">
        <v>150195</v>
      </c>
      <c r="F36" s="134">
        <f>_xlfn.COMPOUNDVALUE(310)</f>
        <v>1000</v>
      </c>
      <c r="G36" s="105">
        <v>2384585</v>
      </c>
      <c r="H36" s="134">
        <f>_xlfn.COMPOUNDVALUE(311)</f>
        <v>26</v>
      </c>
      <c r="I36" s="135">
        <v>23990</v>
      </c>
      <c r="J36" s="134">
        <v>81</v>
      </c>
      <c r="K36" s="135">
        <v>19781</v>
      </c>
      <c r="L36" s="134">
        <v>1039</v>
      </c>
      <c r="M36" s="135">
        <v>2380375</v>
      </c>
      <c r="N36" s="14" t="s">
        <v>176</v>
      </c>
    </row>
    <row r="37" spans="1:14" ht="15.75" customHeight="1">
      <c r="A37" s="15" t="s">
        <v>107</v>
      </c>
      <c r="B37" s="136">
        <v>18541</v>
      </c>
      <c r="C37" s="137">
        <v>96157564</v>
      </c>
      <c r="D37" s="136">
        <v>8636</v>
      </c>
      <c r="E37" s="137">
        <v>3850825</v>
      </c>
      <c r="F37" s="136">
        <v>27177</v>
      </c>
      <c r="G37" s="137">
        <v>100008389</v>
      </c>
      <c r="H37" s="136">
        <v>1529</v>
      </c>
      <c r="I37" s="138">
        <v>7861904</v>
      </c>
      <c r="J37" s="136">
        <v>1544</v>
      </c>
      <c r="K37" s="138">
        <v>171043</v>
      </c>
      <c r="L37" s="136">
        <v>29098</v>
      </c>
      <c r="M37" s="138">
        <v>92317527</v>
      </c>
      <c r="N37" s="16" t="s">
        <v>177</v>
      </c>
    </row>
    <row r="38" spans="1:14" ht="15.75" customHeight="1">
      <c r="A38" s="23"/>
      <c r="B38" s="139"/>
      <c r="C38" s="140"/>
      <c r="D38" s="139"/>
      <c r="E38" s="140"/>
      <c r="F38" s="141"/>
      <c r="G38" s="140"/>
      <c r="H38" s="141"/>
      <c r="I38" s="140"/>
      <c r="J38" s="141"/>
      <c r="K38" s="140"/>
      <c r="L38" s="141"/>
      <c r="M38" s="140"/>
      <c r="N38" s="101"/>
    </row>
    <row r="39" spans="1:14" ht="15.75" customHeight="1">
      <c r="A39" s="11" t="s">
        <v>108</v>
      </c>
      <c r="B39" s="125">
        <f>_xlfn.COMPOUNDVALUE(312)</f>
        <v>2216</v>
      </c>
      <c r="C39" s="103">
        <v>10016407</v>
      </c>
      <c r="D39" s="125">
        <f>_xlfn.COMPOUNDVALUE(313)</f>
        <v>1017</v>
      </c>
      <c r="E39" s="103">
        <v>387619</v>
      </c>
      <c r="F39" s="125">
        <f>_xlfn.COMPOUNDVALUE(314)</f>
        <v>3233</v>
      </c>
      <c r="G39" s="103">
        <v>10404025</v>
      </c>
      <c r="H39" s="125">
        <f>_xlfn.COMPOUNDVALUE(315)</f>
        <v>82</v>
      </c>
      <c r="I39" s="133">
        <v>305306</v>
      </c>
      <c r="J39" s="125">
        <v>158</v>
      </c>
      <c r="K39" s="133">
        <v>26276</v>
      </c>
      <c r="L39" s="125">
        <v>3344</v>
      </c>
      <c r="M39" s="133">
        <v>10124995</v>
      </c>
      <c r="N39" s="12" t="s">
        <v>178</v>
      </c>
    </row>
    <row r="40" spans="1:14" ht="15.75" customHeight="1">
      <c r="A40" s="13" t="s">
        <v>109</v>
      </c>
      <c r="B40" s="134">
        <f>_xlfn.COMPOUNDVALUE(316)</f>
        <v>1045</v>
      </c>
      <c r="C40" s="105">
        <v>3653257</v>
      </c>
      <c r="D40" s="134">
        <f>_xlfn.COMPOUNDVALUE(317)</f>
        <v>496</v>
      </c>
      <c r="E40" s="105">
        <v>192349</v>
      </c>
      <c r="F40" s="134">
        <f>_xlfn.COMPOUNDVALUE(318)</f>
        <v>1541</v>
      </c>
      <c r="G40" s="105">
        <v>3845607</v>
      </c>
      <c r="H40" s="134">
        <f>_xlfn.COMPOUNDVALUE(319)</f>
        <v>57</v>
      </c>
      <c r="I40" s="135">
        <v>60489</v>
      </c>
      <c r="J40" s="134">
        <v>69</v>
      </c>
      <c r="K40" s="184">
        <v>-367</v>
      </c>
      <c r="L40" s="134">
        <v>1607</v>
      </c>
      <c r="M40" s="135">
        <v>3784751</v>
      </c>
      <c r="N40" s="14" t="s">
        <v>179</v>
      </c>
    </row>
    <row r="41" spans="1:14" ht="15.75" customHeight="1">
      <c r="A41" s="13" t="s">
        <v>110</v>
      </c>
      <c r="B41" s="134">
        <f>_xlfn.COMPOUNDVALUE(320)</f>
        <v>688</v>
      </c>
      <c r="C41" s="105">
        <v>1737681</v>
      </c>
      <c r="D41" s="134">
        <f>_xlfn.COMPOUNDVALUE(321)</f>
        <v>298</v>
      </c>
      <c r="E41" s="105">
        <v>105035</v>
      </c>
      <c r="F41" s="134">
        <f>_xlfn.COMPOUNDVALUE(322)</f>
        <v>986</v>
      </c>
      <c r="G41" s="105">
        <v>1842716</v>
      </c>
      <c r="H41" s="134">
        <f>_xlfn.COMPOUNDVALUE(323)</f>
        <v>33</v>
      </c>
      <c r="I41" s="135">
        <v>58671</v>
      </c>
      <c r="J41" s="134">
        <v>48</v>
      </c>
      <c r="K41" s="184">
        <v>-577</v>
      </c>
      <c r="L41" s="134">
        <v>1025</v>
      </c>
      <c r="M41" s="135">
        <v>1783468</v>
      </c>
      <c r="N41" s="14" t="s">
        <v>180</v>
      </c>
    </row>
    <row r="42" spans="1:14" ht="15.75" customHeight="1">
      <c r="A42" s="13" t="s">
        <v>111</v>
      </c>
      <c r="B42" s="134">
        <f>_xlfn.COMPOUNDVALUE(324)</f>
        <v>685</v>
      </c>
      <c r="C42" s="105">
        <v>2017256</v>
      </c>
      <c r="D42" s="134">
        <f>_xlfn.COMPOUNDVALUE(325)</f>
        <v>325</v>
      </c>
      <c r="E42" s="105">
        <v>124862</v>
      </c>
      <c r="F42" s="134">
        <f>_xlfn.COMPOUNDVALUE(326)</f>
        <v>1010</v>
      </c>
      <c r="G42" s="105">
        <v>2142118</v>
      </c>
      <c r="H42" s="134">
        <f>_xlfn.COMPOUNDVALUE(327)</f>
        <v>41</v>
      </c>
      <c r="I42" s="135">
        <v>117754</v>
      </c>
      <c r="J42" s="134">
        <v>36</v>
      </c>
      <c r="K42" s="184">
        <v>-6706</v>
      </c>
      <c r="L42" s="134">
        <v>1064</v>
      </c>
      <c r="M42" s="135">
        <v>2017658</v>
      </c>
      <c r="N42" s="14" t="s">
        <v>181</v>
      </c>
    </row>
    <row r="43" spans="1:14" ht="15.75" customHeight="1">
      <c r="A43" s="13" t="s">
        <v>112</v>
      </c>
      <c r="B43" s="134">
        <f>_xlfn.COMPOUNDVALUE(316)</f>
        <v>1172</v>
      </c>
      <c r="C43" s="105">
        <v>4196389</v>
      </c>
      <c r="D43" s="134">
        <f>_xlfn.COMPOUNDVALUE(328)</f>
        <v>535</v>
      </c>
      <c r="E43" s="105">
        <v>191905</v>
      </c>
      <c r="F43" s="134">
        <f>_xlfn.COMPOUNDVALUE(329)</f>
        <v>1707</v>
      </c>
      <c r="G43" s="105">
        <v>4388294</v>
      </c>
      <c r="H43" s="134">
        <f>_xlfn.COMPOUNDVALUE(330)</f>
        <v>71</v>
      </c>
      <c r="I43" s="135">
        <v>231929</v>
      </c>
      <c r="J43" s="134">
        <v>52</v>
      </c>
      <c r="K43" s="135">
        <v>8386</v>
      </c>
      <c r="L43" s="134">
        <v>1799</v>
      </c>
      <c r="M43" s="135">
        <v>4164751</v>
      </c>
      <c r="N43" s="14" t="s">
        <v>182</v>
      </c>
    </row>
    <row r="44" spans="1:14" ht="15.75" customHeight="1">
      <c r="A44" s="13" t="s">
        <v>113</v>
      </c>
      <c r="B44" s="134">
        <f>_xlfn.COMPOUNDVALUE(331)</f>
        <v>747</v>
      </c>
      <c r="C44" s="105">
        <v>3071936</v>
      </c>
      <c r="D44" s="134">
        <f>_xlfn.COMPOUNDVALUE(332)</f>
        <v>357</v>
      </c>
      <c r="E44" s="105">
        <v>130939</v>
      </c>
      <c r="F44" s="134">
        <f>_xlfn.COMPOUNDVALUE(333)</f>
        <v>1104</v>
      </c>
      <c r="G44" s="105">
        <v>3202876</v>
      </c>
      <c r="H44" s="134">
        <f>_xlfn.COMPOUNDVALUE(334)</f>
        <v>33</v>
      </c>
      <c r="I44" s="135">
        <v>89223</v>
      </c>
      <c r="J44" s="134">
        <v>68</v>
      </c>
      <c r="K44" s="135">
        <v>6338</v>
      </c>
      <c r="L44" s="134">
        <v>1150</v>
      </c>
      <c r="M44" s="135">
        <v>3119990</v>
      </c>
      <c r="N44" s="14" t="s">
        <v>183</v>
      </c>
    </row>
    <row r="45" spans="1:14" ht="15.75" customHeight="1">
      <c r="A45" s="13" t="s">
        <v>114</v>
      </c>
      <c r="B45" s="134">
        <f>_xlfn.COMPOUNDVALUE(335)</f>
        <v>486</v>
      </c>
      <c r="C45" s="105">
        <v>1654765</v>
      </c>
      <c r="D45" s="134">
        <f>_xlfn.COMPOUNDVALUE(336)</f>
        <v>191</v>
      </c>
      <c r="E45" s="105">
        <v>69761</v>
      </c>
      <c r="F45" s="134">
        <f>_xlfn.COMPOUNDVALUE(337)</f>
        <v>677</v>
      </c>
      <c r="G45" s="105">
        <v>1724526</v>
      </c>
      <c r="H45" s="134">
        <f>_xlfn.COMPOUNDVALUE(338)</f>
        <v>23</v>
      </c>
      <c r="I45" s="135">
        <v>22300</v>
      </c>
      <c r="J45" s="134">
        <v>22</v>
      </c>
      <c r="K45" s="135">
        <v>4473</v>
      </c>
      <c r="L45" s="134">
        <v>705</v>
      </c>
      <c r="M45" s="135">
        <v>1706699</v>
      </c>
      <c r="N45" s="14" t="s">
        <v>184</v>
      </c>
    </row>
    <row r="46" spans="1:14" ht="15.75" customHeight="1">
      <c r="A46" s="13" t="s">
        <v>115</v>
      </c>
      <c r="B46" s="134">
        <f>_xlfn.COMPOUNDVALUE(320)</f>
        <v>1032</v>
      </c>
      <c r="C46" s="105">
        <v>2799352</v>
      </c>
      <c r="D46" s="134">
        <f>_xlfn.COMPOUNDVALUE(339)</f>
        <v>478</v>
      </c>
      <c r="E46" s="105">
        <v>199783</v>
      </c>
      <c r="F46" s="134">
        <f>_xlfn.COMPOUNDVALUE(340)</f>
        <v>1510</v>
      </c>
      <c r="G46" s="105">
        <v>2999135</v>
      </c>
      <c r="H46" s="134">
        <f>_xlfn.COMPOUNDVALUE(341)</f>
        <v>35</v>
      </c>
      <c r="I46" s="135">
        <v>30515</v>
      </c>
      <c r="J46" s="134">
        <v>47</v>
      </c>
      <c r="K46" s="135">
        <v>9405</v>
      </c>
      <c r="L46" s="134">
        <v>1562</v>
      </c>
      <c r="M46" s="135">
        <v>2978025</v>
      </c>
      <c r="N46" s="14" t="s">
        <v>185</v>
      </c>
    </row>
    <row r="47" spans="1:14" ht="15.75" customHeight="1">
      <c r="A47" s="15" t="s">
        <v>116</v>
      </c>
      <c r="B47" s="136">
        <v>8071</v>
      </c>
      <c r="C47" s="137">
        <v>29147042</v>
      </c>
      <c r="D47" s="136">
        <v>3697</v>
      </c>
      <c r="E47" s="137">
        <v>1402254</v>
      </c>
      <c r="F47" s="136">
        <v>11768</v>
      </c>
      <c r="G47" s="137">
        <v>30549296</v>
      </c>
      <c r="H47" s="136">
        <v>375</v>
      </c>
      <c r="I47" s="138">
        <v>916186</v>
      </c>
      <c r="J47" s="136">
        <v>500</v>
      </c>
      <c r="K47" s="138">
        <v>47227</v>
      </c>
      <c r="L47" s="136">
        <v>12256</v>
      </c>
      <c r="M47" s="138">
        <v>29680338</v>
      </c>
      <c r="N47" s="16" t="s">
        <v>186</v>
      </c>
    </row>
    <row r="48" spans="1:14" ht="15.75" customHeight="1">
      <c r="A48" s="23"/>
      <c r="B48" s="139"/>
      <c r="C48" s="140"/>
      <c r="D48" s="139"/>
      <c r="E48" s="140"/>
      <c r="F48" s="141"/>
      <c r="G48" s="140"/>
      <c r="H48" s="141"/>
      <c r="I48" s="140"/>
      <c r="J48" s="141"/>
      <c r="K48" s="140"/>
      <c r="L48" s="141"/>
      <c r="M48" s="140"/>
      <c r="N48" s="24"/>
    </row>
    <row r="49" spans="1:14" ht="15.75" customHeight="1">
      <c r="A49" s="11" t="s">
        <v>117</v>
      </c>
      <c r="B49" s="125">
        <f>_xlfn.COMPOUNDVALUE(342)</f>
        <v>3464</v>
      </c>
      <c r="C49" s="103">
        <v>17313876</v>
      </c>
      <c r="D49" s="125">
        <f>_xlfn.COMPOUNDVALUE(343)</f>
        <v>1646</v>
      </c>
      <c r="E49" s="103">
        <v>607317</v>
      </c>
      <c r="F49" s="125">
        <f>_xlfn.COMPOUNDVALUE(344)</f>
        <v>5110</v>
      </c>
      <c r="G49" s="103">
        <v>17921194</v>
      </c>
      <c r="H49" s="125">
        <f>_xlfn.COMPOUNDVALUE(345)</f>
        <v>119</v>
      </c>
      <c r="I49" s="133">
        <v>315075</v>
      </c>
      <c r="J49" s="125">
        <v>207</v>
      </c>
      <c r="K49" s="133">
        <v>32240</v>
      </c>
      <c r="L49" s="125">
        <v>5261</v>
      </c>
      <c r="M49" s="133">
        <v>17638359</v>
      </c>
      <c r="N49" s="25" t="s">
        <v>187</v>
      </c>
    </row>
    <row r="50" spans="1:14" ht="15.75" customHeight="1">
      <c r="A50" s="13" t="s">
        <v>118</v>
      </c>
      <c r="B50" s="134">
        <f>_xlfn.COMPOUNDVALUE(346)</f>
        <v>1370</v>
      </c>
      <c r="C50" s="105">
        <v>5463122</v>
      </c>
      <c r="D50" s="134">
        <f>_xlfn.COMPOUNDVALUE(347)</f>
        <v>692</v>
      </c>
      <c r="E50" s="105">
        <v>252844</v>
      </c>
      <c r="F50" s="134">
        <f>_xlfn.COMPOUNDVALUE(348)</f>
        <v>2062</v>
      </c>
      <c r="G50" s="105">
        <v>5715966</v>
      </c>
      <c r="H50" s="134">
        <f>_xlfn.COMPOUNDVALUE(349)</f>
        <v>66</v>
      </c>
      <c r="I50" s="135">
        <v>352744</v>
      </c>
      <c r="J50" s="134">
        <v>78</v>
      </c>
      <c r="K50" s="135">
        <v>9069</v>
      </c>
      <c r="L50" s="134">
        <v>2161</v>
      </c>
      <c r="M50" s="135">
        <v>5372291</v>
      </c>
      <c r="N50" s="14" t="s">
        <v>188</v>
      </c>
    </row>
    <row r="51" spans="1:14" ht="15.75" customHeight="1">
      <c r="A51" s="13" t="s">
        <v>119</v>
      </c>
      <c r="B51" s="134">
        <f>_xlfn.COMPOUNDVALUE(350)</f>
        <v>1287</v>
      </c>
      <c r="C51" s="105">
        <v>5467138</v>
      </c>
      <c r="D51" s="134">
        <f>_xlfn.COMPOUNDVALUE(351)</f>
        <v>599</v>
      </c>
      <c r="E51" s="105">
        <v>216542</v>
      </c>
      <c r="F51" s="134">
        <f>_xlfn.COMPOUNDVALUE(352)</f>
        <v>1886</v>
      </c>
      <c r="G51" s="105">
        <v>5683680</v>
      </c>
      <c r="H51" s="134">
        <f>_xlfn.COMPOUNDVALUE(353)</f>
        <v>53</v>
      </c>
      <c r="I51" s="135">
        <v>77803</v>
      </c>
      <c r="J51" s="134">
        <v>75</v>
      </c>
      <c r="K51" s="135">
        <v>5628</v>
      </c>
      <c r="L51" s="134">
        <v>1956</v>
      </c>
      <c r="M51" s="135">
        <v>5611506</v>
      </c>
      <c r="N51" s="14" t="s">
        <v>189</v>
      </c>
    </row>
    <row r="52" spans="1:14" ht="15.75" customHeight="1">
      <c r="A52" s="13" t="s">
        <v>120</v>
      </c>
      <c r="B52" s="134">
        <f>_xlfn.COMPOUNDVALUE(354)</f>
        <v>1047</v>
      </c>
      <c r="C52" s="105">
        <v>4253497</v>
      </c>
      <c r="D52" s="134">
        <f>_xlfn.COMPOUNDVALUE(355)</f>
        <v>619</v>
      </c>
      <c r="E52" s="105">
        <v>218404</v>
      </c>
      <c r="F52" s="134">
        <f>_xlfn.COMPOUNDVALUE(356)</f>
        <v>1666</v>
      </c>
      <c r="G52" s="105">
        <v>4471901</v>
      </c>
      <c r="H52" s="134">
        <f>_xlfn.COMPOUNDVALUE(357)</f>
        <v>44</v>
      </c>
      <c r="I52" s="135">
        <v>52998</v>
      </c>
      <c r="J52" s="134">
        <v>40</v>
      </c>
      <c r="K52" s="184">
        <v>-2726</v>
      </c>
      <c r="L52" s="134">
        <v>1721</v>
      </c>
      <c r="M52" s="135">
        <v>4416177</v>
      </c>
      <c r="N52" s="14" t="s">
        <v>190</v>
      </c>
    </row>
    <row r="53" spans="1:14" ht="15.75" customHeight="1">
      <c r="A53" s="13" t="s">
        <v>121</v>
      </c>
      <c r="B53" s="134">
        <f>_xlfn.COMPOUNDVALUE(358)</f>
        <v>641</v>
      </c>
      <c r="C53" s="105">
        <v>1954899</v>
      </c>
      <c r="D53" s="134">
        <f>_xlfn.COMPOUNDVALUE(359)</f>
        <v>288</v>
      </c>
      <c r="E53" s="105">
        <v>123015</v>
      </c>
      <c r="F53" s="134">
        <f>_xlfn.COMPOUNDVALUE(360)</f>
        <v>929</v>
      </c>
      <c r="G53" s="105">
        <v>2077914</v>
      </c>
      <c r="H53" s="134">
        <f>_xlfn.COMPOUNDVALUE(361)</f>
        <v>35</v>
      </c>
      <c r="I53" s="135">
        <v>70285</v>
      </c>
      <c r="J53" s="134">
        <v>57</v>
      </c>
      <c r="K53" s="184">
        <v>-337</v>
      </c>
      <c r="L53" s="134">
        <v>981</v>
      </c>
      <c r="M53" s="135">
        <v>2007292</v>
      </c>
      <c r="N53" s="14" t="s">
        <v>191</v>
      </c>
    </row>
    <row r="54" spans="1:14" ht="15.75" customHeight="1">
      <c r="A54" s="13" t="s">
        <v>122</v>
      </c>
      <c r="B54" s="134">
        <f>_xlfn.COMPOUNDVALUE(362)</f>
        <v>653</v>
      </c>
      <c r="C54" s="105">
        <v>2812303</v>
      </c>
      <c r="D54" s="134">
        <f>_xlfn.COMPOUNDVALUE(363)</f>
        <v>328</v>
      </c>
      <c r="E54" s="105">
        <v>116373</v>
      </c>
      <c r="F54" s="134">
        <f>_xlfn.COMPOUNDVALUE(364)</f>
        <v>981</v>
      </c>
      <c r="G54" s="105">
        <v>2928676</v>
      </c>
      <c r="H54" s="134">
        <f>_xlfn.COMPOUNDVALUE(365)</f>
        <v>19</v>
      </c>
      <c r="I54" s="135">
        <v>13286</v>
      </c>
      <c r="J54" s="134">
        <v>31</v>
      </c>
      <c r="K54" s="135">
        <v>3147</v>
      </c>
      <c r="L54" s="134">
        <v>1005</v>
      </c>
      <c r="M54" s="135">
        <v>2918537</v>
      </c>
      <c r="N54" s="14" t="s">
        <v>192</v>
      </c>
    </row>
    <row r="55" spans="1:14" ht="15.75" customHeight="1">
      <c r="A55" s="13" t="s">
        <v>123</v>
      </c>
      <c r="B55" s="134">
        <f>_xlfn.COMPOUNDVALUE(366)</f>
        <v>686</v>
      </c>
      <c r="C55" s="105">
        <v>3484747</v>
      </c>
      <c r="D55" s="134">
        <f>_xlfn.COMPOUNDVALUE(367)</f>
        <v>250</v>
      </c>
      <c r="E55" s="105">
        <v>96333</v>
      </c>
      <c r="F55" s="134">
        <f>_xlfn.COMPOUNDVALUE(368)</f>
        <v>936</v>
      </c>
      <c r="G55" s="105">
        <v>3581080</v>
      </c>
      <c r="H55" s="134">
        <f>_xlfn.COMPOUNDVALUE(369)</f>
        <v>43</v>
      </c>
      <c r="I55" s="135">
        <v>1094768</v>
      </c>
      <c r="J55" s="134">
        <v>29</v>
      </c>
      <c r="K55" s="184">
        <v>-62701</v>
      </c>
      <c r="L55" s="134">
        <v>989</v>
      </c>
      <c r="M55" s="135">
        <v>2423611</v>
      </c>
      <c r="N55" s="14" t="s">
        <v>193</v>
      </c>
    </row>
    <row r="56" spans="1:14" ht="15.75" customHeight="1">
      <c r="A56" s="13" t="s">
        <v>124</v>
      </c>
      <c r="B56" s="134">
        <f>_xlfn.COMPOUNDVALUE(370)</f>
        <v>528</v>
      </c>
      <c r="C56" s="105">
        <v>1798112</v>
      </c>
      <c r="D56" s="134">
        <f>_xlfn.COMPOUNDVALUE(371)</f>
        <v>245</v>
      </c>
      <c r="E56" s="105">
        <v>95982</v>
      </c>
      <c r="F56" s="134">
        <f>_xlfn.COMPOUNDVALUE(372)</f>
        <v>773</v>
      </c>
      <c r="G56" s="105">
        <v>1894094</v>
      </c>
      <c r="H56" s="134">
        <f>_xlfn.COMPOUNDVALUE(373)</f>
        <v>17</v>
      </c>
      <c r="I56" s="135">
        <v>11616</v>
      </c>
      <c r="J56" s="134">
        <v>7</v>
      </c>
      <c r="K56" s="135">
        <v>450</v>
      </c>
      <c r="L56" s="134">
        <v>793</v>
      </c>
      <c r="M56" s="135">
        <v>1882929</v>
      </c>
      <c r="N56" s="14" t="s">
        <v>194</v>
      </c>
    </row>
    <row r="57" spans="1:14" ht="15.75" customHeight="1">
      <c r="A57" s="15" t="s">
        <v>125</v>
      </c>
      <c r="B57" s="136">
        <v>9676</v>
      </c>
      <c r="C57" s="137">
        <v>42547694</v>
      </c>
      <c r="D57" s="136">
        <v>4667</v>
      </c>
      <c r="E57" s="137">
        <v>1726811</v>
      </c>
      <c r="F57" s="136">
        <v>14343</v>
      </c>
      <c r="G57" s="137">
        <v>44274505</v>
      </c>
      <c r="H57" s="136">
        <v>396</v>
      </c>
      <c r="I57" s="138">
        <v>1988574</v>
      </c>
      <c r="J57" s="136">
        <v>524</v>
      </c>
      <c r="K57" s="185">
        <v>-15229</v>
      </c>
      <c r="L57" s="136">
        <v>14867</v>
      </c>
      <c r="M57" s="138">
        <v>42270701</v>
      </c>
      <c r="N57" s="16" t="s">
        <v>195</v>
      </c>
    </row>
    <row r="58" spans="1:14" ht="15.75" customHeight="1">
      <c r="A58" s="23"/>
      <c r="B58" s="139"/>
      <c r="C58" s="140"/>
      <c r="D58" s="139"/>
      <c r="E58" s="140"/>
      <c r="F58" s="141"/>
      <c r="G58" s="140"/>
      <c r="H58" s="141"/>
      <c r="I58" s="140"/>
      <c r="J58" s="141"/>
      <c r="K58" s="140"/>
      <c r="L58" s="141"/>
      <c r="M58" s="140"/>
      <c r="N58" s="24"/>
    </row>
    <row r="59" spans="1:14" ht="15.75" customHeight="1">
      <c r="A59" s="11" t="s">
        <v>126</v>
      </c>
      <c r="B59" s="125">
        <f>_xlfn.COMPOUNDVALUE(374)</f>
        <v>3141</v>
      </c>
      <c r="C59" s="103">
        <v>15546646</v>
      </c>
      <c r="D59" s="125">
        <f>_xlfn.COMPOUNDVALUE(375)</f>
        <v>1624</v>
      </c>
      <c r="E59" s="103">
        <v>668607</v>
      </c>
      <c r="F59" s="125">
        <f>_xlfn.COMPOUNDVALUE(376)</f>
        <v>4765</v>
      </c>
      <c r="G59" s="103">
        <v>16215253</v>
      </c>
      <c r="H59" s="125">
        <f>_xlfn.COMPOUNDVALUE(377)</f>
        <v>171</v>
      </c>
      <c r="I59" s="133">
        <v>1783315</v>
      </c>
      <c r="J59" s="125">
        <v>251</v>
      </c>
      <c r="K59" s="133">
        <v>48867</v>
      </c>
      <c r="L59" s="125">
        <v>4986</v>
      </c>
      <c r="M59" s="133">
        <v>14480804</v>
      </c>
      <c r="N59" s="25" t="s">
        <v>197</v>
      </c>
    </row>
    <row r="60" spans="1:14" ht="15.75" customHeight="1">
      <c r="A60" s="11" t="s">
        <v>127</v>
      </c>
      <c r="B60" s="125">
        <f>_xlfn.COMPOUNDVALUE(378)</f>
        <v>1622</v>
      </c>
      <c r="C60" s="103">
        <v>5908923</v>
      </c>
      <c r="D60" s="125">
        <f>_xlfn.COMPOUNDVALUE(379)</f>
        <v>967</v>
      </c>
      <c r="E60" s="103">
        <v>358780</v>
      </c>
      <c r="F60" s="125">
        <f>_xlfn.COMPOUNDVALUE(380)</f>
        <v>2589</v>
      </c>
      <c r="G60" s="103">
        <v>6267703</v>
      </c>
      <c r="H60" s="125">
        <f>_xlfn.COMPOUNDVALUE(381)</f>
        <v>65</v>
      </c>
      <c r="I60" s="133">
        <v>168406</v>
      </c>
      <c r="J60" s="125">
        <v>99</v>
      </c>
      <c r="K60" s="133">
        <v>29784</v>
      </c>
      <c r="L60" s="125">
        <v>2711</v>
      </c>
      <c r="M60" s="133">
        <v>6129080</v>
      </c>
      <c r="N60" s="12" t="s">
        <v>198</v>
      </c>
    </row>
    <row r="61" spans="1:14" ht="15.75" customHeight="1">
      <c r="A61" s="11" t="s">
        <v>128</v>
      </c>
      <c r="B61" s="125">
        <f>_xlfn.COMPOUNDVALUE(382)</f>
        <v>3925</v>
      </c>
      <c r="C61" s="103">
        <v>20205704</v>
      </c>
      <c r="D61" s="125">
        <f>_xlfn.COMPOUNDVALUE(383)</f>
        <v>2146</v>
      </c>
      <c r="E61" s="103">
        <v>912009</v>
      </c>
      <c r="F61" s="125">
        <f>_xlfn.COMPOUNDVALUE(384)</f>
        <v>6071</v>
      </c>
      <c r="G61" s="103">
        <v>21117713</v>
      </c>
      <c r="H61" s="125">
        <f>_xlfn.COMPOUNDVALUE(385)</f>
        <v>191</v>
      </c>
      <c r="I61" s="133">
        <v>644294</v>
      </c>
      <c r="J61" s="125">
        <v>243</v>
      </c>
      <c r="K61" s="183">
        <v>-44553</v>
      </c>
      <c r="L61" s="125">
        <v>6314</v>
      </c>
      <c r="M61" s="133">
        <v>20428866</v>
      </c>
      <c r="N61" s="12" t="s">
        <v>199</v>
      </c>
    </row>
    <row r="62" spans="1:14" ht="15.75" customHeight="1">
      <c r="A62" s="13" t="s">
        <v>69</v>
      </c>
      <c r="B62" s="134">
        <f>_xlfn.COMPOUNDVALUE(386)</f>
        <v>3147</v>
      </c>
      <c r="C62" s="105">
        <v>12340068</v>
      </c>
      <c r="D62" s="134">
        <f>_xlfn.COMPOUNDVALUE(387)</f>
        <v>1699</v>
      </c>
      <c r="E62" s="105">
        <v>729584</v>
      </c>
      <c r="F62" s="134">
        <f>_xlfn.COMPOUNDVALUE(388)</f>
        <v>4846</v>
      </c>
      <c r="G62" s="105">
        <v>13069652</v>
      </c>
      <c r="H62" s="134">
        <f>_xlfn.COMPOUNDVALUE(389)</f>
        <v>255</v>
      </c>
      <c r="I62" s="135">
        <v>3268453</v>
      </c>
      <c r="J62" s="134">
        <v>246</v>
      </c>
      <c r="K62" s="135">
        <v>13905</v>
      </c>
      <c r="L62" s="134">
        <v>5181</v>
      </c>
      <c r="M62" s="135">
        <v>9815104</v>
      </c>
      <c r="N62" s="14" t="s">
        <v>69</v>
      </c>
    </row>
    <row r="63" spans="1:14" ht="15.75" customHeight="1">
      <c r="A63" s="13" t="s">
        <v>129</v>
      </c>
      <c r="B63" s="134">
        <f>_xlfn.COMPOUNDVALUE(390)</f>
        <v>1076</v>
      </c>
      <c r="C63" s="105">
        <v>3485331</v>
      </c>
      <c r="D63" s="134">
        <f>_xlfn.COMPOUNDVALUE(391)</f>
        <v>533</v>
      </c>
      <c r="E63" s="105">
        <v>219036</v>
      </c>
      <c r="F63" s="134">
        <f>_xlfn.COMPOUNDVALUE(392)</f>
        <v>1609</v>
      </c>
      <c r="G63" s="105">
        <v>3704367</v>
      </c>
      <c r="H63" s="134">
        <f>_xlfn.COMPOUNDVALUE(393)</f>
        <v>61</v>
      </c>
      <c r="I63" s="135">
        <v>105589</v>
      </c>
      <c r="J63" s="134">
        <v>47</v>
      </c>
      <c r="K63" s="184">
        <v>-4334</v>
      </c>
      <c r="L63" s="134">
        <v>1689</v>
      </c>
      <c r="M63" s="135">
        <v>3594444</v>
      </c>
      <c r="N63" s="14" t="s">
        <v>200</v>
      </c>
    </row>
    <row r="64" spans="1:14" ht="15.75" customHeight="1">
      <c r="A64" s="13" t="s">
        <v>130</v>
      </c>
      <c r="B64" s="134">
        <f>_xlfn.COMPOUNDVALUE(394)</f>
        <v>1070</v>
      </c>
      <c r="C64" s="105">
        <v>3576251</v>
      </c>
      <c r="D64" s="134">
        <f>_xlfn.COMPOUNDVALUE(395)</f>
        <v>639</v>
      </c>
      <c r="E64" s="105">
        <v>263289</v>
      </c>
      <c r="F64" s="134">
        <f>_xlfn.COMPOUNDVALUE(396)</f>
        <v>1709</v>
      </c>
      <c r="G64" s="105">
        <v>3839540</v>
      </c>
      <c r="H64" s="134">
        <f>_xlfn.COMPOUNDVALUE(397)</f>
        <v>77</v>
      </c>
      <c r="I64" s="135">
        <v>340302</v>
      </c>
      <c r="J64" s="134">
        <v>56</v>
      </c>
      <c r="K64" s="135">
        <v>15128</v>
      </c>
      <c r="L64" s="134">
        <v>1812</v>
      </c>
      <c r="M64" s="135">
        <v>3514365</v>
      </c>
      <c r="N64" s="14" t="s">
        <v>201</v>
      </c>
    </row>
    <row r="65" spans="1:14" ht="15.75" customHeight="1">
      <c r="A65" s="13" t="s">
        <v>131</v>
      </c>
      <c r="B65" s="134">
        <f>_xlfn.COMPOUNDVALUE(398)</f>
        <v>413</v>
      </c>
      <c r="C65" s="105">
        <v>1408872</v>
      </c>
      <c r="D65" s="134">
        <f>_xlfn.COMPOUNDVALUE(399)</f>
        <v>303</v>
      </c>
      <c r="E65" s="105">
        <v>100244</v>
      </c>
      <c r="F65" s="134">
        <f>_xlfn.COMPOUNDVALUE(400)</f>
        <v>716</v>
      </c>
      <c r="G65" s="105">
        <v>1509115</v>
      </c>
      <c r="H65" s="134">
        <f>_xlfn.COMPOUNDVALUE(401)</f>
        <v>20</v>
      </c>
      <c r="I65" s="135">
        <v>141925</v>
      </c>
      <c r="J65" s="134">
        <v>38</v>
      </c>
      <c r="K65" s="135">
        <v>4773</v>
      </c>
      <c r="L65" s="134">
        <v>749</v>
      </c>
      <c r="M65" s="135">
        <v>1371963</v>
      </c>
      <c r="N65" s="14" t="s">
        <v>202</v>
      </c>
    </row>
    <row r="66" spans="1:14" ht="15.75" customHeight="1">
      <c r="A66" s="13" t="s">
        <v>132</v>
      </c>
      <c r="B66" s="134">
        <f>_xlfn.COMPOUNDVALUE(402)</f>
        <v>994</v>
      </c>
      <c r="C66" s="105">
        <v>3600171</v>
      </c>
      <c r="D66" s="134">
        <f>_xlfn.COMPOUNDVALUE(403)</f>
        <v>468</v>
      </c>
      <c r="E66" s="105">
        <v>185483</v>
      </c>
      <c r="F66" s="134">
        <f>_xlfn.COMPOUNDVALUE(404)</f>
        <v>1462</v>
      </c>
      <c r="G66" s="105">
        <v>3785655</v>
      </c>
      <c r="H66" s="134">
        <f>_xlfn.COMPOUNDVALUE(405)</f>
        <v>181</v>
      </c>
      <c r="I66" s="135">
        <v>490967</v>
      </c>
      <c r="J66" s="134">
        <v>61</v>
      </c>
      <c r="K66" s="135">
        <v>9673</v>
      </c>
      <c r="L66" s="134">
        <v>1678</v>
      </c>
      <c r="M66" s="135">
        <v>3304360</v>
      </c>
      <c r="N66" s="14" t="s">
        <v>203</v>
      </c>
    </row>
    <row r="67" spans="1:14" ht="15.75" customHeight="1">
      <c r="A67" s="13" t="s">
        <v>133</v>
      </c>
      <c r="B67" s="134">
        <f>_xlfn.COMPOUNDVALUE(406)</f>
        <v>753</v>
      </c>
      <c r="C67" s="105">
        <v>2725905</v>
      </c>
      <c r="D67" s="134">
        <f>_xlfn.COMPOUNDVALUE(407)</f>
        <v>374</v>
      </c>
      <c r="E67" s="105">
        <v>152247</v>
      </c>
      <c r="F67" s="134">
        <f>_xlfn.COMPOUNDVALUE(408)</f>
        <v>1127</v>
      </c>
      <c r="G67" s="105">
        <v>2878151</v>
      </c>
      <c r="H67" s="134">
        <f>_xlfn.COMPOUNDVALUE(409)</f>
        <v>44</v>
      </c>
      <c r="I67" s="135">
        <v>57444</v>
      </c>
      <c r="J67" s="134">
        <v>36</v>
      </c>
      <c r="K67" s="135">
        <v>5402</v>
      </c>
      <c r="L67" s="134">
        <v>1188</v>
      </c>
      <c r="M67" s="135">
        <v>2826109</v>
      </c>
      <c r="N67" s="14" t="s">
        <v>204</v>
      </c>
    </row>
    <row r="68" spans="1:14" ht="15.75" customHeight="1">
      <c r="A68" s="13" t="s">
        <v>134</v>
      </c>
      <c r="B68" s="134">
        <f>_xlfn.COMPOUNDVALUE(410)</f>
        <v>280</v>
      </c>
      <c r="C68" s="105">
        <v>655721</v>
      </c>
      <c r="D68" s="134">
        <f>_xlfn.COMPOUNDVALUE(411)</f>
        <v>153</v>
      </c>
      <c r="E68" s="105">
        <v>63701</v>
      </c>
      <c r="F68" s="134">
        <f>_xlfn.COMPOUNDVALUE(412)</f>
        <v>433</v>
      </c>
      <c r="G68" s="105">
        <v>719422</v>
      </c>
      <c r="H68" s="134">
        <f>_xlfn.COMPOUNDVALUE(413)</f>
        <v>13</v>
      </c>
      <c r="I68" s="135">
        <v>25517</v>
      </c>
      <c r="J68" s="134">
        <v>22</v>
      </c>
      <c r="K68" s="135">
        <v>6639</v>
      </c>
      <c r="L68" s="134">
        <v>451</v>
      </c>
      <c r="M68" s="135">
        <v>700544</v>
      </c>
      <c r="N68" s="14" t="s">
        <v>205</v>
      </c>
    </row>
    <row r="69" spans="1:14" ht="15.75" customHeight="1">
      <c r="A69" s="15" t="s">
        <v>135</v>
      </c>
      <c r="B69" s="136">
        <v>16421</v>
      </c>
      <c r="C69" s="137">
        <v>69453590</v>
      </c>
      <c r="D69" s="136">
        <v>8906</v>
      </c>
      <c r="E69" s="137">
        <v>3652980</v>
      </c>
      <c r="F69" s="136">
        <v>25327</v>
      </c>
      <c r="G69" s="137">
        <v>73106570</v>
      </c>
      <c r="H69" s="136">
        <v>1078</v>
      </c>
      <c r="I69" s="138">
        <v>7026214</v>
      </c>
      <c r="J69" s="136">
        <v>1099</v>
      </c>
      <c r="K69" s="138">
        <v>85283</v>
      </c>
      <c r="L69" s="136">
        <v>26759</v>
      </c>
      <c r="M69" s="138">
        <v>66165639</v>
      </c>
      <c r="N69" s="16" t="s">
        <v>206</v>
      </c>
    </row>
    <row r="70" spans="1:14" ht="15.75" customHeight="1" thickBot="1">
      <c r="A70" s="18"/>
      <c r="B70" s="145"/>
      <c r="C70" s="146"/>
      <c r="D70" s="145"/>
      <c r="E70" s="146"/>
      <c r="F70" s="147"/>
      <c r="G70" s="146"/>
      <c r="H70" s="147"/>
      <c r="I70" s="146"/>
      <c r="J70" s="147"/>
      <c r="K70" s="146"/>
      <c r="L70" s="147"/>
      <c r="M70" s="146"/>
      <c r="N70" s="19"/>
    </row>
    <row r="71" spans="1:14" ht="15.75" customHeight="1" thickBot="1" thickTop="1">
      <c r="A71" s="21" t="s">
        <v>136</v>
      </c>
      <c r="B71" s="148">
        <v>72484</v>
      </c>
      <c r="C71" s="149">
        <v>324599128</v>
      </c>
      <c r="D71" s="148">
        <v>34281</v>
      </c>
      <c r="E71" s="149">
        <v>14047873</v>
      </c>
      <c r="F71" s="148">
        <v>106765</v>
      </c>
      <c r="G71" s="149">
        <v>338647001</v>
      </c>
      <c r="H71" s="148">
        <v>4467</v>
      </c>
      <c r="I71" s="150">
        <v>24024924</v>
      </c>
      <c r="J71" s="148">
        <v>4997</v>
      </c>
      <c r="K71" s="150">
        <v>369233</v>
      </c>
      <c r="L71" s="148">
        <v>112583</v>
      </c>
      <c r="M71" s="150">
        <v>314991310</v>
      </c>
      <c r="N71" s="22" t="s">
        <v>149</v>
      </c>
    </row>
    <row r="72" spans="1:14" ht="13.5">
      <c r="A72" s="218" t="s">
        <v>245</v>
      </c>
      <c r="B72" s="218"/>
      <c r="C72" s="218"/>
      <c r="D72" s="218"/>
      <c r="E72" s="218"/>
      <c r="F72" s="218"/>
      <c r="G72" s="218"/>
      <c r="H72" s="218"/>
      <c r="I72" s="218"/>
      <c r="J72" s="26"/>
      <c r="K72" s="26"/>
      <c r="L72" s="2"/>
      <c r="M72" s="2"/>
      <c r="N72" s="2"/>
    </row>
  </sheetData>
  <sheetProtection/>
  <mergeCells count="11">
    <mergeCell ref="N3:N5"/>
    <mergeCell ref="B4:C4"/>
    <mergeCell ref="D4:E4"/>
    <mergeCell ref="F4:G4"/>
    <mergeCell ref="J3:K4"/>
    <mergeCell ref="L3:M4"/>
    <mergeCell ref="A72:I72"/>
    <mergeCell ref="A2:I2"/>
    <mergeCell ref="A3:A5"/>
    <mergeCell ref="B3:G3"/>
    <mergeCell ref="H3:I4"/>
  </mergeCells>
  <printOptions/>
  <pageMargins left="0.5905511811023623" right="0.5905511811023623" top="0.7874015748031497" bottom="0.7874015748031497" header="0.5118110236220472" footer="0.5118110236220472"/>
  <pageSetup fitToHeight="0" horizontalDpi="600" verticalDpi="600" orientation="landscape" paperSize="9" scale="80" r:id="rId1"/>
  <headerFooter scaleWithDoc="0">
    <oddFooter>&amp;R仙台国税局
消費税
(H24)</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dimension ref="A1:R72"/>
  <sheetViews>
    <sheetView showGridLines="0" zoomScaleSheetLayoutView="85" zoomScalePageLayoutView="0" workbookViewId="0" topLeftCell="A1">
      <selection activeCell="A1" sqref="A1:K1"/>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77</v>
      </c>
      <c r="B1" s="1"/>
      <c r="C1" s="1"/>
      <c r="D1" s="1"/>
      <c r="E1" s="1"/>
      <c r="F1" s="1"/>
      <c r="G1" s="1"/>
      <c r="H1" s="1"/>
      <c r="I1" s="1"/>
      <c r="J1" s="1"/>
      <c r="K1" s="1"/>
      <c r="L1" s="2"/>
      <c r="M1" s="2"/>
      <c r="N1" s="2"/>
      <c r="O1" s="2"/>
      <c r="P1" s="2"/>
    </row>
    <row r="2" spans="1:16" ht="14.25" thickBot="1">
      <c r="A2" s="234" t="s">
        <v>137</v>
      </c>
      <c r="B2" s="234"/>
      <c r="C2" s="234"/>
      <c r="D2" s="234"/>
      <c r="E2" s="234"/>
      <c r="F2" s="234"/>
      <c r="G2" s="234"/>
      <c r="H2" s="234"/>
      <c r="I2" s="234"/>
      <c r="J2" s="26"/>
      <c r="K2" s="26"/>
      <c r="L2" s="2"/>
      <c r="M2" s="2"/>
      <c r="N2" s="2"/>
      <c r="O2" s="2"/>
      <c r="P2" s="2"/>
    </row>
    <row r="3" spans="1:18" ht="19.5" customHeight="1">
      <c r="A3" s="224" t="s">
        <v>2</v>
      </c>
      <c r="B3" s="227" t="s">
        <v>3</v>
      </c>
      <c r="C3" s="227"/>
      <c r="D3" s="227"/>
      <c r="E3" s="227"/>
      <c r="F3" s="227"/>
      <c r="G3" s="227"/>
      <c r="H3" s="227" t="s">
        <v>4</v>
      </c>
      <c r="I3" s="227"/>
      <c r="J3" s="242" t="s">
        <v>5</v>
      </c>
      <c r="K3" s="227"/>
      <c r="L3" s="227" t="s">
        <v>6</v>
      </c>
      <c r="M3" s="227"/>
      <c r="N3" s="243" t="s">
        <v>138</v>
      </c>
      <c r="O3" s="244"/>
      <c r="P3" s="244"/>
      <c r="Q3" s="244"/>
      <c r="R3" s="228" t="s">
        <v>79</v>
      </c>
    </row>
    <row r="4" spans="1:18" ht="17.25" customHeight="1">
      <c r="A4" s="225"/>
      <c r="B4" s="231" t="s">
        <v>8</v>
      </c>
      <c r="C4" s="231"/>
      <c r="D4" s="231" t="s">
        <v>9</v>
      </c>
      <c r="E4" s="231"/>
      <c r="F4" s="231" t="s">
        <v>10</v>
      </c>
      <c r="G4" s="231"/>
      <c r="H4" s="231"/>
      <c r="I4" s="231"/>
      <c r="J4" s="231"/>
      <c r="K4" s="231"/>
      <c r="L4" s="231"/>
      <c r="M4" s="231"/>
      <c r="N4" s="235" t="s">
        <v>139</v>
      </c>
      <c r="O4" s="237" t="s">
        <v>140</v>
      </c>
      <c r="P4" s="239" t="s">
        <v>141</v>
      </c>
      <c r="Q4" s="223" t="s">
        <v>142</v>
      </c>
      <c r="R4" s="229"/>
    </row>
    <row r="5" spans="1:18" ht="28.5" customHeight="1">
      <c r="A5" s="226"/>
      <c r="B5" s="34" t="s">
        <v>11</v>
      </c>
      <c r="C5" s="35" t="s">
        <v>12</v>
      </c>
      <c r="D5" s="34" t="s">
        <v>11</v>
      </c>
      <c r="E5" s="35" t="s">
        <v>12</v>
      </c>
      <c r="F5" s="34" t="s">
        <v>11</v>
      </c>
      <c r="G5" s="35" t="s">
        <v>13</v>
      </c>
      <c r="H5" s="34" t="s">
        <v>11</v>
      </c>
      <c r="I5" s="35" t="s">
        <v>14</v>
      </c>
      <c r="J5" s="34" t="s">
        <v>11</v>
      </c>
      <c r="K5" s="35" t="s">
        <v>15</v>
      </c>
      <c r="L5" s="34" t="s">
        <v>11</v>
      </c>
      <c r="M5" s="30" t="s">
        <v>148</v>
      </c>
      <c r="N5" s="236"/>
      <c r="O5" s="238"/>
      <c r="P5" s="240"/>
      <c r="Q5" s="241"/>
      <c r="R5" s="230"/>
    </row>
    <row r="6" spans="1:18" s="28" customFormat="1" ht="10.5">
      <c r="A6" s="5"/>
      <c r="B6" s="6" t="s">
        <v>16</v>
      </c>
      <c r="C6" s="7" t="s">
        <v>17</v>
      </c>
      <c r="D6" s="6" t="s">
        <v>16</v>
      </c>
      <c r="E6" s="7" t="s">
        <v>17</v>
      </c>
      <c r="F6" s="6" t="s">
        <v>16</v>
      </c>
      <c r="G6" s="7" t="s">
        <v>17</v>
      </c>
      <c r="H6" s="6" t="s">
        <v>16</v>
      </c>
      <c r="I6" s="7" t="s">
        <v>17</v>
      </c>
      <c r="J6" s="6" t="s">
        <v>16</v>
      </c>
      <c r="K6" s="7" t="s">
        <v>17</v>
      </c>
      <c r="L6" s="6" t="s">
        <v>16</v>
      </c>
      <c r="M6" s="7" t="s">
        <v>17</v>
      </c>
      <c r="N6" s="6" t="s">
        <v>16</v>
      </c>
      <c r="O6" s="31" t="s">
        <v>16</v>
      </c>
      <c r="P6" s="31" t="s">
        <v>16</v>
      </c>
      <c r="Q6" s="32" t="s">
        <v>16</v>
      </c>
      <c r="R6" s="9"/>
    </row>
    <row r="7" spans="1:18" ht="15.75" customHeight="1">
      <c r="A7" s="11" t="s">
        <v>19</v>
      </c>
      <c r="B7" s="125">
        <f>_xlfn.COMPOUNDVALUE(414)</f>
        <v>3534</v>
      </c>
      <c r="C7" s="103">
        <v>10760511</v>
      </c>
      <c r="D7" s="125">
        <f>_xlfn.COMPOUNDVALUE(415)</f>
        <v>2709</v>
      </c>
      <c r="E7" s="103">
        <v>812907</v>
      </c>
      <c r="F7" s="125">
        <f>_xlfn.COMPOUNDVALUE(416)</f>
        <v>6243</v>
      </c>
      <c r="G7" s="103">
        <v>11573418</v>
      </c>
      <c r="H7" s="125">
        <f>_xlfn.COMPOUNDVALUE(417)</f>
        <v>152</v>
      </c>
      <c r="I7" s="133">
        <v>203834</v>
      </c>
      <c r="J7" s="125">
        <v>289</v>
      </c>
      <c r="K7" s="133">
        <v>7916</v>
      </c>
      <c r="L7" s="125">
        <v>6485</v>
      </c>
      <c r="M7" s="133">
        <v>11377499</v>
      </c>
      <c r="N7" s="125">
        <v>6346</v>
      </c>
      <c r="O7" s="102">
        <v>147</v>
      </c>
      <c r="P7" s="102">
        <v>11</v>
      </c>
      <c r="Q7" s="151">
        <v>6504</v>
      </c>
      <c r="R7" s="12" t="s">
        <v>151</v>
      </c>
    </row>
    <row r="8" spans="1:18" ht="15.75" customHeight="1">
      <c r="A8" s="13" t="s">
        <v>20</v>
      </c>
      <c r="B8" s="134">
        <f>_xlfn.COMPOUNDVALUE(418)</f>
        <v>2105</v>
      </c>
      <c r="C8" s="105">
        <v>5619435</v>
      </c>
      <c r="D8" s="134">
        <f>_xlfn.COMPOUNDVALUE(419)</f>
        <v>1717</v>
      </c>
      <c r="E8" s="105">
        <v>490024</v>
      </c>
      <c r="F8" s="134">
        <f>_xlfn.COMPOUNDVALUE(420)</f>
        <v>3822</v>
      </c>
      <c r="G8" s="105">
        <v>6109459</v>
      </c>
      <c r="H8" s="134">
        <f>_xlfn.COMPOUNDVALUE(421)</f>
        <v>87</v>
      </c>
      <c r="I8" s="135">
        <v>426755</v>
      </c>
      <c r="J8" s="134">
        <v>176</v>
      </c>
      <c r="K8" s="135">
        <v>29442</v>
      </c>
      <c r="L8" s="134">
        <v>3971</v>
      </c>
      <c r="M8" s="135">
        <v>5712146</v>
      </c>
      <c r="N8" s="125">
        <v>3903</v>
      </c>
      <c r="O8" s="102">
        <v>74</v>
      </c>
      <c r="P8" s="102">
        <v>10</v>
      </c>
      <c r="Q8" s="151">
        <v>3987</v>
      </c>
      <c r="R8" s="14" t="s">
        <v>152</v>
      </c>
    </row>
    <row r="9" spans="1:18" ht="15.75" customHeight="1">
      <c r="A9" s="13" t="s">
        <v>21</v>
      </c>
      <c r="B9" s="134">
        <f>_xlfn.COMPOUNDVALUE(422)</f>
        <v>3672</v>
      </c>
      <c r="C9" s="105">
        <v>12044330</v>
      </c>
      <c r="D9" s="134">
        <f>_xlfn.COMPOUNDVALUE(423)</f>
        <v>2757</v>
      </c>
      <c r="E9" s="105">
        <v>831429</v>
      </c>
      <c r="F9" s="134">
        <f>_xlfn.COMPOUNDVALUE(424)</f>
        <v>6429</v>
      </c>
      <c r="G9" s="105">
        <v>12875759</v>
      </c>
      <c r="H9" s="134">
        <f>_xlfn.COMPOUNDVALUE(425)</f>
        <v>178</v>
      </c>
      <c r="I9" s="135">
        <v>1277635</v>
      </c>
      <c r="J9" s="134">
        <v>381</v>
      </c>
      <c r="K9" s="135">
        <v>48791</v>
      </c>
      <c r="L9" s="134">
        <v>6784</v>
      </c>
      <c r="M9" s="135">
        <v>11646915</v>
      </c>
      <c r="N9" s="125">
        <v>6527</v>
      </c>
      <c r="O9" s="102">
        <v>130</v>
      </c>
      <c r="P9" s="102">
        <v>14</v>
      </c>
      <c r="Q9" s="151">
        <v>6671</v>
      </c>
      <c r="R9" s="14" t="s">
        <v>153</v>
      </c>
    </row>
    <row r="10" spans="1:18" ht="15.75" customHeight="1">
      <c r="A10" s="13" t="s">
        <v>22</v>
      </c>
      <c r="B10" s="134">
        <f>_xlfn.COMPOUNDVALUE(426)</f>
        <v>834</v>
      </c>
      <c r="C10" s="105">
        <v>1910679</v>
      </c>
      <c r="D10" s="134">
        <f>_xlfn.COMPOUNDVALUE(427)</f>
        <v>792</v>
      </c>
      <c r="E10" s="105">
        <v>214289</v>
      </c>
      <c r="F10" s="134">
        <f>_xlfn.COMPOUNDVALUE(428)</f>
        <v>1626</v>
      </c>
      <c r="G10" s="105">
        <v>2124969</v>
      </c>
      <c r="H10" s="134">
        <f>_xlfn.COMPOUNDVALUE(429)</f>
        <v>26</v>
      </c>
      <c r="I10" s="135">
        <v>32465</v>
      </c>
      <c r="J10" s="134">
        <v>111</v>
      </c>
      <c r="K10" s="135">
        <v>13568</v>
      </c>
      <c r="L10" s="134">
        <v>1680</v>
      </c>
      <c r="M10" s="135">
        <v>2106071</v>
      </c>
      <c r="N10" s="125">
        <v>1731</v>
      </c>
      <c r="O10" s="102">
        <v>19</v>
      </c>
      <c r="P10" s="102">
        <v>5</v>
      </c>
      <c r="Q10" s="151">
        <v>1755</v>
      </c>
      <c r="R10" s="14" t="s">
        <v>154</v>
      </c>
    </row>
    <row r="11" spans="1:18" ht="15.75" customHeight="1">
      <c r="A11" s="13" t="s">
        <v>23</v>
      </c>
      <c r="B11" s="134">
        <f>_xlfn.COMPOUNDVALUE(430)</f>
        <v>1663</v>
      </c>
      <c r="C11" s="105">
        <v>2747326</v>
      </c>
      <c r="D11" s="134">
        <f>_xlfn.COMPOUNDVALUE(431)</f>
        <v>1560</v>
      </c>
      <c r="E11" s="105">
        <v>421270</v>
      </c>
      <c r="F11" s="134">
        <f>_xlfn.COMPOUNDVALUE(432)</f>
        <v>3223</v>
      </c>
      <c r="G11" s="105">
        <v>3168595</v>
      </c>
      <c r="H11" s="134">
        <f>_xlfn.COMPOUNDVALUE(433)</f>
        <v>69</v>
      </c>
      <c r="I11" s="135">
        <v>62363</v>
      </c>
      <c r="J11" s="134">
        <v>154</v>
      </c>
      <c r="K11" s="135">
        <v>13406</v>
      </c>
      <c r="L11" s="134">
        <v>3331</v>
      </c>
      <c r="M11" s="135">
        <v>3119639</v>
      </c>
      <c r="N11" s="125">
        <v>3514</v>
      </c>
      <c r="O11" s="102">
        <v>43</v>
      </c>
      <c r="P11" s="102">
        <v>1</v>
      </c>
      <c r="Q11" s="151">
        <v>3558</v>
      </c>
      <c r="R11" s="14" t="s">
        <v>155</v>
      </c>
    </row>
    <row r="12" spans="1:18" ht="15.75" customHeight="1">
      <c r="A12" s="13" t="s">
        <v>24</v>
      </c>
      <c r="B12" s="134">
        <f>_xlfn.COMPOUNDVALUE(434)</f>
        <v>2576</v>
      </c>
      <c r="C12" s="105">
        <v>13177406</v>
      </c>
      <c r="D12" s="134">
        <f>_xlfn.COMPOUNDVALUE(435)</f>
        <v>2768</v>
      </c>
      <c r="E12" s="105">
        <v>750225</v>
      </c>
      <c r="F12" s="134">
        <f>_xlfn.COMPOUNDVALUE(436)</f>
        <v>5344</v>
      </c>
      <c r="G12" s="105">
        <v>13927631</v>
      </c>
      <c r="H12" s="134">
        <f>_xlfn.COMPOUNDVALUE(437)</f>
        <v>217</v>
      </c>
      <c r="I12" s="135">
        <v>545517</v>
      </c>
      <c r="J12" s="134">
        <v>199</v>
      </c>
      <c r="K12" s="135">
        <v>27791</v>
      </c>
      <c r="L12" s="134">
        <v>5603</v>
      </c>
      <c r="M12" s="135">
        <v>13409905</v>
      </c>
      <c r="N12" s="125">
        <v>5497</v>
      </c>
      <c r="O12" s="102">
        <v>87</v>
      </c>
      <c r="P12" s="102">
        <v>12</v>
      </c>
      <c r="Q12" s="151">
        <v>5596</v>
      </c>
      <c r="R12" s="14" t="s">
        <v>156</v>
      </c>
    </row>
    <row r="13" spans="1:18" ht="15.75" customHeight="1">
      <c r="A13" s="13" t="s">
        <v>25</v>
      </c>
      <c r="B13" s="134">
        <f>_xlfn.COMPOUNDVALUE(438)</f>
        <v>904</v>
      </c>
      <c r="C13" s="105">
        <v>1791056</v>
      </c>
      <c r="D13" s="134">
        <f>_xlfn.COMPOUNDVALUE(439)</f>
        <v>844</v>
      </c>
      <c r="E13" s="105">
        <v>221692</v>
      </c>
      <c r="F13" s="134">
        <f>_xlfn.COMPOUNDVALUE(440)</f>
        <v>1748</v>
      </c>
      <c r="G13" s="105">
        <v>2012749</v>
      </c>
      <c r="H13" s="134">
        <f>_xlfn.COMPOUNDVALUE(441)</f>
        <v>43</v>
      </c>
      <c r="I13" s="135">
        <v>124785</v>
      </c>
      <c r="J13" s="134">
        <v>97</v>
      </c>
      <c r="K13" s="135">
        <v>23020</v>
      </c>
      <c r="L13" s="134">
        <v>1845</v>
      </c>
      <c r="M13" s="135">
        <v>1910984</v>
      </c>
      <c r="N13" s="125">
        <v>1796</v>
      </c>
      <c r="O13" s="102">
        <v>34</v>
      </c>
      <c r="P13" s="102">
        <v>1</v>
      </c>
      <c r="Q13" s="151">
        <v>1831</v>
      </c>
      <c r="R13" s="14" t="s">
        <v>25</v>
      </c>
    </row>
    <row r="14" spans="1:18" ht="15.75" customHeight="1">
      <c r="A14" s="90" t="s">
        <v>26</v>
      </c>
      <c r="B14" s="152">
        <v>15288</v>
      </c>
      <c r="C14" s="153">
        <v>48050743</v>
      </c>
      <c r="D14" s="152">
        <v>13147</v>
      </c>
      <c r="E14" s="153">
        <v>3741836</v>
      </c>
      <c r="F14" s="152">
        <v>28435</v>
      </c>
      <c r="G14" s="153">
        <v>51792579</v>
      </c>
      <c r="H14" s="152">
        <v>772</v>
      </c>
      <c r="I14" s="154">
        <v>2673353</v>
      </c>
      <c r="J14" s="152">
        <v>1407</v>
      </c>
      <c r="K14" s="154">
        <v>163934</v>
      </c>
      <c r="L14" s="152">
        <v>29699</v>
      </c>
      <c r="M14" s="154">
        <v>49283160</v>
      </c>
      <c r="N14" s="152">
        <v>29314</v>
      </c>
      <c r="O14" s="155">
        <v>534</v>
      </c>
      <c r="P14" s="155">
        <v>54</v>
      </c>
      <c r="Q14" s="156">
        <v>29902</v>
      </c>
      <c r="R14" s="92" t="s">
        <v>150</v>
      </c>
    </row>
    <row r="15" spans="1:18" ht="15.75" customHeight="1">
      <c r="A15" s="94"/>
      <c r="B15" s="157"/>
      <c r="C15" s="158"/>
      <c r="D15" s="157"/>
      <c r="E15" s="158"/>
      <c r="F15" s="159"/>
      <c r="G15" s="158"/>
      <c r="H15" s="159"/>
      <c r="I15" s="158"/>
      <c r="J15" s="159"/>
      <c r="K15" s="158"/>
      <c r="L15" s="159"/>
      <c r="M15" s="158"/>
      <c r="N15" s="160"/>
      <c r="O15" s="161"/>
      <c r="P15" s="161"/>
      <c r="Q15" s="162"/>
      <c r="R15" s="95"/>
    </row>
    <row r="16" spans="1:18" ht="15.75" customHeight="1">
      <c r="A16" s="96" t="s">
        <v>27</v>
      </c>
      <c r="B16" s="163">
        <f>_xlfn.COMPOUNDVALUE(442)</f>
        <v>5058</v>
      </c>
      <c r="C16" s="164">
        <v>18995960</v>
      </c>
      <c r="D16" s="163">
        <f>_xlfn.COMPOUNDVALUE(443)</f>
        <v>3723</v>
      </c>
      <c r="E16" s="164">
        <v>1241417</v>
      </c>
      <c r="F16" s="163">
        <f>_xlfn.COMPOUNDVALUE(444)</f>
        <v>8781</v>
      </c>
      <c r="G16" s="164">
        <v>20237377</v>
      </c>
      <c r="H16" s="163">
        <f>_xlfn.COMPOUNDVALUE(445)</f>
        <v>268</v>
      </c>
      <c r="I16" s="165">
        <v>312324</v>
      </c>
      <c r="J16" s="163">
        <v>475</v>
      </c>
      <c r="K16" s="165">
        <v>3799</v>
      </c>
      <c r="L16" s="163">
        <v>9227</v>
      </c>
      <c r="M16" s="165">
        <v>19928852</v>
      </c>
      <c r="N16" s="163">
        <v>9241</v>
      </c>
      <c r="O16" s="166">
        <v>179</v>
      </c>
      <c r="P16" s="166">
        <v>25</v>
      </c>
      <c r="Q16" s="167">
        <v>9445</v>
      </c>
      <c r="R16" s="97" t="s">
        <v>157</v>
      </c>
    </row>
    <row r="17" spans="1:18" ht="15.75" customHeight="1">
      <c r="A17" s="13" t="s">
        <v>28</v>
      </c>
      <c r="B17" s="134">
        <f>_xlfn.COMPOUNDVALUE(446)</f>
        <v>859</v>
      </c>
      <c r="C17" s="105">
        <v>1759071</v>
      </c>
      <c r="D17" s="134">
        <f>_xlfn.COMPOUNDVALUE(447)</f>
        <v>821</v>
      </c>
      <c r="E17" s="105">
        <v>268819</v>
      </c>
      <c r="F17" s="134">
        <f>_xlfn.COMPOUNDVALUE(448)</f>
        <v>1680</v>
      </c>
      <c r="G17" s="105">
        <v>2027889</v>
      </c>
      <c r="H17" s="134">
        <f>_xlfn.COMPOUNDVALUE(449)</f>
        <v>135</v>
      </c>
      <c r="I17" s="135">
        <v>865966</v>
      </c>
      <c r="J17" s="134">
        <v>35</v>
      </c>
      <c r="K17" s="135">
        <v>608</v>
      </c>
      <c r="L17" s="134">
        <v>1831</v>
      </c>
      <c r="M17" s="135">
        <v>1162532</v>
      </c>
      <c r="N17" s="125">
        <v>1835</v>
      </c>
      <c r="O17" s="102">
        <v>23</v>
      </c>
      <c r="P17" s="102">
        <v>8</v>
      </c>
      <c r="Q17" s="151">
        <v>1866</v>
      </c>
      <c r="R17" s="14" t="s">
        <v>158</v>
      </c>
    </row>
    <row r="18" spans="1:18" ht="15.75" customHeight="1">
      <c r="A18" s="13" t="s">
        <v>29</v>
      </c>
      <c r="B18" s="134">
        <f>_xlfn.COMPOUNDVALUE(450)</f>
        <v>657</v>
      </c>
      <c r="C18" s="105">
        <v>1771778</v>
      </c>
      <c r="D18" s="134">
        <f>_xlfn.COMPOUNDVALUE(451)</f>
        <v>604</v>
      </c>
      <c r="E18" s="105">
        <v>208906</v>
      </c>
      <c r="F18" s="134">
        <f>_xlfn.COMPOUNDVALUE(452)</f>
        <v>1261</v>
      </c>
      <c r="G18" s="105">
        <v>1980683</v>
      </c>
      <c r="H18" s="134">
        <f>_xlfn.COMPOUNDVALUE(453)</f>
        <v>139</v>
      </c>
      <c r="I18" s="135">
        <v>623926</v>
      </c>
      <c r="J18" s="134">
        <v>95</v>
      </c>
      <c r="K18" s="184">
        <v>-1656</v>
      </c>
      <c r="L18" s="134">
        <v>1462</v>
      </c>
      <c r="M18" s="135">
        <v>1355100</v>
      </c>
      <c r="N18" s="125">
        <v>1374</v>
      </c>
      <c r="O18" s="102">
        <v>56</v>
      </c>
      <c r="P18" s="102">
        <v>9</v>
      </c>
      <c r="Q18" s="151">
        <v>1439</v>
      </c>
      <c r="R18" s="14" t="s">
        <v>159</v>
      </c>
    </row>
    <row r="19" spans="1:18" ht="15.75" customHeight="1">
      <c r="A19" s="13" t="s">
        <v>30</v>
      </c>
      <c r="B19" s="134">
        <f>_xlfn.COMPOUNDVALUE(454)</f>
        <v>1394</v>
      </c>
      <c r="C19" s="105">
        <v>4064897</v>
      </c>
      <c r="D19" s="134">
        <f>_xlfn.COMPOUNDVALUE(455)</f>
        <v>1098</v>
      </c>
      <c r="E19" s="105">
        <v>357033</v>
      </c>
      <c r="F19" s="134">
        <f>_xlfn.COMPOUNDVALUE(456)</f>
        <v>2492</v>
      </c>
      <c r="G19" s="105">
        <v>4421930</v>
      </c>
      <c r="H19" s="134">
        <f>_xlfn.COMPOUNDVALUE(457)</f>
        <v>146</v>
      </c>
      <c r="I19" s="135">
        <v>660505</v>
      </c>
      <c r="J19" s="134">
        <v>144</v>
      </c>
      <c r="K19" s="135">
        <v>17252</v>
      </c>
      <c r="L19" s="134">
        <v>2696</v>
      </c>
      <c r="M19" s="135">
        <v>3778677</v>
      </c>
      <c r="N19" s="125">
        <v>2683</v>
      </c>
      <c r="O19" s="102">
        <v>54</v>
      </c>
      <c r="P19" s="102">
        <v>4</v>
      </c>
      <c r="Q19" s="151">
        <v>2741</v>
      </c>
      <c r="R19" s="14" t="s">
        <v>160</v>
      </c>
    </row>
    <row r="20" spans="1:18" ht="15.75" customHeight="1">
      <c r="A20" s="13" t="s">
        <v>31</v>
      </c>
      <c r="B20" s="134">
        <f>_xlfn.COMPOUNDVALUE(458)</f>
        <v>2044</v>
      </c>
      <c r="C20" s="105">
        <v>7647472</v>
      </c>
      <c r="D20" s="134">
        <f>_xlfn.COMPOUNDVALUE(459)</f>
        <v>1376</v>
      </c>
      <c r="E20" s="105">
        <v>444091</v>
      </c>
      <c r="F20" s="134">
        <f>_xlfn.COMPOUNDVALUE(460)</f>
        <v>3420</v>
      </c>
      <c r="G20" s="105">
        <v>8091564</v>
      </c>
      <c r="H20" s="134">
        <f>_xlfn.COMPOUNDVALUE(461)</f>
        <v>95</v>
      </c>
      <c r="I20" s="135">
        <v>135696</v>
      </c>
      <c r="J20" s="134">
        <v>201</v>
      </c>
      <c r="K20" s="135">
        <v>45263</v>
      </c>
      <c r="L20" s="134">
        <v>3610</v>
      </c>
      <c r="M20" s="135">
        <v>8001131</v>
      </c>
      <c r="N20" s="125">
        <v>3600</v>
      </c>
      <c r="O20" s="102">
        <v>71</v>
      </c>
      <c r="P20" s="102">
        <v>5</v>
      </c>
      <c r="Q20" s="151">
        <v>3676</v>
      </c>
      <c r="R20" s="14" t="s">
        <v>161</v>
      </c>
    </row>
    <row r="21" spans="1:18" ht="15.75" customHeight="1">
      <c r="A21" s="13" t="s">
        <v>32</v>
      </c>
      <c r="B21" s="134">
        <f>_xlfn.COMPOUNDVALUE(462)</f>
        <v>777</v>
      </c>
      <c r="C21" s="105">
        <v>1257956</v>
      </c>
      <c r="D21" s="134">
        <f>_xlfn.COMPOUNDVALUE(463)</f>
        <v>460</v>
      </c>
      <c r="E21" s="105">
        <v>156405</v>
      </c>
      <c r="F21" s="134">
        <f>_xlfn.COMPOUNDVALUE(464)</f>
        <v>1237</v>
      </c>
      <c r="G21" s="105">
        <v>1414361</v>
      </c>
      <c r="H21" s="134">
        <f>_xlfn.COMPOUNDVALUE(465)</f>
        <v>77</v>
      </c>
      <c r="I21" s="135">
        <v>279447</v>
      </c>
      <c r="J21" s="134">
        <v>50</v>
      </c>
      <c r="K21" s="135">
        <v>6612</v>
      </c>
      <c r="L21" s="134">
        <v>1329</v>
      </c>
      <c r="M21" s="135">
        <v>1141526</v>
      </c>
      <c r="N21" s="125">
        <v>1346</v>
      </c>
      <c r="O21" s="102">
        <v>26</v>
      </c>
      <c r="P21" s="102">
        <v>1</v>
      </c>
      <c r="Q21" s="151">
        <v>1373</v>
      </c>
      <c r="R21" s="14" t="s">
        <v>162</v>
      </c>
    </row>
    <row r="22" spans="1:18" ht="15.75" customHeight="1">
      <c r="A22" s="13" t="s">
        <v>33</v>
      </c>
      <c r="B22" s="134">
        <f>_xlfn.COMPOUNDVALUE(466)</f>
        <v>1287</v>
      </c>
      <c r="C22" s="105">
        <v>3922510</v>
      </c>
      <c r="D22" s="134">
        <f>_xlfn.COMPOUNDVALUE(467)</f>
        <v>1067</v>
      </c>
      <c r="E22" s="105">
        <v>348508</v>
      </c>
      <c r="F22" s="134">
        <f>_xlfn.COMPOUNDVALUE(468)</f>
        <v>2354</v>
      </c>
      <c r="G22" s="105">
        <v>4271018</v>
      </c>
      <c r="H22" s="134">
        <f>_xlfn.COMPOUNDVALUE(469)</f>
        <v>89</v>
      </c>
      <c r="I22" s="135">
        <v>83063</v>
      </c>
      <c r="J22" s="134">
        <v>178</v>
      </c>
      <c r="K22" s="135">
        <v>23737</v>
      </c>
      <c r="L22" s="134">
        <v>2502</v>
      </c>
      <c r="M22" s="135">
        <v>4211691</v>
      </c>
      <c r="N22" s="125">
        <v>2538</v>
      </c>
      <c r="O22" s="102">
        <v>43</v>
      </c>
      <c r="P22" s="102">
        <v>7</v>
      </c>
      <c r="Q22" s="151">
        <v>2588</v>
      </c>
      <c r="R22" s="14" t="s">
        <v>163</v>
      </c>
    </row>
    <row r="23" spans="1:18" ht="15.75" customHeight="1">
      <c r="A23" s="13" t="s">
        <v>34</v>
      </c>
      <c r="B23" s="134">
        <f>_xlfn.COMPOUNDVALUE(470)</f>
        <v>750</v>
      </c>
      <c r="C23" s="105">
        <v>1660962</v>
      </c>
      <c r="D23" s="134">
        <f>_xlfn.COMPOUNDVALUE(471)</f>
        <v>633</v>
      </c>
      <c r="E23" s="105">
        <v>220835</v>
      </c>
      <c r="F23" s="134">
        <f>_xlfn.COMPOUNDVALUE(472)</f>
        <v>1383</v>
      </c>
      <c r="G23" s="105">
        <v>1881797</v>
      </c>
      <c r="H23" s="134">
        <f>_xlfn.COMPOUNDVALUE(473)</f>
        <v>120</v>
      </c>
      <c r="I23" s="135">
        <v>798158</v>
      </c>
      <c r="J23" s="134">
        <v>99</v>
      </c>
      <c r="K23" s="135">
        <v>11336</v>
      </c>
      <c r="L23" s="134">
        <v>1578</v>
      </c>
      <c r="M23" s="135">
        <v>1094975</v>
      </c>
      <c r="N23" s="125">
        <v>1604</v>
      </c>
      <c r="O23" s="102">
        <v>57</v>
      </c>
      <c r="P23" s="102">
        <v>7</v>
      </c>
      <c r="Q23" s="151">
        <v>1668</v>
      </c>
      <c r="R23" s="14" t="s">
        <v>164</v>
      </c>
    </row>
    <row r="24" spans="1:18" ht="15.75" customHeight="1">
      <c r="A24" s="13" t="s">
        <v>35</v>
      </c>
      <c r="B24" s="134">
        <f>_xlfn.COMPOUNDVALUE(474)</f>
        <v>768</v>
      </c>
      <c r="C24" s="105">
        <v>1574886</v>
      </c>
      <c r="D24" s="134">
        <f>_xlfn.COMPOUNDVALUE(475)</f>
        <v>602</v>
      </c>
      <c r="E24" s="105">
        <v>170960</v>
      </c>
      <c r="F24" s="134">
        <f>_xlfn.COMPOUNDVALUE(476)</f>
        <v>1370</v>
      </c>
      <c r="G24" s="105">
        <v>1745846</v>
      </c>
      <c r="H24" s="134">
        <f>_xlfn.COMPOUNDVALUE(477)</f>
        <v>57</v>
      </c>
      <c r="I24" s="135">
        <v>65092</v>
      </c>
      <c r="J24" s="134">
        <v>33</v>
      </c>
      <c r="K24" s="135">
        <v>4437</v>
      </c>
      <c r="L24" s="134">
        <v>1442</v>
      </c>
      <c r="M24" s="135">
        <v>1685190</v>
      </c>
      <c r="N24" s="125">
        <v>1354</v>
      </c>
      <c r="O24" s="102">
        <v>41</v>
      </c>
      <c r="P24" s="102">
        <v>1</v>
      </c>
      <c r="Q24" s="151">
        <v>1396</v>
      </c>
      <c r="R24" s="14" t="s">
        <v>165</v>
      </c>
    </row>
    <row r="25" spans="1:18" ht="15.75" customHeight="1">
      <c r="A25" s="93" t="s">
        <v>143</v>
      </c>
      <c r="B25" s="152">
        <v>13594</v>
      </c>
      <c r="C25" s="153">
        <v>42655491</v>
      </c>
      <c r="D25" s="152">
        <v>10384</v>
      </c>
      <c r="E25" s="153">
        <v>3416974</v>
      </c>
      <c r="F25" s="152">
        <v>23978</v>
      </c>
      <c r="G25" s="153">
        <v>46072465</v>
      </c>
      <c r="H25" s="152">
        <v>1126</v>
      </c>
      <c r="I25" s="154">
        <v>3824177</v>
      </c>
      <c r="J25" s="152">
        <v>1310</v>
      </c>
      <c r="K25" s="154">
        <v>111387</v>
      </c>
      <c r="L25" s="152">
        <v>25677</v>
      </c>
      <c r="M25" s="154">
        <v>42359675</v>
      </c>
      <c r="N25" s="152">
        <v>25575</v>
      </c>
      <c r="O25" s="155">
        <v>550</v>
      </c>
      <c r="P25" s="155">
        <v>67</v>
      </c>
      <c r="Q25" s="156">
        <v>26192</v>
      </c>
      <c r="R25" s="92" t="s">
        <v>166</v>
      </c>
    </row>
    <row r="26" spans="1:18" ht="15.75" customHeight="1">
      <c r="A26" s="94"/>
      <c r="B26" s="157"/>
      <c r="C26" s="158"/>
      <c r="D26" s="157"/>
      <c r="E26" s="158"/>
      <c r="F26" s="159"/>
      <c r="G26" s="158"/>
      <c r="H26" s="159"/>
      <c r="I26" s="158"/>
      <c r="J26" s="159"/>
      <c r="K26" s="158"/>
      <c r="L26" s="159"/>
      <c r="M26" s="158"/>
      <c r="N26" s="160"/>
      <c r="O26" s="161"/>
      <c r="P26" s="161"/>
      <c r="Q26" s="162"/>
      <c r="R26" s="95"/>
    </row>
    <row r="27" spans="1:18" ht="15.75" customHeight="1">
      <c r="A27" s="96" t="s">
        <v>37</v>
      </c>
      <c r="B27" s="163">
        <f>_xlfn.COMPOUNDVALUE(478)</f>
        <v>5997</v>
      </c>
      <c r="C27" s="164">
        <v>29841608</v>
      </c>
      <c r="D27" s="163">
        <f>_xlfn.COMPOUNDVALUE(479)</f>
        <v>4231</v>
      </c>
      <c r="E27" s="164">
        <v>1587999</v>
      </c>
      <c r="F27" s="163">
        <f>_xlfn.COMPOUNDVALUE(480)</f>
        <v>10228</v>
      </c>
      <c r="G27" s="164">
        <v>31429608</v>
      </c>
      <c r="H27" s="163">
        <f>_xlfn.COMPOUNDVALUE(481)</f>
        <v>367</v>
      </c>
      <c r="I27" s="165">
        <v>1582578</v>
      </c>
      <c r="J27" s="163">
        <v>835</v>
      </c>
      <c r="K27" s="165">
        <v>146981</v>
      </c>
      <c r="L27" s="163">
        <v>10936</v>
      </c>
      <c r="M27" s="165">
        <v>29994010</v>
      </c>
      <c r="N27" s="163">
        <v>11599</v>
      </c>
      <c r="O27" s="166">
        <v>312</v>
      </c>
      <c r="P27" s="166">
        <v>67</v>
      </c>
      <c r="Q27" s="167">
        <v>11978</v>
      </c>
      <c r="R27" s="97" t="s">
        <v>167</v>
      </c>
    </row>
    <row r="28" spans="1:18" ht="15.75" customHeight="1">
      <c r="A28" s="13" t="s">
        <v>38</v>
      </c>
      <c r="B28" s="134">
        <f>_xlfn.COMPOUNDVALUE(482)</f>
        <v>5200</v>
      </c>
      <c r="C28" s="105">
        <v>33291162</v>
      </c>
      <c r="D28" s="134">
        <f>_xlfn.COMPOUNDVALUE(483)</f>
        <v>2892</v>
      </c>
      <c r="E28" s="105">
        <v>1138057</v>
      </c>
      <c r="F28" s="134">
        <f>_xlfn.COMPOUNDVALUE(484)</f>
        <v>8092</v>
      </c>
      <c r="G28" s="105">
        <v>34429219</v>
      </c>
      <c r="H28" s="134">
        <f>_xlfn.COMPOUNDVALUE(485)</f>
        <v>285</v>
      </c>
      <c r="I28" s="135">
        <v>614356</v>
      </c>
      <c r="J28" s="134">
        <v>527</v>
      </c>
      <c r="K28" s="135">
        <v>71950</v>
      </c>
      <c r="L28" s="134">
        <v>8549</v>
      </c>
      <c r="M28" s="135">
        <v>33886813</v>
      </c>
      <c r="N28" s="125">
        <v>8809</v>
      </c>
      <c r="O28" s="102">
        <v>228</v>
      </c>
      <c r="P28" s="102">
        <v>80</v>
      </c>
      <c r="Q28" s="151">
        <v>9117</v>
      </c>
      <c r="R28" s="14" t="s">
        <v>168</v>
      </c>
    </row>
    <row r="29" spans="1:18" ht="15.75" customHeight="1">
      <c r="A29" s="13" t="s">
        <v>39</v>
      </c>
      <c r="B29" s="134">
        <f>_xlfn.COMPOUNDVALUE(486)</f>
        <v>2913</v>
      </c>
      <c r="C29" s="105">
        <v>10314320</v>
      </c>
      <c r="D29" s="134">
        <f>_xlfn.COMPOUNDVALUE(487)</f>
        <v>2492</v>
      </c>
      <c r="E29" s="105">
        <v>846320</v>
      </c>
      <c r="F29" s="134">
        <f>_xlfn.COMPOUNDVALUE(488)</f>
        <v>5405</v>
      </c>
      <c r="G29" s="105">
        <v>11160640</v>
      </c>
      <c r="H29" s="134">
        <f>_xlfn.COMPOUNDVALUE(489)</f>
        <v>200</v>
      </c>
      <c r="I29" s="135">
        <v>771698</v>
      </c>
      <c r="J29" s="134">
        <v>452</v>
      </c>
      <c r="K29" s="135">
        <v>44483</v>
      </c>
      <c r="L29" s="134">
        <v>5799</v>
      </c>
      <c r="M29" s="135">
        <v>10433424</v>
      </c>
      <c r="N29" s="125">
        <v>6038</v>
      </c>
      <c r="O29" s="102">
        <v>124</v>
      </c>
      <c r="P29" s="102">
        <v>12</v>
      </c>
      <c r="Q29" s="151">
        <v>6174</v>
      </c>
      <c r="R29" s="14" t="s">
        <v>169</v>
      </c>
    </row>
    <row r="30" spans="1:18" ht="15.75" customHeight="1">
      <c r="A30" s="13" t="s">
        <v>40</v>
      </c>
      <c r="B30" s="134">
        <f>_xlfn.COMPOUNDVALUE(490)</f>
        <v>2316</v>
      </c>
      <c r="C30" s="105">
        <v>6078919</v>
      </c>
      <c r="D30" s="134">
        <f>_xlfn.COMPOUNDVALUE(491)</f>
        <v>2112</v>
      </c>
      <c r="E30" s="105">
        <v>732598</v>
      </c>
      <c r="F30" s="134">
        <f>_xlfn.COMPOUNDVALUE(492)</f>
        <v>4428</v>
      </c>
      <c r="G30" s="105">
        <v>6811517</v>
      </c>
      <c r="H30" s="134">
        <f>_xlfn.COMPOUNDVALUE(493)</f>
        <v>555</v>
      </c>
      <c r="I30" s="135">
        <v>2439255</v>
      </c>
      <c r="J30" s="134">
        <v>134</v>
      </c>
      <c r="K30" s="135">
        <v>9585</v>
      </c>
      <c r="L30" s="134">
        <v>5058</v>
      </c>
      <c r="M30" s="135">
        <v>4381846</v>
      </c>
      <c r="N30" s="125">
        <v>5186</v>
      </c>
      <c r="O30" s="102">
        <v>107</v>
      </c>
      <c r="P30" s="102">
        <v>28</v>
      </c>
      <c r="Q30" s="151">
        <v>5321</v>
      </c>
      <c r="R30" s="14" t="s">
        <v>170</v>
      </c>
    </row>
    <row r="31" spans="1:18" ht="15.75" customHeight="1">
      <c r="A31" s="13" t="s">
        <v>41</v>
      </c>
      <c r="B31" s="134">
        <f>_xlfn.COMPOUNDVALUE(494)</f>
        <v>1786</v>
      </c>
      <c r="C31" s="105">
        <v>4249961</v>
      </c>
      <c r="D31" s="134">
        <f>_xlfn.COMPOUNDVALUE(495)</f>
        <v>1388</v>
      </c>
      <c r="E31" s="105">
        <v>477289</v>
      </c>
      <c r="F31" s="134">
        <f>_xlfn.COMPOUNDVALUE(496)</f>
        <v>3174</v>
      </c>
      <c r="G31" s="105">
        <v>4727250</v>
      </c>
      <c r="H31" s="134">
        <f>_xlfn.COMPOUNDVALUE(497)</f>
        <v>174</v>
      </c>
      <c r="I31" s="135">
        <v>700948</v>
      </c>
      <c r="J31" s="134">
        <v>261</v>
      </c>
      <c r="K31" s="135">
        <v>74414</v>
      </c>
      <c r="L31" s="134">
        <v>3506</v>
      </c>
      <c r="M31" s="135">
        <v>4100715</v>
      </c>
      <c r="N31" s="125">
        <v>3511</v>
      </c>
      <c r="O31" s="102">
        <v>72</v>
      </c>
      <c r="P31" s="102">
        <v>9</v>
      </c>
      <c r="Q31" s="151">
        <v>3592</v>
      </c>
      <c r="R31" s="14" t="s">
        <v>171</v>
      </c>
    </row>
    <row r="32" spans="1:18" ht="15.75" customHeight="1">
      <c r="A32" s="13" t="s">
        <v>42</v>
      </c>
      <c r="B32" s="134">
        <f>_xlfn.COMPOUNDVALUE(498)</f>
        <v>2112</v>
      </c>
      <c r="C32" s="105">
        <v>4975804</v>
      </c>
      <c r="D32" s="134">
        <f>_xlfn.COMPOUNDVALUE(499)</f>
        <v>1957</v>
      </c>
      <c r="E32" s="105">
        <v>629186</v>
      </c>
      <c r="F32" s="134">
        <f>_xlfn.COMPOUNDVALUE(500)</f>
        <v>4069</v>
      </c>
      <c r="G32" s="105">
        <v>5604990</v>
      </c>
      <c r="H32" s="134">
        <f>_xlfn.COMPOUNDVALUE(501)</f>
        <v>183</v>
      </c>
      <c r="I32" s="135">
        <v>188405</v>
      </c>
      <c r="J32" s="134">
        <v>204</v>
      </c>
      <c r="K32" s="135">
        <v>7694</v>
      </c>
      <c r="L32" s="134">
        <v>4311</v>
      </c>
      <c r="M32" s="135">
        <v>5424278</v>
      </c>
      <c r="N32" s="125">
        <v>4627</v>
      </c>
      <c r="O32" s="102">
        <v>82</v>
      </c>
      <c r="P32" s="102">
        <v>15</v>
      </c>
      <c r="Q32" s="151">
        <v>4724</v>
      </c>
      <c r="R32" s="14" t="s">
        <v>172</v>
      </c>
    </row>
    <row r="33" spans="1:18" ht="15.75" customHeight="1">
      <c r="A33" s="13" t="s">
        <v>43</v>
      </c>
      <c r="B33" s="134">
        <f>_xlfn.COMPOUNDVALUE(502)</f>
        <v>964</v>
      </c>
      <c r="C33" s="105">
        <v>2128074</v>
      </c>
      <c r="D33" s="134">
        <f>_xlfn.COMPOUNDVALUE(503)</f>
        <v>757</v>
      </c>
      <c r="E33" s="105">
        <v>245715</v>
      </c>
      <c r="F33" s="134">
        <f>_xlfn.COMPOUNDVALUE(504)</f>
        <v>1721</v>
      </c>
      <c r="G33" s="105">
        <v>2373789</v>
      </c>
      <c r="H33" s="134">
        <f>_xlfn.COMPOUNDVALUE(505)</f>
        <v>239</v>
      </c>
      <c r="I33" s="135">
        <v>1427356</v>
      </c>
      <c r="J33" s="134">
        <v>79</v>
      </c>
      <c r="K33" s="184">
        <v>-33540</v>
      </c>
      <c r="L33" s="134">
        <v>2010</v>
      </c>
      <c r="M33" s="135">
        <v>912892</v>
      </c>
      <c r="N33" s="125">
        <v>2051</v>
      </c>
      <c r="O33" s="102">
        <v>44</v>
      </c>
      <c r="P33" s="102">
        <v>7</v>
      </c>
      <c r="Q33" s="151">
        <v>2102</v>
      </c>
      <c r="R33" s="14" t="s">
        <v>173</v>
      </c>
    </row>
    <row r="34" spans="1:18" ht="15.75" customHeight="1">
      <c r="A34" s="13" t="s">
        <v>44</v>
      </c>
      <c r="B34" s="134">
        <f>_xlfn.COMPOUNDVALUE(506)</f>
        <v>1648</v>
      </c>
      <c r="C34" s="105">
        <v>3467508</v>
      </c>
      <c r="D34" s="134">
        <f>_xlfn.COMPOUNDVALUE(507)</f>
        <v>1463</v>
      </c>
      <c r="E34" s="105">
        <v>490338</v>
      </c>
      <c r="F34" s="134">
        <f>_xlfn.COMPOUNDVALUE(508)</f>
        <v>3111</v>
      </c>
      <c r="G34" s="105">
        <v>3957846</v>
      </c>
      <c r="H34" s="134">
        <f>_xlfn.COMPOUNDVALUE(509)</f>
        <v>141</v>
      </c>
      <c r="I34" s="135">
        <v>107035</v>
      </c>
      <c r="J34" s="134">
        <v>152</v>
      </c>
      <c r="K34" s="135">
        <v>44185</v>
      </c>
      <c r="L34" s="134">
        <v>3311</v>
      </c>
      <c r="M34" s="135">
        <v>3894996</v>
      </c>
      <c r="N34" s="125">
        <v>3432</v>
      </c>
      <c r="O34" s="102">
        <v>57</v>
      </c>
      <c r="P34" s="102">
        <v>3</v>
      </c>
      <c r="Q34" s="151">
        <v>3492</v>
      </c>
      <c r="R34" s="14" t="s">
        <v>174</v>
      </c>
    </row>
    <row r="35" spans="1:18" ht="15.75" customHeight="1">
      <c r="A35" s="13" t="s">
        <v>45</v>
      </c>
      <c r="B35" s="134">
        <f>_xlfn.COMPOUNDVALUE(510)</f>
        <v>815</v>
      </c>
      <c r="C35" s="105">
        <v>1955312</v>
      </c>
      <c r="D35" s="134">
        <f>_xlfn.COMPOUNDVALUE(511)</f>
        <v>653</v>
      </c>
      <c r="E35" s="105">
        <v>207466</v>
      </c>
      <c r="F35" s="134">
        <f>_xlfn.COMPOUNDVALUE(512)</f>
        <v>1468</v>
      </c>
      <c r="G35" s="105">
        <v>2162777</v>
      </c>
      <c r="H35" s="134">
        <f>_xlfn.COMPOUNDVALUE(513)</f>
        <v>79</v>
      </c>
      <c r="I35" s="135">
        <v>276293</v>
      </c>
      <c r="J35" s="134">
        <v>132</v>
      </c>
      <c r="K35" s="135">
        <v>2907</v>
      </c>
      <c r="L35" s="134">
        <v>1596</v>
      </c>
      <c r="M35" s="135">
        <v>1889391</v>
      </c>
      <c r="N35" s="125">
        <v>1644</v>
      </c>
      <c r="O35" s="102">
        <v>35</v>
      </c>
      <c r="P35" s="102">
        <v>2</v>
      </c>
      <c r="Q35" s="151">
        <v>1681</v>
      </c>
      <c r="R35" s="14" t="s">
        <v>175</v>
      </c>
    </row>
    <row r="36" spans="1:18" ht="15.75" customHeight="1">
      <c r="A36" s="13" t="s">
        <v>46</v>
      </c>
      <c r="B36" s="134">
        <f>_xlfn.COMPOUNDVALUE(514)</f>
        <v>984</v>
      </c>
      <c r="C36" s="105">
        <v>2344029</v>
      </c>
      <c r="D36" s="134">
        <f>_xlfn.COMPOUNDVALUE(515)</f>
        <v>910</v>
      </c>
      <c r="E36" s="105">
        <v>306543</v>
      </c>
      <c r="F36" s="134">
        <f>_xlfn.COMPOUNDVALUE(516)</f>
        <v>1894</v>
      </c>
      <c r="G36" s="105">
        <v>2650573</v>
      </c>
      <c r="H36" s="134">
        <f>_xlfn.COMPOUNDVALUE(517)</f>
        <v>119</v>
      </c>
      <c r="I36" s="135">
        <v>72262</v>
      </c>
      <c r="J36" s="134">
        <v>127</v>
      </c>
      <c r="K36" s="135">
        <v>24687</v>
      </c>
      <c r="L36" s="134">
        <v>2050</v>
      </c>
      <c r="M36" s="135">
        <v>2602997</v>
      </c>
      <c r="N36" s="125">
        <v>2206</v>
      </c>
      <c r="O36" s="102">
        <v>24</v>
      </c>
      <c r="P36" s="102">
        <v>2</v>
      </c>
      <c r="Q36" s="151">
        <v>2232</v>
      </c>
      <c r="R36" s="14" t="s">
        <v>176</v>
      </c>
    </row>
    <row r="37" spans="1:18" ht="15.75" customHeight="1">
      <c r="A37" s="93" t="s">
        <v>47</v>
      </c>
      <c r="B37" s="152">
        <v>24735</v>
      </c>
      <c r="C37" s="153">
        <v>98646696</v>
      </c>
      <c r="D37" s="152">
        <v>18855</v>
      </c>
      <c r="E37" s="153">
        <v>6661510</v>
      </c>
      <c r="F37" s="152">
        <v>43590</v>
      </c>
      <c r="G37" s="153">
        <v>105308206</v>
      </c>
      <c r="H37" s="152">
        <v>2342</v>
      </c>
      <c r="I37" s="154">
        <v>8180188</v>
      </c>
      <c r="J37" s="152">
        <v>2903</v>
      </c>
      <c r="K37" s="154">
        <v>393345</v>
      </c>
      <c r="L37" s="152">
        <v>47126</v>
      </c>
      <c r="M37" s="154">
        <v>97521362</v>
      </c>
      <c r="N37" s="152">
        <v>49103</v>
      </c>
      <c r="O37" s="155">
        <v>1085</v>
      </c>
      <c r="P37" s="155">
        <v>225</v>
      </c>
      <c r="Q37" s="156">
        <v>50413</v>
      </c>
      <c r="R37" s="92" t="s">
        <v>177</v>
      </c>
    </row>
    <row r="38" spans="1:18" ht="15.75" customHeight="1">
      <c r="A38" s="98"/>
      <c r="B38" s="168"/>
      <c r="C38" s="169"/>
      <c r="D38" s="168"/>
      <c r="E38" s="169"/>
      <c r="F38" s="170"/>
      <c r="G38" s="169"/>
      <c r="H38" s="170"/>
      <c r="I38" s="169"/>
      <c r="J38" s="170"/>
      <c r="K38" s="169"/>
      <c r="L38" s="170"/>
      <c r="M38" s="169"/>
      <c r="N38" s="171"/>
      <c r="O38" s="172"/>
      <c r="P38" s="172"/>
      <c r="Q38" s="173"/>
      <c r="R38" s="99"/>
    </row>
    <row r="39" spans="1:18" ht="15.75" customHeight="1">
      <c r="A39" s="11" t="s">
        <v>48</v>
      </c>
      <c r="B39" s="125">
        <f>_xlfn.COMPOUNDVALUE(518)</f>
        <v>2850</v>
      </c>
      <c r="C39" s="103">
        <v>10247490</v>
      </c>
      <c r="D39" s="125">
        <f>_xlfn.COMPOUNDVALUE(519)</f>
        <v>2005</v>
      </c>
      <c r="E39" s="103">
        <v>654688</v>
      </c>
      <c r="F39" s="125">
        <f>_xlfn.COMPOUNDVALUE(520)</f>
        <v>4855</v>
      </c>
      <c r="G39" s="103">
        <v>10902178</v>
      </c>
      <c r="H39" s="125">
        <f>_xlfn.COMPOUNDVALUE(521)</f>
        <v>109</v>
      </c>
      <c r="I39" s="133">
        <v>311376</v>
      </c>
      <c r="J39" s="125">
        <v>270</v>
      </c>
      <c r="K39" s="133">
        <v>48756</v>
      </c>
      <c r="L39" s="125">
        <v>5048</v>
      </c>
      <c r="M39" s="133">
        <v>10639557</v>
      </c>
      <c r="N39" s="125">
        <v>5074</v>
      </c>
      <c r="O39" s="102">
        <v>116</v>
      </c>
      <c r="P39" s="102">
        <v>10</v>
      </c>
      <c r="Q39" s="151">
        <v>5200</v>
      </c>
      <c r="R39" s="12" t="s">
        <v>178</v>
      </c>
    </row>
    <row r="40" spans="1:18" ht="15.75" customHeight="1">
      <c r="A40" s="13" t="s">
        <v>49</v>
      </c>
      <c r="B40" s="134">
        <f>_xlfn.COMPOUNDVALUE(522)</f>
        <v>1469</v>
      </c>
      <c r="C40" s="105">
        <v>3783619</v>
      </c>
      <c r="D40" s="134">
        <f>_xlfn.COMPOUNDVALUE(523)</f>
        <v>1694</v>
      </c>
      <c r="E40" s="105">
        <v>498808</v>
      </c>
      <c r="F40" s="134">
        <f>_xlfn.COMPOUNDVALUE(524)</f>
        <v>3163</v>
      </c>
      <c r="G40" s="105">
        <v>4282427</v>
      </c>
      <c r="H40" s="134">
        <f>_xlfn.COMPOUNDVALUE(525)</f>
        <v>79</v>
      </c>
      <c r="I40" s="135">
        <v>65710</v>
      </c>
      <c r="J40" s="134">
        <v>144</v>
      </c>
      <c r="K40" s="135">
        <v>10076</v>
      </c>
      <c r="L40" s="134">
        <v>3301</v>
      </c>
      <c r="M40" s="135">
        <v>4226794</v>
      </c>
      <c r="N40" s="125">
        <v>3255</v>
      </c>
      <c r="O40" s="102">
        <v>45</v>
      </c>
      <c r="P40" s="102">
        <v>11</v>
      </c>
      <c r="Q40" s="151">
        <v>3311</v>
      </c>
      <c r="R40" s="14" t="s">
        <v>179</v>
      </c>
    </row>
    <row r="41" spans="1:18" ht="15.75" customHeight="1">
      <c r="A41" s="13" t="s">
        <v>50</v>
      </c>
      <c r="B41" s="134">
        <f>_xlfn.COMPOUNDVALUE(526)</f>
        <v>1008</v>
      </c>
      <c r="C41" s="105">
        <v>1848559</v>
      </c>
      <c r="D41" s="134">
        <f>_xlfn.COMPOUNDVALUE(527)</f>
        <v>951</v>
      </c>
      <c r="E41" s="105">
        <v>255748</v>
      </c>
      <c r="F41" s="134">
        <f>_xlfn.COMPOUNDVALUE(528)</f>
        <v>1959</v>
      </c>
      <c r="G41" s="105">
        <v>2104307</v>
      </c>
      <c r="H41" s="134">
        <f>_xlfn.COMPOUNDVALUE(529)</f>
        <v>68</v>
      </c>
      <c r="I41" s="135">
        <v>65433</v>
      </c>
      <c r="J41" s="134">
        <v>101</v>
      </c>
      <c r="K41" s="135">
        <v>2179</v>
      </c>
      <c r="L41" s="134">
        <v>2044</v>
      </c>
      <c r="M41" s="135">
        <v>2041052</v>
      </c>
      <c r="N41" s="125">
        <v>2084</v>
      </c>
      <c r="O41" s="102">
        <v>46</v>
      </c>
      <c r="P41" s="102">
        <v>5</v>
      </c>
      <c r="Q41" s="151">
        <v>2135</v>
      </c>
      <c r="R41" s="14" t="s">
        <v>180</v>
      </c>
    </row>
    <row r="42" spans="1:18" ht="15.75" customHeight="1">
      <c r="A42" s="13" t="s">
        <v>51</v>
      </c>
      <c r="B42" s="134">
        <f>_xlfn.COMPOUNDVALUE(530)</f>
        <v>992</v>
      </c>
      <c r="C42" s="105">
        <v>2122885</v>
      </c>
      <c r="D42" s="134">
        <f>_xlfn.COMPOUNDVALUE(531)</f>
        <v>991</v>
      </c>
      <c r="E42" s="105">
        <v>277662</v>
      </c>
      <c r="F42" s="134">
        <f>_xlfn.COMPOUNDVALUE(532)</f>
        <v>1983</v>
      </c>
      <c r="G42" s="105">
        <v>2400548</v>
      </c>
      <c r="H42" s="134">
        <f>_xlfn.COMPOUNDVALUE(533)</f>
        <v>71</v>
      </c>
      <c r="I42" s="135">
        <v>122153</v>
      </c>
      <c r="J42" s="134">
        <v>100</v>
      </c>
      <c r="K42" s="184">
        <v>-1446</v>
      </c>
      <c r="L42" s="134">
        <v>2081</v>
      </c>
      <c r="M42" s="135">
        <v>2276948</v>
      </c>
      <c r="N42" s="125">
        <v>2113</v>
      </c>
      <c r="O42" s="102">
        <v>28</v>
      </c>
      <c r="P42" s="102">
        <v>2</v>
      </c>
      <c r="Q42" s="151">
        <v>2143</v>
      </c>
      <c r="R42" s="14" t="s">
        <v>181</v>
      </c>
    </row>
    <row r="43" spans="1:18" ht="15.75" customHeight="1">
      <c r="A43" s="13" t="s">
        <v>52</v>
      </c>
      <c r="B43" s="134">
        <f>_xlfn.COMPOUNDVALUE(534)</f>
        <v>1565</v>
      </c>
      <c r="C43" s="105">
        <v>4334495</v>
      </c>
      <c r="D43" s="134">
        <f>_xlfn.COMPOUNDVALUE(535)</f>
        <v>1399</v>
      </c>
      <c r="E43" s="105">
        <v>404017</v>
      </c>
      <c r="F43" s="134">
        <f>_xlfn.COMPOUNDVALUE(536)</f>
        <v>2964</v>
      </c>
      <c r="G43" s="105">
        <v>4738512</v>
      </c>
      <c r="H43" s="134">
        <f>_xlfn.COMPOUNDVALUE(537)</f>
        <v>92</v>
      </c>
      <c r="I43" s="135">
        <v>238216</v>
      </c>
      <c r="J43" s="134">
        <v>118</v>
      </c>
      <c r="K43" s="135">
        <v>14765</v>
      </c>
      <c r="L43" s="134">
        <v>3093</v>
      </c>
      <c r="M43" s="135">
        <v>4515062</v>
      </c>
      <c r="N43" s="125">
        <v>3040</v>
      </c>
      <c r="O43" s="102">
        <v>87</v>
      </c>
      <c r="P43" s="102">
        <v>3</v>
      </c>
      <c r="Q43" s="151">
        <v>3130</v>
      </c>
      <c r="R43" s="14" t="s">
        <v>182</v>
      </c>
    </row>
    <row r="44" spans="1:18" ht="15.75" customHeight="1">
      <c r="A44" s="13" t="s">
        <v>53</v>
      </c>
      <c r="B44" s="134">
        <f>_xlfn.COMPOUNDVALUE(538)</f>
        <v>1113</v>
      </c>
      <c r="C44" s="105">
        <v>3210286</v>
      </c>
      <c r="D44" s="134">
        <f>_xlfn.COMPOUNDVALUE(539)</f>
        <v>1084</v>
      </c>
      <c r="E44" s="105">
        <v>284991</v>
      </c>
      <c r="F44" s="134">
        <f>_xlfn.COMPOUNDVALUE(540)</f>
        <v>2197</v>
      </c>
      <c r="G44" s="105">
        <v>3495277</v>
      </c>
      <c r="H44" s="134">
        <f>_xlfn.COMPOUNDVALUE(541)</f>
        <v>54</v>
      </c>
      <c r="I44" s="135">
        <v>91590</v>
      </c>
      <c r="J44" s="134">
        <v>123</v>
      </c>
      <c r="K44" s="135">
        <v>12503</v>
      </c>
      <c r="L44" s="134">
        <v>2289</v>
      </c>
      <c r="M44" s="135">
        <v>3416189</v>
      </c>
      <c r="N44" s="125">
        <v>2180</v>
      </c>
      <c r="O44" s="102">
        <v>31</v>
      </c>
      <c r="P44" s="102">
        <v>8</v>
      </c>
      <c r="Q44" s="151">
        <v>2219</v>
      </c>
      <c r="R44" s="14" t="s">
        <v>183</v>
      </c>
    </row>
    <row r="45" spans="1:18" ht="15.75" customHeight="1">
      <c r="A45" s="13" t="s">
        <v>54</v>
      </c>
      <c r="B45" s="134">
        <f>_xlfn.COMPOUNDVALUE(542)</f>
        <v>773</v>
      </c>
      <c r="C45" s="105">
        <v>1742993</v>
      </c>
      <c r="D45" s="134">
        <f>_xlfn.COMPOUNDVALUE(543)</f>
        <v>669</v>
      </c>
      <c r="E45" s="105">
        <v>179744</v>
      </c>
      <c r="F45" s="134">
        <f>_xlfn.COMPOUNDVALUE(544)</f>
        <v>1442</v>
      </c>
      <c r="G45" s="105">
        <v>1922737</v>
      </c>
      <c r="H45" s="134">
        <f>_xlfn.COMPOUNDVALUE(545)</f>
        <v>43</v>
      </c>
      <c r="I45" s="135">
        <v>26710</v>
      </c>
      <c r="J45" s="134">
        <v>46</v>
      </c>
      <c r="K45" s="135">
        <v>7692</v>
      </c>
      <c r="L45" s="134">
        <v>1502</v>
      </c>
      <c r="M45" s="135">
        <v>1903719</v>
      </c>
      <c r="N45" s="125">
        <v>1472</v>
      </c>
      <c r="O45" s="102">
        <v>33</v>
      </c>
      <c r="P45" s="102">
        <v>0</v>
      </c>
      <c r="Q45" s="151">
        <v>1505</v>
      </c>
      <c r="R45" s="14" t="s">
        <v>184</v>
      </c>
    </row>
    <row r="46" spans="1:18" ht="15.75" customHeight="1">
      <c r="A46" s="13" t="s">
        <v>55</v>
      </c>
      <c r="B46" s="134">
        <f>_xlfn.COMPOUNDVALUE(546)</f>
        <v>1422</v>
      </c>
      <c r="C46" s="105">
        <v>2936548</v>
      </c>
      <c r="D46" s="134">
        <f>_xlfn.COMPOUNDVALUE(547)</f>
        <v>1361</v>
      </c>
      <c r="E46" s="105">
        <v>407748</v>
      </c>
      <c r="F46" s="134">
        <f>_xlfn.COMPOUNDVALUE(548)</f>
        <v>2783</v>
      </c>
      <c r="G46" s="105">
        <v>3344296</v>
      </c>
      <c r="H46" s="134">
        <f>_xlfn.COMPOUNDVALUE(549)</f>
        <v>45</v>
      </c>
      <c r="I46" s="135">
        <v>31216</v>
      </c>
      <c r="J46" s="134">
        <v>116</v>
      </c>
      <c r="K46" s="135">
        <v>13357</v>
      </c>
      <c r="L46" s="134">
        <v>2869</v>
      </c>
      <c r="M46" s="135">
        <v>3326437</v>
      </c>
      <c r="N46" s="125">
        <v>2998</v>
      </c>
      <c r="O46" s="102">
        <v>47</v>
      </c>
      <c r="P46" s="102">
        <v>9</v>
      </c>
      <c r="Q46" s="151">
        <v>3054</v>
      </c>
      <c r="R46" s="14" t="s">
        <v>185</v>
      </c>
    </row>
    <row r="47" spans="1:18" ht="15.75" customHeight="1">
      <c r="A47" s="93" t="s">
        <v>56</v>
      </c>
      <c r="B47" s="152">
        <v>11192</v>
      </c>
      <c r="C47" s="153">
        <v>30226875</v>
      </c>
      <c r="D47" s="152">
        <v>10154</v>
      </c>
      <c r="E47" s="153">
        <v>2963407</v>
      </c>
      <c r="F47" s="152">
        <v>21346</v>
      </c>
      <c r="G47" s="153">
        <v>33190282</v>
      </c>
      <c r="H47" s="152">
        <v>561</v>
      </c>
      <c r="I47" s="154">
        <v>952405</v>
      </c>
      <c r="J47" s="152">
        <v>1018</v>
      </c>
      <c r="K47" s="154">
        <v>107881</v>
      </c>
      <c r="L47" s="152">
        <v>22227</v>
      </c>
      <c r="M47" s="154">
        <v>32345758</v>
      </c>
      <c r="N47" s="152">
        <v>22216</v>
      </c>
      <c r="O47" s="155">
        <v>433</v>
      </c>
      <c r="P47" s="155">
        <v>48</v>
      </c>
      <c r="Q47" s="156">
        <v>22697</v>
      </c>
      <c r="R47" s="92" t="s">
        <v>186</v>
      </c>
    </row>
    <row r="48" spans="1:18" ht="15.75" customHeight="1">
      <c r="A48" s="94"/>
      <c r="B48" s="157"/>
      <c r="C48" s="158"/>
      <c r="D48" s="157"/>
      <c r="E48" s="158"/>
      <c r="F48" s="159"/>
      <c r="G48" s="158"/>
      <c r="H48" s="159"/>
      <c r="I48" s="158"/>
      <c r="J48" s="159"/>
      <c r="K48" s="158"/>
      <c r="L48" s="159"/>
      <c r="M48" s="158"/>
      <c r="N48" s="160"/>
      <c r="O48" s="161"/>
      <c r="P48" s="161"/>
      <c r="Q48" s="162"/>
      <c r="R48" s="95"/>
    </row>
    <row r="49" spans="1:18" ht="15.75" customHeight="1">
      <c r="A49" s="96" t="s">
        <v>57</v>
      </c>
      <c r="B49" s="163">
        <f>_xlfn.COMPOUNDVALUE(550)</f>
        <v>4459</v>
      </c>
      <c r="C49" s="164">
        <v>17678720</v>
      </c>
      <c r="D49" s="163">
        <f>_xlfn.COMPOUNDVALUE(551)</f>
        <v>3789</v>
      </c>
      <c r="E49" s="164">
        <v>1112846</v>
      </c>
      <c r="F49" s="163">
        <f>_xlfn.COMPOUNDVALUE(552)</f>
        <v>8248</v>
      </c>
      <c r="G49" s="164">
        <v>18791566</v>
      </c>
      <c r="H49" s="163">
        <f>_xlfn.COMPOUNDVALUE(553)</f>
        <v>154</v>
      </c>
      <c r="I49" s="165">
        <v>322483</v>
      </c>
      <c r="J49" s="163">
        <v>314</v>
      </c>
      <c r="K49" s="165">
        <v>54673</v>
      </c>
      <c r="L49" s="163">
        <v>8482</v>
      </c>
      <c r="M49" s="165">
        <v>18523756</v>
      </c>
      <c r="N49" s="163">
        <v>8529</v>
      </c>
      <c r="O49" s="166">
        <v>140</v>
      </c>
      <c r="P49" s="166">
        <v>21</v>
      </c>
      <c r="Q49" s="167">
        <v>8690</v>
      </c>
      <c r="R49" s="97" t="s">
        <v>187</v>
      </c>
    </row>
    <row r="50" spans="1:18" ht="15.75" customHeight="1">
      <c r="A50" s="13" t="s">
        <v>58</v>
      </c>
      <c r="B50" s="134">
        <f>_xlfn.COMPOUNDVALUE(554)</f>
        <v>1918</v>
      </c>
      <c r="C50" s="105">
        <v>5656566</v>
      </c>
      <c r="D50" s="134">
        <f>_xlfn.COMPOUNDVALUE(555)</f>
        <v>1718</v>
      </c>
      <c r="E50" s="105">
        <v>498346</v>
      </c>
      <c r="F50" s="134">
        <f>_xlfn.COMPOUNDVALUE(556)</f>
        <v>3636</v>
      </c>
      <c r="G50" s="105">
        <v>6154912</v>
      </c>
      <c r="H50" s="134">
        <f>_xlfn.COMPOUNDVALUE(557)</f>
        <v>109</v>
      </c>
      <c r="I50" s="135">
        <v>358925</v>
      </c>
      <c r="J50" s="134">
        <v>137</v>
      </c>
      <c r="K50" s="135">
        <v>16863</v>
      </c>
      <c r="L50" s="134">
        <v>3817</v>
      </c>
      <c r="M50" s="135">
        <v>5812851</v>
      </c>
      <c r="N50" s="125">
        <v>3845</v>
      </c>
      <c r="O50" s="102">
        <v>72</v>
      </c>
      <c r="P50" s="102">
        <v>5</v>
      </c>
      <c r="Q50" s="151">
        <v>3922</v>
      </c>
      <c r="R50" s="14" t="s">
        <v>188</v>
      </c>
    </row>
    <row r="51" spans="1:18" ht="15.75" customHeight="1">
      <c r="A51" s="13" t="s">
        <v>59</v>
      </c>
      <c r="B51" s="134">
        <f>_xlfn.COMPOUNDVALUE(558)</f>
        <v>1795</v>
      </c>
      <c r="C51" s="105">
        <v>5661264</v>
      </c>
      <c r="D51" s="134">
        <f>_xlfn.COMPOUNDVALUE(559)</f>
        <v>1789</v>
      </c>
      <c r="E51" s="105">
        <v>491253</v>
      </c>
      <c r="F51" s="134">
        <f>_xlfn.COMPOUNDVALUE(560)</f>
        <v>3584</v>
      </c>
      <c r="G51" s="105">
        <v>6152517</v>
      </c>
      <c r="H51" s="134">
        <f>_xlfn.COMPOUNDVALUE(561)</f>
        <v>89</v>
      </c>
      <c r="I51" s="135">
        <v>85506</v>
      </c>
      <c r="J51" s="134">
        <v>176</v>
      </c>
      <c r="K51" s="135">
        <v>22937</v>
      </c>
      <c r="L51" s="134">
        <v>3743</v>
      </c>
      <c r="M51" s="135">
        <v>6089948</v>
      </c>
      <c r="N51" s="125">
        <v>3773</v>
      </c>
      <c r="O51" s="102">
        <v>42</v>
      </c>
      <c r="P51" s="102">
        <v>6</v>
      </c>
      <c r="Q51" s="151">
        <v>3821</v>
      </c>
      <c r="R51" s="14" t="s">
        <v>189</v>
      </c>
    </row>
    <row r="52" spans="1:18" ht="15.75" customHeight="1">
      <c r="A52" s="13" t="s">
        <v>60</v>
      </c>
      <c r="B52" s="134">
        <f>_xlfn.COMPOUNDVALUE(562)</f>
        <v>1438</v>
      </c>
      <c r="C52" s="105">
        <v>4370907</v>
      </c>
      <c r="D52" s="134">
        <f>_xlfn.COMPOUNDVALUE(563)</f>
        <v>1414</v>
      </c>
      <c r="E52" s="105">
        <v>391911</v>
      </c>
      <c r="F52" s="134">
        <f>_xlfn.COMPOUNDVALUE(564)</f>
        <v>2852</v>
      </c>
      <c r="G52" s="105">
        <v>4762819</v>
      </c>
      <c r="H52" s="134">
        <f>_xlfn.COMPOUNDVALUE(565)</f>
        <v>69</v>
      </c>
      <c r="I52" s="135">
        <v>56794</v>
      </c>
      <c r="J52" s="134">
        <v>104</v>
      </c>
      <c r="K52" s="135">
        <v>1100</v>
      </c>
      <c r="L52" s="134">
        <v>2965</v>
      </c>
      <c r="M52" s="135">
        <v>4707124</v>
      </c>
      <c r="N52" s="125">
        <v>2944</v>
      </c>
      <c r="O52" s="102">
        <v>43</v>
      </c>
      <c r="P52" s="102">
        <v>9</v>
      </c>
      <c r="Q52" s="151">
        <v>2996</v>
      </c>
      <c r="R52" s="14" t="s">
        <v>190</v>
      </c>
    </row>
    <row r="53" spans="1:18" ht="15.75" customHeight="1">
      <c r="A53" s="13" t="s">
        <v>61</v>
      </c>
      <c r="B53" s="134">
        <f>_xlfn.COMPOUNDVALUE(566)</f>
        <v>1042</v>
      </c>
      <c r="C53" s="105">
        <v>2111081</v>
      </c>
      <c r="D53" s="134">
        <f>_xlfn.COMPOUNDVALUE(567)</f>
        <v>925</v>
      </c>
      <c r="E53" s="105">
        <v>282901</v>
      </c>
      <c r="F53" s="134">
        <f>_xlfn.COMPOUNDVALUE(568)</f>
        <v>1967</v>
      </c>
      <c r="G53" s="105">
        <v>2393983</v>
      </c>
      <c r="H53" s="134">
        <f>_xlfn.COMPOUNDVALUE(569)</f>
        <v>48</v>
      </c>
      <c r="I53" s="135">
        <v>73434</v>
      </c>
      <c r="J53" s="134">
        <v>114</v>
      </c>
      <c r="K53" s="135">
        <v>4766</v>
      </c>
      <c r="L53" s="134">
        <v>2051</v>
      </c>
      <c r="M53" s="135">
        <v>2325314</v>
      </c>
      <c r="N53" s="125">
        <v>2104</v>
      </c>
      <c r="O53" s="102">
        <v>36</v>
      </c>
      <c r="P53" s="102">
        <v>3</v>
      </c>
      <c r="Q53" s="151">
        <v>2143</v>
      </c>
      <c r="R53" s="14" t="s">
        <v>191</v>
      </c>
    </row>
    <row r="54" spans="1:18" ht="15.75" customHeight="1">
      <c r="A54" s="13" t="s">
        <v>62</v>
      </c>
      <c r="B54" s="134">
        <f>_xlfn.COMPOUNDVALUE(570)</f>
        <v>919</v>
      </c>
      <c r="C54" s="105">
        <v>2906255</v>
      </c>
      <c r="D54" s="134">
        <f>_xlfn.COMPOUNDVALUE(571)</f>
        <v>993</v>
      </c>
      <c r="E54" s="105">
        <v>269190</v>
      </c>
      <c r="F54" s="134">
        <f>_xlfn.COMPOUNDVALUE(572)</f>
        <v>1912</v>
      </c>
      <c r="G54" s="105">
        <v>3175445</v>
      </c>
      <c r="H54" s="134">
        <f>_xlfn.COMPOUNDVALUE(573)</f>
        <v>38</v>
      </c>
      <c r="I54" s="135">
        <v>21534</v>
      </c>
      <c r="J54" s="134">
        <v>104</v>
      </c>
      <c r="K54" s="135">
        <v>8821</v>
      </c>
      <c r="L54" s="134">
        <v>1982</v>
      </c>
      <c r="M54" s="135">
        <v>3162731</v>
      </c>
      <c r="N54" s="125">
        <v>1936</v>
      </c>
      <c r="O54" s="102">
        <v>31</v>
      </c>
      <c r="P54" s="102">
        <v>4</v>
      </c>
      <c r="Q54" s="151">
        <v>1971</v>
      </c>
      <c r="R54" s="14" t="s">
        <v>192</v>
      </c>
    </row>
    <row r="55" spans="1:18" ht="15.75" customHeight="1">
      <c r="A55" s="13" t="s">
        <v>63</v>
      </c>
      <c r="B55" s="134">
        <f>_xlfn.COMPOUNDVALUE(574)</f>
        <v>1098</v>
      </c>
      <c r="C55" s="105">
        <v>3644689</v>
      </c>
      <c r="D55" s="134">
        <f>_xlfn.COMPOUNDVALUE(575)</f>
        <v>1105</v>
      </c>
      <c r="E55" s="105">
        <v>302932</v>
      </c>
      <c r="F55" s="134">
        <f>_xlfn.COMPOUNDVALUE(576)</f>
        <v>2203</v>
      </c>
      <c r="G55" s="105">
        <v>3947621</v>
      </c>
      <c r="H55" s="134">
        <f>_xlfn.COMPOUNDVALUE(577)</f>
        <v>69</v>
      </c>
      <c r="I55" s="135">
        <v>1103837</v>
      </c>
      <c r="J55" s="134">
        <v>103</v>
      </c>
      <c r="K55" s="184">
        <v>-49151</v>
      </c>
      <c r="L55" s="134">
        <v>2305</v>
      </c>
      <c r="M55" s="135">
        <v>2794633</v>
      </c>
      <c r="N55" s="125">
        <v>2318</v>
      </c>
      <c r="O55" s="102">
        <v>45</v>
      </c>
      <c r="P55" s="102">
        <v>3</v>
      </c>
      <c r="Q55" s="151">
        <v>2366</v>
      </c>
      <c r="R55" s="14" t="s">
        <v>193</v>
      </c>
    </row>
    <row r="56" spans="1:18" ht="15.75" customHeight="1">
      <c r="A56" s="13" t="s">
        <v>64</v>
      </c>
      <c r="B56" s="134">
        <f>_xlfn.COMPOUNDVALUE(578)</f>
        <v>768</v>
      </c>
      <c r="C56" s="105">
        <v>1871786</v>
      </c>
      <c r="D56" s="134">
        <f>_xlfn.COMPOUNDVALUE(579)</f>
        <v>691</v>
      </c>
      <c r="E56" s="105">
        <v>201303</v>
      </c>
      <c r="F56" s="134">
        <f>_xlfn.COMPOUNDVALUE(580)</f>
        <v>1459</v>
      </c>
      <c r="G56" s="105">
        <v>2073089</v>
      </c>
      <c r="H56" s="134">
        <f>_xlfn.COMPOUNDVALUE(581)</f>
        <v>53</v>
      </c>
      <c r="I56" s="135">
        <v>26751</v>
      </c>
      <c r="J56" s="134">
        <v>34</v>
      </c>
      <c r="K56" s="135">
        <v>3980</v>
      </c>
      <c r="L56" s="134">
        <v>1530</v>
      </c>
      <c r="M56" s="135">
        <v>2050318</v>
      </c>
      <c r="N56" s="125">
        <v>1511</v>
      </c>
      <c r="O56" s="102">
        <v>29</v>
      </c>
      <c r="P56" s="102">
        <v>3</v>
      </c>
      <c r="Q56" s="151">
        <v>1543</v>
      </c>
      <c r="R56" s="14" t="s">
        <v>194</v>
      </c>
    </row>
    <row r="57" spans="1:18" ht="15.75" customHeight="1">
      <c r="A57" s="93" t="s">
        <v>65</v>
      </c>
      <c r="B57" s="152">
        <v>13437</v>
      </c>
      <c r="C57" s="153">
        <v>43901268</v>
      </c>
      <c r="D57" s="152">
        <v>12424</v>
      </c>
      <c r="E57" s="153">
        <v>3550683</v>
      </c>
      <c r="F57" s="152">
        <v>25861</v>
      </c>
      <c r="G57" s="153">
        <v>47451950</v>
      </c>
      <c r="H57" s="152">
        <v>629</v>
      </c>
      <c r="I57" s="154">
        <v>2049264</v>
      </c>
      <c r="J57" s="152">
        <v>1086</v>
      </c>
      <c r="K57" s="154">
        <v>63989</v>
      </c>
      <c r="L57" s="152">
        <v>26875</v>
      </c>
      <c r="M57" s="154">
        <v>45466675</v>
      </c>
      <c r="N57" s="152">
        <v>26960</v>
      </c>
      <c r="O57" s="155">
        <v>438</v>
      </c>
      <c r="P57" s="155">
        <v>54</v>
      </c>
      <c r="Q57" s="156">
        <v>27452</v>
      </c>
      <c r="R57" s="92" t="s">
        <v>195</v>
      </c>
    </row>
    <row r="58" spans="1:18" ht="15.75" customHeight="1">
      <c r="A58" s="94"/>
      <c r="B58" s="157"/>
      <c r="C58" s="158"/>
      <c r="D58" s="157"/>
      <c r="E58" s="158"/>
      <c r="F58" s="159"/>
      <c r="G58" s="158"/>
      <c r="H58" s="159"/>
      <c r="I58" s="158"/>
      <c r="J58" s="159"/>
      <c r="K58" s="158"/>
      <c r="L58" s="159"/>
      <c r="M58" s="158"/>
      <c r="N58" s="160"/>
      <c r="O58" s="161"/>
      <c r="P58" s="161"/>
      <c r="Q58" s="162"/>
      <c r="R58" s="95" t="s">
        <v>196</v>
      </c>
    </row>
    <row r="59" spans="1:18" ht="15.75" customHeight="1">
      <c r="A59" s="96" t="s">
        <v>66</v>
      </c>
      <c r="B59" s="163">
        <f>_xlfn.COMPOUNDVALUE(582)</f>
        <v>3976</v>
      </c>
      <c r="C59" s="164">
        <v>15840414</v>
      </c>
      <c r="D59" s="163">
        <f>_xlfn.COMPOUNDVALUE(583)</f>
        <v>3406</v>
      </c>
      <c r="E59" s="164">
        <v>1078970</v>
      </c>
      <c r="F59" s="163">
        <f>_xlfn.COMPOUNDVALUE(584)</f>
        <v>7382</v>
      </c>
      <c r="G59" s="164">
        <v>16919384</v>
      </c>
      <c r="H59" s="163">
        <f>_xlfn.COMPOUNDVALUE(585)</f>
        <v>240</v>
      </c>
      <c r="I59" s="165">
        <v>1811551</v>
      </c>
      <c r="J59" s="163">
        <v>514</v>
      </c>
      <c r="K59" s="165">
        <v>83681</v>
      </c>
      <c r="L59" s="163">
        <v>7807</v>
      </c>
      <c r="M59" s="165">
        <v>15191515</v>
      </c>
      <c r="N59" s="163">
        <v>7805</v>
      </c>
      <c r="O59" s="166">
        <v>143</v>
      </c>
      <c r="P59" s="166">
        <v>12</v>
      </c>
      <c r="Q59" s="167">
        <v>7960</v>
      </c>
      <c r="R59" s="97" t="s">
        <v>197</v>
      </c>
    </row>
    <row r="60" spans="1:18" ht="15.75" customHeight="1">
      <c r="A60" s="11" t="s">
        <v>67</v>
      </c>
      <c r="B60" s="125">
        <f>_xlfn.COMPOUNDVALUE(586)</f>
        <v>2107</v>
      </c>
      <c r="C60" s="103">
        <v>6090507</v>
      </c>
      <c r="D60" s="125">
        <f>_xlfn.COMPOUNDVALUE(587)</f>
        <v>2163</v>
      </c>
      <c r="E60" s="103">
        <v>643151</v>
      </c>
      <c r="F60" s="125">
        <f>_xlfn.COMPOUNDVALUE(588)</f>
        <v>4270</v>
      </c>
      <c r="G60" s="103">
        <v>6733658</v>
      </c>
      <c r="H60" s="125">
        <f>_xlfn.COMPOUNDVALUE(589)</f>
        <v>105</v>
      </c>
      <c r="I60" s="133">
        <v>182226</v>
      </c>
      <c r="J60" s="125">
        <v>229</v>
      </c>
      <c r="K60" s="133">
        <v>49076</v>
      </c>
      <c r="L60" s="125">
        <v>4494</v>
      </c>
      <c r="M60" s="133">
        <v>6600508</v>
      </c>
      <c r="N60" s="125">
        <v>4523</v>
      </c>
      <c r="O60" s="102">
        <v>83</v>
      </c>
      <c r="P60" s="102">
        <v>13</v>
      </c>
      <c r="Q60" s="151">
        <v>4619</v>
      </c>
      <c r="R60" s="14" t="s">
        <v>198</v>
      </c>
    </row>
    <row r="61" spans="1:18" ht="15.75" customHeight="1">
      <c r="A61" s="11" t="s">
        <v>68</v>
      </c>
      <c r="B61" s="125">
        <f>_xlfn.COMPOUNDVALUE(590)</f>
        <v>4825</v>
      </c>
      <c r="C61" s="103">
        <v>20515611</v>
      </c>
      <c r="D61" s="125">
        <f>_xlfn.COMPOUNDVALUE(591)</f>
        <v>3742</v>
      </c>
      <c r="E61" s="103">
        <v>1322649</v>
      </c>
      <c r="F61" s="125">
        <f>_xlfn.COMPOUNDVALUE(592)</f>
        <v>8567</v>
      </c>
      <c r="G61" s="103">
        <v>21838260</v>
      </c>
      <c r="H61" s="125">
        <f>_xlfn.COMPOUNDVALUE(593)</f>
        <v>305</v>
      </c>
      <c r="I61" s="133">
        <v>710032</v>
      </c>
      <c r="J61" s="125">
        <v>436</v>
      </c>
      <c r="K61" s="183">
        <v>-4646</v>
      </c>
      <c r="L61" s="125">
        <v>9065</v>
      </c>
      <c r="M61" s="133">
        <v>21123583</v>
      </c>
      <c r="N61" s="125">
        <v>9653</v>
      </c>
      <c r="O61" s="102">
        <v>175</v>
      </c>
      <c r="P61" s="102">
        <v>26</v>
      </c>
      <c r="Q61" s="151">
        <v>9854</v>
      </c>
      <c r="R61" s="14" t="s">
        <v>199</v>
      </c>
    </row>
    <row r="62" spans="1:18" ht="15.75" customHeight="1">
      <c r="A62" s="13" t="s">
        <v>69</v>
      </c>
      <c r="B62" s="134">
        <f>_xlfn.COMPOUNDVALUE(594)</f>
        <v>3983</v>
      </c>
      <c r="C62" s="105">
        <v>12631674</v>
      </c>
      <c r="D62" s="134">
        <f>_xlfn.COMPOUNDVALUE(595)</f>
        <v>3073</v>
      </c>
      <c r="E62" s="105">
        <v>1115878</v>
      </c>
      <c r="F62" s="134">
        <f>_xlfn.COMPOUNDVALUE(596)</f>
        <v>7056</v>
      </c>
      <c r="G62" s="105">
        <v>13747552</v>
      </c>
      <c r="H62" s="134">
        <f>_xlfn.COMPOUNDVALUE(597)</f>
        <v>312</v>
      </c>
      <c r="I62" s="135">
        <v>3285813</v>
      </c>
      <c r="J62" s="134">
        <v>468</v>
      </c>
      <c r="K62" s="135">
        <v>42211</v>
      </c>
      <c r="L62" s="134">
        <v>7602</v>
      </c>
      <c r="M62" s="135">
        <v>10503951</v>
      </c>
      <c r="N62" s="125">
        <v>7668</v>
      </c>
      <c r="O62" s="102">
        <v>152</v>
      </c>
      <c r="P62" s="102">
        <v>26</v>
      </c>
      <c r="Q62" s="151">
        <v>7846</v>
      </c>
      <c r="R62" s="14" t="s">
        <v>69</v>
      </c>
    </row>
    <row r="63" spans="1:18" ht="15.75" customHeight="1">
      <c r="A63" s="13" t="s">
        <v>70</v>
      </c>
      <c r="B63" s="134">
        <f>_xlfn.COMPOUNDVALUE(598)</f>
        <v>1543</v>
      </c>
      <c r="C63" s="105">
        <v>3642055</v>
      </c>
      <c r="D63" s="134">
        <f>_xlfn.COMPOUNDVALUE(599)</f>
        <v>1476</v>
      </c>
      <c r="E63" s="105">
        <v>451577</v>
      </c>
      <c r="F63" s="134">
        <f>_xlfn.COMPOUNDVALUE(600)</f>
        <v>3019</v>
      </c>
      <c r="G63" s="105">
        <v>4093631</v>
      </c>
      <c r="H63" s="134">
        <f>_xlfn.COMPOUNDVALUE(601)</f>
        <v>143</v>
      </c>
      <c r="I63" s="135">
        <v>135678</v>
      </c>
      <c r="J63" s="134">
        <v>126</v>
      </c>
      <c r="K63" s="135">
        <v>3874</v>
      </c>
      <c r="L63" s="134">
        <v>3227</v>
      </c>
      <c r="M63" s="135">
        <v>3961827</v>
      </c>
      <c r="N63" s="125">
        <v>3180</v>
      </c>
      <c r="O63" s="102">
        <v>82</v>
      </c>
      <c r="P63" s="102">
        <v>7</v>
      </c>
      <c r="Q63" s="151">
        <v>3269</v>
      </c>
      <c r="R63" s="14" t="s">
        <v>200</v>
      </c>
    </row>
    <row r="64" spans="1:18" ht="15.75" customHeight="1">
      <c r="A64" s="13" t="s">
        <v>71</v>
      </c>
      <c r="B64" s="134">
        <f>_xlfn.COMPOUNDVALUE(602)</f>
        <v>1484</v>
      </c>
      <c r="C64" s="105">
        <v>3692044</v>
      </c>
      <c r="D64" s="134">
        <f>_xlfn.COMPOUNDVALUE(603)</f>
        <v>1399</v>
      </c>
      <c r="E64" s="105">
        <v>436314</v>
      </c>
      <c r="F64" s="134">
        <f>_xlfn.COMPOUNDVALUE(604)</f>
        <v>2883</v>
      </c>
      <c r="G64" s="105">
        <v>4128359</v>
      </c>
      <c r="H64" s="134">
        <f>_xlfn.COMPOUNDVALUE(605)</f>
        <v>126</v>
      </c>
      <c r="I64" s="135">
        <v>359281</v>
      </c>
      <c r="J64" s="134">
        <v>144</v>
      </c>
      <c r="K64" s="135">
        <v>21561</v>
      </c>
      <c r="L64" s="134">
        <v>3100</v>
      </c>
      <c r="M64" s="135">
        <v>3790638</v>
      </c>
      <c r="N64" s="125">
        <v>3072</v>
      </c>
      <c r="O64" s="102">
        <v>53</v>
      </c>
      <c r="P64" s="102">
        <v>2</v>
      </c>
      <c r="Q64" s="151">
        <v>3127</v>
      </c>
      <c r="R64" s="14" t="s">
        <v>201</v>
      </c>
    </row>
    <row r="65" spans="1:18" ht="15.75" customHeight="1">
      <c r="A65" s="13" t="s">
        <v>72</v>
      </c>
      <c r="B65" s="134">
        <f>_xlfn.COMPOUNDVALUE(606)</f>
        <v>605</v>
      </c>
      <c r="C65" s="105">
        <v>1455452</v>
      </c>
      <c r="D65" s="134">
        <f>_xlfn.COMPOUNDVALUE(607)</f>
        <v>680</v>
      </c>
      <c r="E65" s="105">
        <v>181342</v>
      </c>
      <c r="F65" s="134">
        <f>_xlfn.COMPOUNDVALUE(608)</f>
        <v>1285</v>
      </c>
      <c r="G65" s="105">
        <v>1636794</v>
      </c>
      <c r="H65" s="134">
        <f>_xlfn.COMPOUNDVALUE(609)</f>
        <v>51</v>
      </c>
      <c r="I65" s="135">
        <v>152082</v>
      </c>
      <c r="J65" s="134">
        <v>55</v>
      </c>
      <c r="K65" s="135">
        <v>6718</v>
      </c>
      <c r="L65" s="134">
        <v>1361</v>
      </c>
      <c r="M65" s="135">
        <v>1491430</v>
      </c>
      <c r="N65" s="125">
        <v>1307</v>
      </c>
      <c r="O65" s="102">
        <v>25</v>
      </c>
      <c r="P65" s="102">
        <v>2</v>
      </c>
      <c r="Q65" s="151">
        <v>1334</v>
      </c>
      <c r="R65" s="14" t="s">
        <v>202</v>
      </c>
    </row>
    <row r="66" spans="1:18" ht="15.75" customHeight="1">
      <c r="A66" s="13" t="s">
        <v>73</v>
      </c>
      <c r="B66" s="134">
        <f>_xlfn.COMPOUNDVALUE(610)</f>
        <v>1275</v>
      </c>
      <c r="C66" s="105">
        <v>3718633</v>
      </c>
      <c r="D66" s="134">
        <f>_xlfn.COMPOUNDVALUE(611)</f>
        <v>1166</v>
      </c>
      <c r="E66" s="105">
        <v>329311</v>
      </c>
      <c r="F66" s="134">
        <f>_xlfn.COMPOUNDVALUE(612)</f>
        <v>2441</v>
      </c>
      <c r="G66" s="105">
        <v>4047944</v>
      </c>
      <c r="H66" s="134">
        <f>_xlfn.COMPOUNDVALUE(613)</f>
        <v>303</v>
      </c>
      <c r="I66" s="135">
        <v>542793</v>
      </c>
      <c r="J66" s="134">
        <v>126</v>
      </c>
      <c r="K66" s="135">
        <v>13391</v>
      </c>
      <c r="L66" s="134">
        <v>2818</v>
      </c>
      <c r="M66" s="135">
        <v>3518541</v>
      </c>
      <c r="N66" s="125">
        <v>4101</v>
      </c>
      <c r="O66" s="102">
        <v>105</v>
      </c>
      <c r="P66" s="102">
        <v>9</v>
      </c>
      <c r="Q66" s="151">
        <v>4215</v>
      </c>
      <c r="R66" s="14" t="s">
        <v>203</v>
      </c>
    </row>
    <row r="67" spans="1:18" ht="15.75" customHeight="1">
      <c r="A67" s="13" t="s">
        <v>74</v>
      </c>
      <c r="B67" s="134">
        <f>_xlfn.COMPOUNDVALUE(614)</f>
        <v>1006</v>
      </c>
      <c r="C67" s="105">
        <v>2808516</v>
      </c>
      <c r="D67" s="134">
        <f>_xlfn.COMPOUNDVALUE(615)</f>
        <v>860</v>
      </c>
      <c r="E67" s="105">
        <v>266028</v>
      </c>
      <c r="F67" s="134">
        <f>_xlfn.COMPOUNDVALUE(616)</f>
        <v>1866</v>
      </c>
      <c r="G67" s="105">
        <v>3074544</v>
      </c>
      <c r="H67" s="134">
        <f>_xlfn.COMPOUNDVALUE(617)</f>
        <v>94</v>
      </c>
      <c r="I67" s="135">
        <v>85340</v>
      </c>
      <c r="J67" s="134">
        <v>104</v>
      </c>
      <c r="K67" s="135">
        <v>18022</v>
      </c>
      <c r="L67" s="134">
        <v>2019</v>
      </c>
      <c r="M67" s="135">
        <v>3007225</v>
      </c>
      <c r="N67" s="125">
        <v>2004</v>
      </c>
      <c r="O67" s="102">
        <v>54</v>
      </c>
      <c r="P67" s="102">
        <v>4</v>
      </c>
      <c r="Q67" s="151">
        <v>2062</v>
      </c>
      <c r="R67" s="14" t="s">
        <v>204</v>
      </c>
    </row>
    <row r="68" spans="1:18" ht="15.75" customHeight="1">
      <c r="A68" s="13" t="s">
        <v>75</v>
      </c>
      <c r="B68" s="134">
        <f>_xlfn.COMPOUNDVALUE(618)</f>
        <v>395</v>
      </c>
      <c r="C68" s="105">
        <v>699496</v>
      </c>
      <c r="D68" s="134">
        <f>_xlfn.COMPOUNDVALUE(619)</f>
        <v>388</v>
      </c>
      <c r="E68" s="105">
        <v>115710</v>
      </c>
      <c r="F68" s="134">
        <f>_xlfn.COMPOUNDVALUE(620)</f>
        <v>783</v>
      </c>
      <c r="G68" s="105">
        <v>815205</v>
      </c>
      <c r="H68" s="134">
        <f>_xlfn.COMPOUNDVALUE(621)</f>
        <v>19</v>
      </c>
      <c r="I68" s="135">
        <v>26756</v>
      </c>
      <c r="J68" s="134">
        <v>25</v>
      </c>
      <c r="K68" s="135">
        <v>6715</v>
      </c>
      <c r="L68" s="134">
        <v>807</v>
      </c>
      <c r="M68" s="135">
        <v>795165</v>
      </c>
      <c r="N68" s="125">
        <v>780</v>
      </c>
      <c r="O68" s="102">
        <v>17</v>
      </c>
      <c r="P68" s="102">
        <v>0</v>
      </c>
      <c r="Q68" s="151">
        <v>797</v>
      </c>
      <c r="R68" s="14" t="s">
        <v>205</v>
      </c>
    </row>
    <row r="69" spans="1:18" ht="15.75" customHeight="1">
      <c r="A69" s="93" t="s">
        <v>76</v>
      </c>
      <c r="B69" s="152">
        <v>21199</v>
      </c>
      <c r="C69" s="153">
        <v>71094401</v>
      </c>
      <c r="D69" s="152">
        <v>18353</v>
      </c>
      <c r="E69" s="153">
        <v>5940930</v>
      </c>
      <c r="F69" s="152">
        <v>39552</v>
      </c>
      <c r="G69" s="153">
        <v>77035331</v>
      </c>
      <c r="H69" s="152">
        <v>1698</v>
      </c>
      <c r="I69" s="154">
        <v>7291552</v>
      </c>
      <c r="J69" s="152">
        <v>2227</v>
      </c>
      <c r="K69" s="154">
        <v>240603</v>
      </c>
      <c r="L69" s="152">
        <v>42300</v>
      </c>
      <c r="M69" s="154">
        <v>69984383</v>
      </c>
      <c r="N69" s="152">
        <v>44093</v>
      </c>
      <c r="O69" s="155">
        <v>889</v>
      </c>
      <c r="P69" s="155">
        <v>101</v>
      </c>
      <c r="Q69" s="156">
        <v>45083</v>
      </c>
      <c r="R69" s="92" t="s">
        <v>206</v>
      </c>
    </row>
    <row r="70" spans="1:18" ht="15.75" customHeight="1" thickBot="1">
      <c r="A70" s="18"/>
      <c r="B70" s="174"/>
      <c r="C70" s="175"/>
      <c r="D70" s="174"/>
      <c r="E70" s="175"/>
      <c r="F70" s="176"/>
      <c r="G70" s="175"/>
      <c r="H70" s="176"/>
      <c r="I70" s="175"/>
      <c r="J70" s="176"/>
      <c r="K70" s="175"/>
      <c r="L70" s="176"/>
      <c r="M70" s="175"/>
      <c r="N70" s="177"/>
      <c r="O70" s="178"/>
      <c r="P70" s="178"/>
      <c r="Q70" s="179"/>
      <c r="R70" s="91"/>
    </row>
    <row r="71" spans="1:18" ht="15.75" customHeight="1" thickBot="1" thickTop="1">
      <c r="A71" s="21" t="s">
        <v>149</v>
      </c>
      <c r="B71" s="148">
        <v>99445</v>
      </c>
      <c r="C71" s="149">
        <v>334575474</v>
      </c>
      <c r="D71" s="148">
        <v>83317</v>
      </c>
      <c r="E71" s="149">
        <v>26275339</v>
      </c>
      <c r="F71" s="148">
        <v>182762</v>
      </c>
      <c r="G71" s="149">
        <v>360850813</v>
      </c>
      <c r="H71" s="148">
        <v>7128</v>
      </c>
      <c r="I71" s="150">
        <v>24970939</v>
      </c>
      <c r="J71" s="148">
        <v>9951</v>
      </c>
      <c r="K71" s="150">
        <v>1081138</v>
      </c>
      <c r="L71" s="148">
        <v>193904</v>
      </c>
      <c r="M71" s="150">
        <v>336961012</v>
      </c>
      <c r="N71" s="180">
        <v>197261</v>
      </c>
      <c r="O71" s="181">
        <v>3929</v>
      </c>
      <c r="P71" s="181">
        <v>549</v>
      </c>
      <c r="Q71" s="182">
        <v>201739</v>
      </c>
      <c r="R71" s="33" t="s">
        <v>149</v>
      </c>
    </row>
    <row r="72" spans="1:9" ht="13.5">
      <c r="A72" s="218" t="s">
        <v>246</v>
      </c>
      <c r="B72" s="218"/>
      <c r="C72" s="218"/>
      <c r="D72" s="218"/>
      <c r="E72" s="218"/>
      <c r="F72" s="218"/>
      <c r="G72" s="218"/>
      <c r="H72" s="218"/>
      <c r="I72" s="218"/>
    </row>
  </sheetData>
  <sheetProtection/>
  <mergeCells count="16">
    <mergeCell ref="O4:O5"/>
    <mergeCell ref="P4:P5"/>
    <mergeCell ref="Q4:Q5"/>
    <mergeCell ref="J3:K4"/>
    <mergeCell ref="L3:M4"/>
    <mergeCell ref="N3:Q3"/>
    <mergeCell ref="A72:I72"/>
    <mergeCell ref="A2:I2"/>
    <mergeCell ref="A3:A5"/>
    <mergeCell ref="B3:G3"/>
    <mergeCell ref="H3:I4"/>
    <mergeCell ref="R3:R5"/>
    <mergeCell ref="B4:C4"/>
    <mergeCell ref="D4:E4"/>
    <mergeCell ref="F4:G4"/>
    <mergeCell ref="N4:N5"/>
  </mergeCells>
  <printOptions/>
  <pageMargins left="0.5905511811023623" right="0.5905511811023623" top="0.7874015748031497" bottom="0.7874015748031497" header="0.5118110236220472" footer="0.5118110236220472"/>
  <pageSetup horizontalDpi="600" verticalDpi="600" orientation="landscape" paperSize="9" scale="64" r:id="rId1"/>
  <headerFooter scaleWithDoc="0">
    <oddFooter>&amp;R仙台国税局
消費税
(H24)</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dc:title>
  <dc:subject/>
  <dc:creator>国税庁</dc:creator>
  <cp:keywords>仙台国税局</cp:keywords>
  <dc:description/>
  <cp:lastModifiedBy>国税庁</cp:lastModifiedBy>
  <cp:lastPrinted>2014-06-11T07:26:52Z</cp:lastPrinted>
  <dcterms:created xsi:type="dcterms:W3CDTF">2011-12-09T10:59:54Z</dcterms:created>
  <dcterms:modified xsi:type="dcterms:W3CDTF">2014-06-26T07:12:30Z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