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798"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 name="_xlnm.Print_Area" localSheetId="1">'7 (2)課税状況の累年比較'!$A$1:$H$14</definedName>
    <definedName name="_xlnm.Print_Area" localSheetId="2">'7 (3)課税事業者等届出件数'!$A$1:$E$7</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workbook>
</file>

<file path=xl/sharedStrings.xml><?xml version="1.0" encoding="utf-8"?>
<sst xmlns="http://schemas.openxmlformats.org/spreadsheetml/2006/main" count="352" uniqueCount="114">
  <si>
    <t>　イ　個人事業者</t>
  </si>
  <si>
    <t>還付申告及び処理</t>
  </si>
  <si>
    <t>既往年分の
申告及び処理</t>
  </si>
  <si>
    <t>合　　　　　　計</t>
  </si>
  <si>
    <t>税務署名</t>
  </si>
  <si>
    <t>簡易申告及び処理</t>
  </si>
  <si>
    <t>小　　　　　　計</t>
  </si>
  <si>
    <t>件</t>
  </si>
  <si>
    <t>千円</t>
  </si>
  <si>
    <t>札幌中</t>
  </si>
  <si>
    <t>札幌北</t>
  </si>
  <si>
    <t>札幌南</t>
  </si>
  <si>
    <t>札幌西</t>
  </si>
  <si>
    <t>札幌東</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</si>
  <si>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</si>
  <si>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</si>
  <si>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</si>
  <si>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</si>
  <si>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</si>
  <si>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</si>
  <si>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</si>
  <si>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</si>
  <si>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</si>
  <si>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</si>
  <si>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</si>
  <si>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</si>
  <si>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</si>
  <si>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</si>
  <si>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</si>
  <si>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</si>
  <si>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</si>
  <si>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</si>
  <si>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</si>
  <si>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</si>
  <si>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</si>
  <si>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</si>
  <si>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</si>
  <si>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</si>
  <si>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　ロ　法　　　人</t>
  </si>
  <si>
    <t>税務署名</t>
  </si>
  <si>
    <t>　ハ　個人事業者と法人の合計</t>
  </si>
  <si>
    <t>課税事業者
届出</t>
  </si>
  <si>
    <t>合　　　計</t>
  </si>
  <si>
    <t>合　　計</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</si>
  <si>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</si>
  <si>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</si>
  <si>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</si>
  <si>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</si>
  <si>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</si>
  <si>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</si>
  <si>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</si>
  <si>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</si>
  <si>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</si>
  <si>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</si>
  <si>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</si>
  <si>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</si>
  <si>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</si>
  <si>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</si>
  <si>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</si>
  <si>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</si>
  <si>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</si>
  <si>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</si>
  <si>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</si>
  <si>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</si>
  <si>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</si>
  <si>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</si>
  <si>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</si>
  <si>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</si>
  <si>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</si>
  <si>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</si>
  <si>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</si>
  <si>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</si>
  <si>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</si>
  <si>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</si>
  <si>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</si>
  <si>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税務署名</t>
  </si>
  <si>
    <t>一般申告及び処理</t>
  </si>
  <si>
    <t>件数</t>
  </si>
  <si>
    <t>税額</t>
  </si>
  <si>
    <t>税　額　①</t>
  </si>
  <si>
    <t>納　　　税　　　申　　　告　　　及　　　び　　　処　　　理</t>
  </si>
  <si>
    <t>税　額　②</t>
  </si>
  <si>
    <t>税　額　③</t>
  </si>
  <si>
    <t>税　　　額
(①－②＋③)</t>
  </si>
  <si>
    <t>函館</t>
  </si>
  <si>
    <t>札幌中</t>
  </si>
  <si>
    <t>税　　額
(①－②＋③)</t>
  </si>
  <si>
    <t>課　税　事　業　者　等　届　出　件　数</t>
  </si>
  <si>
    <t>課税事業者
選択届出</t>
  </si>
  <si>
    <t>新設法人に
該当する旨
の届出</t>
  </si>
  <si>
    <t xml:space="preserve">     （注） 納税義務者でなくなった旨の届出書又は課税事業者選択不適用届出書を提出した者は含まない。</t>
  </si>
  <si>
    <t>合               計</t>
  </si>
  <si>
    <t>調査対象等：</t>
  </si>
  <si>
    <t>　　（注）　</t>
  </si>
  <si>
    <t>　１　税関分は含まない。</t>
  </si>
  <si>
    <t>　　　　　　</t>
  </si>
  <si>
    <t>件数</t>
  </si>
  <si>
    <t>税額</t>
  </si>
  <si>
    <t>函館</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</si>
  <si>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</si>
  <si>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</si>
  <si>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</si>
  <si>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</si>
  <si>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</si>
  <si>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　２　「件数」欄の「実」は、実件数を示す。</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</si>
  <si>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</si>
  <si>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</si>
  <si>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</si>
  <si>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平成26年度</t>
  </si>
  <si>
    <t>平成27年度</t>
  </si>
  <si>
    <t>平成28年度</t>
  </si>
  <si>
    <t>平成29年度</t>
  </si>
  <si>
    <t>平成30年度</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</si>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</sst>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9">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明朝"/>
      <family val="1"/>
    </font>
    <font>
      <sz val="9"/>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ＭＳ 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medium"/>
      <top/>
      <bottom style="medium"/>
    </border>
    <border>
      <left style="hair"/>
      <right style="thin"/>
      <top style="hair"/>
      <bottom style="thin"/>
    </border>
    <border>
      <left style="hair"/>
      <right style="hair"/>
      <top style="thin"/>
      <bottom/>
    </border>
    <border>
      <left style="thin"/>
      <right style="hair"/>
      <top style="hair"/>
      <bottom style="thin"/>
    </border>
    <border>
      <left style="hair"/>
      <right/>
      <top style="hair"/>
      <bottom style="thin"/>
    </border>
    <border>
      <left/>
      <right/>
      <top style="medium"/>
      <bottom/>
    </border>
    <border>
      <left style="thin"/>
      <right style="hair"/>
      <top/>
      <bottom style="medium"/>
    </border>
    <border>
      <left style="thin"/>
      <right style="hair"/>
      <top style="thin"/>
      <bottom style="thin"/>
    </border>
    <border>
      <left style="thin"/>
      <right style="hair"/>
      <top/>
      <bottom/>
    </border>
    <border>
      <left style="hair"/>
      <right style="thin"/>
      <top style="hair">
        <color indexed="55"/>
      </top>
      <bottom style="hair">
        <color indexed="55"/>
      </bottom>
    </border>
    <border>
      <left style="hair"/>
      <right style="medium"/>
      <top style="thin"/>
      <bottom style="hair">
        <color indexed="55"/>
      </bottom>
    </border>
    <border>
      <left style="hair"/>
      <right style="thin"/>
      <top style="thin"/>
      <bottom style="hair">
        <color indexed="55"/>
      </bottom>
    </border>
    <border>
      <left style="hair"/>
      <right style="thin"/>
      <top style="hair">
        <color indexed="55"/>
      </top>
      <bottom style="thin"/>
    </border>
    <border>
      <left style="hair"/>
      <right style="medium"/>
      <top/>
      <bottom style="hair">
        <color indexed="55"/>
      </bottom>
    </border>
    <border>
      <left style="hair"/>
      <right style="thin"/>
      <top/>
      <bottom style="hair">
        <color indexed="55"/>
      </bottom>
    </border>
    <border>
      <left style="hair"/>
      <right style="medium"/>
      <top style="thin"/>
      <botto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style="thin"/>
      <right style="hair"/>
      <top/>
      <bottom style="hair">
        <color indexed="55"/>
      </bottom>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thin"/>
      <right style="medium"/>
      <top style="hair">
        <color indexed="55"/>
      </top>
      <bottom style="double"/>
    </border>
    <border>
      <left style="medium"/>
      <right/>
      <top style="hair">
        <color indexed="55"/>
      </top>
      <bottom style="double"/>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hair"/>
      <right/>
      <top style="hair">
        <color indexed="55"/>
      </top>
      <bottom style="double"/>
    </border>
    <border>
      <left style="hair"/>
      <right/>
      <top/>
      <bottom style="medium"/>
    </border>
    <border>
      <left style="hair"/>
      <right style="hair"/>
      <top style="hair">
        <color indexed="55"/>
      </top>
      <bottom style="double"/>
    </border>
    <border>
      <left style="medium"/>
      <right style="thin"/>
      <top/>
      <bottom style="medium"/>
    </border>
    <border>
      <left style="thin"/>
      <right style="thin"/>
      <top/>
      <bottom style="medium"/>
    </border>
    <border>
      <left style="thin"/>
      <right/>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color indexed="63"/>
      </left>
      <right style="thin"/>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215">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9" fillId="0" borderId="0" xfId="60" applyFont="1">
      <alignment/>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1" xfId="60" applyFont="1" applyBorder="1" applyAlignment="1">
      <alignment horizontal="center" vertical="center" wrapText="1"/>
      <protection/>
    </xf>
    <xf numFmtId="0" fontId="5" fillId="34" borderId="22"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3" fillId="0" borderId="23" xfId="60" applyFont="1" applyBorder="1" applyAlignment="1">
      <alignment horizontal="distributed" vertical="center" indent="1"/>
      <protection/>
    </xf>
    <xf numFmtId="0" fontId="3" fillId="0" borderId="21" xfId="60" applyFont="1" applyBorder="1" applyAlignment="1">
      <alignment horizontal="distributed" vertical="center" indent="1"/>
      <protection/>
    </xf>
    <xf numFmtId="0" fontId="3" fillId="0" borderId="24" xfId="60" applyFont="1" applyBorder="1" applyAlignment="1">
      <alignment horizontal="distributed" vertical="center" indent="1"/>
      <protection/>
    </xf>
    <xf numFmtId="0" fontId="3" fillId="0" borderId="2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25" xfId="60" applyFont="1" applyFill="1" applyBorder="1" applyAlignment="1">
      <alignment horizontal="center" vertical="center"/>
      <protection/>
    </xf>
    <xf numFmtId="176" fontId="8" fillId="0" borderId="25" xfId="60" applyNumberFormat="1" applyFont="1" applyFill="1" applyBorder="1" applyAlignment="1">
      <alignment horizontal="right" vertical="center"/>
      <protection/>
    </xf>
    <xf numFmtId="0" fontId="9" fillId="0" borderId="0" xfId="60" applyFont="1" applyFill="1" applyBorder="1">
      <alignment/>
      <protection/>
    </xf>
    <xf numFmtId="3" fontId="3" fillId="0" borderId="26" xfId="60" applyNumberFormat="1" applyFont="1" applyBorder="1" applyAlignment="1">
      <alignment horizontal="right" vertical="center"/>
      <protection/>
    </xf>
    <xf numFmtId="0" fontId="3" fillId="0" borderId="26" xfId="60" applyFont="1" applyBorder="1" applyAlignment="1">
      <alignment horizontal="right" vertical="center"/>
      <protection/>
    </xf>
    <xf numFmtId="0" fontId="8" fillId="0" borderId="0" xfId="60" applyFont="1" applyAlignment="1">
      <alignment horizontal="left" vertical="top"/>
      <protection/>
    </xf>
    <xf numFmtId="0" fontId="8" fillId="0" borderId="27" xfId="60" applyFont="1" applyBorder="1" applyAlignment="1">
      <alignment horizontal="right" vertical="center"/>
      <protection/>
    </xf>
    <xf numFmtId="3" fontId="3" fillId="0" borderId="28" xfId="60" applyNumberFormat="1" applyFont="1" applyBorder="1" applyAlignment="1">
      <alignment horizontal="center" vertical="center"/>
      <protection/>
    </xf>
    <xf numFmtId="0" fontId="3" fillId="0" borderId="28" xfId="60" applyFont="1" applyBorder="1" applyAlignment="1">
      <alignment horizontal="center" vertical="center"/>
      <protection/>
    </xf>
    <xf numFmtId="0" fontId="3" fillId="0" borderId="29" xfId="60" applyFont="1" applyBorder="1" applyAlignment="1">
      <alignment horizontal="distributed" vertical="center" wrapText="1"/>
      <protection/>
    </xf>
    <xf numFmtId="3" fontId="3" fillId="35" borderId="30"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1" xfId="60" applyNumberFormat="1" applyFont="1" applyFill="1" applyBorder="1" applyAlignment="1">
      <alignment horizontal="right" vertical="center"/>
      <protection/>
    </xf>
    <xf numFmtId="0" fontId="3" fillId="0" borderId="31" xfId="60" applyFont="1" applyBorder="1" applyAlignment="1">
      <alignment horizontal="distributed" vertical="center" wrapText="1"/>
      <protection/>
    </xf>
    <xf numFmtId="0" fontId="3" fillId="0" borderId="28" xfId="60" applyFont="1" applyBorder="1" applyAlignment="1">
      <alignment horizontal="right" vertical="center"/>
      <protection/>
    </xf>
    <xf numFmtId="0" fontId="3" fillId="0" borderId="32" xfId="60" applyFont="1" applyBorder="1" applyAlignment="1">
      <alignment horizontal="distributed" vertical="center"/>
      <protection/>
    </xf>
    <xf numFmtId="0" fontId="8" fillId="0" borderId="28" xfId="60" applyFont="1" applyBorder="1" applyAlignment="1">
      <alignment horizontal="right" vertical="center"/>
      <protection/>
    </xf>
    <xf numFmtId="0" fontId="8" fillId="0" borderId="29" xfId="60" applyFont="1" applyBorder="1" applyAlignment="1">
      <alignment horizontal="distributed" vertical="center"/>
      <protection/>
    </xf>
    <xf numFmtId="3" fontId="3" fillId="0" borderId="28" xfId="60" applyNumberFormat="1" applyFont="1" applyBorder="1" applyAlignment="1">
      <alignment horizontal="right" vertical="center"/>
      <protection/>
    </xf>
    <xf numFmtId="0" fontId="3" fillId="0" borderId="29" xfId="60" applyFont="1" applyBorder="1" applyAlignment="1">
      <alignment horizontal="distributed" vertical="center"/>
      <protection/>
    </xf>
    <xf numFmtId="3" fontId="3" fillId="35" borderId="3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0" fontId="3" fillId="0" borderId="34" xfId="60" applyFont="1" applyBorder="1" applyAlignment="1">
      <alignment horizontal="distributed" vertical="center"/>
      <protection/>
    </xf>
    <xf numFmtId="0" fontId="5" fillId="35" borderId="35"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35"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0" fontId="3" fillId="0" borderId="36" xfId="60" applyFont="1" applyBorder="1" applyAlignment="1">
      <alignment horizontal="distributed" vertical="center"/>
      <protection/>
    </xf>
    <xf numFmtId="3" fontId="3" fillId="34" borderId="37" xfId="60" applyNumberFormat="1" applyFont="1" applyFill="1" applyBorder="1" applyAlignment="1">
      <alignment horizontal="right" vertical="center"/>
      <protection/>
    </xf>
    <xf numFmtId="0" fontId="3" fillId="0" borderId="31"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38" xfId="60" applyNumberFormat="1" applyFont="1" applyFill="1" applyBorder="1" applyAlignment="1">
      <alignment horizontal="right" vertical="center"/>
      <protection/>
    </xf>
    <xf numFmtId="3" fontId="3" fillId="34" borderId="39" xfId="60" applyNumberFormat="1" applyFont="1" applyFill="1" applyBorder="1" applyAlignment="1">
      <alignment horizontal="right" vertical="center"/>
      <protection/>
    </xf>
    <xf numFmtId="3" fontId="3" fillId="35" borderId="32" xfId="60" applyNumberFormat="1" applyFont="1" applyFill="1" applyBorder="1" applyAlignment="1">
      <alignment horizontal="right" vertical="center"/>
      <protection/>
    </xf>
    <xf numFmtId="3" fontId="3" fillId="34" borderId="40"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35"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41" xfId="60" applyFont="1" applyBorder="1" applyAlignment="1">
      <alignment horizontal="center"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distributed" vertical="center"/>
      <protection/>
    </xf>
    <xf numFmtId="0" fontId="3" fillId="0" borderId="44" xfId="60" applyFont="1" applyBorder="1" applyAlignment="1">
      <alignment horizontal="distributed" vertical="center"/>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5" fillId="34" borderId="47" xfId="60" applyFont="1" applyFill="1" applyBorder="1" applyAlignment="1">
      <alignment horizontal="right"/>
      <protection/>
    </xf>
    <xf numFmtId="0" fontId="5" fillId="34" borderId="48" xfId="60" applyFont="1" applyFill="1" applyBorder="1" applyAlignment="1">
      <alignment horizontal="right"/>
      <protection/>
    </xf>
    <xf numFmtId="0" fontId="5" fillId="34" borderId="49"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3" fillId="36" borderId="50" xfId="60" applyFont="1" applyFill="1" applyBorder="1" applyAlignment="1">
      <alignment horizontal="distributed" vertical="center"/>
      <protection/>
    </xf>
    <xf numFmtId="0" fontId="3" fillId="0" borderId="23" xfId="60" applyFont="1" applyBorder="1" applyAlignment="1">
      <alignment horizontal="distributed" vertical="center"/>
      <protection/>
    </xf>
    <xf numFmtId="0" fontId="3" fillId="36" borderId="51" xfId="60" applyFont="1" applyFill="1" applyBorder="1" applyAlignment="1">
      <alignment horizontal="distributed"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0" fontId="3" fillId="0" borderId="0" xfId="60" applyFont="1" applyFill="1" applyBorder="1" applyAlignment="1">
      <alignment horizontal="right" vertical="center"/>
      <protection/>
    </xf>
    <xf numFmtId="3" fontId="3" fillId="0" borderId="0" xfId="60" applyNumberFormat="1" applyFont="1" applyFill="1" applyBorder="1" applyAlignment="1">
      <alignment horizontal="right" vertical="center"/>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3" fontId="3" fillId="34" borderId="52" xfId="60" applyNumberFormat="1" applyFont="1" applyFill="1" applyBorder="1" applyAlignment="1">
      <alignment horizontal="right" vertical="center"/>
      <protection/>
    </xf>
    <xf numFmtId="3" fontId="3" fillId="34" borderId="53" xfId="60" applyNumberFormat="1" applyFont="1" applyFill="1" applyBorder="1" applyAlignment="1">
      <alignment horizontal="right" vertical="center"/>
      <protection/>
    </xf>
    <xf numFmtId="3" fontId="3" fillId="35" borderId="29" xfId="60" applyNumberFormat="1" applyFont="1" applyFill="1" applyBorder="1" applyAlignment="1">
      <alignment horizontal="right" vertical="center"/>
      <protection/>
    </xf>
    <xf numFmtId="3" fontId="3" fillId="35" borderId="54" xfId="60" applyNumberFormat="1" applyFont="1" applyFill="1" applyBorder="1" applyAlignment="1">
      <alignment horizontal="right" vertical="center"/>
      <protection/>
    </xf>
    <xf numFmtId="3" fontId="8" fillId="34" borderId="53" xfId="60" applyNumberFormat="1" applyFont="1" applyFill="1" applyBorder="1" applyAlignment="1">
      <alignment horizontal="right" vertical="center"/>
      <protection/>
    </xf>
    <xf numFmtId="3" fontId="8" fillId="35" borderId="29" xfId="60" applyNumberFormat="1" applyFont="1" applyFill="1" applyBorder="1" applyAlignment="1">
      <alignment horizontal="right" vertical="center"/>
      <protection/>
    </xf>
    <xf numFmtId="3" fontId="8"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5" borderId="56" xfId="60" applyNumberFormat="1" applyFont="1" applyFill="1" applyBorder="1" applyAlignment="1">
      <alignment horizontal="right" vertical="center"/>
      <protection/>
    </xf>
    <xf numFmtId="3" fontId="3" fillId="35" borderId="57" xfId="60" applyNumberFormat="1" applyFont="1" applyFill="1" applyBorder="1" applyAlignment="1">
      <alignment horizontal="right" vertical="center"/>
      <protection/>
    </xf>
    <xf numFmtId="3" fontId="3" fillId="34" borderId="58" xfId="60" applyNumberFormat="1" applyFont="1" applyFill="1" applyBorder="1" applyAlignment="1">
      <alignment horizontal="right" vertical="center"/>
      <protection/>
    </xf>
    <xf numFmtId="3" fontId="3" fillId="34" borderId="58" xfId="60" applyNumberFormat="1" applyFont="1" applyFill="1" applyBorder="1" applyAlignment="1">
      <alignment vertical="center"/>
      <protection/>
    </xf>
    <xf numFmtId="3" fontId="3" fillId="34" borderId="53" xfId="60" applyNumberFormat="1" applyFont="1" applyFill="1" applyBorder="1" applyAlignment="1">
      <alignment vertical="center"/>
      <protection/>
    </xf>
    <xf numFmtId="3" fontId="8" fillId="34" borderId="59" xfId="60" applyNumberFormat="1" applyFont="1" applyFill="1" applyBorder="1" applyAlignment="1">
      <alignment horizontal="right" vertical="center"/>
      <protection/>
    </xf>
    <xf numFmtId="3" fontId="8" fillId="35" borderId="60"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5" borderId="64" xfId="60" applyNumberFormat="1" applyFont="1" applyFill="1" applyBorder="1" applyAlignment="1">
      <alignment horizontal="right" vertical="center"/>
      <protection/>
    </xf>
    <xf numFmtId="3" fontId="3" fillId="34" borderId="65"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66" xfId="60" applyNumberFormat="1" applyFont="1" applyFill="1" applyBorder="1" applyAlignment="1">
      <alignment horizontal="right" vertical="center"/>
      <protection/>
    </xf>
    <xf numFmtId="176" fontId="3" fillId="34" borderId="40" xfId="60" applyNumberFormat="1" applyFont="1" applyFill="1" applyBorder="1" applyAlignment="1">
      <alignment horizontal="right" vertical="center"/>
      <protection/>
    </xf>
    <xf numFmtId="176" fontId="3" fillId="35" borderId="34" xfId="60" applyNumberFormat="1" applyFont="1" applyFill="1" applyBorder="1" applyAlignment="1">
      <alignment horizontal="right" vertical="center"/>
      <protection/>
    </xf>
    <xf numFmtId="176" fontId="3" fillId="35" borderId="67"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176" fontId="3" fillId="35" borderId="29" xfId="60" applyNumberFormat="1" applyFont="1" applyFill="1" applyBorder="1" applyAlignment="1">
      <alignment horizontal="right" vertical="center"/>
      <protection/>
    </xf>
    <xf numFmtId="176" fontId="3" fillId="35" borderId="69" xfId="60" applyNumberFormat="1" applyFont="1" applyFill="1" applyBorder="1" applyAlignment="1">
      <alignment horizontal="right" vertical="center"/>
      <protection/>
    </xf>
    <xf numFmtId="176" fontId="3" fillId="34" borderId="70" xfId="60" applyNumberFormat="1" applyFont="1" applyFill="1" applyBorder="1" applyAlignment="1">
      <alignment horizontal="right" vertical="center"/>
      <protection/>
    </xf>
    <xf numFmtId="176" fontId="3" fillId="35" borderId="71" xfId="60" applyNumberFormat="1" applyFont="1" applyFill="1" applyBorder="1" applyAlignment="1">
      <alignment horizontal="right" vertical="center"/>
      <protection/>
    </xf>
    <xf numFmtId="176" fontId="3" fillId="35" borderId="72" xfId="60" applyNumberFormat="1" applyFont="1" applyFill="1" applyBorder="1" applyAlignment="1">
      <alignment horizontal="right" vertical="center"/>
      <protection/>
    </xf>
    <xf numFmtId="176" fontId="8" fillId="34" borderId="26" xfId="60" applyNumberFormat="1" applyFont="1" applyFill="1" applyBorder="1" applyAlignment="1">
      <alignment horizontal="right" vertical="center"/>
      <protection/>
    </xf>
    <xf numFmtId="176" fontId="8" fillId="35" borderId="63" xfId="60" applyNumberFormat="1" applyFont="1" applyFill="1" applyBorder="1" applyAlignment="1">
      <alignment horizontal="right" vertical="center"/>
      <protection/>
    </xf>
    <xf numFmtId="176" fontId="8" fillId="35" borderId="73" xfId="60" applyNumberFormat="1" applyFont="1" applyFill="1" applyBorder="1" applyAlignment="1">
      <alignment horizontal="right" vertical="center"/>
      <protection/>
    </xf>
    <xf numFmtId="176" fontId="3" fillId="34" borderId="52" xfId="60" applyNumberFormat="1" applyFont="1" applyFill="1" applyBorder="1" applyAlignment="1">
      <alignment horizontal="right" vertical="center"/>
      <protection/>
    </xf>
    <xf numFmtId="176" fontId="3" fillId="34" borderId="67" xfId="60" applyNumberFormat="1" applyFont="1" applyFill="1" applyBorder="1" applyAlignment="1">
      <alignment horizontal="right" vertical="center"/>
      <protection/>
    </xf>
    <xf numFmtId="176" fontId="3" fillId="34" borderId="74"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8" fillId="34" borderId="62" xfId="60" applyNumberFormat="1" applyFont="1" applyFill="1" applyBorder="1" applyAlignment="1">
      <alignment horizontal="right" vertical="center"/>
      <protection/>
    </xf>
    <xf numFmtId="176" fontId="8" fillId="34" borderId="73" xfId="60" applyNumberFormat="1" applyFont="1" applyFill="1" applyBorder="1" applyAlignment="1">
      <alignment horizontal="right" vertical="center"/>
      <protection/>
    </xf>
    <xf numFmtId="3" fontId="3" fillId="34" borderId="75" xfId="60" applyNumberFormat="1" applyFont="1" applyFill="1" applyBorder="1" applyAlignment="1">
      <alignment vertical="center"/>
      <protection/>
    </xf>
    <xf numFmtId="3" fontId="3" fillId="34" borderId="76" xfId="60" applyNumberFormat="1" applyFont="1" applyFill="1" applyBorder="1" applyAlignment="1">
      <alignment vertical="center"/>
      <protection/>
    </xf>
    <xf numFmtId="3" fontId="3" fillId="34" borderId="77" xfId="60" applyNumberFormat="1" applyFont="1" applyFill="1" applyBorder="1" applyAlignment="1">
      <alignment vertical="center"/>
      <protection/>
    </xf>
    <xf numFmtId="3" fontId="3" fillId="34" borderId="20" xfId="60" applyNumberFormat="1" applyFont="1" applyFill="1" applyBorder="1" applyAlignment="1">
      <alignment vertical="center"/>
      <protection/>
    </xf>
    <xf numFmtId="0" fontId="3" fillId="0" borderId="0" xfId="0" applyFont="1" applyAlignment="1">
      <alignment horizontal="left" vertical="top"/>
    </xf>
    <xf numFmtId="0" fontId="3" fillId="0" borderId="25" xfId="60" applyFont="1" applyBorder="1" applyAlignment="1">
      <alignment horizontal="left" vertical="top"/>
      <protection/>
    </xf>
    <xf numFmtId="0" fontId="3" fillId="0" borderId="0" xfId="0" applyFont="1" applyBorder="1" applyAlignment="1">
      <alignment horizontal="left" vertical="top" wrapText="1"/>
    </xf>
    <xf numFmtId="0" fontId="46" fillId="0" borderId="27" xfId="60" applyFont="1" applyBorder="1" applyAlignment="1">
      <alignment horizontal="right" vertical="center"/>
      <protection/>
    </xf>
    <xf numFmtId="176" fontId="47" fillId="35" borderId="34" xfId="60" applyNumberFormat="1" applyFont="1" applyFill="1" applyBorder="1" applyAlignment="1">
      <alignment horizontal="right" vertical="center"/>
      <protection/>
    </xf>
    <xf numFmtId="176" fontId="47" fillId="35" borderId="29" xfId="60" applyNumberFormat="1" applyFont="1" applyFill="1" applyBorder="1" applyAlignment="1">
      <alignment horizontal="right" vertical="center"/>
      <protection/>
    </xf>
    <xf numFmtId="176" fontId="47" fillId="35" borderId="71" xfId="60" applyNumberFormat="1" applyFont="1" applyFill="1" applyBorder="1" applyAlignment="1">
      <alignment horizontal="right" vertical="center"/>
      <protection/>
    </xf>
    <xf numFmtId="176" fontId="47" fillId="34" borderId="40" xfId="60" applyNumberFormat="1" applyFont="1" applyFill="1" applyBorder="1" applyAlignment="1">
      <alignment horizontal="right" vertical="center"/>
      <protection/>
    </xf>
    <xf numFmtId="176" fontId="47" fillId="34" borderId="68" xfId="60" applyNumberFormat="1" applyFont="1" applyFill="1" applyBorder="1" applyAlignment="1">
      <alignment horizontal="right" vertical="center"/>
      <protection/>
    </xf>
    <xf numFmtId="176" fontId="47" fillId="35" borderId="67" xfId="60" applyNumberFormat="1" applyFont="1" applyFill="1" applyBorder="1" applyAlignment="1">
      <alignment horizontal="right" vertical="center"/>
      <protection/>
    </xf>
    <xf numFmtId="176" fontId="47" fillId="35" borderId="69" xfId="60" applyNumberFormat="1" applyFont="1" applyFill="1" applyBorder="1" applyAlignment="1">
      <alignment horizontal="right" vertical="center"/>
      <protection/>
    </xf>
    <xf numFmtId="176" fontId="47" fillId="35" borderId="72" xfId="60" applyNumberFormat="1" applyFont="1" applyFill="1" applyBorder="1" applyAlignment="1">
      <alignment horizontal="right" vertical="center"/>
      <protection/>
    </xf>
    <xf numFmtId="176" fontId="48" fillId="34" borderId="52" xfId="60" applyNumberFormat="1" applyFont="1" applyFill="1" applyBorder="1" applyAlignment="1">
      <alignment horizontal="right" vertical="center"/>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7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1" xfId="60" applyFont="1" applyBorder="1" applyAlignment="1">
      <alignment horizontal="center" vertical="center"/>
      <protection/>
    </xf>
    <xf numFmtId="0" fontId="3" fillId="0" borderId="82" xfId="60" applyFont="1" applyBorder="1" applyAlignment="1">
      <alignment horizontal="center" vertical="center"/>
      <protection/>
    </xf>
    <xf numFmtId="0" fontId="3" fillId="0" borderId="83" xfId="60" applyFont="1" applyBorder="1" applyAlignment="1">
      <alignment horizontal="center" vertical="center"/>
      <protection/>
    </xf>
    <xf numFmtId="0" fontId="3" fillId="0" borderId="84"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2" xfId="60" applyFont="1" applyBorder="1" applyAlignment="1">
      <alignment horizontal="center" vertical="center"/>
      <protection/>
    </xf>
    <xf numFmtId="0" fontId="3" fillId="0" borderId="86" xfId="60" applyFont="1" applyBorder="1" applyAlignment="1">
      <alignment horizontal="distributed" vertical="center" wrapText="1"/>
      <protection/>
    </xf>
    <xf numFmtId="0" fontId="3" fillId="0" borderId="86"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88" xfId="60" applyFont="1" applyBorder="1" applyAlignment="1">
      <alignment horizontal="distributed" vertical="center" wrapText="1"/>
      <protection/>
    </xf>
    <xf numFmtId="0" fontId="3" fillId="0" borderId="89" xfId="60" applyFont="1" applyBorder="1" applyAlignment="1">
      <alignment horizontal="distributed" vertical="center"/>
      <protection/>
    </xf>
    <xf numFmtId="0" fontId="8" fillId="0" borderId="90" xfId="60" applyFont="1" applyBorder="1" applyAlignment="1">
      <alignment horizontal="distributed" vertical="center"/>
      <protection/>
    </xf>
    <xf numFmtId="0" fontId="8" fillId="0" borderId="91" xfId="60" applyFont="1" applyBorder="1" applyAlignment="1">
      <alignment horizontal="distributed" vertical="center"/>
      <protection/>
    </xf>
    <xf numFmtId="0" fontId="3" fillId="0" borderId="19" xfId="60" applyFont="1" applyBorder="1" applyAlignment="1">
      <alignment horizontal="distributed" vertical="center"/>
      <protection/>
    </xf>
    <xf numFmtId="0" fontId="3" fillId="0" borderId="92" xfId="60" applyFont="1" applyBorder="1" applyAlignment="1">
      <alignment horizontal="distributed"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88"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98" xfId="60" applyFont="1" applyBorder="1" applyAlignment="1">
      <alignment horizontal="center" vertical="center"/>
      <protection/>
    </xf>
    <xf numFmtId="0" fontId="3" fillId="0" borderId="99" xfId="60" applyFont="1" applyBorder="1" applyAlignment="1">
      <alignment horizontal="center" vertical="center"/>
      <protection/>
    </xf>
    <xf numFmtId="0" fontId="3" fillId="0" borderId="100"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78" xfId="60" applyFont="1" applyBorder="1" applyAlignment="1">
      <alignment horizontal="distributed" vertical="center"/>
      <protection/>
    </xf>
    <xf numFmtId="0" fontId="3" fillId="0" borderId="80" xfId="60" applyFont="1" applyBorder="1" applyAlignment="1">
      <alignment horizontal="distributed" vertical="center"/>
      <protection/>
    </xf>
    <xf numFmtId="0" fontId="3" fillId="0" borderId="102" xfId="60" applyFont="1" applyBorder="1" applyAlignment="1">
      <alignment horizontal="distributed" vertical="center"/>
      <protection/>
    </xf>
    <xf numFmtId="0" fontId="3" fillId="0" borderId="103" xfId="60" applyFont="1" applyBorder="1" applyAlignment="1">
      <alignment horizontal="center" vertical="center"/>
      <protection/>
    </xf>
    <xf numFmtId="0" fontId="3" fillId="0" borderId="46" xfId="60" applyFont="1" applyBorder="1" applyAlignment="1">
      <alignment horizontal="distributed" vertical="center" wrapText="1"/>
      <protection/>
    </xf>
    <xf numFmtId="0" fontId="3" fillId="0" borderId="104" xfId="60" applyFont="1" applyBorder="1" applyAlignment="1">
      <alignment horizontal="distributed" vertical="center" wrapText="1"/>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center" vertical="center"/>
      <protection/>
    </xf>
    <xf numFmtId="0" fontId="3" fillId="0" borderId="107" xfId="60" applyFont="1" applyBorder="1" applyAlignment="1">
      <alignment horizontal="center" vertical="center"/>
      <protection/>
    </xf>
    <xf numFmtId="0" fontId="3" fillId="0" borderId="108" xfId="60" applyFont="1" applyBorder="1" applyAlignment="1">
      <alignment horizontal="center" vertical="center"/>
      <protection/>
    </xf>
    <xf numFmtId="0" fontId="3" fillId="0" borderId="109" xfId="60" applyFont="1" applyBorder="1" applyAlignment="1">
      <alignment horizontal="center" vertical="center"/>
      <protection/>
    </xf>
    <xf numFmtId="0" fontId="3" fillId="0" borderId="98" xfId="60" applyFont="1" applyBorder="1" applyAlignment="1">
      <alignment horizontal="center" vertical="center" wrapText="1"/>
      <protection/>
    </xf>
    <xf numFmtId="0" fontId="3" fillId="0" borderId="110" xfId="60" applyFont="1" applyBorder="1" applyAlignment="1">
      <alignment horizontal="left" vertical="center"/>
      <protection/>
    </xf>
    <xf numFmtId="0" fontId="3" fillId="0" borderId="111" xfId="60" applyFont="1" applyBorder="1" applyAlignment="1">
      <alignment horizontal="distributed" vertical="center" wrapText="1"/>
      <protection/>
    </xf>
    <xf numFmtId="0" fontId="3" fillId="0" borderId="112" xfId="60" applyFont="1" applyBorder="1" applyAlignment="1">
      <alignment horizontal="distributed" vertical="center"/>
      <protection/>
    </xf>
    <xf numFmtId="0" fontId="3" fillId="0" borderId="113" xfId="60" applyFont="1" applyBorder="1" applyAlignment="1">
      <alignment horizontal="distributed" vertical="center" wrapText="1"/>
      <protection/>
    </xf>
    <xf numFmtId="0" fontId="3" fillId="0" borderId="114" xfId="60" applyFont="1" applyBorder="1" applyAlignment="1">
      <alignment horizontal="distributed" vertical="center"/>
      <protection/>
    </xf>
    <xf numFmtId="0" fontId="3" fillId="0" borderId="115" xfId="60" applyFont="1" applyBorder="1" applyAlignment="1">
      <alignment horizontal="distributed" vertical="center" wrapText="1"/>
      <protection/>
    </xf>
    <xf numFmtId="0" fontId="3" fillId="0" borderId="116" xfId="60" applyFont="1" applyBorder="1" applyAlignment="1">
      <alignment horizontal="distributed" vertical="center" wrapText="1"/>
      <protection/>
    </xf>
    <xf numFmtId="0" fontId="3" fillId="0" borderId="24" xfId="60" applyFont="1" applyBorder="1" applyAlignment="1">
      <alignment horizontal="center" vertical="center"/>
      <protection/>
    </xf>
    <xf numFmtId="0" fontId="3" fillId="0" borderId="103" xfId="60" applyFont="1" applyBorder="1" applyAlignment="1">
      <alignment horizontal="center" vertical="center" wrapText="1"/>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9"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9"/>
  <sheetViews>
    <sheetView showGridLines="0" tabSelected="1" zoomScaleSheetLayoutView="100" workbookViewId="0" topLeftCell="A1">
      <selection activeCell="L10" sqref="L10"/>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55" t="s">
        <v>64</v>
      </c>
      <c r="B1" s="155"/>
      <c r="C1" s="155"/>
      <c r="D1" s="155"/>
      <c r="E1" s="155"/>
      <c r="F1" s="155"/>
      <c r="G1" s="155"/>
      <c r="H1" s="155"/>
      <c r="I1" s="155"/>
      <c r="J1" s="155"/>
      <c r="K1" s="155"/>
    </row>
    <row r="2" spans="1:11" ht="15">
      <c r="A2" s="88"/>
      <c r="B2" s="88"/>
      <c r="C2" s="88"/>
      <c r="D2" s="88"/>
      <c r="E2" s="88"/>
      <c r="F2" s="88"/>
      <c r="G2" s="88"/>
      <c r="H2" s="88"/>
      <c r="I2" s="88"/>
      <c r="J2" s="88"/>
      <c r="K2" s="88"/>
    </row>
    <row r="3" spans="1:11" ht="12" thickBot="1">
      <c r="A3" s="156" t="s">
        <v>63</v>
      </c>
      <c r="B3" s="156"/>
      <c r="C3" s="156"/>
      <c r="D3" s="156"/>
      <c r="E3" s="156"/>
      <c r="F3" s="156"/>
      <c r="G3" s="156"/>
      <c r="H3" s="156"/>
      <c r="I3" s="156"/>
      <c r="J3" s="156"/>
      <c r="K3" s="156"/>
    </row>
    <row r="4" spans="1:11" ht="24" customHeight="1">
      <c r="A4" s="157" t="s">
        <v>62</v>
      </c>
      <c r="B4" s="158"/>
      <c r="C4" s="161" t="s">
        <v>61</v>
      </c>
      <c r="D4" s="162"/>
      <c r="E4" s="163"/>
      <c r="F4" s="161" t="s">
        <v>60</v>
      </c>
      <c r="G4" s="162"/>
      <c r="H4" s="163"/>
      <c r="I4" s="161" t="s">
        <v>59</v>
      </c>
      <c r="J4" s="162"/>
      <c r="K4" s="164"/>
    </row>
    <row r="5" spans="1:11" ht="24" customHeight="1">
      <c r="A5" s="159"/>
      <c r="B5" s="160"/>
      <c r="C5" s="165" t="s">
        <v>58</v>
      </c>
      <c r="D5" s="166"/>
      <c r="E5" s="59" t="s">
        <v>57</v>
      </c>
      <c r="F5" s="165" t="s">
        <v>58</v>
      </c>
      <c r="G5" s="166"/>
      <c r="H5" s="59" t="s">
        <v>57</v>
      </c>
      <c r="I5" s="165" t="s">
        <v>58</v>
      </c>
      <c r="J5" s="166"/>
      <c r="K5" s="58" t="s">
        <v>57</v>
      </c>
    </row>
    <row r="6" spans="1:11" ht="12" customHeight="1">
      <c r="A6" s="57"/>
      <c r="B6" s="56"/>
      <c r="C6" s="55"/>
      <c r="D6" s="23" t="s">
        <v>56</v>
      </c>
      <c r="E6" s="7" t="s">
        <v>55</v>
      </c>
      <c r="F6" s="55"/>
      <c r="G6" s="23" t="s">
        <v>56</v>
      </c>
      <c r="H6" s="7" t="s">
        <v>55</v>
      </c>
      <c r="I6" s="55"/>
      <c r="J6" s="23" t="s">
        <v>56</v>
      </c>
      <c r="K6" s="54" t="s">
        <v>55</v>
      </c>
    </row>
    <row r="7" spans="1:11" ht="30" customHeight="1">
      <c r="A7" s="167" t="s">
        <v>54</v>
      </c>
      <c r="B7" s="53" t="s">
        <v>53</v>
      </c>
      <c r="C7" s="45"/>
      <c r="D7" s="98">
        <v>19397</v>
      </c>
      <c r="E7" s="52">
        <v>14148203</v>
      </c>
      <c r="F7" s="49"/>
      <c r="G7" s="98">
        <v>56605</v>
      </c>
      <c r="H7" s="52">
        <v>393984378</v>
      </c>
      <c r="I7" s="49"/>
      <c r="J7" s="98">
        <v>76002</v>
      </c>
      <c r="K7" s="51">
        <v>408132580</v>
      </c>
    </row>
    <row r="8" spans="1:11" ht="30" customHeight="1">
      <c r="A8" s="168"/>
      <c r="B8" s="50" t="s">
        <v>52</v>
      </c>
      <c r="C8" s="45"/>
      <c r="D8" s="99">
        <v>30391</v>
      </c>
      <c r="E8" s="100">
        <v>12684142</v>
      </c>
      <c r="F8" s="49"/>
      <c r="G8" s="99">
        <v>21219</v>
      </c>
      <c r="H8" s="100">
        <v>13162501</v>
      </c>
      <c r="I8" s="49"/>
      <c r="J8" s="99">
        <v>51610</v>
      </c>
      <c r="K8" s="101">
        <v>25846644</v>
      </c>
    </row>
    <row r="9" spans="1:11" s="36" customFormat="1" ht="30" customHeight="1">
      <c r="A9" s="168"/>
      <c r="B9" s="48" t="s">
        <v>51</v>
      </c>
      <c r="C9" s="47"/>
      <c r="D9" s="102">
        <v>49788</v>
      </c>
      <c r="E9" s="103">
        <v>26832345</v>
      </c>
      <c r="F9" s="47"/>
      <c r="G9" s="102">
        <v>77824</v>
      </c>
      <c r="H9" s="103">
        <v>407146879</v>
      </c>
      <c r="I9" s="47"/>
      <c r="J9" s="102">
        <v>127612</v>
      </c>
      <c r="K9" s="104">
        <v>433979224</v>
      </c>
    </row>
    <row r="10" spans="1:11" ht="30" customHeight="1">
      <c r="A10" s="169"/>
      <c r="B10" s="46" t="s">
        <v>50</v>
      </c>
      <c r="C10" s="45"/>
      <c r="D10" s="105">
        <v>3176</v>
      </c>
      <c r="E10" s="106">
        <v>3122602</v>
      </c>
      <c r="F10" s="45"/>
      <c r="G10" s="105">
        <v>4493</v>
      </c>
      <c r="H10" s="106">
        <v>27127801</v>
      </c>
      <c r="I10" s="45"/>
      <c r="J10" s="105">
        <v>7669</v>
      </c>
      <c r="K10" s="107">
        <v>30250404</v>
      </c>
    </row>
    <row r="11" spans="1:11" ht="30" customHeight="1">
      <c r="A11" s="170" t="s">
        <v>49</v>
      </c>
      <c r="B11" s="44" t="s">
        <v>48</v>
      </c>
      <c r="C11" s="89"/>
      <c r="D11" s="108">
        <v>2958</v>
      </c>
      <c r="E11" s="43">
        <v>787018</v>
      </c>
      <c r="F11" s="42"/>
      <c r="G11" s="109">
        <v>4336</v>
      </c>
      <c r="H11" s="43">
        <v>1537977</v>
      </c>
      <c r="I11" s="42"/>
      <c r="J11" s="109">
        <v>7294</v>
      </c>
      <c r="K11" s="41">
        <v>2324995</v>
      </c>
    </row>
    <row r="12" spans="1:11" ht="30" customHeight="1">
      <c r="A12" s="171"/>
      <c r="B12" s="40" t="s">
        <v>47</v>
      </c>
      <c r="C12" s="39"/>
      <c r="D12" s="99">
        <v>377</v>
      </c>
      <c r="E12" s="100">
        <v>122312</v>
      </c>
      <c r="F12" s="38"/>
      <c r="G12" s="110">
        <v>631</v>
      </c>
      <c r="H12" s="100">
        <v>798726</v>
      </c>
      <c r="I12" s="38"/>
      <c r="J12" s="110">
        <v>1008</v>
      </c>
      <c r="K12" s="101">
        <v>921038</v>
      </c>
    </row>
    <row r="13" spans="1:11" s="36" customFormat="1" ht="30" customHeight="1">
      <c r="A13" s="172" t="s">
        <v>46</v>
      </c>
      <c r="B13" s="173"/>
      <c r="C13" s="37" t="s">
        <v>45</v>
      </c>
      <c r="D13" s="111">
        <v>54494</v>
      </c>
      <c r="E13" s="112">
        <v>24374448</v>
      </c>
      <c r="F13" s="145" t="s">
        <v>45</v>
      </c>
      <c r="G13" s="111">
        <v>83021</v>
      </c>
      <c r="H13" s="112">
        <v>380758329</v>
      </c>
      <c r="I13" s="145" t="s">
        <v>45</v>
      </c>
      <c r="J13" s="111">
        <v>137515</v>
      </c>
      <c r="K13" s="113">
        <v>405132777</v>
      </c>
    </row>
    <row r="14" spans="1:11" ht="30" customHeight="1" thickBot="1">
      <c r="A14" s="174" t="s">
        <v>44</v>
      </c>
      <c r="B14" s="175"/>
      <c r="C14" s="35"/>
      <c r="D14" s="114">
        <v>2677</v>
      </c>
      <c r="E14" s="115">
        <v>138296</v>
      </c>
      <c r="F14" s="34"/>
      <c r="G14" s="114">
        <v>3635</v>
      </c>
      <c r="H14" s="115">
        <v>298088</v>
      </c>
      <c r="I14" s="34"/>
      <c r="J14" s="114">
        <v>6312</v>
      </c>
      <c r="K14" s="116">
        <v>436384</v>
      </c>
    </row>
    <row r="15" spans="1:11" s="94" customFormat="1" ht="3" customHeight="1">
      <c r="A15" s="91"/>
      <c r="B15" s="91"/>
      <c r="C15" s="92"/>
      <c r="D15" s="93"/>
      <c r="E15" s="93"/>
      <c r="F15" s="93"/>
      <c r="G15" s="93"/>
      <c r="H15" s="93"/>
      <c r="I15" s="93"/>
      <c r="J15" s="93"/>
      <c r="K15" s="93"/>
    </row>
    <row r="16" spans="1:13" s="1" customFormat="1" ht="37.5" customHeight="1">
      <c r="A16" s="144" t="s">
        <v>92</v>
      </c>
      <c r="B16" s="176" t="s">
        <v>105</v>
      </c>
      <c r="C16" s="176"/>
      <c r="D16" s="176"/>
      <c r="E16" s="176"/>
      <c r="F16" s="176"/>
      <c r="G16" s="176"/>
      <c r="H16" s="176"/>
      <c r="I16" s="176"/>
      <c r="J16" s="176"/>
      <c r="K16" s="176"/>
      <c r="M16" s="18"/>
    </row>
    <row r="17" spans="1:11" ht="55.5" customHeight="1">
      <c r="A17" s="142"/>
      <c r="B17" s="177" t="s">
        <v>106</v>
      </c>
      <c r="C17" s="177"/>
      <c r="D17" s="177"/>
      <c r="E17" s="177"/>
      <c r="F17" s="177"/>
      <c r="G17" s="177"/>
      <c r="H17" s="177"/>
      <c r="I17" s="177"/>
      <c r="J17" s="177"/>
      <c r="K17" s="177"/>
    </row>
    <row r="18" spans="1:2" ht="14.25" customHeight="1">
      <c r="A18" s="2" t="s">
        <v>93</v>
      </c>
      <c r="B18" s="2" t="s">
        <v>94</v>
      </c>
    </row>
    <row r="19" spans="1:2" ht="11.25">
      <c r="A19" s="90" t="s">
        <v>95</v>
      </c>
      <c r="B19" s="2" t="s">
        <v>104</v>
      </c>
    </row>
  </sheetData>
  <sheetProtection/>
  <mergeCells count="15">
    <mergeCell ref="A7:A10"/>
    <mergeCell ref="A11:A12"/>
    <mergeCell ref="A13:B13"/>
    <mergeCell ref="A14:B14"/>
    <mergeCell ref="B16:K16"/>
    <mergeCell ref="B17:K17"/>
    <mergeCell ref="A1:K1"/>
    <mergeCell ref="A3:K3"/>
    <mergeCell ref="A4:B5"/>
    <mergeCell ref="C4:E4"/>
    <mergeCell ref="F4:H4"/>
    <mergeCell ref="I4:K4"/>
    <mergeCell ref="C5:D5"/>
    <mergeCell ref="F5:G5"/>
    <mergeCell ref="I5:J5"/>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（H30）</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85" workbookViewId="0" topLeftCell="A1">
      <selection activeCell="D49" sqref="D49"/>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70</v>
      </c>
    </row>
    <row r="2" spans="1:8" s="2" customFormat="1" ht="15" customHeight="1">
      <c r="A2" s="157" t="s">
        <v>62</v>
      </c>
      <c r="B2" s="158"/>
      <c r="C2" s="180" t="s">
        <v>61</v>
      </c>
      <c r="D2" s="180"/>
      <c r="E2" s="180" t="s">
        <v>69</v>
      </c>
      <c r="F2" s="180"/>
      <c r="G2" s="181" t="s">
        <v>68</v>
      </c>
      <c r="H2" s="182"/>
    </row>
    <row r="3" spans="1:8" s="2" customFormat="1" ht="15" customHeight="1">
      <c r="A3" s="159"/>
      <c r="B3" s="160"/>
      <c r="C3" s="89" t="s">
        <v>67</v>
      </c>
      <c r="D3" s="59" t="s">
        <v>66</v>
      </c>
      <c r="E3" s="89" t="s">
        <v>67</v>
      </c>
      <c r="F3" s="75" t="s">
        <v>66</v>
      </c>
      <c r="G3" s="89" t="s">
        <v>67</v>
      </c>
      <c r="H3" s="74" t="s">
        <v>66</v>
      </c>
    </row>
    <row r="4" spans="1:8" s="69" customFormat="1" ht="15" customHeight="1">
      <c r="A4" s="73"/>
      <c r="B4" s="59"/>
      <c r="C4" s="71" t="s">
        <v>7</v>
      </c>
      <c r="D4" s="72" t="s">
        <v>8</v>
      </c>
      <c r="E4" s="71" t="s">
        <v>7</v>
      </c>
      <c r="F4" s="72" t="s">
        <v>8</v>
      </c>
      <c r="G4" s="71" t="s">
        <v>7</v>
      </c>
      <c r="H4" s="70" t="s">
        <v>8</v>
      </c>
    </row>
    <row r="5" spans="1:8" s="64" customFormat="1" ht="30" customHeight="1">
      <c r="A5" s="183" t="s">
        <v>108</v>
      </c>
      <c r="B5" s="53" t="s">
        <v>65</v>
      </c>
      <c r="C5" s="68">
        <v>52046</v>
      </c>
      <c r="D5" s="52">
        <v>24117398</v>
      </c>
      <c r="E5" s="68">
        <v>77560</v>
      </c>
      <c r="F5" s="52">
        <v>329569391</v>
      </c>
      <c r="G5" s="68">
        <v>129606</v>
      </c>
      <c r="H5" s="51">
        <v>353686789</v>
      </c>
    </row>
    <row r="6" spans="1:8" s="64" customFormat="1" ht="30" customHeight="1">
      <c r="A6" s="184"/>
      <c r="B6" s="46" t="s">
        <v>1</v>
      </c>
      <c r="C6" s="66">
        <v>2353</v>
      </c>
      <c r="D6" s="67">
        <v>1290318</v>
      </c>
      <c r="E6" s="66">
        <v>3503</v>
      </c>
      <c r="F6" s="67">
        <v>21659435</v>
      </c>
      <c r="G6" s="66">
        <v>5856</v>
      </c>
      <c r="H6" s="65">
        <v>22949753</v>
      </c>
    </row>
    <row r="7" spans="1:8" s="64" customFormat="1" ht="30" customHeight="1">
      <c r="A7" s="183" t="s">
        <v>109</v>
      </c>
      <c r="B7" s="63" t="s">
        <v>65</v>
      </c>
      <c r="C7" s="62">
        <v>51395</v>
      </c>
      <c r="D7" s="43">
        <v>27257518</v>
      </c>
      <c r="E7" s="62">
        <v>77807</v>
      </c>
      <c r="F7" s="43">
        <v>380332297</v>
      </c>
      <c r="G7" s="62">
        <v>129202</v>
      </c>
      <c r="H7" s="41">
        <v>407589815</v>
      </c>
    </row>
    <row r="8" spans="1:8" s="64" customFormat="1" ht="30" customHeight="1">
      <c r="A8" s="184"/>
      <c r="B8" s="46" t="s">
        <v>1</v>
      </c>
      <c r="C8" s="66">
        <v>2688</v>
      </c>
      <c r="D8" s="67">
        <v>1536860</v>
      </c>
      <c r="E8" s="66">
        <v>3591</v>
      </c>
      <c r="F8" s="67">
        <v>21235798</v>
      </c>
      <c r="G8" s="66">
        <v>6279</v>
      </c>
      <c r="H8" s="65">
        <v>22772658</v>
      </c>
    </row>
    <row r="9" spans="1:8" s="64" customFormat="1" ht="30" customHeight="1">
      <c r="A9" s="183" t="s">
        <v>110</v>
      </c>
      <c r="B9" s="63" t="s">
        <v>65</v>
      </c>
      <c r="C9" s="62">
        <v>49786</v>
      </c>
      <c r="D9" s="43">
        <v>27439328</v>
      </c>
      <c r="E9" s="62">
        <v>77633</v>
      </c>
      <c r="F9" s="43">
        <v>390982148</v>
      </c>
      <c r="G9" s="62">
        <v>127419</v>
      </c>
      <c r="H9" s="41">
        <v>418421475</v>
      </c>
    </row>
    <row r="10" spans="1:8" s="64" customFormat="1" ht="30" customHeight="1">
      <c r="A10" s="184"/>
      <c r="B10" s="46" t="s">
        <v>1</v>
      </c>
      <c r="C10" s="66">
        <v>3463</v>
      </c>
      <c r="D10" s="67">
        <v>2455326</v>
      </c>
      <c r="E10" s="66">
        <v>3944</v>
      </c>
      <c r="F10" s="67">
        <v>23361075</v>
      </c>
      <c r="G10" s="66">
        <v>7407</v>
      </c>
      <c r="H10" s="65">
        <v>25816401</v>
      </c>
    </row>
    <row r="11" spans="1:8" s="64" customFormat="1" ht="30" customHeight="1">
      <c r="A11" s="183" t="s">
        <v>111</v>
      </c>
      <c r="B11" s="63" t="s">
        <v>65</v>
      </c>
      <c r="C11" s="62">
        <v>50808</v>
      </c>
      <c r="D11" s="43">
        <v>27547172</v>
      </c>
      <c r="E11" s="62">
        <v>77686</v>
      </c>
      <c r="F11" s="43">
        <v>399170552</v>
      </c>
      <c r="G11" s="62">
        <v>128494</v>
      </c>
      <c r="H11" s="41">
        <v>426717723</v>
      </c>
    </row>
    <row r="12" spans="1:8" s="64" customFormat="1" ht="30" customHeight="1">
      <c r="A12" s="184"/>
      <c r="B12" s="46" t="s">
        <v>1</v>
      </c>
      <c r="C12" s="66">
        <v>2978</v>
      </c>
      <c r="D12" s="67">
        <v>2109540</v>
      </c>
      <c r="E12" s="66">
        <v>4200</v>
      </c>
      <c r="F12" s="67">
        <v>23527796</v>
      </c>
      <c r="G12" s="66">
        <v>7178</v>
      </c>
      <c r="H12" s="65">
        <v>25637336</v>
      </c>
    </row>
    <row r="13" spans="1:8" s="2" customFormat="1" ht="30" customHeight="1">
      <c r="A13" s="178" t="s">
        <v>112</v>
      </c>
      <c r="B13" s="63" t="s">
        <v>65</v>
      </c>
      <c r="C13" s="62">
        <v>49788</v>
      </c>
      <c r="D13" s="43">
        <v>26832345</v>
      </c>
      <c r="E13" s="62">
        <v>77824</v>
      </c>
      <c r="F13" s="43">
        <v>407146879</v>
      </c>
      <c r="G13" s="62">
        <v>127612</v>
      </c>
      <c r="H13" s="41">
        <v>433979224</v>
      </c>
    </row>
    <row r="14" spans="1:8" s="2" customFormat="1" ht="30" customHeight="1" thickBot="1">
      <c r="A14" s="179"/>
      <c r="B14" s="61" t="s">
        <v>1</v>
      </c>
      <c r="C14" s="117">
        <v>3176</v>
      </c>
      <c r="D14" s="118">
        <v>3122602</v>
      </c>
      <c r="E14" s="117">
        <v>4493</v>
      </c>
      <c r="F14" s="118">
        <v>27127801</v>
      </c>
      <c r="G14" s="117">
        <v>7669</v>
      </c>
      <c r="H14" s="119">
        <v>30250404</v>
      </c>
    </row>
    <row r="15" spans="1:7" s="2" customFormat="1" ht="11.25">
      <c r="A15" s="143"/>
      <c r="E15" s="60"/>
      <c r="G15" s="60"/>
    </row>
    <row r="16" spans="5:7" s="2" customFormat="1" ht="11.25">
      <c r="E16" s="60"/>
      <c r="G16" s="60"/>
    </row>
    <row r="17" spans="5:7" s="2" customFormat="1" ht="11.25">
      <c r="E17" s="60"/>
      <c r="G17" s="60"/>
    </row>
    <row r="18" spans="5:7" s="2" customFormat="1" ht="11.25">
      <c r="E18" s="60"/>
      <c r="G18" s="60"/>
    </row>
    <row r="19" spans="5:7" s="2" customFormat="1" ht="11.25">
      <c r="E19" s="60"/>
      <c r="G19" s="60"/>
    </row>
    <row r="20" spans="5:7" s="2" customFormat="1" ht="11.25">
      <c r="E20" s="60"/>
      <c r="G20" s="60"/>
    </row>
    <row r="21" spans="5:7" s="2" customFormat="1" ht="11.25">
      <c r="E21" s="60"/>
      <c r="G21" s="60"/>
    </row>
    <row r="22" spans="5:7" s="2" customFormat="1" ht="11.25">
      <c r="E22" s="60"/>
      <c r="G22" s="60"/>
    </row>
  </sheetData>
  <sheetProtection/>
  <mergeCells count="9">
    <mergeCell ref="A13:A14"/>
    <mergeCell ref="A2:B3"/>
    <mergeCell ref="C2:D2"/>
    <mergeCell ref="E2:F2"/>
    <mergeCell ref="G2:H2"/>
    <mergeCell ref="A5:A6"/>
    <mergeCell ref="A7:A8"/>
    <mergeCell ref="A9:A10"/>
    <mergeCell ref="A11:A12"/>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（H30）</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85" workbookViewId="0" topLeftCell="A1">
      <selection activeCell="B59" sqref="B58:B59"/>
    </sheetView>
  </sheetViews>
  <sheetFormatPr defaultColWidth="9.140625" defaultRowHeight="15"/>
  <cols>
    <col min="1" max="2" width="18.57421875" style="3" customWidth="1"/>
    <col min="3" max="3" width="23.57421875" style="3" customWidth="1"/>
    <col min="4" max="4" width="18.57421875" style="3" customWidth="1"/>
    <col min="5" max="5" width="3.140625" style="3" customWidth="1"/>
    <col min="6" max="16384" width="9.00390625" style="3" customWidth="1"/>
  </cols>
  <sheetData>
    <row r="1" s="69" customFormat="1" ht="15" customHeight="1" thickBot="1">
      <c r="A1" s="69" t="s">
        <v>71</v>
      </c>
    </row>
    <row r="2" spans="1:4" s="1" customFormat="1" ht="19.5" customHeight="1">
      <c r="A2" s="76" t="s">
        <v>72</v>
      </c>
      <c r="B2" s="77" t="s">
        <v>73</v>
      </c>
      <c r="C2" s="78" t="s">
        <v>74</v>
      </c>
      <c r="D2" s="79" t="s">
        <v>91</v>
      </c>
    </row>
    <row r="3" spans="1:4" s="69" customFormat="1" ht="15" customHeight="1">
      <c r="A3" s="80" t="s">
        <v>7</v>
      </c>
      <c r="B3" s="81" t="s">
        <v>7</v>
      </c>
      <c r="C3" s="82" t="s">
        <v>7</v>
      </c>
      <c r="D3" s="83" t="s">
        <v>7</v>
      </c>
    </row>
    <row r="4" spans="1:9" s="1" customFormat="1" ht="30" customHeight="1" thickBot="1">
      <c r="A4" s="138">
        <v>136011</v>
      </c>
      <c r="B4" s="139">
        <v>5034</v>
      </c>
      <c r="C4" s="140">
        <v>413</v>
      </c>
      <c r="D4" s="141">
        <v>141458</v>
      </c>
      <c r="E4" s="84"/>
      <c r="G4" s="84"/>
      <c r="I4" s="84"/>
    </row>
    <row r="5" spans="1:9" s="97" customFormat="1" ht="3" customHeight="1">
      <c r="A5" s="95"/>
      <c r="B5" s="95"/>
      <c r="C5" s="95"/>
      <c r="D5" s="95"/>
      <c r="E5" s="96"/>
      <c r="G5" s="96"/>
      <c r="I5" s="96"/>
    </row>
    <row r="6" spans="1:4" s="1" customFormat="1" ht="15" customHeight="1">
      <c r="A6" s="185" t="s">
        <v>107</v>
      </c>
      <c r="B6" s="185"/>
      <c r="C6" s="185"/>
      <c r="D6" s="185"/>
    </row>
    <row r="7" spans="1:5" s="1" customFormat="1" ht="15" customHeight="1">
      <c r="A7" s="186" t="s">
        <v>90</v>
      </c>
      <c r="B7" s="186"/>
      <c r="C7" s="186"/>
      <c r="D7" s="186"/>
      <c r="E7" s="186"/>
    </row>
  </sheetData>
  <sheetProtection/>
  <mergeCells count="2">
    <mergeCell ref="A6:D6"/>
    <mergeCell ref="A7:E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（H30）</oddFooter>
  </headerFooter>
</worksheet>
</file>

<file path=xl/worksheets/sheet4.xml><?xml version="1.0" encoding="utf-8"?>
<worksheet xmlns="http://schemas.openxmlformats.org/spreadsheetml/2006/main" xmlns:r="http://schemas.openxmlformats.org/officeDocument/2006/relationships">
  <dimension ref="A1:N53"/>
  <sheetViews>
    <sheetView zoomScaleSheetLayoutView="85" workbookViewId="0" topLeftCell="A25">
      <selection activeCell="C41" sqref="C4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102</v>
      </c>
      <c r="B1" s="1"/>
      <c r="C1" s="1"/>
      <c r="D1" s="1"/>
      <c r="E1" s="1"/>
      <c r="F1" s="1"/>
      <c r="G1" s="1"/>
      <c r="H1" s="2"/>
      <c r="I1" s="2"/>
      <c r="J1" s="2"/>
      <c r="K1" s="2"/>
      <c r="L1" s="2"/>
      <c r="M1" s="2"/>
      <c r="N1" s="2"/>
    </row>
    <row r="2" spans="1:14" ht="14.25" thickBot="1">
      <c r="A2" s="186" t="s">
        <v>0</v>
      </c>
      <c r="B2" s="186"/>
      <c r="C2" s="186"/>
      <c r="D2" s="186"/>
      <c r="E2" s="186"/>
      <c r="F2" s="186"/>
      <c r="G2" s="186"/>
      <c r="H2" s="2"/>
      <c r="I2" s="2"/>
      <c r="J2" s="2"/>
      <c r="K2" s="2"/>
      <c r="L2" s="2"/>
      <c r="M2" s="2"/>
      <c r="N2" s="2"/>
    </row>
    <row r="3" spans="1:14" ht="19.5" customHeight="1">
      <c r="A3" s="191" t="s">
        <v>75</v>
      </c>
      <c r="B3" s="194" t="s">
        <v>80</v>
      </c>
      <c r="C3" s="194"/>
      <c r="D3" s="194"/>
      <c r="E3" s="194"/>
      <c r="F3" s="194"/>
      <c r="G3" s="194"/>
      <c r="H3" s="187" t="s">
        <v>1</v>
      </c>
      <c r="I3" s="188"/>
      <c r="J3" s="202" t="s">
        <v>2</v>
      </c>
      <c r="K3" s="188"/>
      <c r="L3" s="187" t="s">
        <v>3</v>
      </c>
      <c r="M3" s="188"/>
      <c r="N3" s="195" t="s">
        <v>4</v>
      </c>
    </row>
    <row r="4" spans="1:14" ht="17.25" customHeight="1">
      <c r="A4" s="192"/>
      <c r="B4" s="198" t="s">
        <v>76</v>
      </c>
      <c r="C4" s="198"/>
      <c r="D4" s="199" t="s">
        <v>5</v>
      </c>
      <c r="E4" s="200"/>
      <c r="F4" s="189" t="s">
        <v>6</v>
      </c>
      <c r="G4" s="201"/>
      <c r="H4" s="189"/>
      <c r="I4" s="190"/>
      <c r="J4" s="189"/>
      <c r="K4" s="190"/>
      <c r="L4" s="189"/>
      <c r="M4" s="190"/>
      <c r="N4" s="196"/>
    </row>
    <row r="5" spans="1:14" s="4" customFormat="1" ht="28.5" customHeight="1">
      <c r="A5" s="193"/>
      <c r="B5" s="86" t="s">
        <v>77</v>
      </c>
      <c r="C5" s="26" t="s">
        <v>78</v>
      </c>
      <c r="D5" s="86" t="s">
        <v>96</v>
      </c>
      <c r="E5" s="26" t="s">
        <v>97</v>
      </c>
      <c r="F5" s="86" t="s">
        <v>77</v>
      </c>
      <c r="G5" s="26" t="s">
        <v>79</v>
      </c>
      <c r="H5" s="86" t="s">
        <v>77</v>
      </c>
      <c r="I5" s="27" t="s">
        <v>81</v>
      </c>
      <c r="J5" s="86" t="s">
        <v>77</v>
      </c>
      <c r="K5" s="27" t="s">
        <v>82</v>
      </c>
      <c r="L5" s="25" t="s">
        <v>77</v>
      </c>
      <c r="M5" s="28" t="s">
        <v>83</v>
      </c>
      <c r="N5" s="197"/>
    </row>
    <row r="6" spans="1:14" s="10" customFormat="1" ht="10.5">
      <c r="A6" s="5"/>
      <c r="B6" s="6" t="s">
        <v>7</v>
      </c>
      <c r="C6" s="7" t="s">
        <v>8</v>
      </c>
      <c r="D6" s="6" t="s">
        <v>7</v>
      </c>
      <c r="E6" s="7" t="s">
        <v>8</v>
      </c>
      <c r="F6" s="6" t="s">
        <v>7</v>
      </c>
      <c r="G6" s="7" t="s">
        <v>8</v>
      </c>
      <c r="H6" s="6" t="s">
        <v>7</v>
      </c>
      <c r="I6" s="8" t="s">
        <v>8</v>
      </c>
      <c r="J6" s="6" t="s">
        <v>7</v>
      </c>
      <c r="K6" s="8" t="s">
        <v>8</v>
      </c>
      <c r="L6" s="6" t="s">
        <v>101</v>
      </c>
      <c r="M6" s="8" t="s">
        <v>8</v>
      </c>
      <c r="N6" s="9"/>
    </row>
    <row r="7" spans="1:14" ht="18.75" customHeight="1">
      <c r="A7" s="11" t="s">
        <v>9</v>
      </c>
      <c r="B7" s="120">
        <f>_xlfn.COMPOUNDVALUE(1)</f>
        <v>458</v>
      </c>
      <c r="C7" s="146">
        <v>323767</v>
      </c>
      <c r="D7" s="120">
        <f>_xlfn.COMPOUNDVALUE(2)</f>
        <v>361</v>
      </c>
      <c r="E7" s="146">
        <v>209985</v>
      </c>
      <c r="F7" s="120">
        <f>_xlfn.COMPOUNDVALUE(3)</f>
        <v>819</v>
      </c>
      <c r="G7" s="146">
        <v>533751</v>
      </c>
      <c r="H7" s="120">
        <f>_xlfn.COMPOUNDVALUE(4)</f>
        <v>22</v>
      </c>
      <c r="I7" s="151">
        <v>12429</v>
      </c>
      <c r="J7" s="120">
        <v>73</v>
      </c>
      <c r="K7" s="122">
        <v>41580</v>
      </c>
      <c r="L7" s="120">
        <v>875</v>
      </c>
      <c r="M7" s="122">
        <v>562902</v>
      </c>
      <c r="N7" s="12" t="s">
        <v>9</v>
      </c>
    </row>
    <row r="8" spans="1:14" ht="18.75" customHeight="1">
      <c r="A8" s="11" t="s">
        <v>10</v>
      </c>
      <c r="B8" s="120">
        <f>_xlfn.COMPOUNDVALUE(5)</f>
        <v>1194</v>
      </c>
      <c r="C8" s="146">
        <v>558172</v>
      </c>
      <c r="D8" s="120">
        <f>_xlfn.COMPOUNDVALUE(6)</f>
        <v>1871</v>
      </c>
      <c r="E8" s="146">
        <v>761875</v>
      </c>
      <c r="F8" s="120">
        <f>_xlfn.COMPOUNDVALUE(7)</f>
        <v>3065</v>
      </c>
      <c r="G8" s="146">
        <v>1320046</v>
      </c>
      <c r="H8" s="120">
        <f>_xlfn.COMPOUNDVALUE(8)</f>
        <v>139</v>
      </c>
      <c r="I8" s="151">
        <v>118411</v>
      </c>
      <c r="J8" s="120">
        <v>352</v>
      </c>
      <c r="K8" s="122">
        <v>60894</v>
      </c>
      <c r="L8" s="120">
        <v>3384</v>
      </c>
      <c r="M8" s="122">
        <v>1262529</v>
      </c>
      <c r="N8" s="12" t="s">
        <v>10</v>
      </c>
    </row>
    <row r="9" spans="1:14" ht="18.75" customHeight="1">
      <c r="A9" s="11" t="s">
        <v>11</v>
      </c>
      <c r="B9" s="120">
        <f>_xlfn.COMPOUNDVALUE(9)</f>
        <v>1116</v>
      </c>
      <c r="C9" s="146">
        <v>676193</v>
      </c>
      <c r="D9" s="120">
        <f>_xlfn.COMPOUNDVALUE(10)</f>
        <v>1445</v>
      </c>
      <c r="E9" s="146">
        <v>626830</v>
      </c>
      <c r="F9" s="120">
        <f>_xlfn.COMPOUNDVALUE(11)</f>
        <v>2561</v>
      </c>
      <c r="G9" s="146">
        <v>1303023</v>
      </c>
      <c r="H9" s="120">
        <f>_xlfn.COMPOUNDVALUE(12)</f>
        <v>87</v>
      </c>
      <c r="I9" s="151">
        <v>44819</v>
      </c>
      <c r="J9" s="120">
        <v>296</v>
      </c>
      <c r="K9" s="122">
        <v>89176</v>
      </c>
      <c r="L9" s="120">
        <v>2833</v>
      </c>
      <c r="M9" s="122">
        <v>1347380</v>
      </c>
      <c r="N9" s="12" t="s">
        <v>11</v>
      </c>
    </row>
    <row r="10" spans="1:14" ht="18.75" customHeight="1">
      <c r="A10" s="11" t="s">
        <v>12</v>
      </c>
      <c r="B10" s="120">
        <f>_xlfn.COMPOUNDVALUE(13)</f>
        <v>1181</v>
      </c>
      <c r="C10" s="146">
        <v>780506</v>
      </c>
      <c r="D10" s="120">
        <f>_xlfn.COMPOUNDVALUE(14)</f>
        <v>1376</v>
      </c>
      <c r="E10" s="146">
        <v>729248</v>
      </c>
      <c r="F10" s="120">
        <f>_xlfn.COMPOUNDVALUE(15)</f>
        <v>2557</v>
      </c>
      <c r="G10" s="146">
        <v>1509753</v>
      </c>
      <c r="H10" s="120">
        <f>_xlfn.COMPOUNDVALUE(16)</f>
        <v>91</v>
      </c>
      <c r="I10" s="151">
        <v>64286</v>
      </c>
      <c r="J10" s="120">
        <v>221</v>
      </c>
      <c r="K10" s="122">
        <v>26230</v>
      </c>
      <c r="L10" s="120">
        <v>2738</v>
      </c>
      <c r="M10" s="122">
        <v>1471697</v>
      </c>
      <c r="N10" s="12" t="s">
        <v>12</v>
      </c>
    </row>
    <row r="11" spans="1:14" ht="18.75" customHeight="1">
      <c r="A11" s="11" t="s">
        <v>13</v>
      </c>
      <c r="B11" s="120">
        <f>_xlfn.COMPOUNDVALUE(17)</f>
        <v>785</v>
      </c>
      <c r="C11" s="146">
        <v>438237</v>
      </c>
      <c r="D11" s="120">
        <f>_xlfn.COMPOUNDVALUE(18)</f>
        <v>987</v>
      </c>
      <c r="E11" s="146">
        <v>434627</v>
      </c>
      <c r="F11" s="120">
        <f>_xlfn.COMPOUNDVALUE(19)</f>
        <v>1772</v>
      </c>
      <c r="G11" s="146">
        <v>872863</v>
      </c>
      <c r="H11" s="120">
        <f>_xlfn.COMPOUNDVALUE(20)</f>
        <v>63</v>
      </c>
      <c r="I11" s="151">
        <v>30548</v>
      </c>
      <c r="J11" s="120">
        <v>239</v>
      </c>
      <c r="K11" s="122">
        <v>50056</v>
      </c>
      <c r="L11" s="120">
        <v>2012</v>
      </c>
      <c r="M11" s="122">
        <v>892371</v>
      </c>
      <c r="N11" s="12" t="s">
        <v>13</v>
      </c>
    </row>
    <row r="12" spans="1:14" ht="18.75" customHeight="1">
      <c r="A12" s="11" t="s">
        <v>84</v>
      </c>
      <c r="B12" s="120">
        <f>_xlfn.COMPOUNDVALUE(21)</f>
        <v>990</v>
      </c>
      <c r="C12" s="146">
        <v>526598</v>
      </c>
      <c r="D12" s="120">
        <f>_xlfn.COMPOUNDVALUE(22)</f>
        <v>2286</v>
      </c>
      <c r="E12" s="146">
        <v>839735</v>
      </c>
      <c r="F12" s="120">
        <f>_xlfn.COMPOUNDVALUE(23)</f>
        <v>3276</v>
      </c>
      <c r="G12" s="146">
        <v>1366333</v>
      </c>
      <c r="H12" s="120">
        <f>_xlfn.COMPOUNDVALUE(24)</f>
        <v>61</v>
      </c>
      <c r="I12" s="151">
        <v>27992</v>
      </c>
      <c r="J12" s="120">
        <v>208</v>
      </c>
      <c r="K12" s="122">
        <v>43046</v>
      </c>
      <c r="L12" s="120">
        <v>3436</v>
      </c>
      <c r="M12" s="122">
        <v>1381387</v>
      </c>
      <c r="N12" s="12" t="s">
        <v>84</v>
      </c>
    </row>
    <row r="13" spans="1:14" ht="18.75" customHeight="1">
      <c r="A13" s="11" t="s">
        <v>14</v>
      </c>
      <c r="B13" s="120">
        <f>_xlfn.COMPOUNDVALUE(25)</f>
        <v>252</v>
      </c>
      <c r="C13" s="146">
        <v>95062</v>
      </c>
      <c r="D13" s="120">
        <f>_xlfn.COMPOUNDVALUE(26)</f>
        <v>312</v>
      </c>
      <c r="E13" s="146">
        <v>112791</v>
      </c>
      <c r="F13" s="120">
        <f>_xlfn.COMPOUNDVALUE(27)</f>
        <v>564</v>
      </c>
      <c r="G13" s="146">
        <v>207853</v>
      </c>
      <c r="H13" s="120">
        <f>_xlfn.COMPOUNDVALUE(28)</f>
        <v>25</v>
      </c>
      <c r="I13" s="151">
        <v>7166</v>
      </c>
      <c r="J13" s="120">
        <v>73</v>
      </c>
      <c r="K13" s="122">
        <v>10222</v>
      </c>
      <c r="L13" s="120">
        <v>618</v>
      </c>
      <c r="M13" s="122">
        <v>210909</v>
      </c>
      <c r="N13" s="12" t="s">
        <v>14</v>
      </c>
    </row>
    <row r="14" spans="1:14" ht="18.75" customHeight="1">
      <c r="A14" s="11" t="s">
        <v>15</v>
      </c>
      <c r="B14" s="120">
        <f>_xlfn.COMPOUNDVALUE(29)</f>
        <v>319</v>
      </c>
      <c r="C14" s="146">
        <v>141121</v>
      </c>
      <c r="D14" s="120">
        <f>_xlfn.COMPOUNDVALUE(30)</f>
        <v>596</v>
      </c>
      <c r="E14" s="146">
        <v>254559</v>
      </c>
      <c r="F14" s="120">
        <f>_xlfn.COMPOUNDVALUE(31)</f>
        <v>915</v>
      </c>
      <c r="G14" s="146">
        <v>395680</v>
      </c>
      <c r="H14" s="120">
        <f>_xlfn.COMPOUNDVALUE(32)</f>
        <v>18</v>
      </c>
      <c r="I14" s="151">
        <v>18151</v>
      </c>
      <c r="J14" s="120">
        <v>96</v>
      </c>
      <c r="K14" s="122">
        <v>22598</v>
      </c>
      <c r="L14" s="120">
        <v>978</v>
      </c>
      <c r="M14" s="122">
        <v>400127</v>
      </c>
      <c r="N14" s="12" t="s">
        <v>15</v>
      </c>
    </row>
    <row r="15" spans="1:14" ht="18.75" customHeight="1">
      <c r="A15" s="11" t="s">
        <v>16</v>
      </c>
      <c r="B15" s="120">
        <f>_xlfn.COMPOUNDVALUE(33)</f>
        <v>631</v>
      </c>
      <c r="C15" s="146">
        <v>331228</v>
      </c>
      <c r="D15" s="120">
        <f>_xlfn.COMPOUNDVALUE(34)</f>
        <v>1426</v>
      </c>
      <c r="E15" s="146">
        <v>542084</v>
      </c>
      <c r="F15" s="120">
        <f>_xlfn.COMPOUNDVALUE(35)</f>
        <v>2057</v>
      </c>
      <c r="G15" s="146">
        <v>873311</v>
      </c>
      <c r="H15" s="120">
        <f>_xlfn.COMPOUNDVALUE(36)</f>
        <v>109</v>
      </c>
      <c r="I15" s="151">
        <v>69947</v>
      </c>
      <c r="J15" s="120">
        <v>104</v>
      </c>
      <c r="K15" s="122">
        <v>16503</v>
      </c>
      <c r="L15" s="120">
        <v>2195</v>
      </c>
      <c r="M15" s="122">
        <v>819867</v>
      </c>
      <c r="N15" s="12" t="s">
        <v>16</v>
      </c>
    </row>
    <row r="16" spans="1:14" ht="18.75" customHeight="1">
      <c r="A16" s="11" t="s">
        <v>17</v>
      </c>
      <c r="B16" s="120">
        <f>_xlfn.COMPOUNDVALUE(37)</f>
        <v>371</v>
      </c>
      <c r="C16" s="146">
        <v>258397</v>
      </c>
      <c r="D16" s="120">
        <f>_xlfn.COMPOUNDVALUE(38)</f>
        <v>850</v>
      </c>
      <c r="E16" s="146">
        <v>338167</v>
      </c>
      <c r="F16" s="120">
        <f>_xlfn.COMPOUNDVALUE(39)</f>
        <v>1221</v>
      </c>
      <c r="G16" s="146">
        <v>596564</v>
      </c>
      <c r="H16" s="120">
        <f>_xlfn.COMPOUNDVALUE(40)</f>
        <v>25</v>
      </c>
      <c r="I16" s="151">
        <v>14469</v>
      </c>
      <c r="J16" s="120">
        <v>106</v>
      </c>
      <c r="K16" s="122">
        <v>14303</v>
      </c>
      <c r="L16" s="120">
        <v>1289</v>
      </c>
      <c r="M16" s="122">
        <v>596398</v>
      </c>
      <c r="N16" s="12" t="s">
        <v>17</v>
      </c>
    </row>
    <row r="17" spans="1:14" ht="18.75" customHeight="1">
      <c r="A17" s="11" t="s">
        <v>18</v>
      </c>
      <c r="B17" s="120">
        <f>_xlfn.COMPOUNDVALUE(41)</f>
        <v>1127</v>
      </c>
      <c r="C17" s="146">
        <v>899118</v>
      </c>
      <c r="D17" s="120">
        <f>_xlfn.COMPOUNDVALUE(42)</f>
        <v>1202</v>
      </c>
      <c r="E17" s="146">
        <v>492444</v>
      </c>
      <c r="F17" s="120">
        <f>_xlfn.COMPOUNDVALUE(43)</f>
        <v>2329</v>
      </c>
      <c r="G17" s="146">
        <v>1391563</v>
      </c>
      <c r="H17" s="120">
        <f>_xlfn.COMPOUNDVALUE(44)</f>
        <v>116</v>
      </c>
      <c r="I17" s="151">
        <v>206401</v>
      </c>
      <c r="J17" s="120">
        <v>145</v>
      </c>
      <c r="K17" s="122">
        <v>13240</v>
      </c>
      <c r="L17" s="120">
        <v>2500</v>
      </c>
      <c r="M17" s="122">
        <v>1198402</v>
      </c>
      <c r="N17" s="12" t="s">
        <v>18</v>
      </c>
    </row>
    <row r="18" spans="1:14" ht="18.75" customHeight="1">
      <c r="A18" s="11" t="s">
        <v>19</v>
      </c>
      <c r="B18" s="120">
        <f>_xlfn.COMPOUNDVALUE(45)</f>
        <v>2797</v>
      </c>
      <c r="C18" s="146">
        <v>2228707</v>
      </c>
      <c r="D18" s="120">
        <f>_xlfn.COMPOUNDVALUE(46)</f>
        <v>1921</v>
      </c>
      <c r="E18" s="146">
        <v>918865</v>
      </c>
      <c r="F18" s="120">
        <f>_xlfn.COMPOUNDVALUE(47)</f>
        <v>4718</v>
      </c>
      <c r="G18" s="146">
        <v>3147572</v>
      </c>
      <c r="H18" s="120">
        <f>_xlfn.COMPOUNDVALUE(48)</f>
        <v>499</v>
      </c>
      <c r="I18" s="151">
        <v>425697</v>
      </c>
      <c r="J18" s="120">
        <v>275</v>
      </c>
      <c r="K18" s="122">
        <v>71425</v>
      </c>
      <c r="L18" s="120">
        <v>5325</v>
      </c>
      <c r="M18" s="122">
        <v>2793300</v>
      </c>
      <c r="N18" s="12" t="s">
        <v>19</v>
      </c>
    </row>
    <row r="19" spans="1:14" ht="18.75" customHeight="1">
      <c r="A19" s="11" t="s">
        <v>20</v>
      </c>
      <c r="B19" s="120">
        <f>_xlfn.COMPOUNDVALUE(49)</f>
        <v>810</v>
      </c>
      <c r="C19" s="146">
        <v>966097</v>
      </c>
      <c r="D19" s="120">
        <f>_xlfn.COMPOUNDVALUE(50)</f>
        <v>1167</v>
      </c>
      <c r="E19" s="146">
        <v>547982</v>
      </c>
      <c r="F19" s="120">
        <f>_xlfn.COMPOUNDVALUE(51)</f>
        <v>1977</v>
      </c>
      <c r="G19" s="146">
        <v>1514078</v>
      </c>
      <c r="H19" s="120">
        <f>_xlfn.COMPOUNDVALUE(52)</f>
        <v>88</v>
      </c>
      <c r="I19" s="151">
        <v>63068</v>
      </c>
      <c r="J19" s="120">
        <v>170</v>
      </c>
      <c r="K19" s="122">
        <v>29303</v>
      </c>
      <c r="L19" s="120">
        <v>2155</v>
      </c>
      <c r="M19" s="122">
        <v>1480313</v>
      </c>
      <c r="N19" s="12" t="s">
        <v>20</v>
      </c>
    </row>
    <row r="20" spans="1:14" ht="18.75" customHeight="1">
      <c r="A20" s="11" t="s">
        <v>21</v>
      </c>
      <c r="B20" s="149">
        <f>_xlfn.COMPOUNDVALUE(53)</f>
        <v>408</v>
      </c>
      <c r="C20" s="146">
        <v>197429</v>
      </c>
      <c r="D20" s="120">
        <f>_xlfn.COMPOUNDVALUE(54)</f>
        <v>1798</v>
      </c>
      <c r="E20" s="146">
        <v>623241</v>
      </c>
      <c r="F20" s="149">
        <f>_xlfn.COMPOUNDVALUE(55)</f>
        <v>2206</v>
      </c>
      <c r="G20" s="146">
        <v>820670</v>
      </c>
      <c r="H20" s="149">
        <f>_xlfn.COMPOUNDVALUE(56)</f>
        <v>211</v>
      </c>
      <c r="I20" s="151">
        <v>120878</v>
      </c>
      <c r="J20" s="120">
        <v>123</v>
      </c>
      <c r="K20" s="122">
        <v>20237</v>
      </c>
      <c r="L20" s="120">
        <v>2456</v>
      </c>
      <c r="M20" s="122">
        <v>720029</v>
      </c>
      <c r="N20" s="12" t="s">
        <v>21</v>
      </c>
    </row>
    <row r="21" spans="1:14" ht="18.75" customHeight="1">
      <c r="A21" s="11" t="s">
        <v>22</v>
      </c>
      <c r="B21" s="120">
        <f>_xlfn.COMPOUNDVALUE(57)</f>
        <v>892</v>
      </c>
      <c r="C21" s="146">
        <v>551658</v>
      </c>
      <c r="D21" s="120">
        <f>_xlfn.COMPOUNDVALUE(58)</f>
        <v>1016</v>
      </c>
      <c r="E21" s="146">
        <v>461083</v>
      </c>
      <c r="F21" s="120">
        <f>_xlfn.COMPOUNDVALUE(59)</f>
        <v>1908</v>
      </c>
      <c r="G21" s="146">
        <v>1012742</v>
      </c>
      <c r="H21" s="120">
        <f>_xlfn.COMPOUNDVALUE(60)</f>
        <v>474</v>
      </c>
      <c r="I21" s="151">
        <v>202082</v>
      </c>
      <c r="J21" s="120">
        <v>66</v>
      </c>
      <c r="K21" s="122">
        <v>11181</v>
      </c>
      <c r="L21" s="120">
        <v>2414</v>
      </c>
      <c r="M21" s="122">
        <v>821841</v>
      </c>
      <c r="N21" s="12" t="s">
        <v>22</v>
      </c>
    </row>
    <row r="22" spans="1:14" ht="18.75" customHeight="1">
      <c r="A22" s="11" t="s">
        <v>23</v>
      </c>
      <c r="B22" s="120">
        <f>_xlfn.COMPOUNDVALUE(61)</f>
        <v>135</v>
      </c>
      <c r="C22" s="146">
        <v>111030</v>
      </c>
      <c r="D22" s="120">
        <f>_xlfn.COMPOUNDVALUE(62)</f>
        <v>449</v>
      </c>
      <c r="E22" s="146">
        <v>160972</v>
      </c>
      <c r="F22" s="120">
        <f>_xlfn.COMPOUNDVALUE(63)</f>
        <v>584</v>
      </c>
      <c r="G22" s="146">
        <v>272002</v>
      </c>
      <c r="H22" s="120">
        <f>_xlfn.COMPOUNDVALUE(64)</f>
        <v>29</v>
      </c>
      <c r="I22" s="151">
        <v>17516</v>
      </c>
      <c r="J22" s="120">
        <v>37</v>
      </c>
      <c r="K22" s="122">
        <v>3143</v>
      </c>
      <c r="L22" s="120">
        <v>619</v>
      </c>
      <c r="M22" s="122">
        <v>257629</v>
      </c>
      <c r="N22" s="12" t="s">
        <v>23</v>
      </c>
    </row>
    <row r="23" spans="1:14" ht="18.75" customHeight="1">
      <c r="A23" s="11" t="s">
        <v>24</v>
      </c>
      <c r="B23" s="120">
        <f>_xlfn.COMPOUNDVALUE(65)</f>
        <v>626</v>
      </c>
      <c r="C23" s="146">
        <v>465370</v>
      </c>
      <c r="D23" s="120">
        <f>_xlfn.COMPOUNDVALUE(66)</f>
        <v>1336</v>
      </c>
      <c r="E23" s="146">
        <v>553084</v>
      </c>
      <c r="F23" s="120">
        <f>_xlfn.COMPOUNDVALUE(67)</f>
        <v>1962</v>
      </c>
      <c r="G23" s="146">
        <v>1018454</v>
      </c>
      <c r="H23" s="120">
        <f>_xlfn.COMPOUNDVALUE(68)</f>
        <v>79</v>
      </c>
      <c r="I23" s="151">
        <v>43014</v>
      </c>
      <c r="J23" s="120">
        <v>129</v>
      </c>
      <c r="K23" s="122">
        <v>40876</v>
      </c>
      <c r="L23" s="120">
        <v>2118</v>
      </c>
      <c r="M23" s="122">
        <v>1016316</v>
      </c>
      <c r="N23" s="12" t="s">
        <v>24</v>
      </c>
    </row>
    <row r="24" spans="1:14" ht="18.75" customHeight="1">
      <c r="A24" s="13" t="s">
        <v>25</v>
      </c>
      <c r="B24" s="123">
        <f>_xlfn.COMPOUNDVALUE(69)</f>
        <v>970</v>
      </c>
      <c r="C24" s="147">
        <v>1179770</v>
      </c>
      <c r="D24" s="123">
        <f>_xlfn.COMPOUNDVALUE(70)</f>
        <v>1150</v>
      </c>
      <c r="E24" s="147">
        <v>586365</v>
      </c>
      <c r="F24" s="123">
        <f>_xlfn.COMPOUNDVALUE(71)</f>
        <v>2120</v>
      </c>
      <c r="G24" s="147">
        <v>1766135</v>
      </c>
      <c r="H24" s="123">
        <f>_xlfn.COMPOUNDVALUE(72)</f>
        <v>73</v>
      </c>
      <c r="I24" s="152">
        <v>64873</v>
      </c>
      <c r="J24" s="123">
        <v>64</v>
      </c>
      <c r="K24" s="125">
        <v>7650</v>
      </c>
      <c r="L24" s="123">
        <v>2204</v>
      </c>
      <c r="M24" s="125">
        <v>1708912</v>
      </c>
      <c r="N24" s="14" t="s">
        <v>25</v>
      </c>
    </row>
    <row r="25" spans="1:14" ht="18.75" customHeight="1">
      <c r="A25" s="13" t="s">
        <v>26</v>
      </c>
      <c r="B25" s="150">
        <f>_xlfn.COMPOUNDVALUE(73)</f>
        <v>577</v>
      </c>
      <c r="C25" s="147">
        <v>602515</v>
      </c>
      <c r="D25" s="123">
        <f>_xlfn.COMPOUNDVALUE(74)</f>
        <v>848</v>
      </c>
      <c r="E25" s="147">
        <v>432998</v>
      </c>
      <c r="F25" s="150">
        <f>_xlfn.COMPOUNDVALUE(75)</f>
        <v>1425</v>
      </c>
      <c r="G25" s="147">
        <v>1035513</v>
      </c>
      <c r="H25" s="150">
        <f>_xlfn.COMPOUNDVALUE(76)</f>
        <v>57</v>
      </c>
      <c r="I25" s="152">
        <v>76014</v>
      </c>
      <c r="J25" s="123">
        <v>39</v>
      </c>
      <c r="K25" s="125">
        <v>16406</v>
      </c>
      <c r="L25" s="123">
        <v>1496</v>
      </c>
      <c r="M25" s="125">
        <v>975905</v>
      </c>
      <c r="N25" s="14" t="s">
        <v>26</v>
      </c>
    </row>
    <row r="26" spans="1:14" ht="18.75" customHeight="1">
      <c r="A26" s="13" t="s">
        <v>27</v>
      </c>
      <c r="B26" s="123">
        <f>_xlfn.COMPOUNDVALUE(77)</f>
        <v>352</v>
      </c>
      <c r="C26" s="147">
        <v>173842</v>
      </c>
      <c r="D26" s="123">
        <f>_xlfn.COMPOUNDVALUE(78)</f>
        <v>702</v>
      </c>
      <c r="E26" s="147">
        <v>234346</v>
      </c>
      <c r="F26" s="123">
        <f>_xlfn.COMPOUNDVALUE(79)</f>
        <v>1054</v>
      </c>
      <c r="G26" s="147">
        <v>408188</v>
      </c>
      <c r="H26" s="123">
        <f>_xlfn.COMPOUNDVALUE(80)</f>
        <v>171</v>
      </c>
      <c r="I26" s="152">
        <v>97044</v>
      </c>
      <c r="J26" s="123">
        <v>42</v>
      </c>
      <c r="K26" s="125">
        <v>6267</v>
      </c>
      <c r="L26" s="123">
        <v>1240</v>
      </c>
      <c r="M26" s="125">
        <v>317411</v>
      </c>
      <c r="N26" s="14" t="s">
        <v>27</v>
      </c>
    </row>
    <row r="27" spans="1:14" ht="18.75" customHeight="1">
      <c r="A27" s="13" t="s">
        <v>28</v>
      </c>
      <c r="B27" s="123">
        <f>_xlfn.COMPOUNDVALUE(81)</f>
        <v>1041</v>
      </c>
      <c r="C27" s="147">
        <v>1064039</v>
      </c>
      <c r="D27" s="123">
        <f>_xlfn.COMPOUNDVALUE(82)</f>
        <v>1511</v>
      </c>
      <c r="E27" s="147">
        <v>624225</v>
      </c>
      <c r="F27" s="123">
        <f>_xlfn.COMPOUNDVALUE(83)</f>
        <v>2552</v>
      </c>
      <c r="G27" s="147">
        <v>1688264</v>
      </c>
      <c r="H27" s="123">
        <f>_xlfn.COMPOUNDVALUE(84)</f>
        <v>108</v>
      </c>
      <c r="I27" s="152">
        <v>212565</v>
      </c>
      <c r="J27" s="123">
        <v>90</v>
      </c>
      <c r="K27" s="125">
        <v>9827</v>
      </c>
      <c r="L27" s="123">
        <v>2698</v>
      </c>
      <c r="M27" s="125">
        <v>1485526</v>
      </c>
      <c r="N27" s="14" t="s">
        <v>28</v>
      </c>
    </row>
    <row r="28" spans="1:14" ht="18.75" customHeight="1">
      <c r="A28" s="13" t="s">
        <v>29</v>
      </c>
      <c r="B28" s="123">
        <f>_xlfn.COMPOUNDVALUE(85)</f>
        <v>142</v>
      </c>
      <c r="C28" s="147">
        <v>79174</v>
      </c>
      <c r="D28" s="123">
        <f>_xlfn.COMPOUNDVALUE(86)</f>
        <v>773</v>
      </c>
      <c r="E28" s="147">
        <v>277786</v>
      </c>
      <c r="F28" s="123">
        <f>_xlfn.COMPOUNDVALUE(87)</f>
        <v>915</v>
      </c>
      <c r="G28" s="147">
        <v>356959</v>
      </c>
      <c r="H28" s="123">
        <f>_xlfn.COMPOUNDVALUE(88)</f>
        <v>19</v>
      </c>
      <c r="I28" s="152">
        <v>10111</v>
      </c>
      <c r="J28" s="123">
        <v>58</v>
      </c>
      <c r="K28" s="125">
        <v>8230</v>
      </c>
      <c r="L28" s="123">
        <v>966</v>
      </c>
      <c r="M28" s="125">
        <v>355078</v>
      </c>
      <c r="N28" s="14" t="s">
        <v>29</v>
      </c>
    </row>
    <row r="29" spans="1:14" ht="18.75" customHeight="1">
      <c r="A29" s="13" t="s">
        <v>30</v>
      </c>
      <c r="B29" s="123">
        <f>_xlfn.COMPOUNDVALUE(89)</f>
        <v>102</v>
      </c>
      <c r="C29" s="147">
        <v>50982</v>
      </c>
      <c r="D29" s="123">
        <f>_xlfn.COMPOUNDVALUE(90)</f>
        <v>983</v>
      </c>
      <c r="E29" s="147">
        <v>358248</v>
      </c>
      <c r="F29" s="123">
        <f>_xlfn.COMPOUNDVALUE(91)</f>
        <v>1085</v>
      </c>
      <c r="G29" s="147">
        <v>409230</v>
      </c>
      <c r="H29" s="123">
        <f>_xlfn.COMPOUNDVALUE(92)</f>
        <v>27</v>
      </c>
      <c r="I29" s="152">
        <v>21268</v>
      </c>
      <c r="J29" s="123">
        <v>42</v>
      </c>
      <c r="K29" s="125">
        <v>5026</v>
      </c>
      <c r="L29" s="123">
        <v>1124</v>
      </c>
      <c r="M29" s="125">
        <v>392988</v>
      </c>
      <c r="N29" s="14" t="s">
        <v>30</v>
      </c>
    </row>
    <row r="30" spans="1:14" ht="18.75" customHeight="1">
      <c r="A30" s="13" t="s">
        <v>31</v>
      </c>
      <c r="B30" s="123">
        <f>_xlfn.COMPOUNDVALUE(93)</f>
        <v>181</v>
      </c>
      <c r="C30" s="147">
        <v>104823</v>
      </c>
      <c r="D30" s="123">
        <f>_xlfn.COMPOUNDVALUE(94)</f>
        <v>717</v>
      </c>
      <c r="E30" s="147">
        <v>272092</v>
      </c>
      <c r="F30" s="123">
        <f>_xlfn.COMPOUNDVALUE(95)</f>
        <v>898</v>
      </c>
      <c r="G30" s="147">
        <v>376915</v>
      </c>
      <c r="H30" s="123">
        <f>_xlfn.COMPOUNDVALUE(96)</f>
        <v>54</v>
      </c>
      <c r="I30" s="152">
        <v>50906</v>
      </c>
      <c r="J30" s="123">
        <v>46</v>
      </c>
      <c r="K30" s="125">
        <v>10830</v>
      </c>
      <c r="L30" s="123">
        <v>971</v>
      </c>
      <c r="M30" s="125">
        <v>336839</v>
      </c>
      <c r="N30" s="14" t="s">
        <v>31</v>
      </c>
    </row>
    <row r="31" spans="1:14" ht="18.75" customHeight="1">
      <c r="A31" s="13" t="s">
        <v>32</v>
      </c>
      <c r="B31" s="123">
        <f>_xlfn.COMPOUNDVALUE(97)</f>
        <v>294</v>
      </c>
      <c r="C31" s="147">
        <v>308167</v>
      </c>
      <c r="D31" s="123">
        <f>_xlfn.COMPOUNDVALUE(98)</f>
        <v>1046</v>
      </c>
      <c r="E31" s="147">
        <v>447897</v>
      </c>
      <c r="F31" s="123">
        <f>_xlfn.COMPOUNDVALUE(99)</f>
        <v>1340</v>
      </c>
      <c r="G31" s="147">
        <v>756064</v>
      </c>
      <c r="H31" s="123">
        <f>_xlfn.COMPOUNDVALUE(100)</f>
        <v>18</v>
      </c>
      <c r="I31" s="152">
        <v>26674</v>
      </c>
      <c r="J31" s="123">
        <v>69</v>
      </c>
      <c r="K31" s="125">
        <v>28676</v>
      </c>
      <c r="L31" s="123">
        <v>1373</v>
      </c>
      <c r="M31" s="125">
        <v>758066</v>
      </c>
      <c r="N31" s="14" t="s">
        <v>32</v>
      </c>
    </row>
    <row r="32" spans="1:14" ht="18.75" customHeight="1">
      <c r="A32" s="13" t="s">
        <v>33</v>
      </c>
      <c r="B32" s="123">
        <f>_xlfn.COMPOUNDVALUE(101)</f>
        <v>55</v>
      </c>
      <c r="C32" s="147">
        <v>25212</v>
      </c>
      <c r="D32" s="123">
        <f>_xlfn.COMPOUNDVALUE(102)</f>
        <v>222</v>
      </c>
      <c r="E32" s="147">
        <v>67588</v>
      </c>
      <c r="F32" s="123">
        <f>_xlfn.COMPOUNDVALUE(103)</f>
        <v>277</v>
      </c>
      <c r="G32" s="147">
        <v>92800</v>
      </c>
      <c r="H32" s="123">
        <f>_xlfn.COMPOUNDVALUE(104)</f>
        <v>18</v>
      </c>
      <c r="I32" s="152">
        <v>9143</v>
      </c>
      <c r="J32" s="123">
        <v>42</v>
      </c>
      <c r="K32" s="125">
        <v>2215</v>
      </c>
      <c r="L32" s="123">
        <v>309</v>
      </c>
      <c r="M32" s="125">
        <v>85872</v>
      </c>
      <c r="N32" s="14" t="s">
        <v>33</v>
      </c>
    </row>
    <row r="33" spans="1:14" ht="18.75" customHeight="1">
      <c r="A33" s="13" t="s">
        <v>34</v>
      </c>
      <c r="B33" s="123">
        <f>_xlfn.COMPOUNDVALUE(105)</f>
        <v>546</v>
      </c>
      <c r="C33" s="147">
        <v>243273</v>
      </c>
      <c r="D33" s="123">
        <f>_xlfn.COMPOUNDVALUE(106)</f>
        <v>839</v>
      </c>
      <c r="E33" s="147">
        <v>307578</v>
      </c>
      <c r="F33" s="123">
        <f>_xlfn.COMPOUNDVALUE(107)</f>
        <v>1385</v>
      </c>
      <c r="G33" s="147">
        <v>550851</v>
      </c>
      <c r="H33" s="123">
        <f>_xlfn.COMPOUNDVALUE(108)</f>
        <v>266</v>
      </c>
      <c r="I33" s="152">
        <v>915655</v>
      </c>
      <c r="J33" s="123">
        <v>55</v>
      </c>
      <c r="K33" s="125">
        <v>-7737</v>
      </c>
      <c r="L33" s="123">
        <v>1670</v>
      </c>
      <c r="M33" s="125">
        <v>-372541</v>
      </c>
      <c r="N33" s="14" t="s">
        <v>34</v>
      </c>
    </row>
    <row r="34" spans="1:14" ht="18.75" customHeight="1">
      <c r="A34" s="13" t="s">
        <v>35</v>
      </c>
      <c r="B34" s="123">
        <f>_xlfn.COMPOUNDVALUE(109)</f>
        <v>93</v>
      </c>
      <c r="C34" s="147">
        <v>80872</v>
      </c>
      <c r="D34" s="123">
        <f>_xlfn.COMPOUNDVALUE(110)</f>
        <v>407</v>
      </c>
      <c r="E34" s="147">
        <v>141158</v>
      </c>
      <c r="F34" s="123">
        <f>_xlfn.COMPOUNDVALUE(111)</f>
        <v>500</v>
      </c>
      <c r="G34" s="147">
        <v>222030</v>
      </c>
      <c r="H34" s="123">
        <f>_xlfn.COMPOUNDVALUE(112)</f>
        <v>5</v>
      </c>
      <c r="I34" s="152">
        <v>2695</v>
      </c>
      <c r="J34" s="123">
        <v>19</v>
      </c>
      <c r="K34" s="125">
        <v>269</v>
      </c>
      <c r="L34" s="123">
        <v>508</v>
      </c>
      <c r="M34" s="125">
        <v>219604</v>
      </c>
      <c r="N34" s="14" t="s">
        <v>35</v>
      </c>
    </row>
    <row r="35" spans="1:14" ht="18.75" customHeight="1">
      <c r="A35" s="13" t="s">
        <v>36</v>
      </c>
      <c r="B35" s="123">
        <f>_xlfn.COMPOUNDVALUE(113)</f>
        <v>313</v>
      </c>
      <c r="C35" s="147">
        <v>199835</v>
      </c>
      <c r="D35" s="123">
        <f>_xlfn.COMPOUNDVALUE(114)</f>
        <v>576</v>
      </c>
      <c r="E35" s="147">
        <v>237260</v>
      </c>
      <c r="F35" s="123">
        <f>_xlfn.COMPOUNDVALUE(115)</f>
        <v>889</v>
      </c>
      <c r="G35" s="147">
        <v>437095</v>
      </c>
      <c r="H35" s="123">
        <f>_xlfn.COMPOUNDVALUE(116)</f>
        <v>49</v>
      </c>
      <c r="I35" s="152">
        <v>37707</v>
      </c>
      <c r="J35" s="123">
        <v>21</v>
      </c>
      <c r="K35" s="125">
        <v>4970</v>
      </c>
      <c r="L35" s="123">
        <v>947</v>
      </c>
      <c r="M35" s="125">
        <v>404358</v>
      </c>
      <c r="N35" s="14" t="s">
        <v>36</v>
      </c>
    </row>
    <row r="36" spans="1:14" s="15" customFormat="1" ht="18.75" customHeight="1" thickBot="1">
      <c r="A36" s="87" t="s">
        <v>37</v>
      </c>
      <c r="B36" s="126">
        <f>_xlfn.COMPOUNDVALUE(117)</f>
        <v>639</v>
      </c>
      <c r="C36" s="148">
        <v>487010</v>
      </c>
      <c r="D36" s="126">
        <f>_xlfn.COMPOUNDVALUE(118)</f>
        <v>218</v>
      </c>
      <c r="E36" s="148">
        <v>89032</v>
      </c>
      <c r="F36" s="126">
        <f>_xlfn.COMPOUNDVALUE(119)</f>
        <v>857</v>
      </c>
      <c r="G36" s="148">
        <v>576042</v>
      </c>
      <c r="H36" s="126">
        <f>_xlfn.COMPOUNDVALUE(120)</f>
        <v>175</v>
      </c>
      <c r="I36" s="153">
        <v>111071</v>
      </c>
      <c r="J36" s="126">
        <v>35</v>
      </c>
      <c r="K36" s="128">
        <v>8068</v>
      </c>
      <c r="L36" s="126">
        <v>1043</v>
      </c>
      <c r="M36" s="128">
        <v>473039</v>
      </c>
      <c r="N36" s="85" t="s">
        <v>37</v>
      </c>
    </row>
    <row r="37" spans="1:14" ht="18.75" customHeight="1" thickBot="1" thickTop="1">
      <c r="A37" s="16" t="s">
        <v>43</v>
      </c>
      <c r="B37" s="129">
        <v>19397</v>
      </c>
      <c r="C37" s="130">
        <v>14148203</v>
      </c>
      <c r="D37" s="129">
        <v>30391</v>
      </c>
      <c r="E37" s="130">
        <v>12684142</v>
      </c>
      <c r="F37" s="129">
        <v>49788</v>
      </c>
      <c r="G37" s="130">
        <v>26832345</v>
      </c>
      <c r="H37" s="129">
        <v>3176</v>
      </c>
      <c r="I37" s="131">
        <v>3122602</v>
      </c>
      <c r="J37" s="129">
        <v>3335</v>
      </c>
      <c r="K37" s="131">
        <v>664706</v>
      </c>
      <c r="L37" s="129">
        <v>54494</v>
      </c>
      <c r="M37" s="131">
        <v>24374448</v>
      </c>
      <c r="N37" s="17" t="str">
        <f>IF(A37="","",A37)</f>
        <v>合　　計</v>
      </c>
    </row>
    <row r="38" spans="1:14" ht="3.75" customHeight="1">
      <c r="A38" s="31"/>
      <c r="B38" s="32"/>
      <c r="C38" s="32"/>
      <c r="D38" s="32"/>
      <c r="E38" s="32"/>
      <c r="F38" s="32"/>
      <c r="G38" s="32"/>
      <c r="H38" s="32"/>
      <c r="I38" s="32"/>
      <c r="J38" s="32"/>
      <c r="K38" s="32"/>
      <c r="L38" s="32"/>
      <c r="M38" s="32"/>
      <c r="N38" s="31"/>
    </row>
    <row r="39" spans="1:14" ht="13.5">
      <c r="A39" s="185" t="s">
        <v>99</v>
      </c>
      <c r="B39" s="185"/>
      <c r="C39" s="185"/>
      <c r="D39" s="185"/>
      <c r="E39" s="185"/>
      <c r="F39" s="185"/>
      <c r="G39" s="185"/>
      <c r="H39" s="185"/>
      <c r="I39" s="185"/>
      <c r="J39" s="18"/>
      <c r="K39" s="18"/>
      <c r="L39" s="2"/>
      <c r="M39" s="2"/>
      <c r="N39" s="2"/>
    </row>
    <row r="41" spans="2:10" ht="13.5">
      <c r="B41" s="19"/>
      <c r="C41" s="19"/>
      <c r="D41" s="19"/>
      <c r="E41" s="19"/>
      <c r="F41" s="19"/>
      <c r="G41" s="19"/>
      <c r="H41" s="19"/>
      <c r="J41" s="19"/>
    </row>
    <row r="42" spans="2:10" ht="13.5">
      <c r="B42" s="19"/>
      <c r="C42" s="19"/>
      <c r="D42" s="19"/>
      <c r="E42" s="19"/>
      <c r="F42" s="19"/>
      <c r="G42" s="19"/>
      <c r="H42" s="19"/>
      <c r="J42" s="19"/>
    </row>
    <row r="43" spans="2:10" ht="13.5">
      <c r="B43" s="19"/>
      <c r="C43" s="19"/>
      <c r="D43" s="19"/>
      <c r="E43" s="19"/>
      <c r="F43" s="19"/>
      <c r="G43" s="19"/>
      <c r="H43" s="19"/>
      <c r="J43" s="19"/>
    </row>
    <row r="44" spans="2:10" ht="13.5">
      <c r="B44" s="19"/>
      <c r="C44" s="19"/>
      <c r="D44" s="19"/>
      <c r="E44" s="19"/>
      <c r="F44" s="19"/>
      <c r="G44" s="19"/>
      <c r="H44" s="19"/>
      <c r="J44" s="19"/>
    </row>
    <row r="45" spans="2:10" ht="13.5">
      <c r="B45" s="19"/>
      <c r="C45" s="19"/>
      <c r="D45" s="19"/>
      <c r="E45" s="19"/>
      <c r="F45" s="19"/>
      <c r="G45" s="19"/>
      <c r="H45" s="19"/>
      <c r="J45" s="19"/>
    </row>
    <row r="46" spans="2:10" ht="13.5">
      <c r="B46" s="19"/>
      <c r="C46" s="19"/>
      <c r="D46" s="19"/>
      <c r="E46" s="19"/>
      <c r="F46" s="19"/>
      <c r="G46" s="19"/>
      <c r="H46" s="19"/>
      <c r="J46" s="19"/>
    </row>
    <row r="47" spans="2:10" ht="13.5">
      <c r="B47" s="19"/>
      <c r="C47" s="19"/>
      <c r="D47" s="19"/>
      <c r="E47" s="19"/>
      <c r="F47" s="19"/>
      <c r="G47" s="19"/>
      <c r="H47" s="19"/>
      <c r="J47" s="19"/>
    </row>
    <row r="48" spans="2:10" ht="13.5">
      <c r="B48" s="19"/>
      <c r="C48" s="19"/>
      <c r="D48" s="19"/>
      <c r="E48" s="19"/>
      <c r="F48" s="19"/>
      <c r="G48" s="19"/>
      <c r="H48" s="19"/>
      <c r="J48" s="19"/>
    </row>
    <row r="49" spans="2:10" ht="13.5">
      <c r="B49" s="19"/>
      <c r="C49" s="19"/>
      <c r="D49" s="19"/>
      <c r="E49" s="19"/>
      <c r="F49" s="19"/>
      <c r="G49" s="19"/>
      <c r="H49" s="19"/>
      <c r="J49" s="19"/>
    </row>
    <row r="50" spans="2:10" ht="13.5">
      <c r="B50" s="19"/>
      <c r="C50" s="19"/>
      <c r="D50" s="19"/>
      <c r="E50" s="19"/>
      <c r="F50" s="19"/>
      <c r="G50" s="19"/>
      <c r="H50" s="19"/>
      <c r="J50" s="19"/>
    </row>
    <row r="51" spans="2:10" ht="13.5">
      <c r="B51" s="19"/>
      <c r="C51" s="19"/>
      <c r="D51" s="19"/>
      <c r="E51" s="19"/>
      <c r="F51" s="19"/>
      <c r="G51" s="19"/>
      <c r="H51" s="19"/>
      <c r="J51" s="19"/>
    </row>
    <row r="52" spans="2:10" ht="13.5">
      <c r="B52" s="19"/>
      <c r="C52" s="19"/>
      <c r="D52" s="19"/>
      <c r="E52" s="19"/>
      <c r="F52" s="19"/>
      <c r="G52" s="19"/>
      <c r="H52" s="19"/>
      <c r="J52" s="19"/>
    </row>
    <row r="53" spans="2:10" ht="13.5">
      <c r="B53" s="19"/>
      <c r="C53" s="19"/>
      <c r="D53" s="19"/>
      <c r="E53" s="19"/>
      <c r="F53" s="19"/>
      <c r="G53" s="19"/>
      <c r="H53" s="19"/>
      <c r="J53" s="19"/>
    </row>
  </sheetData>
  <sheetProtection/>
  <mergeCells count="11">
    <mergeCell ref="N3:N5"/>
    <mergeCell ref="B4:C4"/>
    <mergeCell ref="D4:E4"/>
    <mergeCell ref="F4:G4"/>
    <mergeCell ref="J3:K4"/>
    <mergeCell ref="L3:M4"/>
    <mergeCell ref="A39:I39"/>
    <mergeCell ref="A2:G2"/>
    <mergeCell ref="A3:A5"/>
    <mergeCell ref="B3:G3"/>
    <mergeCell ref="H3:I4"/>
  </mergeCells>
  <printOptions horizontalCentered="1"/>
  <pageMargins left="0.7874015748031497" right="0.7874015748031497" top="0.9055118110236221" bottom="0.1968503937007874" header="0.5118110236220472" footer="0.31496062992125984"/>
  <pageSetup fitToHeight="0" horizontalDpi="600" verticalDpi="600" orientation="landscape" paperSize="9" scale="75" r:id="rId1"/>
  <headerFooter alignWithMargins="0">
    <oddFooter>&amp;R札幌国税局　
消費税
（H30）</oddFooter>
  </headerFooter>
</worksheet>
</file>

<file path=xl/worksheets/sheet5.xml><?xml version="1.0" encoding="utf-8"?>
<worksheet xmlns="http://schemas.openxmlformats.org/spreadsheetml/2006/main" xmlns:r="http://schemas.openxmlformats.org/officeDocument/2006/relationships">
  <dimension ref="A1:N39"/>
  <sheetViews>
    <sheetView zoomScaleSheetLayoutView="85" workbookViewId="0" topLeftCell="C25">
      <selection activeCell="P31" sqref="P3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103</v>
      </c>
      <c r="B1" s="1"/>
      <c r="C1" s="1"/>
      <c r="D1" s="1"/>
      <c r="E1" s="1"/>
      <c r="F1" s="1"/>
      <c r="G1" s="1"/>
      <c r="H1" s="1"/>
      <c r="I1" s="1"/>
      <c r="J1" s="1"/>
      <c r="K1" s="1"/>
      <c r="L1" s="2"/>
      <c r="M1" s="2"/>
    </row>
    <row r="2" spans="1:13" ht="14.25" thickBot="1">
      <c r="A2" s="203" t="s">
        <v>38</v>
      </c>
      <c r="B2" s="203"/>
      <c r="C2" s="203"/>
      <c r="D2" s="203"/>
      <c r="E2" s="203"/>
      <c r="F2" s="203"/>
      <c r="G2" s="203"/>
      <c r="H2" s="203"/>
      <c r="I2" s="203"/>
      <c r="J2" s="18"/>
      <c r="K2" s="18"/>
      <c r="L2" s="2"/>
      <c r="M2" s="2"/>
    </row>
    <row r="3" spans="1:14" ht="19.5" customHeight="1">
      <c r="A3" s="191" t="s">
        <v>75</v>
      </c>
      <c r="B3" s="194" t="s">
        <v>80</v>
      </c>
      <c r="C3" s="194"/>
      <c r="D3" s="194"/>
      <c r="E3" s="194"/>
      <c r="F3" s="194"/>
      <c r="G3" s="194"/>
      <c r="H3" s="187" t="s">
        <v>1</v>
      </c>
      <c r="I3" s="188"/>
      <c r="J3" s="202" t="s">
        <v>2</v>
      </c>
      <c r="K3" s="188"/>
      <c r="L3" s="187" t="s">
        <v>3</v>
      </c>
      <c r="M3" s="188"/>
      <c r="N3" s="195" t="s">
        <v>39</v>
      </c>
    </row>
    <row r="4" spans="1:14" ht="17.25" customHeight="1">
      <c r="A4" s="192"/>
      <c r="B4" s="189" t="s">
        <v>76</v>
      </c>
      <c r="C4" s="201"/>
      <c r="D4" s="189" t="s">
        <v>5</v>
      </c>
      <c r="E4" s="201"/>
      <c r="F4" s="189" t="s">
        <v>6</v>
      </c>
      <c r="G4" s="201"/>
      <c r="H4" s="189"/>
      <c r="I4" s="190"/>
      <c r="J4" s="189"/>
      <c r="K4" s="190"/>
      <c r="L4" s="189"/>
      <c r="M4" s="190"/>
      <c r="N4" s="196"/>
    </row>
    <row r="5" spans="1:14" ht="28.5" customHeight="1">
      <c r="A5" s="193"/>
      <c r="B5" s="86" t="s">
        <v>77</v>
      </c>
      <c r="C5" s="26" t="s">
        <v>78</v>
      </c>
      <c r="D5" s="86" t="s">
        <v>77</v>
      </c>
      <c r="E5" s="26" t="s">
        <v>78</v>
      </c>
      <c r="F5" s="86" t="s">
        <v>77</v>
      </c>
      <c r="G5" s="26" t="s">
        <v>79</v>
      </c>
      <c r="H5" s="86" t="s">
        <v>77</v>
      </c>
      <c r="I5" s="27" t="s">
        <v>81</v>
      </c>
      <c r="J5" s="86" t="s">
        <v>77</v>
      </c>
      <c r="K5" s="27" t="s">
        <v>82</v>
      </c>
      <c r="L5" s="25" t="s">
        <v>77</v>
      </c>
      <c r="M5" s="28" t="s">
        <v>83</v>
      </c>
      <c r="N5" s="197"/>
    </row>
    <row r="6" spans="1:14" s="20" customFormat="1" ht="10.5">
      <c r="A6" s="5"/>
      <c r="B6" s="6" t="s">
        <v>7</v>
      </c>
      <c r="C6" s="7" t="s">
        <v>8</v>
      </c>
      <c r="D6" s="6" t="s">
        <v>7</v>
      </c>
      <c r="E6" s="7" t="s">
        <v>8</v>
      </c>
      <c r="F6" s="6" t="s">
        <v>7</v>
      </c>
      <c r="G6" s="7" t="s">
        <v>8</v>
      </c>
      <c r="H6" s="6" t="s">
        <v>7</v>
      </c>
      <c r="I6" s="8" t="s">
        <v>8</v>
      </c>
      <c r="J6" s="6" t="s">
        <v>7</v>
      </c>
      <c r="K6" s="8" t="s">
        <v>8</v>
      </c>
      <c r="L6" s="6" t="s">
        <v>101</v>
      </c>
      <c r="M6" s="8" t="s">
        <v>8</v>
      </c>
      <c r="N6" s="9"/>
    </row>
    <row r="7" spans="1:14" ht="18.75" customHeight="1">
      <c r="A7" s="11" t="s">
        <v>85</v>
      </c>
      <c r="B7" s="120">
        <f>_xlfn.COMPOUNDVALUE(241)</f>
        <v>3501</v>
      </c>
      <c r="C7" s="121">
        <v>56119100</v>
      </c>
      <c r="D7" s="120">
        <f>_xlfn.COMPOUNDVALUE(242)</f>
        <v>786</v>
      </c>
      <c r="E7" s="121">
        <v>533051</v>
      </c>
      <c r="F7" s="120">
        <f>_xlfn.COMPOUNDVALUE(243)</f>
        <v>4287</v>
      </c>
      <c r="G7" s="121">
        <v>56652151</v>
      </c>
      <c r="H7" s="120">
        <f>_xlfn.COMPOUNDVALUE(244)</f>
        <v>391</v>
      </c>
      <c r="I7" s="122">
        <v>6120530</v>
      </c>
      <c r="J7" s="120">
        <v>307</v>
      </c>
      <c r="K7" s="122">
        <v>105496</v>
      </c>
      <c r="L7" s="120">
        <v>4711</v>
      </c>
      <c r="M7" s="122">
        <v>50637117</v>
      </c>
      <c r="N7" s="12" t="s">
        <v>85</v>
      </c>
    </row>
    <row r="8" spans="1:14" ht="18.75" customHeight="1">
      <c r="A8" s="11" t="s">
        <v>10</v>
      </c>
      <c r="B8" s="120">
        <f>_xlfn.COMPOUNDVALUE(245)</f>
        <v>6764</v>
      </c>
      <c r="C8" s="121">
        <v>57818826</v>
      </c>
      <c r="D8" s="120">
        <f>_xlfn.COMPOUNDVALUE(246)</f>
        <v>2535</v>
      </c>
      <c r="E8" s="121">
        <v>1529626</v>
      </c>
      <c r="F8" s="120">
        <f>_xlfn.COMPOUNDVALUE(247)</f>
        <v>9299</v>
      </c>
      <c r="G8" s="121">
        <v>59348452</v>
      </c>
      <c r="H8" s="120">
        <f>_xlfn.COMPOUNDVALUE(248)</f>
        <v>419</v>
      </c>
      <c r="I8" s="122">
        <v>1297379</v>
      </c>
      <c r="J8" s="120">
        <v>567</v>
      </c>
      <c r="K8" s="122">
        <v>140782</v>
      </c>
      <c r="L8" s="120">
        <v>9806</v>
      </c>
      <c r="M8" s="122">
        <v>58191855</v>
      </c>
      <c r="N8" s="12" t="s">
        <v>10</v>
      </c>
    </row>
    <row r="9" spans="1:14" ht="18.75" customHeight="1">
      <c r="A9" s="11" t="s">
        <v>11</v>
      </c>
      <c r="B9" s="120">
        <f>_xlfn.COMPOUNDVALUE(249)</f>
        <v>5273</v>
      </c>
      <c r="C9" s="121">
        <v>30713753</v>
      </c>
      <c r="D9" s="120">
        <f>_xlfn.COMPOUNDVALUE(250)</f>
        <v>2075</v>
      </c>
      <c r="E9" s="121">
        <v>1270004</v>
      </c>
      <c r="F9" s="120">
        <f>_xlfn.COMPOUNDVALUE(251)</f>
        <v>7348</v>
      </c>
      <c r="G9" s="121">
        <v>31983757</v>
      </c>
      <c r="H9" s="120">
        <f>_xlfn.COMPOUNDVALUE(252)</f>
        <v>460</v>
      </c>
      <c r="I9" s="122">
        <v>2700273</v>
      </c>
      <c r="J9" s="120">
        <v>554</v>
      </c>
      <c r="K9" s="122">
        <v>2301</v>
      </c>
      <c r="L9" s="120">
        <v>7872</v>
      </c>
      <c r="M9" s="122">
        <v>29285785</v>
      </c>
      <c r="N9" s="12" t="s">
        <v>11</v>
      </c>
    </row>
    <row r="10" spans="1:14" ht="18.75" customHeight="1">
      <c r="A10" s="11" t="s">
        <v>12</v>
      </c>
      <c r="B10" s="120">
        <f>_xlfn.COMPOUNDVALUE(253)</f>
        <v>5631</v>
      </c>
      <c r="C10" s="121">
        <v>43378951</v>
      </c>
      <c r="D10" s="120">
        <f>_xlfn.COMPOUNDVALUE(254)</f>
        <v>2087</v>
      </c>
      <c r="E10" s="121">
        <v>1368074</v>
      </c>
      <c r="F10" s="120">
        <f>_xlfn.COMPOUNDVALUE(255)</f>
        <v>7718</v>
      </c>
      <c r="G10" s="121">
        <v>44747025</v>
      </c>
      <c r="H10" s="120">
        <f>_xlfn.COMPOUNDVALUE(256)</f>
        <v>508</v>
      </c>
      <c r="I10" s="122">
        <v>2481696</v>
      </c>
      <c r="J10" s="120">
        <v>487</v>
      </c>
      <c r="K10" s="122">
        <v>98803</v>
      </c>
      <c r="L10" s="120">
        <v>8271</v>
      </c>
      <c r="M10" s="122">
        <v>42364132</v>
      </c>
      <c r="N10" s="12" t="s">
        <v>12</v>
      </c>
    </row>
    <row r="11" spans="1:14" ht="18.75" customHeight="1">
      <c r="A11" s="11" t="s">
        <v>13</v>
      </c>
      <c r="B11" s="120">
        <f>_xlfn.COMPOUNDVALUE(257)</f>
        <v>4304</v>
      </c>
      <c r="C11" s="121">
        <v>34634451</v>
      </c>
      <c r="D11" s="120">
        <f>_xlfn.COMPOUNDVALUE(258)</f>
        <v>1568</v>
      </c>
      <c r="E11" s="121">
        <v>1076945</v>
      </c>
      <c r="F11" s="120">
        <f>_xlfn.COMPOUNDVALUE(259)</f>
        <v>5872</v>
      </c>
      <c r="G11" s="121">
        <v>35711396</v>
      </c>
      <c r="H11" s="120">
        <f>_xlfn.COMPOUNDVALUE(260)</f>
        <v>256</v>
      </c>
      <c r="I11" s="122">
        <v>1842545</v>
      </c>
      <c r="J11" s="120">
        <v>451</v>
      </c>
      <c r="K11" s="122">
        <v>13437</v>
      </c>
      <c r="L11" s="120">
        <v>6191</v>
      </c>
      <c r="M11" s="122">
        <v>33882288</v>
      </c>
      <c r="N11" s="12" t="s">
        <v>13</v>
      </c>
    </row>
    <row r="12" spans="1:14" ht="18.75" customHeight="1">
      <c r="A12" s="11" t="s">
        <v>84</v>
      </c>
      <c r="B12" s="120">
        <f>_xlfn.COMPOUNDVALUE(261)</f>
        <v>3512</v>
      </c>
      <c r="C12" s="121">
        <v>18508041</v>
      </c>
      <c r="D12" s="120">
        <f>_xlfn.COMPOUNDVALUE(262)</f>
        <v>1488</v>
      </c>
      <c r="E12" s="121">
        <v>931009</v>
      </c>
      <c r="F12" s="120">
        <f>_xlfn.COMPOUNDVALUE(263)</f>
        <v>5000</v>
      </c>
      <c r="G12" s="121">
        <v>19439050</v>
      </c>
      <c r="H12" s="120">
        <f>_xlfn.COMPOUNDVALUE(264)</f>
        <v>193</v>
      </c>
      <c r="I12" s="122">
        <v>752271</v>
      </c>
      <c r="J12" s="120">
        <v>343</v>
      </c>
      <c r="K12" s="122">
        <v>62031</v>
      </c>
      <c r="L12" s="120">
        <v>5253</v>
      </c>
      <c r="M12" s="122">
        <v>18748810</v>
      </c>
      <c r="N12" s="12" t="s">
        <v>84</v>
      </c>
    </row>
    <row r="13" spans="1:14" ht="18.75" customHeight="1">
      <c r="A13" s="11" t="s">
        <v>14</v>
      </c>
      <c r="B13" s="120">
        <f>_xlfn.COMPOUNDVALUE(265)</f>
        <v>1195</v>
      </c>
      <c r="C13" s="121">
        <v>7934455</v>
      </c>
      <c r="D13" s="120">
        <f>_xlfn.COMPOUNDVALUE(266)</f>
        <v>532</v>
      </c>
      <c r="E13" s="121">
        <v>279454</v>
      </c>
      <c r="F13" s="120">
        <f>_xlfn.COMPOUNDVALUE(267)</f>
        <v>1727</v>
      </c>
      <c r="G13" s="121">
        <v>8213909</v>
      </c>
      <c r="H13" s="120">
        <f>_xlfn.COMPOUNDVALUE(268)</f>
        <v>136</v>
      </c>
      <c r="I13" s="122">
        <v>307111</v>
      </c>
      <c r="J13" s="120">
        <v>62</v>
      </c>
      <c r="K13" s="122">
        <v>7491</v>
      </c>
      <c r="L13" s="120">
        <v>1870</v>
      </c>
      <c r="M13" s="122">
        <v>7914289</v>
      </c>
      <c r="N13" s="12" t="s">
        <v>14</v>
      </c>
    </row>
    <row r="14" spans="1:14" ht="18.75" customHeight="1">
      <c r="A14" s="11" t="s">
        <v>15</v>
      </c>
      <c r="B14" s="120">
        <f>_xlfn.COMPOUNDVALUE(269)</f>
        <v>1346</v>
      </c>
      <c r="C14" s="121">
        <v>7538855</v>
      </c>
      <c r="D14" s="120">
        <f>_xlfn.COMPOUNDVALUE(270)</f>
        <v>636</v>
      </c>
      <c r="E14" s="121">
        <v>384812</v>
      </c>
      <c r="F14" s="120">
        <f>_xlfn.COMPOUNDVALUE(271)</f>
        <v>1982</v>
      </c>
      <c r="G14" s="121">
        <v>7923667</v>
      </c>
      <c r="H14" s="120">
        <f>_xlfn.COMPOUNDVALUE(272)</f>
        <v>93</v>
      </c>
      <c r="I14" s="122">
        <v>523935</v>
      </c>
      <c r="J14" s="120">
        <v>121</v>
      </c>
      <c r="K14" s="122">
        <v>22930</v>
      </c>
      <c r="L14" s="120">
        <v>2092</v>
      </c>
      <c r="M14" s="122">
        <v>7422662</v>
      </c>
      <c r="N14" s="12" t="s">
        <v>15</v>
      </c>
    </row>
    <row r="15" spans="1:14" s="15" customFormat="1" ht="18.75" customHeight="1">
      <c r="A15" s="11" t="s">
        <v>16</v>
      </c>
      <c r="B15" s="120">
        <f>_xlfn.COMPOUNDVALUE(273)</f>
        <v>2498</v>
      </c>
      <c r="C15" s="121">
        <v>12054855</v>
      </c>
      <c r="D15" s="120">
        <f>_xlfn.COMPOUNDVALUE(274)</f>
        <v>1077</v>
      </c>
      <c r="E15" s="121">
        <v>650768</v>
      </c>
      <c r="F15" s="120">
        <f>_xlfn.COMPOUNDVALUE(275)</f>
        <v>3575</v>
      </c>
      <c r="G15" s="121">
        <v>12705623</v>
      </c>
      <c r="H15" s="120">
        <f>_xlfn.COMPOUNDVALUE(276)</f>
        <v>122</v>
      </c>
      <c r="I15" s="122">
        <v>623557</v>
      </c>
      <c r="J15" s="120">
        <v>215</v>
      </c>
      <c r="K15" s="122">
        <v>53356</v>
      </c>
      <c r="L15" s="120">
        <v>3725</v>
      </c>
      <c r="M15" s="122">
        <v>12135422</v>
      </c>
      <c r="N15" s="12" t="s">
        <v>16</v>
      </c>
    </row>
    <row r="16" spans="1:14" s="21" customFormat="1" ht="18.75" customHeight="1">
      <c r="A16" s="11" t="s">
        <v>17</v>
      </c>
      <c r="B16" s="120">
        <f>_xlfn.COMPOUNDVALUE(277)</f>
        <v>1618</v>
      </c>
      <c r="C16" s="121">
        <v>9901883</v>
      </c>
      <c r="D16" s="120">
        <f>_xlfn.COMPOUNDVALUE(278)</f>
        <v>744</v>
      </c>
      <c r="E16" s="121">
        <v>440631</v>
      </c>
      <c r="F16" s="120">
        <f>_xlfn.COMPOUNDVALUE(279)</f>
        <v>2362</v>
      </c>
      <c r="G16" s="121">
        <v>10342513</v>
      </c>
      <c r="H16" s="120">
        <f>_xlfn.COMPOUNDVALUE(280)</f>
        <v>72</v>
      </c>
      <c r="I16" s="122">
        <v>588437</v>
      </c>
      <c r="J16" s="120">
        <v>219</v>
      </c>
      <c r="K16" s="122">
        <v>55422</v>
      </c>
      <c r="L16" s="120">
        <v>2472</v>
      </c>
      <c r="M16" s="122">
        <v>9809498</v>
      </c>
      <c r="N16" s="12" t="s">
        <v>17</v>
      </c>
    </row>
    <row r="17" spans="1:14" ht="18.75" customHeight="1">
      <c r="A17" s="11" t="s">
        <v>18</v>
      </c>
      <c r="B17" s="120">
        <f>_xlfn.COMPOUNDVALUE(281)</f>
        <v>2464</v>
      </c>
      <c r="C17" s="121">
        <v>12710024</v>
      </c>
      <c r="D17" s="120">
        <f>_xlfn.COMPOUNDVALUE(282)</f>
        <v>996</v>
      </c>
      <c r="E17" s="121">
        <v>616947</v>
      </c>
      <c r="F17" s="120">
        <f>_xlfn.COMPOUNDVALUE(283)</f>
        <v>3460</v>
      </c>
      <c r="G17" s="121">
        <v>13326971</v>
      </c>
      <c r="H17" s="120">
        <f>_xlfn.COMPOUNDVALUE(284)</f>
        <v>143</v>
      </c>
      <c r="I17" s="122">
        <v>1010164</v>
      </c>
      <c r="J17" s="120">
        <v>228</v>
      </c>
      <c r="K17" s="122">
        <v>2696</v>
      </c>
      <c r="L17" s="120">
        <v>3647</v>
      </c>
      <c r="M17" s="122">
        <v>12319503</v>
      </c>
      <c r="N17" s="12" t="s">
        <v>18</v>
      </c>
    </row>
    <row r="18" spans="1:14" ht="18.75" customHeight="1">
      <c r="A18" s="11" t="s">
        <v>19</v>
      </c>
      <c r="B18" s="120">
        <f>_xlfn.COMPOUNDVALUE(285)</f>
        <v>3632</v>
      </c>
      <c r="C18" s="121">
        <v>23037703</v>
      </c>
      <c r="D18" s="120">
        <f>_xlfn.COMPOUNDVALUE(286)</f>
        <v>1108</v>
      </c>
      <c r="E18" s="121">
        <v>723899</v>
      </c>
      <c r="F18" s="120">
        <f>_xlfn.COMPOUNDVALUE(287)</f>
        <v>4740</v>
      </c>
      <c r="G18" s="121">
        <v>23761602</v>
      </c>
      <c r="H18" s="120">
        <f>_xlfn.COMPOUNDVALUE(288)</f>
        <v>345</v>
      </c>
      <c r="I18" s="122">
        <v>2107140</v>
      </c>
      <c r="J18" s="120">
        <v>304</v>
      </c>
      <c r="K18" s="122">
        <v>23553</v>
      </c>
      <c r="L18" s="120">
        <v>5113</v>
      </c>
      <c r="M18" s="122">
        <v>21678015</v>
      </c>
      <c r="N18" s="12" t="s">
        <v>19</v>
      </c>
    </row>
    <row r="19" spans="1:14" ht="18.75" customHeight="1">
      <c r="A19" s="11" t="s">
        <v>20</v>
      </c>
      <c r="B19" s="120">
        <f>_xlfn.COMPOUNDVALUE(289)</f>
        <v>1399</v>
      </c>
      <c r="C19" s="121">
        <v>7261782</v>
      </c>
      <c r="D19" s="120">
        <f>_xlfn.COMPOUNDVALUE(290)</f>
        <v>534</v>
      </c>
      <c r="E19" s="121">
        <v>328639</v>
      </c>
      <c r="F19" s="120">
        <f>_xlfn.COMPOUNDVALUE(291)</f>
        <v>1933</v>
      </c>
      <c r="G19" s="121">
        <v>7590420</v>
      </c>
      <c r="H19" s="120">
        <f>_xlfn.COMPOUNDVALUE(292)</f>
        <v>73</v>
      </c>
      <c r="I19" s="122">
        <v>722208</v>
      </c>
      <c r="J19" s="120">
        <v>101</v>
      </c>
      <c r="K19" s="122">
        <v>17827</v>
      </c>
      <c r="L19" s="120">
        <v>2026</v>
      </c>
      <c r="M19" s="122">
        <v>6886039</v>
      </c>
      <c r="N19" s="12" t="s">
        <v>20</v>
      </c>
    </row>
    <row r="20" spans="1:14" ht="18.75" customHeight="1">
      <c r="A20" s="11" t="s">
        <v>21</v>
      </c>
      <c r="B20" s="120">
        <f>_xlfn.COMPOUNDVALUE(293)</f>
        <v>1439</v>
      </c>
      <c r="C20" s="121">
        <v>6208506</v>
      </c>
      <c r="D20" s="120">
        <f>_xlfn.COMPOUNDVALUE(294)</f>
        <v>662</v>
      </c>
      <c r="E20" s="121">
        <v>405287</v>
      </c>
      <c r="F20" s="120">
        <f>_xlfn.COMPOUNDVALUE(295)</f>
        <v>2101</v>
      </c>
      <c r="G20" s="121">
        <v>6613792</v>
      </c>
      <c r="H20" s="120">
        <f>_xlfn.COMPOUNDVALUE(296)</f>
        <v>171</v>
      </c>
      <c r="I20" s="122">
        <v>604621</v>
      </c>
      <c r="J20" s="120">
        <v>109</v>
      </c>
      <c r="K20" s="122">
        <v>17366</v>
      </c>
      <c r="L20" s="120">
        <v>2285</v>
      </c>
      <c r="M20" s="122">
        <v>6026537</v>
      </c>
      <c r="N20" s="12" t="s">
        <v>21</v>
      </c>
    </row>
    <row r="21" spans="1:14" ht="18.75" customHeight="1">
      <c r="A21" s="11" t="s">
        <v>22</v>
      </c>
      <c r="B21" s="120">
        <f>_xlfn.COMPOUNDVALUE(297)</f>
        <v>1019</v>
      </c>
      <c r="C21" s="121">
        <v>5719207</v>
      </c>
      <c r="D21" s="120">
        <f>_xlfn.COMPOUNDVALUE(298)</f>
        <v>331</v>
      </c>
      <c r="E21" s="121">
        <v>188741</v>
      </c>
      <c r="F21" s="120">
        <f>_xlfn.COMPOUNDVALUE(299)</f>
        <v>1350</v>
      </c>
      <c r="G21" s="121">
        <v>5907948</v>
      </c>
      <c r="H21" s="120">
        <f>_xlfn.COMPOUNDVALUE(300)</f>
        <v>117</v>
      </c>
      <c r="I21" s="122">
        <v>137874</v>
      </c>
      <c r="J21" s="120">
        <v>63</v>
      </c>
      <c r="K21" s="122">
        <v>20768</v>
      </c>
      <c r="L21" s="120">
        <v>1483</v>
      </c>
      <c r="M21" s="122">
        <v>5790842</v>
      </c>
      <c r="N21" s="12" t="s">
        <v>22</v>
      </c>
    </row>
    <row r="22" spans="1:14" ht="18.75" customHeight="1">
      <c r="A22" s="11" t="s">
        <v>23</v>
      </c>
      <c r="B22" s="120">
        <f>_xlfn.COMPOUNDVALUE(301)</f>
        <v>477</v>
      </c>
      <c r="C22" s="121">
        <v>1923521</v>
      </c>
      <c r="D22" s="120">
        <f>_xlfn.COMPOUNDVALUE(302)</f>
        <v>189</v>
      </c>
      <c r="E22" s="121">
        <v>108807</v>
      </c>
      <c r="F22" s="120">
        <f>_xlfn.COMPOUNDVALUE(303)</f>
        <v>666</v>
      </c>
      <c r="G22" s="121">
        <v>2032328</v>
      </c>
      <c r="H22" s="120">
        <f>_xlfn.COMPOUNDVALUE(304)</f>
        <v>28</v>
      </c>
      <c r="I22" s="122">
        <v>107465</v>
      </c>
      <c r="J22" s="120">
        <v>26</v>
      </c>
      <c r="K22" s="122">
        <v>7413</v>
      </c>
      <c r="L22" s="120">
        <v>702</v>
      </c>
      <c r="M22" s="122">
        <v>1932276</v>
      </c>
      <c r="N22" s="12" t="s">
        <v>23</v>
      </c>
    </row>
    <row r="23" spans="1:14" ht="18.75" customHeight="1">
      <c r="A23" s="11" t="s">
        <v>24</v>
      </c>
      <c r="B23" s="120">
        <f>_xlfn.COMPOUNDVALUE(305)</f>
        <v>2351</v>
      </c>
      <c r="C23" s="121">
        <v>17662390</v>
      </c>
      <c r="D23" s="120">
        <f>_xlfn.COMPOUNDVALUE(306)</f>
        <v>867</v>
      </c>
      <c r="E23" s="121">
        <v>545209</v>
      </c>
      <c r="F23" s="120">
        <f>_xlfn.COMPOUNDVALUE(307)</f>
        <v>3218</v>
      </c>
      <c r="G23" s="121">
        <v>18207598</v>
      </c>
      <c r="H23" s="120">
        <f>_xlfn.COMPOUNDVALUE(308)</f>
        <v>154</v>
      </c>
      <c r="I23" s="122">
        <v>851235</v>
      </c>
      <c r="J23" s="120">
        <v>229</v>
      </c>
      <c r="K23" s="122">
        <v>13940</v>
      </c>
      <c r="L23" s="120">
        <v>3407</v>
      </c>
      <c r="M23" s="122">
        <v>17370303</v>
      </c>
      <c r="N23" s="12" t="s">
        <v>24</v>
      </c>
    </row>
    <row r="24" spans="1:14" ht="18.75" customHeight="1">
      <c r="A24" s="13" t="s">
        <v>25</v>
      </c>
      <c r="B24" s="123">
        <f>_xlfn.COMPOUNDVALUE(309)</f>
        <v>938</v>
      </c>
      <c r="C24" s="124">
        <v>4687536</v>
      </c>
      <c r="D24" s="123">
        <f>_xlfn.COMPOUNDVALUE(310)</f>
        <v>268</v>
      </c>
      <c r="E24" s="124">
        <v>157102</v>
      </c>
      <c r="F24" s="123">
        <f>_xlfn.COMPOUNDVALUE(311)</f>
        <v>1206</v>
      </c>
      <c r="G24" s="124">
        <v>4844639</v>
      </c>
      <c r="H24" s="123">
        <f>_xlfn.COMPOUNDVALUE(312)</f>
        <v>92</v>
      </c>
      <c r="I24" s="125">
        <v>633419</v>
      </c>
      <c r="J24" s="123">
        <v>42</v>
      </c>
      <c r="K24" s="125">
        <v>6079</v>
      </c>
      <c r="L24" s="123">
        <v>1304</v>
      </c>
      <c r="M24" s="125">
        <v>4217299</v>
      </c>
      <c r="N24" s="14" t="s">
        <v>25</v>
      </c>
    </row>
    <row r="25" spans="1:14" s="15" customFormat="1" ht="18.75" customHeight="1">
      <c r="A25" s="13" t="s">
        <v>26</v>
      </c>
      <c r="B25" s="123">
        <f>_xlfn.COMPOUNDVALUE(313)</f>
        <v>729</v>
      </c>
      <c r="C25" s="124">
        <v>3828597</v>
      </c>
      <c r="D25" s="123">
        <f>_xlfn.COMPOUNDVALUE(314)</f>
        <v>188</v>
      </c>
      <c r="E25" s="124">
        <v>114010</v>
      </c>
      <c r="F25" s="123">
        <f>_xlfn.COMPOUNDVALUE(315)</f>
        <v>917</v>
      </c>
      <c r="G25" s="124">
        <v>3942608</v>
      </c>
      <c r="H25" s="123">
        <f>_xlfn.COMPOUNDVALUE(316)</f>
        <v>69</v>
      </c>
      <c r="I25" s="125">
        <v>489458</v>
      </c>
      <c r="J25" s="123">
        <v>46</v>
      </c>
      <c r="K25" s="125">
        <v>16485</v>
      </c>
      <c r="L25" s="123">
        <v>996</v>
      </c>
      <c r="M25" s="125">
        <v>3469635</v>
      </c>
      <c r="N25" s="14" t="s">
        <v>26</v>
      </c>
    </row>
    <row r="26" spans="1:14" s="21" customFormat="1" ht="18.75" customHeight="1">
      <c r="A26" s="13" t="s">
        <v>27</v>
      </c>
      <c r="B26" s="123">
        <f>_xlfn.COMPOUNDVALUE(317)</f>
        <v>621</v>
      </c>
      <c r="C26" s="124">
        <v>2735905</v>
      </c>
      <c r="D26" s="123">
        <f>_xlfn.COMPOUNDVALUE(318)</f>
        <v>229</v>
      </c>
      <c r="E26" s="124">
        <v>132824</v>
      </c>
      <c r="F26" s="123">
        <f>_xlfn.COMPOUNDVALUE(319)</f>
        <v>850</v>
      </c>
      <c r="G26" s="124">
        <v>2868729</v>
      </c>
      <c r="H26" s="123">
        <f>_xlfn.COMPOUNDVALUE(320)</f>
        <v>64</v>
      </c>
      <c r="I26" s="125">
        <v>316922</v>
      </c>
      <c r="J26" s="123">
        <v>33</v>
      </c>
      <c r="K26" s="125">
        <v>6920</v>
      </c>
      <c r="L26" s="123">
        <v>921</v>
      </c>
      <c r="M26" s="125">
        <v>2558727</v>
      </c>
      <c r="N26" s="14" t="s">
        <v>27</v>
      </c>
    </row>
    <row r="27" spans="1:14" ht="18.75" customHeight="1">
      <c r="A27" s="13" t="s">
        <v>28</v>
      </c>
      <c r="B27" s="123">
        <f>_xlfn.COMPOUNDVALUE(321)</f>
        <v>1204</v>
      </c>
      <c r="C27" s="124">
        <v>5394695</v>
      </c>
      <c r="D27" s="123">
        <f>_xlfn.COMPOUNDVALUE(322)</f>
        <v>349</v>
      </c>
      <c r="E27" s="124">
        <v>216203</v>
      </c>
      <c r="F27" s="123">
        <f>_xlfn.COMPOUNDVALUE(323)</f>
        <v>1553</v>
      </c>
      <c r="G27" s="124">
        <v>5610898</v>
      </c>
      <c r="H27" s="123">
        <f>_xlfn.COMPOUNDVALUE(324)</f>
        <v>117</v>
      </c>
      <c r="I27" s="125">
        <v>722313</v>
      </c>
      <c r="J27" s="123">
        <v>61</v>
      </c>
      <c r="K27" s="125">
        <v>-13363</v>
      </c>
      <c r="L27" s="123">
        <v>1679</v>
      </c>
      <c r="M27" s="125">
        <v>4875222</v>
      </c>
      <c r="N27" s="14" t="s">
        <v>28</v>
      </c>
    </row>
    <row r="28" spans="1:14" ht="18.75" customHeight="1">
      <c r="A28" s="13" t="s">
        <v>29</v>
      </c>
      <c r="B28" s="123">
        <f>_xlfn.COMPOUNDVALUE(325)</f>
        <v>860</v>
      </c>
      <c r="C28" s="124">
        <v>5833790</v>
      </c>
      <c r="D28" s="123">
        <f>_xlfn.COMPOUNDVALUE(326)</f>
        <v>437</v>
      </c>
      <c r="E28" s="124">
        <v>259782</v>
      </c>
      <c r="F28" s="123">
        <f>_xlfn.COMPOUNDVALUE(327)</f>
        <v>1297</v>
      </c>
      <c r="G28" s="124">
        <v>6093572</v>
      </c>
      <c r="H28" s="123">
        <f>_xlfn.COMPOUNDVALUE(328)</f>
        <v>44</v>
      </c>
      <c r="I28" s="125">
        <v>113796</v>
      </c>
      <c r="J28" s="123">
        <v>80</v>
      </c>
      <c r="K28" s="125">
        <v>11702</v>
      </c>
      <c r="L28" s="123">
        <v>1348</v>
      </c>
      <c r="M28" s="125">
        <v>5991478</v>
      </c>
      <c r="N28" s="14" t="s">
        <v>29</v>
      </c>
    </row>
    <row r="29" spans="1:14" ht="18.75" customHeight="1">
      <c r="A29" s="13" t="s">
        <v>30</v>
      </c>
      <c r="B29" s="123">
        <f>_xlfn.COMPOUNDVALUE(329)</f>
        <v>367</v>
      </c>
      <c r="C29" s="124">
        <v>1585425</v>
      </c>
      <c r="D29" s="123">
        <f>_xlfn.COMPOUNDVALUE(330)</f>
        <v>138</v>
      </c>
      <c r="E29" s="124">
        <v>82520</v>
      </c>
      <c r="F29" s="123">
        <f>_xlfn.COMPOUNDVALUE(331)</f>
        <v>505</v>
      </c>
      <c r="G29" s="124">
        <v>1667944</v>
      </c>
      <c r="H29" s="123">
        <f>_xlfn.COMPOUNDVALUE(332)</f>
        <v>52</v>
      </c>
      <c r="I29" s="125">
        <v>95559</v>
      </c>
      <c r="J29" s="123">
        <v>34</v>
      </c>
      <c r="K29" s="125">
        <v>3623</v>
      </c>
      <c r="L29" s="123">
        <v>564</v>
      </c>
      <c r="M29" s="125">
        <v>1576008</v>
      </c>
      <c r="N29" s="14" t="s">
        <v>30</v>
      </c>
    </row>
    <row r="30" spans="1:14" ht="18.75" customHeight="1">
      <c r="A30" s="13" t="s">
        <v>31</v>
      </c>
      <c r="B30" s="123">
        <f>_xlfn.COMPOUNDVALUE(333)</f>
        <v>382</v>
      </c>
      <c r="C30" s="124">
        <v>2265945</v>
      </c>
      <c r="D30" s="123">
        <f>_xlfn.COMPOUNDVALUE(334)</f>
        <v>144</v>
      </c>
      <c r="E30" s="124">
        <v>89451</v>
      </c>
      <c r="F30" s="123">
        <f>_xlfn.COMPOUNDVALUE(335)</f>
        <v>526</v>
      </c>
      <c r="G30" s="124">
        <v>2355395</v>
      </c>
      <c r="H30" s="123">
        <f>_xlfn.COMPOUNDVALUE(336)</f>
        <v>40</v>
      </c>
      <c r="I30" s="125">
        <v>168710</v>
      </c>
      <c r="J30" s="123">
        <v>50</v>
      </c>
      <c r="K30" s="125">
        <v>7867</v>
      </c>
      <c r="L30" s="123">
        <v>572</v>
      </c>
      <c r="M30" s="125">
        <v>2194552</v>
      </c>
      <c r="N30" s="14" t="s">
        <v>31</v>
      </c>
    </row>
    <row r="31" spans="1:14" ht="18.75" customHeight="1">
      <c r="A31" s="13" t="s">
        <v>32</v>
      </c>
      <c r="B31" s="123">
        <f>_xlfn.COMPOUNDVALUE(337)</f>
        <v>584</v>
      </c>
      <c r="C31" s="124">
        <v>1959982</v>
      </c>
      <c r="D31" s="123">
        <f>_xlfn.COMPOUNDVALUE(338)</f>
        <v>255</v>
      </c>
      <c r="E31" s="124">
        <v>140787</v>
      </c>
      <c r="F31" s="123">
        <f>_xlfn.COMPOUNDVALUE(339)</f>
        <v>839</v>
      </c>
      <c r="G31" s="124">
        <v>2100769</v>
      </c>
      <c r="H31" s="123">
        <f>_xlfn.COMPOUNDVALUE(340)</f>
        <v>45</v>
      </c>
      <c r="I31" s="125">
        <v>461685</v>
      </c>
      <c r="J31" s="123">
        <v>29</v>
      </c>
      <c r="K31" s="125">
        <v>8541</v>
      </c>
      <c r="L31" s="123">
        <v>885</v>
      </c>
      <c r="M31" s="125">
        <v>1647625</v>
      </c>
      <c r="N31" s="14" t="s">
        <v>32</v>
      </c>
    </row>
    <row r="32" spans="1:14" ht="18.75" customHeight="1">
      <c r="A32" s="13" t="s">
        <v>33</v>
      </c>
      <c r="B32" s="123">
        <f>_xlfn.COMPOUNDVALUE(341)</f>
        <v>258</v>
      </c>
      <c r="C32" s="124">
        <v>1105728</v>
      </c>
      <c r="D32" s="123">
        <f>_xlfn.COMPOUNDVALUE(342)</f>
        <v>125</v>
      </c>
      <c r="E32" s="124">
        <v>74376</v>
      </c>
      <c r="F32" s="123">
        <f>_xlfn.COMPOUNDVALUE(343)</f>
        <v>383</v>
      </c>
      <c r="G32" s="124">
        <v>1180105</v>
      </c>
      <c r="H32" s="123">
        <f>_xlfn.COMPOUNDVALUE(344)</f>
        <v>12</v>
      </c>
      <c r="I32" s="125">
        <v>35710</v>
      </c>
      <c r="J32" s="123">
        <v>14</v>
      </c>
      <c r="K32" s="125">
        <v>-3380</v>
      </c>
      <c r="L32" s="123">
        <v>395</v>
      </c>
      <c r="M32" s="125">
        <v>1141015</v>
      </c>
      <c r="N32" s="14" t="s">
        <v>33</v>
      </c>
    </row>
    <row r="33" spans="1:14" ht="18.75" customHeight="1">
      <c r="A33" s="13" t="s">
        <v>34</v>
      </c>
      <c r="B33" s="123">
        <f>_xlfn.COMPOUNDVALUE(345)</f>
        <v>841</v>
      </c>
      <c r="C33" s="124">
        <v>3789666</v>
      </c>
      <c r="D33" s="123">
        <f>_xlfn.COMPOUNDVALUE(346)</f>
        <v>311</v>
      </c>
      <c r="E33" s="124">
        <v>190681</v>
      </c>
      <c r="F33" s="123">
        <f>_xlfn.COMPOUNDVALUE(347)</f>
        <v>1152</v>
      </c>
      <c r="G33" s="124">
        <v>3980347</v>
      </c>
      <c r="H33" s="123">
        <f>_xlfn.COMPOUNDVALUE(348)</f>
        <v>130</v>
      </c>
      <c r="I33" s="125">
        <v>860256</v>
      </c>
      <c r="J33" s="123">
        <v>78</v>
      </c>
      <c r="K33" s="125">
        <v>32336</v>
      </c>
      <c r="L33" s="123">
        <v>1295</v>
      </c>
      <c r="M33" s="125">
        <v>3152427</v>
      </c>
      <c r="N33" s="14" t="s">
        <v>34</v>
      </c>
    </row>
    <row r="34" spans="1:14" ht="18.75" customHeight="1">
      <c r="A34" s="13" t="s">
        <v>35</v>
      </c>
      <c r="B34" s="123">
        <f>_xlfn.COMPOUNDVALUE(349)</f>
        <v>292</v>
      </c>
      <c r="C34" s="124">
        <v>2956361</v>
      </c>
      <c r="D34" s="123">
        <f>_xlfn.COMPOUNDVALUE(350)</f>
        <v>119</v>
      </c>
      <c r="E34" s="124">
        <v>64808</v>
      </c>
      <c r="F34" s="123">
        <f>_xlfn.COMPOUNDVALUE(351)</f>
        <v>411</v>
      </c>
      <c r="G34" s="124">
        <v>3021169</v>
      </c>
      <c r="H34" s="123">
        <f>_xlfn.COMPOUNDVALUE(352)</f>
        <v>36</v>
      </c>
      <c r="I34" s="125">
        <v>138485</v>
      </c>
      <c r="J34" s="123">
        <v>40</v>
      </c>
      <c r="K34" s="125">
        <v>9916</v>
      </c>
      <c r="L34" s="123">
        <v>462</v>
      </c>
      <c r="M34" s="125">
        <v>2892600</v>
      </c>
      <c r="N34" s="14" t="s">
        <v>35</v>
      </c>
    </row>
    <row r="35" spans="1:14" s="15" customFormat="1" ht="18.75" customHeight="1">
      <c r="A35" s="13" t="s">
        <v>36</v>
      </c>
      <c r="B35" s="123">
        <f>_xlfn.COMPOUNDVALUE(353)</f>
        <v>679</v>
      </c>
      <c r="C35" s="124">
        <v>2937717</v>
      </c>
      <c r="D35" s="123">
        <f>_xlfn.COMPOUNDVALUE(354)</f>
        <v>313</v>
      </c>
      <c r="E35" s="124">
        <v>184567</v>
      </c>
      <c r="F35" s="123">
        <f>_xlfn.COMPOUNDVALUE(355)</f>
        <v>992</v>
      </c>
      <c r="G35" s="124">
        <v>3122284</v>
      </c>
      <c r="H35" s="123">
        <f>_xlfn.COMPOUNDVALUE(356)</f>
        <v>59</v>
      </c>
      <c r="I35" s="125">
        <v>89177</v>
      </c>
      <c r="J35" s="123">
        <v>47</v>
      </c>
      <c r="K35" s="125">
        <v>-8527</v>
      </c>
      <c r="L35" s="123">
        <v>1065</v>
      </c>
      <c r="M35" s="125">
        <v>3024580</v>
      </c>
      <c r="N35" s="14" t="s">
        <v>36</v>
      </c>
    </row>
    <row r="36" spans="1:14" s="21" customFormat="1" ht="18.75" customHeight="1" thickBot="1">
      <c r="A36" s="87" t="s">
        <v>37</v>
      </c>
      <c r="B36" s="126">
        <f>_xlfn.COMPOUNDVALUE(357)</f>
        <v>427</v>
      </c>
      <c r="C36" s="127">
        <v>1776730</v>
      </c>
      <c r="D36" s="126">
        <f>_xlfn.COMPOUNDVALUE(358)</f>
        <v>128</v>
      </c>
      <c r="E36" s="127">
        <v>73490</v>
      </c>
      <c r="F36" s="126">
        <f>_xlfn.COMPOUNDVALUE(359)</f>
        <v>555</v>
      </c>
      <c r="G36" s="127">
        <v>1850220</v>
      </c>
      <c r="H36" s="126">
        <f>_xlfn.COMPOUNDVALUE(360)</f>
        <v>52</v>
      </c>
      <c r="I36" s="128">
        <v>223871</v>
      </c>
      <c r="J36" s="126">
        <v>27</v>
      </c>
      <c r="K36" s="128">
        <v>-4561</v>
      </c>
      <c r="L36" s="126">
        <v>609</v>
      </c>
      <c r="M36" s="128">
        <v>1621788</v>
      </c>
      <c r="N36" s="85" t="s">
        <v>37</v>
      </c>
    </row>
    <row r="37" spans="1:14" ht="18.75" customHeight="1" thickBot="1" thickTop="1">
      <c r="A37" s="16" t="s">
        <v>43</v>
      </c>
      <c r="B37" s="129">
        <v>56605</v>
      </c>
      <c r="C37" s="130">
        <v>393984378</v>
      </c>
      <c r="D37" s="129">
        <v>21219</v>
      </c>
      <c r="E37" s="130">
        <v>13162501</v>
      </c>
      <c r="F37" s="129">
        <v>77824</v>
      </c>
      <c r="G37" s="130">
        <v>407146879</v>
      </c>
      <c r="H37" s="129">
        <v>4493</v>
      </c>
      <c r="I37" s="131">
        <v>27127801</v>
      </c>
      <c r="J37" s="129">
        <v>4967</v>
      </c>
      <c r="K37" s="131">
        <v>739251</v>
      </c>
      <c r="L37" s="129">
        <v>83021</v>
      </c>
      <c r="M37" s="131">
        <v>380758329</v>
      </c>
      <c r="N37" s="17" t="str">
        <f>IF(A37="","",A37)</f>
        <v>合　　計</v>
      </c>
    </row>
    <row r="38" spans="1:14" s="21" customFormat="1" ht="3" customHeight="1">
      <c r="A38" s="31"/>
      <c r="B38" s="32"/>
      <c r="C38" s="32"/>
      <c r="D38" s="32"/>
      <c r="E38" s="32"/>
      <c r="F38" s="32"/>
      <c r="G38" s="32"/>
      <c r="H38" s="32"/>
      <c r="I38" s="32"/>
      <c r="J38" s="32"/>
      <c r="K38" s="32"/>
      <c r="L38" s="32"/>
      <c r="M38" s="32"/>
      <c r="N38" s="31"/>
    </row>
    <row r="39" spans="1:14" ht="13.5">
      <c r="A39" s="185" t="s">
        <v>99</v>
      </c>
      <c r="B39" s="185"/>
      <c r="C39" s="185"/>
      <c r="D39" s="185"/>
      <c r="E39" s="185"/>
      <c r="F39" s="185"/>
      <c r="G39" s="185"/>
      <c r="H39" s="185"/>
      <c r="I39" s="185"/>
      <c r="J39" s="18"/>
      <c r="K39" s="18"/>
      <c r="L39" s="2"/>
      <c r="M39" s="2"/>
      <c r="N39" s="2"/>
    </row>
  </sheetData>
  <sheetProtection/>
  <mergeCells count="11">
    <mergeCell ref="N3:N5"/>
    <mergeCell ref="B4:C4"/>
    <mergeCell ref="D4:E4"/>
    <mergeCell ref="F4:G4"/>
    <mergeCell ref="J3:K4"/>
    <mergeCell ref="L3:M4"/>
    <mergeCell ref="A39:I39"/>
    <mergeCell ref="A2:I2"/>
    <mergeCell ref="A3:A5"/>
    <mergeCell ref="B3:G3"/>
    <mergeCell ref="H3:I4"/>
  </mergeCells>
  <printOptions horizontalCentered="1"/>
  <pageMargins left="0.7874015748031497" right="0.7874015748031497" top="0.9055118110236221" bottom="0.1968503937007874" header="0.5118110236220472" footer="0.31496062992125984"/>
  <pageSetup fitToHeight="0" horizontalDpi="600" verticalDpi="600" orientation="landscape" paperSize="9" scale="75" r:id="rId1"/>
  <headerFooter alignWithMargins="0">
    <oddFooter>&amp;R札幌国税局　
消費税
（H30）</oddFooter>
  </headerFooter>
</worksheet>
</file>

<file path=xl/worksheets/sheet6.xml><?xml version="1.0" encoding="utf-8"?>
<worksheet xmlns="http://schemas.openxmlformats.org/spreadsheetml/2006/main" xmlns:r="http://schemas.openxmlformats.org/officeDocument/2006/relationships">
  <dimension ref="A1:R40"/>
  <sheetViews>
    <sheetView zoomScale="96" zoomScaleNormal="96" zoomScaleSheetLayoutView="100" workbookViewId="0" topLeftCell="A1">
      <selection activeCell="S36" sqref="S36"/>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103</v>
      </c>
      <c r="B1" s="1"/>
      <c r="C1" s="1"/>
      <c r="D1" s="1"/>
      <c r="E1" s="1"/>
      <c r="F1" s="1"/>
      <c r="G1" s="1"/>
      <c r="H1" s="1"/>
      <c r="I1" s="1"/>
      <c r="J1" s="1"/>
      <c r="K1" s="1"/>
      <c r="L1" s="2"/>
      <c r="M1" s="2"/>
      <c r="N1" s="2"/>
      <c r="O1" s="2"/>
      <c r="P1" s="2"/>
    </row>
    <row r="2" spans="1:16" ht="14.25" thickBot="1">
      <c r="A2" s="203" t="s">
        <v>40</v>
      </c>
      <c r="B2" s="203"/>
      <c r="C2" s="203"/>
      <c r="D2" s="203"/>
      <c r="E2" s="203"/>
      <c r="F2" s="203"/>
      <c r="G2" s="203"/>
      <c r="H2" s="203"/>
      <c r="I2" s="203"/>
      <c r="J2" s="18"/>
      <c r="K2" s="18"/>
      <c r="L2" s="2"/>
      <c r="M2" s="2"/>
      <c r="N2" s="2"/>
      <c r="O2" s="2"/>
      <c r="P2" s="2"/>
    </row>
    <row r="3" spans="1:18" ht="19.5" customHeight="1">
      <c r="A3" s="191" t="s">
        <v>75</v>
      </c>
      <c r="B3" s="194" t="s">
        <v>80</v>
      </c>
      <c r="C3" s="194"/>
      <c r="D3" s="194"/>
      <c r="E3" s="194"/>
      <c r="F3" s="194"/>
      <c r="G3" s="194"/>
      <c r="H3" s="194" t="s">
        <v>1</v>
      </c>
      <c r="I3" s="194"/>
      <c r="J3" s="211" t="s">
        <v>2</v>
      </c>
      <c r="K3" s="194"/>
      <c r="L3" s="194" t="s">
        <v>3</v>
      </c>
      <c r="M3" s="194"/>
      <c r="N3" s="212" t="s">
        <v>87</v>
      </c>
      <c r="O3" s="213"/>
      <c r="P3" s="213"/>
      <c r="Q3" s="214"/>
      <c r="R3" s="195" t="s">
        <v>39</v>
      </c>
    </row>
    <row r="4" spans="1:18" ht="17.25" customHeight="1">
      <c r="A4" s="192"/>
      <c r="B4" s="198" t="s">
        <v>76</v>
      </c>
      <c r="C4" s="198"/>
      <c r="D4" s="198" t="s">
        <v>5</v>
      </c>
      <c r="E4" s="198"/>
      <c r="F4" s="198" t="s">
        <v>6</v>
      </c>
      <c r="G4" s="198"/>
      <c r="H4" s="198"/>
      <c r="I4" s="198"/>
      <c r="J4" s="198"/>
      <c r="K4" s="198"/>
      <c r="L4" s="198"/>
      <c r="M4" s="198"/>
      <c r="N4" s="204" t="s">
        <v>41</v>
      </c>
      <c r="O4" s="206" t="s">
        <v>88</v>
      </c>
      <c r="P4" s="208" t="s">
        <v>89</v>
      </c>
      <c r="Q4" s="190" t="s">
        <v>42</v>
      </c>
      <c r="R4" s="196"/>
    </row>
    <row r="5" spans="1:18" ht="28.5" customHeight="1">
      <c r="A5" s="193"/>
      <c r="B5" s="86" t="s">
        <v>77</v>
      </c>
      <c r="C5" s="26" t="s">
        <v>78</v>
      </c>
      <c r="D5" s="86" t="s">
        <v>77</v>
      </c>
      <c r="E5" s="26" t="s">
        <v>78</v>
      </c>
      <c r="F5" s="86" t="s">
        <v>77</v>
      </c>
      <c r="G5" s="26" t="s">
        <v>79</v>
      </c>
      <c r="H5" s="86" t="s">
        <v>77</v>
      </c>
      <c r="I5" s="26" t="s">
        <v>81</v>
      </c>
      <c r="J5" s="86" t="s">
        <v>77</v>
      </c>
      <c r="K5" s="26" t="s">
        <v>82</v>
      </c>
      <c r="L5" s="86" t="s">
        <v>77</v>
      </c>
      <c r="M5" s="22" t="s">
        <v>86</v>
      </c>
      <c r="N5" s="205"/>
      <c r="O5" s="207"/>
      <c r="P5" s="209"/>
      <c r="Q5" s="210"/>
      <c r="R5" s="197"/>
    </row>
    <row r="6" spans="1:18" s="20" customFormat="1" ht="10.5">
      <c r="A6" s="5"/>
      <c r="B6" s="6" t="s">
        <v>7</v>
      </c>
      <c r="C6" s="7" t="s">
        <v>8</v>
      </c>
      <c r="D6" s="6" t="s">
        <v>7</v>
      </c>
      <c r="E6" s="7" t="s">
        <v>8</v>
      </c>
      <c r="F6" s="6" t="s">
        <v>7</v>
      </c>
      <c r="G6" s="7" t="s">
        <v>8</v>
      </c>
      <c r="H6" s="6" t="s">
        <v>7</v>
      </c>
      <c r="I6" s="7" t="s">
        <v>8</v>
      </c>
      <c r="J6" s="6" t="s">
        <v>7</v>
      </c>
      <c r="K6" s="7" t="s">
        <v>8</v>
      </c>
      <c r="L6" s="6" t="s">
        <v>101</v>
      </c>
      <c r="M6" s="7" t="s">
        <v>8</v>
      </c>
      <c r="N6" s="6" t="s">
        <v>7</v>
      </c>
      <c r="O6" s="23" t="s">
        <v>7</v>
      </c>
      <c r="P6" s="23" t="s">
        <v>7</v>
      </c>
      <c r="Q6" s="24" t="s">
        <v>7</v>
      </c>
      <c r="R6" s="9"/>
    </row>
    <row r="7" spans="1:18" ht="18.75" customHeight="1">
      <c r="A7" s="11" t="s">
        <v>9</v>
      </c>
      <c r="B7" s="120">
        <f>_xlfn.COMPOUNDVALUE(121)</f>
        <v>3959</v>
      </c>
      <c r="C7" s="121">
        <v>56442867</v>
      </c>
      <c r="D7" s="120">
        <f>_xlfn.COMPOUNDVALUE(122)</f>
        <v>1147</v>
      </c>
      <c r="E7" s="121">
        <v>743036</v>
      </c>
      <c r="F7" s="120">
        <f>_xlfn.COMPOUNDVALUE(123)</f>
        <v>5106</v>
      </c>
      <c r="G7" s="121">
        <v>57185903</v>
      </c>
      <c r="H7" s="120">
        <f>_xlfn.COMPOUNDVALUE(124)</f>
        <v>413</v>
      </c>
      <c r="I7" s="122">
        <v>6132959</v>
      </c>
      <c r="J7" s="120">
        <v>380</v>
      </c>
      <c r="K7" s="122">
        <v>147076</v>
      </c>
      <c r="L7" s="120">
        <v>5586</v>
      </c>
      <c r="M7" s="122">
        <v>51200020</v>
      </c>
      <c r="N7" s="120">
        <v>5630</v>
      </c>
      <c r="O7" s="132">
        <v>283</v>
      </c>
      <c r="P7" s="132">
        <v>61</v>
      </c>
      <c r="Q7" s="133">
        <v>5974</v>
      </c>
      <c r="R7" s="12" t="str">
        <f aca="true" t="shared" si="0" ref="R7:R37">IF(A7="","",A7)</f>
        <v>札幌中</v>
      </c>
    </row>
    <row r="8" spans="1:18" ht="18.75" customHeight="1">
      <c r="A8" s="11" t="s">
        <v>10</v>
      </c>
      <c r="B8" s="120">
        <f>_xlfn.COMPOUNDVALUE(125)</f>
        <v>7958</v>
      </c>
      <c r="C8" s="121">
        <v>58376998</v>
      </c>
      <c r="D8" s="120">
        <f>_xlfn.COMPOUNDVALUE(126)</f>
        <v>4406</v>
      </c>
      <c r="E8" s="121">
        <v>2291500</v>
      </c>
      <c r="F8" s="120">
        <f>_xlfn.COMPOUNDVALUE(127)</f>
        <v>12364</v>
      </c>
      <c r="G8" s="121">
        <v>60668498</v>
      </c>
      <c r="H8" s="120">
        <f>_xlfn.COMPOUNDVALUE(128)</f>
        <v>558</v>
      </c>
      <c r="I8" s="122">
        <v>1415789</v>
      </c>
      <c r="J8" s="120">
        <v>919</v>
      </c>
      <c r="K8" s="122">
        <v>201676</v>
      </c>
      <c r="L8" s="120">
        <v>13190</v>
      </c>
      <c r="M8" s="122">
        <v>59454385</v>
      </c>
      <c r="N8" s="120">
        <v>13347</v>
      </c>
      <c r="O8" s="132">
        <v>384</v>
      </c>
      <c r="P8" s="132">
        <v>52</v>
      </c>
      <c r="Q8" s="133">
        <v>13783</v>
      </c>
      <c r="R8" s="14" t="str">
        <f t="shared" si="0"/>
        <v>札幌北</v>
      </c>
    </row>
    <row r="9" spans="1:18" ht="18.75" customHeight="1">
      <c r="A9" s="11" t="s">
        <v>11</v>
      </c>
      <c r="B9" s="120">
        <f>_xlfn.COMPOUNDVALUE(129)</f>
        <v>6389</v>
      </c>
      <c r="C9" s="121">
        <v>31389946</v>
      </c>
      <c r="D9" s="120">
        <f>_xlfn.COMPOUNDVALUE(130)</f>
        <v>3520</v>
      </c>
      <c r="E9" s="121">
        <v>1896834</v>
      </c>
      <c r="F9" s="120">
        <f>_xlfn.COMPOUNDVALUE(131)</f>
        <v>9909</v>
      </c>
      <c r="G9" s="121">
        <v>33286780</v>
      </c>
      <c r="H9" s="120">
        <f>_xlfn.COMPOUNDVALUE(132)</f>
        <v>547</v>
      </c>
      <c r="I9" s="122">
        <v>2745092</v>
      </c>
      <c r="J9" s="120">
        <v>850</v>
      </c>
      <c r="K9" s="122">
        <v>91477</v>
      </c>
      <c r="L9" s="120">
        <v>10705</v>
      </c>
      <c r="M9" s="122">
        <v>30633165</v>
      </c>
      <c r="N9" s="120">
        <v>10608</v>
      </c>
      <c r="O9" s="132">
        <v>391</v>
      </c>
      <c r="P9" s="132">
        <v>41</v>
      </c>
      <c r="Q9" s="133">
        <v>11040</v>
      </c>
      <c r="R9" s="14" t="str">
        <f t="shared" si="0"/>
        <v>札幌南</v>
      </c>
    </row>
    <row r="10" spans="1:18" ht="18.75" customHeight="1">
      <c r="A10" s="11" t="s">
        <v>12</v>
      </c>
      <c r="B10" s="120">
        <f>_xlfn.COMPOUNDVALUE(133)</f>
        <v>6812</v>
      </c>
      <c r="C10" s="121">
        <v>44159456</v>
      </c>
      <c r="D10" s="120">
        <f>_xlfn.COMPOUNDVALUE(134)</f>
        <v>3463</v>
      </c>
      <c r="E10" s="121">
        <v>2097322</v>
      </c>
      <c r="F10" s="120">
        <f>_xlfn.COMPOUNDVALUE(135)</f>
        <v>10275</v>
      </c>
      <c r="G10" s="121">
        <v>46256778</v>
      </c>
      <c r="H10" s="120">
        <f>_xlfn.COMPOUNDVALUE(136)</f>
        <v>599</v>
      </c>
      <c r="I10" s="122">
        <v>2545983</v>
      </c>
      <c r="J10" s="120">
        <v>708</v>
      </c>
      <c r="K10" s="122">
        <v>125034</v>
      </c>
      <c r="L10" s="120">
        <v>11009</v>
      </c>
      <c r="M10" s="122">
        <v>43835829</v>
      </c>
      <c r="N10" s="120">
        <v>11231</v>
      </c>
      <c r="O10" s="132">
        <v>499</v>
      </c>
      <c r="P10" s="132">
        <v>64</v>
      </c>
      <c r="Q10" s="133">
        <v>11794</v>
      </c>
      <c r="R10" s="14" t="str">
        <f t="shared" si="0"/>
        <v>札幌西</v>
      </c>
    </row>
    <row r="11" spans="1:18" ht="18.75" customHeight="1">
      <c r="A11" s="11" t="s">
        <v>13</v>
      </c>
      <c r="B11" s="120">
        <f>_xlfn.COMPOUNDVALUE(137)</f>
        <v>5089</v>
      </c>
      <c r="C11" s="121">
        <v>35072688</v>
      </c>
      <c r="D11" s="120">
        <f>_xlfn.COMPOUNDVALUE(138)</f>
        <v>2555</v>
      </c>
      <c r="E11" s="121">
        <v>1511572</v>
      </c>
      <c r="F11" s="120">
        <f>_xlfn.COMPOUNDVALUE(139)</f>
        <v>7644</v>
      </c>
      <c r="G11" s="121">
        <v>36584259</v>
      </c>
      <c r="H11" s="120">
        <f>_xlfn.COMPOUNDVALUE(140)</f>
        <v>319</v>
      </c>
      <c r="I11" s="122">
        <v>1873093</v>
      </c>
      <c r="J11" s="120">
        <v>690</v>
      </c>
      <c r="K11" s="122">
        <v>63493</v>
      </c>
      <c r="L11" s="120">
        <v>8203</v>
      </c>
      <c r="M11" s="122">
        <v>34774659</v>
      </c>
      <c r="N11" s="120">
        <v>8381</v>
      </c>
      <c r="O11" s="132">
        <v>214</v>
      </c>
      <c r="P11" s="132">
        <v>31</v>
      </c>
      <c r="Q11" s="133">
        <v>8626</v>
      </c>
      <c r="R11" s="14" t="str">
        <f t="shared" si="0"/>
        <v>札幌東</v>
      </c>
    </row>
    <row r="12" spans="1:18" ht="18.75" customHeight="1">
      <c r="A12" s="11" t="s">
        <v>98</v>
      </c>
      <c r="B12" s="120">
        <f>_xlfn.COMPOUNDVALUE(141)</f>
        <v>4502</v>
      </c>
      <c r="C12" s="121">
        <v>19034639</v>
      </c>
      <c r="D12" s="120">
        <f>_xlfn.COMPOUNDVALUE(142)</f>
        <v>3774</v>
      </c>
      <c r="E12" s="121">
        <v>1770744</v>
      </c>
      <c r="F12" s="120">
        <f>_xlfn.COMPOUNDVALUE(143)</f>
        <v>8276</v>
      </c>
      <c r="G12" s="121">
        <v>20805383</v>
      </c>
      <c r="H12" s="120">
        <f>_xlfn.COMPOUNDVALUE(144)</f>
        <v>254</v>
      </c>
      <c r="I12" s="122">
        <v>780263</v>
      </c>
      <c r="J12" s="120">
        <v>551</v>
      </c>
      <c r="K12" s="122">
        <v>105076</v>
      </c>
      <c r="L12" s="120">
        <v>8689</v>
      </c>
      <c r="M12" s="122">
        <v>20130196</v>
      </c>
      <c r="N12" s="120">
        <v>8666</v>
      </c>
      <c r="O12" s="132">
        <v>149</v>
      </c>
      <c r="P12" s="132">
        <v>17</v>
      </c>
      <c r="Q12" s="133">
        <v>8832</v>
      </c>
      <c r="R12" s="14" t="str">
        <f t="shared" si="0"/>
        <v>函館</v>
      </c>
    </row>
    <row r="13" spans="1:18" ht="18.75" customHeight="1">
      <c r="A13" s="11" t="s">
        <v>14</v>
      </c>
      <c r="B13" s="120">
        <f>_xlfn.COMPOUNDVALUE(145)</f>
        <v>1447</v>
      </c>
      <c r="C13" s="121">
        <v>8029517</v>
      </c>
      <c r="D13" s="120">
        <f>_xlfn.COMPOUNDVALUE(146)</f>
        <v>844</v>
      </c>
      <c r="E13" s="121">
        <v>392245</v>
      </c>
      <c r="F13" s="120">
        <f>_xlfn.COMPOUNDVALUE(147)</f>
        <v>2291</v>
      </c>
      <c r="G13" s="121">
        <v>8421762</v>
      </c>
      <c r="H13" s="120">
        <f>_xlfn.COMPOUNDVALUE(148)</f>
        <v>161</v>
      </c>
      <c r="I13" s="122">
        <v>314277</v>
      </c>
      <c r="J13" s="120">
        <v>135</v>
      </c>
      <c r="K13" s="122">
        <v>17713</v>
      </c>
      <c r="L13" s="120">
        <v>2488</v>
      </c>
      <c r="M13" s="122">
        <v>8125198</v>
      </c>
      <c r="N13" s="120">
        <v>2411</v>
      </c>
      <c r="O13" s="132">
        <v>83</v>
      </c>
      <c r="P13" s="132">
        <v>9</v>
      </c>
      <c r="Q13" s="133">
        <v>2503</v>
      </c>
      <c r="R13" s="14" t="str">
        <f t="shared" si="0"/>
        <v>小樽</v>
      </c>
    </row>
    <row r="14" spans="1:18" ht="18.75" customHeight="1">
      <c r="A14" s="11" t="s">
        <v>15</v>
      </c>
      <c r="B14" s="120">
        <f>_xlfn.COMPOUNDVALUE(149)</f>
        <v>1665</v>
      </c>
      <c r="C14" s="121">
        <v>7679976</v>
      </c>
      <c r="D14" s="120">
        <f>_xlfn.COMPOUNDVALUE(150)</f>
        <v>1232</v>
      </c>
      <c r="E14" s="121">
        <v>639371</v>
      </c>
      <c r="F14" s="120">
        <f>_xlfn.COMPOUNDVALUE(151)</f>
        <v>2897</v>
      </c>
      <c r="G14" s="121">
        <v>8319346</v>
      </c>
      <c r="H14" s="120">
        <f>_xlfn.COMPOUNDVALUE(152)</f>
        <v>111</v>
      </c>
      <c r="I14" s="122">
        <v>542086</v>
      </c>
      <c r="J14" s="120">
        <v>217</v>
      </c>
      <c r="K14" s="122">
        <v>45528</v>
      </c>
      <c r="L14" s="120">
        <v>3070</v>
      </c>
      <c r="M14" s="122">
        <v>7822788</v>
      </c>
      <c r="N14" s="120">
        <v>3058</v>
      </c>
      <c r="O14" s="132">
        <v>80</v>
      </c>
      <c r="P14" s="132">
        <v>9</v>
      </c>
      <c r="Q14" s="133">
        <v>3147</v>
      </c>
      <c r="R14" s="14" t="str">
        <f t="shared" si="0"/>
        <v>旭川中</v>
      </c>
    </row>
    <row r="15" spans="1:18" ht="18.75" customHeight="1">
      <c r="A15" s="11" t="s">
        <v>16</v>
      </c>
      <c r="B15" s="120">
        <f>_xlfn.COMPOUNDVALUE(153)</f>
        <v>3129</v>
      </c>
      <c r="C15" s="121">
        <v>12386082</v>
      </c>
      <c r="D15" s="120">
        <f>_xlfn.COMPOUNDVALUE(154)</f>
        <v>2503</v>
      </c>
      <c r="E15" s="121">
        <v>1192851</v>
      </c>
      <c r="F15" s="120">
        <f>_xlfn.COMPOUNDVALUE(155)</f>
        <v>5632</v>
      </c>
      <c r="G15" s="121">
        <v>13578934</v>
      </c>
      <c r="H15" s="120">
        <f>_xlfn.COMPOUNDVALUE(156)</f>
        <v>231</v>
      </c>
      <c r="I15" s="122">
        <v>693504</v>
      </c>
      <c r="J15" s="120">
        <v>319</v>
      </c>
      <c r="K15" s="122">
        <v>69860</v>
      </c>
      <c r="L15" s="120">
        <v>5920</v>
      </c>
      <c r="M15" s="122">
        <v>12955290</v>
      </c>
      <c r="N15" s="120">
        <v>5976</v>
      </c>
      <c r="O15" s="132">
        <v>140</v>
      </c>
      <c r="P15" s="132">
        <v>11</v>
      </c>
      <c r="Q15" s="133">
        <v>6127</v>
      </c>
      <c r="R15" s="14" t="str">
        <f t="shared" si="0"/>
        <v>旭川東</v>
      </c>
    </row>
    <row r="16" spans="1:18" ht="18.75" customHeight="1">
      <c r="A16" s="11" t="s">
        <v>17</v>
      </c>
      <c r="B16" s="120">
        <f>_xlfn.COMPOUNDVALUE(157)</f>
        <v>1989</v>
      </c>
      <c r="C16" s="121">
        <v>10160280</v>
      </c>
      <c r="D16" s="120">
        <f>_xlfn.COMPOUNDVALUE(158)</f>
        <v>1594</v>
      </c>
      <c r="E16" s="121">
        <v>778798</v>
      </c>
      <c r="F16" s="120">
        <f>_xlfn.COMPOUNDVALUE(159)</f>
        <v>3583</v>
      </c>
      <c r="G16" s="121">
        <v>10939078</v>
      </c>
      <c r="H16" s="120">
        <f>_xlfn.COMPOUNDVALUE(160)</f>
        <v>97</v>
      </c>
      <c r="I16" s="122">
        <v>602905</v>
      </c>
      <c r="J16" s="120">
        <v>325</v>
      </c>
      <c r="K16" s="122">
        <v>69725</v>
      </c>
      <c r="L16" s="120">
        <v>3761</v>
      </c>
      <c r="M16" s="122">
        <v>10405898</v>
      </c>
      <c r="N16" s="120">
        <v>3717</v>
      </c>
      <c r="O16" s="132">
        <v>87</v>
      </c>
      <c r="P16" s="132">
        <v>5</v>
      </c>
      <c r="Q16" s="133">
        <v>3809</v>
      </c>
      <c r="R16" s="14" t="str">
        <f t="shared" si="0"/>
        <v>室蘭</v>
      </c>
    </row>
    <row r="17" spans="1:18" ht="18.75" customHeight="1">
      <c r="A17" s="11" t="s">
        <v>18</v>
      </c>
      <c r="B17" s="120">
        <f>_xlfn.COMPOUNDVALUE(161)</f>
        <v>3591</v>
      </c>
      <c r="C17" s="121">
        <v>13609142</v>
      </c>
      <c r="D17" s="120">
        <f>_xlfn.COMPOUNDVALUE(162)</f>
        <v>2198</v>
      </c>
      <c r="E17" s="121">
        <v>1109391</v>
      </c>
      <c r="F17" s="120">
        <f>_xlfn.COMPOUNDVALUE(163)</f>
        <v>5789</v>
      </c>
      <c r="G17" s="121">
        <v>14718534</v>
      </c>
      <c r="H17" s="120">
        <f>_xlfn.COMPOUNDVALUE(164)</f>
        <v>259</v>
      </c>
      <c r="I17" s="122">
        <v>1216565</v>
      </c>
      <c r="J17" s="120">
        <v>373</v>
      </c>
      <c r="K17" s="122">
        <v>15936</v>
      </c>
      <c r="L17" s="120">
        <v>6147</v>
      </c>
      <c r="M17" s="122">
        <v>13517905</v>
      </c>
      <c r="N17" s="120">
        <v>6029</v>
      </c>
      <c r="O17" s="132">
        <v>203</v>
      </c>
      <c r="P17" s="132">
        <v>8</v>
      </c>
      <c r="Q17" s="133">
        <v>6240</v>
      </c>
      <c r="R17" s="14" t="str">
        <f t="shared" si="0"/>
        <v>釧路</v>
      </c>
    </row>
    <row r="18" spans="1:18" ht="18.75" customHeight="1">
      <c r="A18" s="11" t="s">
        <v>19</v>
      </c>
      <c r="B18" s="120">
        <f>_xlfn.COMPOUNDVALUE(165)</f>
        <v>6429</v>
      </c>
      <c r="C18" s="121">
        <v>25266410</v>
      </c>
      <c r="D18" s="120">
        <f>_xlfn.COMPOUNDVALUE(166)</f>
        <v>3029</v>
      </c>
      <c r="E18" s="121">
        <v>1642764</v>
      </c>
      <c r="F18" s="120">
        <f>_xlfn.COMPOUNDVALUE(167)</f>
        <v>9458</v>
      </c>
      <c r="G18" s="121">
        <v>26909174</v>
      </c>
      <c r="H18" s="120">
        <f>_xlfn.COMPOUNDVALUE(168)</f>
        <v>844</v>
      </c>
      <c r="I18" s="122">
        <v>2532836</v>
      </c>
      <c r="J18" s="120">
        <v>579</v>
      </c>
      <c r="K18" s="122">
        <v>94977</v>
      </c>
      <c r="L18" s="120">
        <v>10438</v>
      </c>
      <c r="M18" s="122">
        <v>24471315</v>
      </c>
      <c r="N18" s="120">
        <v>10152</v>
      </c>
      <c r="O18" s="132">
        <v>503</v>
      </c>
      <c r="P18" s="132">
        <v>24</v>
      </c>
      <c r="Q18" s="133">
        <v>10679</v>
      </c>
      <c r="R18" s="14" t="str">
        <f t="shared" si="0"/>
        <v>帯広</v>
      </c>
    </row>
    <row r="19" spans="1:18" ht="18.75" customHeight="1">
      <c r="A19" s="11" t="s">
        <v>20</v>
      </c>
      <c r="B19" s="120">
        <f>_xlfn.COMPOUNDVALUE(169)</f>
        <v>2209</v>
      </c>
      <c r="C19" s="121">
        <v>8227878</v>
      </c>
      <c r="D19" s="120">
        <f>_xlfn.COMPOUNDVALUE(170)</f>
        <v>1701</v>
      </c>
      <c r="E19" s="121">
        <v>876620</v>
      </c>
      <c r="F19" s="120">
        <f>_xlfn.COMPOUNDVALUE(171)</f>
        <v>3910</v>
      </c>
      <c r="G19" s="121">
        <v>9104499</v>
      </c>
      <c r="H19" s="120">
        <f>_xlfn.COMPOUNDVALUE(172)</f>
        <v>161</v>
      </c>
      <c r="I19" s="122">
        <v>785276</v>
      </c>
      <c r="J19" s="120">
        <v>271</v>
      </c>
      <c r="K19" s="122">
        <v>47129</v>
      </c>
      <c r="L19" s="120">
        <v>4181</v>
      </c>
      <c r="M19" s="122">
        <v>8366352</v>
      </c>
      <c r="N19" s="120">
        <v>4073</v>
      </c>
      <c r="O19" s="132">
        <v>106</v>
      </c>
      <c r="P19" s="132">
        <v>10</v>
      </c>
      <c r="Q19" s="133">
        <v>4189</v>
      </c>
      <c r="R19" s="14" t="str">
        <f t="shared" si="0"/>
        <v>北見</v>
      </c>
    </row>
    <row r="20" spans="1:18" ht="18.75" customHeight="1">
      <c r="A20" s="11" t="s">
        <v>21</v>
      </c>
      <c r="B20" s="120">
        <f>_xlfn.COMPOUNDVALUE(173)</f>
        <v>1847</v>
      </c>
      <c r="C20" s="121">
        <v>6405935</v>
      </c>
      <c r="D20" s="120">
        <f>_xlfn.COMPOUNDVALUE(174)</f>
        <v>2460</v>
      </c>
      <c r="E20" s="121">
        <v>1028528</v>
      </c>
      <c r="F20" s="120">
        <f>_xlfn.COMPOUNDVALUE(175)</f>
        <v>4307</v>
      </c>
      <c r="G20" s="121">
        <v>7434462</v>
      </c>
      <c r="H20" s="120">
        <f>_xlfn.COMPOUNDVALUE(176)</f>
        <v>382</v>
      </c>
      <c r="I20" s="122">
        <v>725499</v>
      </c>
      <c r="J20" s="120">
        <v>232</v>
      </c>
      <c r="K20" s="122">
        <v>37603</v>
      </c>
      <c r="L20" s="120">
        <v>4741</v>
      </c>
      <c r="M20" s="122">
        <v>6746566</v>
      </c>
      <c r="N20" s="120">
        <v>4669</v>
      </c>
      <c r="O20" s="132">
        <v>177</v>
      </c>
      <c r="P20" s="132">
        <v>7</v>
      </c>
      <c r="Q20" s="133">
        <v>4853</v>
      </c>
      <c r="R20" s="14" t="str">
        <f t="shared" si="0"/>
        <v>岩見沢</v>
      </c>
    </row>
    <row r="21" spans="1:18" ht="18.75" customHeight="1">
      <c r="A21" s="11" t="s">
        <v>22</v>
      </c>
      <c r="B21" s="120">
        <f>_xlfn.COMPOUNDVALUE(177)</f>
        <v>1911</v>
      </c>
      <c r="C21" s="121">
        <v>6270865</v>
      </c>
      <c r="D21" s="120">
        <f>_xlfn.COMPOUNDVALUE(178)</f>
        <v>1347</v>
      </c>
      <c r="E21" s="121">
        <v>649825</v>
      </c>
      <c r="F21" s="120">
        <f>_xlfn.COMPOUNDVALUE(179)</f>
        <v>3258</v>
      </c>
      <c r="G21" s="121">
        <v>6920690</v>
      </c>
      <c r="H21" s="120">
        <f>_xlfn.COMPOUNDVALUE(180)</f>
        <v>591</v>
      </c>
      <c r="I21" s="122">
        <v>339957</v>
      </c>
      <c r="J21" s="120">
        <v>129</v>
      </c>
      <c r="K21" s="122">
        <v>31948</v>
      </c>
      <c r="L21" s="120">
        <v>3897</v>
      </c>
      <c r="M21" s="122">
        <v>6612681</v>
      </c>
      <c r="N21" s="120">
        <v>4098</v>
      </c>
      <c r="O21" s="132">
        <v>114</v>
      </c>
      <c r="P21" s="132">
        <v>4</v>
      </c>
      <c r="Q21" s="133">
        <v>4216</v>
      </c>
      <c r="R21" s="14" t="str">
        <f t="shared" si="0"/>
        <v>網走</v>
      </c>
    </row>
    <row r="22" spans="1:18" ht="18.75" customHeight="1">
      <c r="A22" s="11" t="s">
        <v>23</v>
      </c>
      <c r="B22" s="120">
        <f>_xlfn.COMPOUNDVALUE(181)</f>
        <v>612</v>
      </c>
      <c r="C22" s="121">
        <v>2034551</v>
      </c>
      <c r="D22" s="120">
        <f>_xlfn.COMPOUNDVALUE(182)</f>
        <v>638</v>
      </c>
      <c r="E22" s="121">
        <v>269778</v>
      </c>
      <c r="F22" s="120">
        <f>_xlfn.COMPOUNDVALUE(183)</f>
        <v>1250</v>
      </c>
      <c r="G22" s="121">
        <v>2304329</v>
      </c>
      <c r="H22" s="120">
        <f>_xlfn.COMPOUNDVALUE(184)</f>
        <v>57</v>
      </c>
      <c r="I22" s="122">
        <v>124981</v>
      </c>
      <c r="J22" s="120">
        <v>63</v>
      </c>
      <c r="K22" s="122">
        <v>10556</v>
      </c>
      <c r="L22" s="120">
        <v>1321</v>
      </c>
      <c r="M22" s="122">
        <v>2189904</v>
      </c>
      <c r="N22" s="120">
        <v>1322</v>
      </c>
      <c r="O22" s="132">
        <v>37</v>
      </c>
      <c r="P22" s="132">
        <v>1</v>
      </c>
      <c r="Q22" s="133">
        <v>1360</v>
      </c>
      <c r="R22" s="14" t="str">
        <f t="shared" si="0"/>
        <v>留萌</v>
      </c>
    </row>
    <row r="23" spans="1:18" ht="18.75" customHeight="1">
      <c r="A23" s="11" t="s">
        <v>24</v>
      </c>
      <c r="B23" s="120">
        <f>_xlfn.COMPOUNDVALUE(185)</f>
        <v>2977</v>
      </c>
      <c r="C23" s="121">
        <v>18127759</v>
      </c>
      <c r="D23" s="120">
        <f>_xlfn.COMPOUNDVALUE(186)</f>
        <v>2203</v>
      </c>
      <c r="E23" s="121">
        <v>1098293</v>
      </c>
      <c r="F23" s="120">
        <f>_xlfn.COMPOUNDVALUE(187)</f>
        <v>5180</v>
      </c>
      <c r="G23" s="121">
        <v>19226052</v>
      </c>
      <c r="H23" s="120">
        <f>_xlfn.COMPOUNDVALUE(188)</f>
        <v>233</v>
      </c>
      <c r="I23" s="122">
        <v>894249</v>
      </c>
      <c r="J23" s="120">
        <v>358</v>
      </c>
      <c r="K23" s="122">
        <v>54816</v>
      </c>
      <c r="L23" s="120">
        <v>5525</v>
      </c>
      <c r="M23" s="122">
        <v>18386619</v>
      </c>
      <c r="N23" s="120">
        <v>5381</v>
      </c>
      <c r="O23" s="132">
        <v>168</v>
      </c>
      <c r="P23" s="132">
        <v>12</v>
      </c>
      <c r="Q23" s="133">
        <v>5561</v>
      </c>
      <c r="R23" s="14" t="str">
        <f t="shared" si="0"/>
        <v>苫小牧</v>
      </c>
    </row>
    <row r="24" spans="1:18" ht="18.75" customHeight="1">
      <c r="A24" s="13" t="s">
        <v>25</v>
      </c>
      <c r="B24" s="123">
        <f>_xlfn.COMPOUNDVALUE(189)</f>
        <v>1908</v>
      </c>
      <c r="C24" s="124">
        <v>5867306</v>
      </c>
      <c r="D24" s="123">
        <f>_xlfn.COMPOUNDVALUE(190)</f>
        <v>1418</v>
      </c>
      <c r="E24" s="124">
        <v>743467</v>
      </c>
      <c r="F24" s="123">
        <f>_xlfn.COMPOUNDVALUE(191)</f>
        <v>3326</v>
      </c>
      <c r="G24" s="124">
        <v>6610773</v>
      </c>
      <c r="H24" s="123">
        <f>_xlfn.COMPOUNDVALUE(192)</f>
        <v>165</v>
      </c>
      <c r="I24" s="125">
        <v>698292</v>
      </c>
      <c r="J24" s="123">
        <v>106</v>
      </c>
      <c r="K24" s="125">
        <v>13728</v>
      </c>
      <c r="L24" s="123">
        <v>3508</v>
      </c>
      <c r="M24" s="125">
        <v>5926209</v>
      </c>
      <c r="N24" s="120">
        <v>3432</v>
      </c>
      <c r="O24" s="132">
        <v>122</v>
      </c>
      <c r="P24" s="132">
        <v>7</v>
      </c>
      <c r="Q24" s="133">
        <v>3561</v>
      </c>
      <c r="R24" s="14" t="str">
        <f t="shared" si="0"/>
        <v>稚内</v>
      </c>
    </row>
    <row r="25" spans="1:18" ht="18.75" customHeight="1">
      <c r="A25" s="13" t="s">
        <v>26</v>
      </c>
      <c r="B25" s="123">
        <f>_xlfn.COMPOUNDVALUE(193)</f>
        <v>1306</v>
      </c>
      <c r="C25" s="124">
        <v>4431112</v>
      </c>
      <c r="D25" s="123">
        <f>_xlfn.COMPOUNDVALUE(194)</f>
        <v>1036</v>
      </c>
      <c r="E25" s="124">
        <v>547008</v>
      </c>
      <c r="F25" s="123">
        <f>_xlfn.COMPOUNDVALUE(195)</f>
        <v>2342</v>
      </c>
      <c r="G25" s="124">
        <v>4978120</v>
      </c>
      <c r="H25" s="123">
        <f>_xlfn.COMPOUNDVALUE(196)</f>
        <v>126</v>
      </c>
      <c r="I25" s="125">
        <v>565472</v>
      </c>
      <c r="J25" s="123">
        <v>85</v>
      </c>
      <c r="K25" s="125">
        <v>32892</v>
      </c>
      <c r="L25" s="123">
        <v>2492</v>
      </c>
      <c r="M25" s="125">
        <v>4445540</v>
      </c>
      <c r="N25" s="120">
        <v>2339</v>
      </c>
      <c r="O25" s="132">
        <v>134</v>
      </c>
      <c r="P25" s="132">
        <v>4</v>
      </c>
      <c r="Q25" s="133">
        <v>2477</v>
      </c>
      <c r="R25" s="14" t="str">
        <f t="shared" si="0"/>
        <v>紋別</v>
      </c>
    </row>
    <row r="26" spans="1:18" ht="18.75" customHeight="1">
      <c r="A26" s="13" t="s">
        <v>27</v>
      </c>
      <c r="B26" s="123">
        <f>_xlfn.COMPOUNDVALUE(197)</f>
        <v>973</v>
      </c>
      <c r="C26" s="124">
        <v>2909748</v>
      </c>
      <c r="D26" s="123">
        <f>_xlfn.COMPOUNDVALUE(198)</f>
        <v>931</v>
      </c>
      <c r="E26" s="124">
        <v>367170</v>
      </c>
      <c r="F26" s="123">
        <f>_xlfn.COMPOUNDVALUE(199)</f>
        <v>1904</v>
      </c>
      <c r="G26" s="124">
        <v>3276917</v>
      </c>
      <c r="H26" s="123">
        <f>_xlfn.COMPOUNDVALUE(200)</f>
        <v>235</v>
      </c>
      <c r="I26" s="125">
        <v>413966</v>
      </c>
      <c r="J26" s="123">
        <v>75</v>
      </c>
      <c r="K26" s="125">
        <v>13186</v>
      </c>
      <c r="L26" s="123">
        <v>2161</v>
      </c>
      <c r="M26" s="125">
        <v>2876137</v>
      </c>
      <c r="N26" s="120">
        <v>2041</v>
      </c>
      <c r="O26" s="132">
        <v>93</v>
      </c>
      <c r="P26" s="132">
        <v>2</v>
      </c>
      <c r="Q26" s="133">
        <v>2136</v>
      </c>
      <c r="R26" s="14" t="str">
        <f t="shared" si="0"/>
        <v>名寄</v>
      </c>
    </row>
    <row r="27" spans="1:18" ht="18.75" customHeight="1">
      <c r="A27" s="13" t="s">
        <v>28</v>
      </c>
      <c r="B27" s="123">
        <f>_xlfn.COMPOUNDVALUE(201)</f>
        <v>2245</v>
      </c>
      <c r="C27" s="124">
        <v>6458734</v>
      </c>
      <c r="D27" s="123">
        <f>_xlfn.COMPOUNDVALUE(202)</f>
        <v>1860</v>
      </c>
      <c r="E27" s="124">
        <v>840428</v>
      </c>
      <c r="F27" s="123">
        <f>_xlfn.COMPOUNDVALUE(203)</f>
        <v>4105</v>
      </c>
      <c r="G27" s="124">
        <v>7299162</v>
      </c>
      <c r="H27" s="123">
        <f>_xlfn.COMPOUNDVALUE(204)</f>
        <v>225</v>
      </c>
      <c r="I27" s="125">
        <v>934878</v>
      </c>
      <c r="J27" s="123">
        <v>151</v>
      </c>
      <c r="K27" s="125">
        <v>-3536</v>
      </c>
      <c r="L27" s="123">
        <v>4377</v>
      </c>
      <c r="M27" s="125">
        <v>6360748</v>
      </c>
      <c r="N27" s="120">
        <v>4136</v>
      </c>
      <c r="O27" s="132">
        <v>197</v>
      </c>
      <c r="P27" s="132">
        <v>5</v>
      </c>
      <c r="Q27" s="133">
        <v>4338</v>
      </c>
      <c r="R27" s="14" t="str">
        <f t="shared" si="0"/>
        <v>根室</v>
      </c>
    </row>
    <row r="28" spans="1:18" ht="18.75" customHeight="1">
      <c r="A28" s="13" t="s">
        <v>29</v>
      </c>
      <c r="B28" s="123">
        <f>_xlfn.COMPOUNDVALUE(205)</f>
        <v>1002</v>
      </c>
      <c r="C28" s="124">
        <v>5912963</v>
      </c>
      <c r="D28" s="123">
        <f>_xlfn.COMPOUNDVALUE(206)</f>
        <v>1210</v>
      </c>
      <c r="E28" s="124">
        <v>537568</v>
      </c>
      <c r="F28" s="123">
        <f>_xlfn.COMPOUNDVALUE(207)</f>
        <v>2212</v>
      </c>
      <c r="G28" s="124">
        <v>6450531</v>
      </c>
      <c r="H28" s="123">
        <f>_xlfn.COMPOUNDVALUE(208)</f>
        <v>63</v>
      </c>
      <c r="I28" s="125">
        <v>123907</v>
      </c>
      <c r="J28" s="123">
        <v>138</v>
      </c>
      <c r="K28" s="125">
        <v>19932</v>
      </c>
      <c r="L28" s="123">
        <v>2314</v>
      </c>
      <c r="M28" s="125">
        <v>6346556</v>
      </c>
      <c r="N28" s="120">
        <v>2362</v>
      </c>
      <c r="O28" s="132">
        <v>55</v>
      </c>
      <c r="P28" s="132">
        <v>1</v>
      </c>
      <c r="Q28" s="133">
        <v>2418</v>
      </c>
      <c r="R28" s="14" t="str">
        <f t="shared" si="0"/>
        <v>滝川</v>
      </c>
    </row>
    <row r="29" spans="1:18" ht="18.75" customHeight="1">
      <c r="A29" s="13" t="s">
        <v>30</v>
      </c>
      <c r="B29" s="123">
        <f>_xlfn.COMPOUNDVALUE(209)</f>
        <v>469</v>
      </c>
      <c r="C29" s="124">
        <v>1636406</v>
      </c>
      <c r="D29" s="123">
        <f>_xlfn.COMPOUNDVALUE(210)</f>
        <v>1121</v>
      </c>
      <c r="E29" s="124">
        <v>440768</v>
      </c>
      <c r="F29" s="123">
        <f>_xlfn.COMPOUNDVALUE(211)</f>
        <v>1590</v>
      </c>
      <c r="G29" s="124">
        <v>2077174</v>
      </c>
      <c r="H29" s="123">
        <f>_xlfn.COMPOUNDVALUE(212)</f>
        <v>79</v>
      </c>
      <c r="I29" s="125">
        <v>116826</v>
      </c>
      <c r="J29" s="123">
        <v>76</v>
      </c>
      <c r="K29" s="125">
        <v>8649</v>
      </c>
      <c r="L29" s="123">
        <v>1688</v>
      </c>
      <c r="M29" s="125">
        <v>1968997</v>
      </c>
      <c r="N29" s="120">
        <v>1644</v>
      </c>
      <c r="O29" s="132">
        <v>27</v>
      </c>
      <c r="P29" s="132">
        <v>1</v>
      </c>
      <c r="Q29" s="133">
        <v>1672</v>
      </c>
      <c r="R29" s="14" t="str">
        <f t="shared" si="0"/>
        <v>深川</v>
      </c>
    </row>
    <row r="30" spans="1:18" ht="18.75" customHeight="1">
      <c r="A30" s="13" t="s">
        <v>31</v>
      </c>
      <c r="B30" s="123">
        <f>_xlfn.COMPOUNDVALUE(213)</f>
        <v>563</v>
      </c>
      <c r="C30" s="124">
        <v>2370768</v>
      </c>
      <c r="D30" s="123">
        <f>_xlfn.COMPOUNDVALUE(214)</f>
        <v>861</v>
      </c>
      <c r="E30" s="124">
        <v>361543</v>
      </c>
      <c r="F30" s="123">
        <f>_xlfn.COMPOUNDVALUE(215)</f>
        <v>1424</v>
      </c>
      <c r="G30" s="124">
        <v>2732311</v>
      </c>
      <c r="H30" s="123">
        <f>_xlfn.COMPOUNDVALUE(216)</f>
        <v>94</v>
      </c>
      <c r="I30" s="125">
        <v>219616</v>
      </c>
      <c r="J30" s="123">
        <v>96</v>
      </c>
      <c r="K30" s="125">
        <v>18697</v>
      </c>
      <c r="L30" s="123">
        <v>1543</v>
      </c>
      <c r="M30" s="125">
        <v>2531392</v>
      </c>
      <c r="N30" s="120">
        <v>1487</v>
      </c>
      <c r="O30" s="132">
        <v>53</v>
      </c>
      <c r="P30" s="132">
        <v>5</v>
      </c>
      <c r="Q30" s="133">
        <v>1545</v>
      </c>
      <c r="R30" s="14" t="str">
        <f t="shared" si="0"/>
        <v>富良野</v>
      </c>
    </row>
    <row r="31" spans="1:18" ht="18.75" customHeight="1">
      <c r="A31" s="13" t="s">
        <v>32</v>
      </c>
      <c r="B31" s="123">
        <f>_xlfn.COMPOUNDVALUE(217)</f>
        <v>878</v>
      </c>
      <c r="C31" s="124">
        <v>2268149</v>
      </c>
      <c r="D31" s="123">
        <f>_xlfn.COMPOUNDVALUE(218)</f>
        <v>1301</v>
      </c>
      <c r="E31" s="124">
        <v>588684</v>
      </c>
      <c r="F31" s="123">
        <f>_xlfn.COMPOUNDVALUE(219)</f>
        <v>2179</v>
      </c>
      <c r="G31" s="124">
        <v>2856833</v>
      </c>
      <c r="H31" s="123">
        <f>_xlfn.COMPOUNDVALUE(220)</f>
        <v>63</v>
      </c>
      <c r="I31" s="125">
        <v>488359</v>
      </c>
      <c r="J31" s="123">
        <v>98</v>
      </c>
      <c r="K31" s="125">
        <v>37217</v>
      </c>
      <c r="L31" s="123">
        <v>2258</v>
      </c>
      <c r="M31" s="125">
        <v>2405691</v>
      </c>
      <c r="N31" s="120">
        <v>2151</v>
      </c>
      <c r="O31" s="132">
        <v>47</v>
      </c>
      <c r="P31" s="154" t="s">
        <v>113</v>
      </c>
      <c r="Q31" s="133">
        <v>2198</v>
      </c>
      <c r="R31" s="14" t="str">
        <f t="shared" si="0"/>
        <v>八雲</v>
      </c>
    </row>
    <row r="32" spans="1:18" ht="18.75" customHeight="1">
      <c r="A32" s="13" t="s">
        <v>33</v>
      </c>
      <c r="B32" s="123">
        <f>_xlfn.COMPOUNDVALUE(221)</f>
        <v>313</v>
      </c>
      <c r="C32" s="124">
        <v>1130941</v>
      </c>
      <c r="D32" s="123">
        <f>_xlfn.COMPOUNDVALUE(222)</f>
        <v>347</v>
      </c>
      <c r="E32" s="124">
        <v>141964</v>
      </c>
      <c r="F32" s="123">
        <f>_xlfn.COMPOUNDVALUE(223)</f>
        <v>660</v>
      </c>
      <c r="G32" s="124">
        <v>1272905</v>
      </c>
      <c r="H32" s="123">
        <f>_xlfn.COMPOUNDVALUE(224)</f>
        <v>30</v>
      </c>
      <c r="I32" s="125">
        <v>44854</v>
      </c>
      <c r="J32" s="123">
        <v>56</v>
      </c>
      <c r="K32" s="125">
        <v>-1165</v>
      </c>
      <c r="L32" s="123">
        <v>704</v>
      </c>
      <c r="M32" s="125">
        <v>1226886</v>
      </c>
      <c r="N32" s="120">
        <v>736</v>
      </c>
      <c r="O32" s="132">
        <v>27</v>
      </c>
      <c r="P32" s="132">
        <v>2</v>
      </c>
      <c r="Q32" s="133">
        <v>765</v>
      </c>
      <c r="R32" s="14" t="str">
        <f t="shared" si="0"/>
        <v>江差</v>
      </c>
    </row>
    <row r="33" spans="1:18" ht="18.75" customHeight="1">
      <c r="A33" s="13" t="s">
        <v>34</v>
      </c>
      <c r="B33" s="123">
        <f>_xlfn.COMPOUNDVALUE(225)</f>
        <v>1387</v>
      </c>
      <c r="C33" s="124">
        <v>4032940</v>
      </c>
      <c r="D33" s="123">
        <f>_xlfn.COMPOUNDVALUE(226)</f>
        <v>1150</v>
      </c>
      <c r="E33" s="124">
        <v>498258</v>
      </c>
      <c r="F33" s="123">
        <f>_xlfn.COMPOUNDVALUE(227)</f>
        <v>2537</v>
      </c>
      <c r="G33" s="124">
        <v>4531198</v>
      </c>
      <c r="H33" s="123">
        <f>_xlfn.COMPOUNDVALUE(228)</f>
        <v>396</v>
      </c>
      <c r="I33" s="125">
        <v>1775911</v>
      </c>
      <c r="J33" s="123">
        <v>133</v>
      </c>
      <c r="K33" s="125">
        <v>24599</v>
      </c>
      <c r="L33" s="123">
        <v>2965</v>
      </c>
      <c r="M33" s="125">
        <v>2779886</v>
      </c>
      <c r="N33" s="120">
        <v>2479</v>
      </c>
      <c r="O33" s="132">
        <v>452</v>
      </c>
      <c r="P33" s="132">
        <v>10</v>
      </c>
      <c r="Q33" s="133">
        <v>2941</v>
      </c>
      <c r="R33" s="14" t="str">
        <f t="shared" si="0"/>
        <v>倶知安</v>
      </c>
    </row>
    <row r="34" spans="1:18" ht="18.75" customHeight="1">
      <c r="A34" s="13" t="s">
        <v>35</v>
      </c>
      <c r="B34" s="123">
        <f>_xlfn.COMPOUNDVALUE(229)</f>
        <v>385</v>
      </c>
      <c r="C34" s="124">
        <v>3037233</v>
      </c>
      <c r="D34" s="123">
        <f>_xlfn.COMPOUNDVALUE(230)</f>
        <v>526</v>
      </c>
      <c r="E34" s="124">
        <v>205966</v>
      </c>
      <c r="F34" s="123">
        <f>_xlfn.COMPOUNDVALUE(231)</f>
        <v>911</v>
      </c>
      <c r="G34" s="124">
        <v>3243199</v>
      </c>
      <c r="H34" s="123">
        <f>_xlfn.COMPOUNDVALUE(232)</f>
        <v>41</v>
      </c>
      <c r="I34" s="125">
        <v>141180</v>
      </c>
      <c r="J34" s="123">
        <v>59</v>
      </c>
      <c r="K34" s="125">
        <v>10186</v>
      </c>
      <c r="L34" s="123">
        <v>970</v>
      </c>
      <c r="M34" s="125">
        <v>3112205</v>
      </c>
      <c r="N34" s="120">
        <v>904</v>
      </c>
      <c r="O34" s="132">
        <v>32</v>
      </c>
      <c r="P34" s="132">
        <v>3</v>
      </c>
      <c r="Q34" s="133">
        <v>939</v>
      </c>
      <c r="R34" s="14" t="str">
        <f t="shared" si="0"/>
        <v>余市</v>
      </c>
    </row>
    <row r="35" spans="1:18" ht="18.75" customHeight="1">
      <c r="A35" s="13" t="s">
        <v>36</v>
      </c>
      <c r="B35" s="123">
        <f>_xlfn.COMPOUNDVALUE(233)</f>
        <v>992</v>
      </c>
      <c r="C35" s="124">
        <v>3137552</v>
      </c>
      <c r="D35" s="123">
        <f>_xlfn.COMPOUNDVALUE(234)</f>
        <v>889</v>
      </c>
      <c r="E35" s="124">
        <v>421827</v>
      </c>
      <c r="F35" s="123">
        <f>_xlfn.COMPOUNDVALUE(235)</f>
        <v>1881</v>
      </c>
      <c r="G35" s="124">
        <v>3559380</v>
      </c>
      <c r="H35" s="123">
        <f>_xlfn.COMPOUNDVALUE(236)</f>
        <v>108</v>
      </c>
      <c r="I35" s="125">
        <v>126885</v>
      </c>
      <c r="J35" s="123">
        <v>68</v>
      </c>
      <c r="K35" s="125">
        <v>-3557</v>
      </c>
      <c r="L35" s="123">
        <v>2012</v>
      </c>
      <c r="M35" s="125">
        <v>3428938</v>
      </c>
      <c r="N35" s="120">
        <v>1964</v>
      </c>
      <c r="O35" s="132">
        <v>65</v>
      </c>
      <c r="P35" s="132">
        <v>6</v>
      </c>
      <c r="Q35" s="133">
        <v>2035</v>
      </c>
      <c r="R35" s="14" t="str">
        <f t="shared" si="0"/>
        <v>浦河</v>
      </c>
    </row>
    <row r="36" spans="1:18" ht="18.75" customHeight="1" thickBot="1">
      <c r="A36" s="87" t="s">
        <v>37</v>
      </c>
      <c r="B36" s="126">
        <f>_xlfn.COMPOUNDVALUE(237)</f>
        <v>1066</v>
      </c>
      <c r="C36" s="127">
        <v>2263740</v>
      </c>
      <c r="D36" s="126">
        <f>_xlfn.COMPOUNDVALUE(238)</f>
        <v>346</v>
      </c>
      <c r="E36" s="127">
        <v>162521</v>
      </c>
      <c r="F36" s="126">
        <f>_xlfn.COMPOUNDVALUE(239)</f>
        <v>1412</v>
      </c>
      <c r="G36" s="127">
        <v>2426262</v>
      </c>
      <c r="H36" s="126">
        <f>_xlfn.COMPOUNDVALUE(240)</f>
        <v>227</v>
      </c>
      <c r="I36" s="128">
        <v>334942</v>
      </c>
      <c r="J36" s="126">
        <v>62</v>
      </c>
      <c r="K36" s="128">
        <v>3507</v>
      </c>
      <c r="L36" s="126">
        <v>1652</v>
      </c>
      <c r="M36" s="128">
        <v>2094827</v>
      </c>
      <c r="N36" s="126">
        <v>1587</v>
      </c>
      <c r="O36" s="134">
        <v>112</v>
      </c>
      <c r="P36" s="134">
        <v>1</v>
      </c>
      <c r="Q36" s="135">
        <v>1700</v>
      </c>
      <c r="R36" s="85" t="str">
        <f t="shared" si="0"/>
        <v>十勝池田</v>
      </c>
    </row>
    <row r="37" spans="1:18" s="15" customFormat="1" ht="18.75" customHeight="1" thickBot="1" thickTop="1">
      <c r="A37" s="16" t="s">
        <v>43</v>
      </c>
      <c r="B37" s="129">
        <v>76002</v>
      </c>
      <c r="C37" s="130">
        <v>408132580</v>
      </c>
      <c r="D37" s="129">
        <v>51610</v>
      </c>
      <c r="E37" s="130">
        <v>25846644</v>
      </c>
      <c r="F37" s="129">
        <v>127612</v>
      </c>
      <c r="G37" s="130">
        <v>433979224</v>
      </c>
      <c r="H37" s="129">
        <v>7669</v>
      </c>
      <c r="I37" s="131">
        <v>30250404</v>
      </c>
      <c r="J37" s="129">
        <v>8302</v>
      </c>
      <c r="K37" s="131">
        <v>1403957</v>
      </c>
      <c r="L37" s="129">
        <v>137515</v>
      </c>
      <c r="M37" s="131">
        <v>405132777</v>
      </c>
      <c r="N37" s="129">
        <v>136011</v>
      </c>
      <c r="O37" s="136">
        <v>5034</v>
      </c>
      <c r="P37" s="136">
        <v>413</v>
      </c>
      <c r="Q37" s="137">
        <v>141458</v>
      </c>
      <c r="R37" s="17" t="str">
        <f t="shared" si="0"/>
        <v>合　　計</v>
      </c>
    </row>
    <row r="38" spans="1:18" s="33" customFormat="1" ht="3" customHeight="1">
      <c r="A38" s="29"/>
      <c r="B38" s="30"/>
      <c r="C38" s="30"/>
      <c r="D38" s="30"/>
      <c r="E38" s="30"/>
      <c r="F38" s="30"/>
      <c r="G38" s="30"/>
      <c r="H38" s="30"/>
      <c r="I38" s="30"/>
      <c r="J38" s="30"/>
      <c r="K38" s="30"/>
      <c r="L38" s="30"/>
      <c r="M38" s="30"/>
      <c r="N38" s="30"/>
      <c r="O38" s="30"/>
      <c r="P38" s="30"/>
      <c r="Q38" s="30"/>
      <c r="R38" s="29"/>
    </row>
    <row r="39" spans="1:17" ht="13.5">
      <c r="A39" s="185" t="s">
        <v>100</v>
      </c>
      <c r="B39" s="185"/>
      <c r="C39" s="185"/>
      <c r="D39" s="185"/>
      <c r="E39" s="185"/>
      <c r="F39" s="185"/>
      <c r="G39" s="185"/>
      <c r="H39" s="185"/>
      <c r="I39" s="185"/>
      <c r="J39" s="185"/>
      <c r="K39" s="185"/>
      <c r="L39" s="185"/>
      <c r="M39" s="185"/>
      <c r="N39" s="185"/>
      <c r="O39" s="185"/>
      <c r="P39" s="185"/>
      <c r="Q39" s="185"/>
    </row>
    <row r="40" spans="1:9" ht="13.5">
      <c r="A40" s="185"/>
      <c r="B40" s="185"/>
      <c r="C40" s="185"/>
      <c r="D40" s="185"/>
      <c r="E40" s="185"/>
      <c r="F40" s="185"/>
      <c r="G40" s="185"/>
      <c r="H40" s="185"/>
      <c r="I40" s="185"/>
    </row>
  </sheetData>
  <sheetProtection/>
  <mergeCells count="17">
    <mergeCell ref="A40:I40"/>
    <mergeCell ref="N3:Q3"/>
    <mergeCell ref="A2:I2"/>
    <mergeCell ref="A3:A5"/>
    <mergeCell ref="B3:G3"/>
    <mergeCell ref="H3:I4"/>
    <mergeCell ref="A39:Q39"/>
    <mergeCell ref="R3:R5"/>
    <mergeCell ref="B4:C4"/>
    <mergeCell ref="D4:E4"/>
    <mergeCell ref="F4:G4"/>
    <mergeCell ref="N4:N5"/>
    <mergeCell ref="O4:O5"/>
    <mergeCell ref="P4:P5"/>
    <mergeCell ref="Q4:Q5"/>
    <mergeCell ref="J3:K4"/>
    <mergeCell ref="L3:M4"/>
  </mergeCells>
  <printOptions horizontalCentered="1"/>
  <pageMargins left="0.7874015748031497" right="0.5511811023622047" top="0.9055118110236221" bottom="0.1968503937007874" header="0.5118110236220472" footer="0.31496062992125984"/>
  <pageSetup fitToHeight="0" horizontalDpi="600" verticalDpi="600" orientation="landscape" paperSize="9" scale="72" r:id="rId1"/>
  <headerFooter alignWithMargins="0">
    <oddFooter>&amp;R札幌国税局　
消費税
（H30）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2020-08-26T02:26:17Z</cp:lastPrinted>
  <dcterms:created xsi:type="dcterms:W3CDTF">2011-12-09T10:59:54Z</dcterms:created>
  <dcterms:modified xsi:type="dcterms:W3CDTF">2020-08-26T02:35:34Z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