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40" windowHeight="6525"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calcMode="manual" fullCalcOnLoad="1"/>
</workbook>
</file>

<file path=xl/sharedStrings.xml><?xml version="1.0" encoding="utf-8"?>
<sst xmlns="http://schemas.openxmlformats.org/spreadsheetml/2006/main" count="351" uniqueCount="112">
  <si>
    <t>(4)　税務署別課税状況</t>
  </si>
  <si>
    <t>　イ　個人事業者</t>
  </si>
  <si>
    <t>還付申告及び処理</t>
  </si>
  <si>
    <t>既往年分の
申告及び処理</t>
  </si>
  <si>
    <t>合　　　　　　計</t>
  </si>
  <si>
    <t>税務署名</t>
  </si>
  <si>
    <t>簡易申告及び処理</t>
  </si>
  <si>
    <t>小　　　　　　計</t>
  </si>
  <si>
    <t>件数</t>
  </si>
  <si>
    <t>税額</t>
  </si>
  <si>
    <t>件</t>
  </si>
  <si>
    <t>千円</t>
  </si>
  <si>
    <t>札幌中</t>
  </si>
  <si>
    <t>札幌北</t>
  </si>
  <si>
    <t>札幌南</t>
  </si>
  <si>
    <t>札幌西</t>
  </si>
  <si>
    <t>札幌東</t>
  </si>
  <si>
    <t>函館</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</si>
  <si>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</si>
  <si>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</si>
  <si>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</si>
  <si>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</si>
  <si>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</si>
  <si>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</si>
  <si>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</si>
  <si>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</si>
  <si>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</si>
  <si>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</si>
  <si>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</si>
  <si>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</si>
  <si>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</si>
  <si>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</si>
  <si>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</si>
  <si>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</si>
  <si>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</si>
  <si>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</si>
  <si>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</si>
  <si>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</si>
  <si>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</si>
  <si>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</si>
  <si>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</si>
  <si>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</si>
  <si>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(4)　税務署別課税状況（続）</t>
  </si>
  <si>
    <t>　ロ　法　　　人</t>
  </si>
  <si>
    <t>税務署名</t>
  </si>
  <si>
    <t>　ハ　個人事業者と法人の合計</t>
  </si>
  <si>
    <t>課税事業者
届出</t>
  </si>
  <si>
    <t>合　　　計</t>
  </si>
  <si>
    <t>合　　計</t>
  </si>
  <si>
    <t>調査対象等：</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</si>
  <si>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</si>
  <si>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</si>
  <si>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</si>
  <si>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</si>
  <si>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</si>
  <si>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</si>
  <si>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</si>
  <si>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</si>
  <si>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</si>
  <si>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</si>
  <si>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</si>
  <si>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</si>
  <si>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</si>
  <si>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</si>
  <si>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</si>
  <si>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</si>
  <si>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</si>
  <si>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</si>
  <si>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</si>
  <si>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</si>
  <si>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</si>
  <si>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</si>
  <si>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</si>
  <si>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</si>
  <si>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</si>
  <si>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</si>
  <si>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</si>
  <si>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</si>
  <si>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</si>
  <si>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</si>
  <si>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</si>
  <si>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　　（注）　</t>
  </si>
  <si>
    <t>　　　　　　</t>
  </si>
  <si>
    <t>平成20年度</t>
  </si>
  <si>
    <t>平成22年度</t>
  </si>
  <si>
    <t>平成23年度</t>
  </si>
  <si>
    <t>税務署名</t>
  </si>
  <si>
    <t>一般申告及び処理</t>
  </si>
  <si>
    <t>件数</t>
  </si>
  <si>
    <t>税額</t>
  </si>
  <si>
    <t>税　額　①</t>
  </si>
  <si>
    <t>納　　　税　　　申　　　告　　　及　　　び　　　処　　　理</t>
  </si>
  <si>
    <t>税　額　②</t>
  </si>
  <si>
    <t>税　額　③</t>
  </si>
  <si>
    <t>税　　　額
(①－②＋③)</t>
  </si>
  <si>
    <t>函館</t>
  </si>
  <si>
    <t>（注）この表は「(1)　課税状況」の現年分を税務署別に示したものである（加算税を除く。）。</t>
  </si>
  <si>
    <t>札幌中</t>
  </si>
  <si>
    <t>税　　額
(①－②＋③)</t>
  </si>
  <si>
    <t>課　税　事　業　者　等　届　出　件　数</t>
  </si>
  <si>
    <t>課税事業者
選択届出</t>
  </si>
  <si>
    <t>新設法人に
該当する旨
の届出</t>
  </si>
  <si>
    <t>（注）この表は「(1)　課税状況」の現年分及び「(3)　課税事業者等届出件数」を税務署別に示したものである（加算税を除く。）。</t>
  </si>
  <si>
    <t>合               計</t>
  </si>
  <si>
    <t xml:space="preserve">  「現年分」は、平成24年４月１日から平成25年３月31日までに終了した課税期間について、平成25
年６月30日現在の申告（国・地方公共団体等については平成25年９月30日までの申告を含む。）及び
処理（更正、決定等）による課税事績を「申告書及び決議書」に基づいて作成した。</t>
  </si>
  <si>
    <t xml:space="preserve">  「既往年分」は、平成24年３月31日以前に終了した課税期間について、平成24年７月１日から平成
25年６月30日までの間の申告（平成24年７月１日から同年９月30日までの間の国・地方公共団体等に
係る申告を除く。）及び処理（更正、決定等）による課税事績を「申告書及び決議書」に基づいて作
成した。</t>
  </si>
  <si>
    <t>　１　税関分は含まない。</t>
  </si>
  <si>
    <t>　２　「件数欄」の「実」は、実件数を示す。</t>
  </si>
  <si>
    <t>平成21年度</t>
  </si>
  <si>
    <t>平成24年度</t>
  </si>
  <si>
    <t>調査対象等：平成24年度末（平成25年３月31日現在）の届出件数を示している。</t>
  </si>
  <si>
    <t xml:space="preserve">     （注） 納税義務者でなくなった旨の届出書又は課税事業者選択不適用届出書を提出した者は含まない。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</si>
</sst>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hair"/>
      <top/>
      <bottom style="medium"/>
    </border>
    <border>
      <left style="hair"/>
      <right style="thin"/>
      <top/>
      <bottom style="medium"/>
    </border>
    <border>
      <left style="hair"/>
      <right/>
      <top/>
      <bottom style="medium"/>
    </border>
    <border>
      <left style="thin"/>
      <right style="medium"/>
      <top/>
      <bottom style="medium"/>
    </border>
    <border>
      <left style="hair"/>
      <right style="thin"/>
      <top style="hair"/>
      <bottom style="thin"/>
    </border>
    <border>
      <left style="hair"/>
      <right style="hair"/>
      <top style="thin"/>
      <bottom/>
    </border>
    <border>
      <left style="hair"/>
      <right style="hair"/>
      <top/>
      <bottom style="hair">
        <color indexed="55"/>
      </bottom>
    </border>
    <border>
      <left style="thin"/>
      <right style="hair"/>
      <top style="hair"/>
      <bottom style="thin"/>
    </border>
    <border>
      <left style="hair"/>
      <right/>
      <top style="hair"/>
      <bottom style="thin"/>
    </border>
    <border>
      <left/>
      <right/>
      <top style="medium"/>
      <bottom/>
    </border>
    <border>
      <left style="hair"/>
      <right style="medium"/>
      <top/>
      <bottom style="medium"/>
    </border>
    <border>
      <left style="hair"/>
      <right style="hair"/>
      <top/>
      <bottom style="medium"/>
    </border>
    <border>
      <left style="hair"/>
      <right style="medium"/>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hair">
        <color indexed="55"/>
      </top>
      <bottom style="hair">
        <color indexed="55"/>
      </bottom>
    </border>
    <border>
      <left style="hair"/>
      <right style="hair"/>
      <top style="hair">
        <color indexed="55"/>
      </top>
      <bottom style="hair">
        <color indexed="55"/>
      </bottom>
    </border>
    <border>
      <left style="thin"/>
      <right style="hair"/>
      <top/>
      <bottom/>
    </border>
    <border>
      <left style="hair"/>
      <right style="medium"/>
      <top style="thin"/>
      <bottom style="hair">
        <color indexed="55"/>
      </bottom>
    </border>
    <border>
      <left style="hair"/>
      <right style="hair"/>
      <top style="thin"/>
      <bottom style="hair">
        <color indexed="55"/>
      </bottom>
    </border>
    <border>
      <left style="hair"/>
      <right style="thin"/>
      <top style="thin"/>
      <bottom style="hair">
        <color indexed="55"/>
      </bottom>
    </border>
    <border>
      <left style="hair"/>
      <right style="medium"/>
      <top style="hair">
        <color indexed="55"/>
      </top>
      <bottom/>
    </border>
    <border>
      <left style="hair"/>
      <right style="hair"/>
      <top style="hair">
        <color indexed="55"/>
      </top>
      <bottom/>
    </border>
    <border>
      <left style="hair"/>
      <right style="thin"/>
      <top style="hair">
        <color indexed="55"/>
      </top>
      <bottom/>
    </border>
    <border>
      <left style="hair"/>
      <right style="thin"/>
      <top style="hair">
        <color indexed="55"/>
      </top>
      <bottom style="thin"/>
    </border>
    <border>
      <left style="hair"/>
      <right style="medium"/>
      <top/>
      <bottom style="hair">
        <color indexed="55"/>
      </bottom>
    </border>
    <border>
      <left style="hair"/>
      <right style="medium"/>
      <top style="thin"/>
      <bottom/>
    </border>
    <border>
      <left style="hair"/>
      <right style="medium"/>
      <top style="hair">
        <color indexed="55"/>
      </top>
      <bottom style="medium"/>
    </border>
    <border>
      <left style="thin"/>
      <right style="hair"/>
      <top style="hair">
        <color indexed="55"/>
      </top>
      <bottom style="mediu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thin"/>
      <right/>
      <top/>
      <bottom style="medium"/>
    </border>
    <border>
      <left style="thin"/>
      <right style="hair"/>
      <top style="hair">
        <color indexed="55"/>
      </top>
      <bottom style="double"/>
    </border>
    <border>
      <left style="hair"/>
      <right style="hair"/>
      <top style="hair">
        <color indexed="55"/>
      </top>
      <bottom style="double"/>
    </border>
    <border>
      <left style="hair"/>
      <right/>
      <top style="hair">
        <color indexed="55"/>
      </top>
      <bottom style="double"/>
    </border>
    <border>
      <left style="thin"/>
      <right style="medium"/>
      <top style="hair">
        <color indexed="55"/>
      </top>
      <bottom style="double"/>
    </border>
    <border>
      <left style="medium"/>
      <right/>
      <top style="hair">
        <color indexed="55"/>
      </top>
      <bottom style="double"/>
    </border>
    <border>
      <left style="hair"/>
      <right style="thin"/>
      <top style="hair">
        <color indexed="55"/>
      </top>
      <bottom style="double"/>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style="hair"/>
      <top style="thin"/>
      <bottom/>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color indexed="63"/>
      </left>
      <right style="thin"/>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208">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176" fontId="3" fillId="34" borderId="16" xfId="60" applyNumberFormat="1" applyFont="1" applyFill="1" applyBorder="1" applyAlignment="1">
      <alignment horizontal="right" vertical="center"/>
      <protection/>
    </xf>
    <xf numFmtId="176" fontId="3" fillId="35" borderId="17" xfId="60" applyNumberFormat="1" applyFont="1" applyFill="1" applyBorder="1" applyAlignment="1">
      <alignment horizontal="right" vertical="center"/>
      <protection/>
    </xf>
    <xf numFmtId="176" fontId="3" fillId="35" borderId="18" xfId="60" applyNumberFormat="1" applyFont="1" applyFill="1" applyBorder="1" applyAlignment="1">
      <alignment horizontal="right" vertical="center"/>
      <protection/>
    </xf>
    <xf numFmtId="0" fontId="3" fillId="36" borderId="19" xfId="60" applyFont="1" applyFill="1" applyBorder="1" applyAlignment="1">
      <alignment horizontal="distributed" vertical="center"/>
      <protection/>
    </xf>
    <xf numFmtId="0" fontId="3" fillId="36" borderId="20" xfId="60" applyFont="1" applyFill="1" applyBorder="1" applyAlignment="1">
      <alignment horizontal="distributed" vertical="center"/>
      <protection/>
    </xf>
    <xf numFmtId="176" fontId="3" fillId="34" borderId="21" xfId="60" applyNumberFormat="1" applyFont="1" applyFill="1" applyBorder="1" applyAlignment="1">
      <alignment horizontal="right" vertical="center"/>
      <protection/>
    </xf>
    <xf numFmtId="176" fontId="3" fillId="35" borderId="22" xfId="60" applyNumberFormat="1" applyFont="1" applyFill="1" applyBorder="1" applyAlignment="1">
      <alignment horizontal="right" vertical="center"/>
      <protection/>
    </xf>
    <xf numFmtId="176" fontId="3" fillId="35" borderId="23" xfId="60" applyNumberFormat="1" applyFont="1" applyFill="1" applyBorder="1" applyAlignment="1">
      <alignment horizontal="right" vertical="center"/>
      <protection/>
    </xf>
    <xf numFmtId="0" fontId="3" fillId="36" borderId="24" xfId="60" applyFont="1" applyFill="1" applyBorder="1" applyAlignment="1">
      <alignment horizontal="distributed" vertical="center"/>
      <protection/>
    </xf>
    <xf numFmtId="0" fontId="9" fillId="0" borderId="0" xfId="60" applyFont="1">
      <alignment/>
      <protection/>
    </xf>
    <xf numFmtId="0" fontId="8" fillId="0" borderId="25" xfId="60" applyFont="1" applyBorder="1" applyAlignment="1">
      <alignment horizontal="center" vertical="center"/>
      <protection/>
    </xf>
    <xf numFmtId="176" fontId="8" fillId="34" borderId="26" xfId="60" applyNumberFormat="1" applyFont="1" applyFill="1" applyBorder="1" applyAlignment="1">
      <alignment horizontal="right" vertical="center"/>
      <protection/>
    </xf>
    <xf numFmtId="176" fontId="8" fillId="35" borderId="27" xfId="60" applyNumberFormat="1" applyFont="1" applyFill="1" applyBorder="1" applyAlignment="1">
      <alignment horizontal="right" vertical="center"/>
      <protection/>
    </xf>
    <xf numFmtId="176" fontId="8" fillId="35" borderId="28" xfId="60" applyNumberFormat="1" applyFont="1" applyFill="1" applyBorder="1" applyAlignment="1">
      <alignment horizontal="right" vertical="center"/>
      <protection/>
    </xf>
    <xf numFmtId="0" fontId="8" fillId="0" borderId="29"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30" xfId="60" applyFont="1" applyBorder="1" applyAlignment="1">
      <alignment horizontal="center" vertical="center" wrapText="1"/>
      <protection/>
    </xf>
    <xf numFmtId="0" fontId="5" fillId="34" borderId="31" xfId="60" applyFont="1" applyFill="1" applyBorder="1" applyAlignment="1">
      <alignment horizontal="right" vertical="top"/>
      <protection/>
    </xf>
    <xf numFmtId="0" fontId="5" fillId="34" borderId="13" xfId="60" applyFont="1" applyFill="1" applyBorder="1" applyAlignment="1">
      <alignment horizontal="right" vertical="top"/>
      <protection/>
    </xf>
    <xf numFmtId="176" fontId="3" fillId="34" borderId="32" xfId="60" applyNumberFormat="1" applyFont="1" applyFill="1" applyBorder="1" applyAlignment="1">
      <alignment horizontal="right" vertical="center"/>
      <protection/>
    </xf>
    <xf numFmtId="176" fontId="3" fillId="34" borderId="18" xfId="60" applyNumberFormat="1" applyFont="1" applyFill="1" applyBorder="1" applyAlignment="1">
      <alignment horizontal="right" vertical="center"/>
      <protection/>
    </xf>
    <xf numFmtId="0" fontId="3" fillId="0" borderId="33" xfId="60" applyFont="1" applyBorder="1" applyAlignment="1">
      <alignment horizontal="distributed" vertical="center" indent="1"/>
      <protection/>
    </xf>
    <xf numFmtId="0" fontId="3" fillId="0" borderId="30" xfId="60" applyFont="1" applyBorder="1" applyAlignment="1">
      <alignment horizontal="distributed" vertical="center" indent="1"/>
      <protection/>
    </xf>
    <xf numFmtId="0" fontId="3" fillId="0" borderId="34"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35" xfId="60" applyFont="1" applyFill="1" applyBorder="1" applyAlignment="1">
      <alignment horizontal="center" vertical="center"/>
      <protection/>
    </xf>
    <xf numFmtId="176" fontId="8" fillId="0" borderId="35" xfId="60" applyNumberFormat="1" applyFont="1" applyFill="1" applyBorder="1" applyAlignment="1">
      <alignment horizontal="right" vertical="center"/>
      <protection/>
    </xf>
    <xf numFmtId="0" fontId="9" fillId="0" borderId="0" xfId="60" applyFont="1" applyFill="1" applyBorder="1">
      <alignment/>
      <protection/>
    </xf>
    <xf numFmtId="3" fontId="3" fillId="35" borderId="36" xfId="60" applyNumberFormat="1" applyFont="1" applyFill="1" applyBorder="1" applyAlignment="1">
      <alignment horizontal="right" vertical="center"/>
      <protection/>
    </xf>
    <xf numFmtId="3" fontId="3" fillId="34" borderId="37" xfId="60" applyNumberFormat="1" applyFont="1" applyFill="1" applyBorder="1" applyAlignment="1">
      <alignment horizontal="right" vertical="center"/>
      <protection/>
    </xf>
    <xf numFmtId="3" fontId="3" fillId="0" borderId="26" xfId="60" applyNumberFormat="1" applyFont="1" applyBorder="1" applyAlignment="1">
      <alignment horizontal="right" vertical="center"/>
      <protection/>
    </xf>
    <xf numFmtId="3" fontId="3" fillId="35" borderId="27" xfId="60" applyNumberFormat="1" applyFont="1" applyFill="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3" fontId="8" fillId="35" borderId="38" xfId="60" applyNumberFormat="1" applyFont="1" applyFill="1" applyBorder="1" applyAlignment="1">
      <alignment horizontal="right" vertical="center"/>
      <protection/>
    </xf>
    <xf numFmtId="3" fontId="8" fillId="34" borderId="39" xfId="60" applyNumberFormat="1" applyFont="1" applyFill="1" applyBorder="1" applyAlignment="1">
      <alignment horizontal="right" vertical="center"/>
      <protection/>
    </xf>
    <xf numFmtId="0" fontId="8" fillId="0" borderId="40" xfId="60" applyFont="1" applyBorder="1" applyAlignment="1">
      <alignment horizontal="right" vertical="center"/>
      <protection/>
    </xf>
    <xf numFmtId="3" fontId="8" fillId="35" borderId="41" xfId="60" applyNumberFormat="1" applyFont="1" applyFill="1" applyBorder="1" applyAlignment="1">
      <alignment horizontal="right" vertical="center"/>
      <protection/>
    </xf>
    <xf numFmtId="3" fontId="3" fillId="35" borderId="42" xfId="60" applyNumberFormat="1" applyFont="1" applyFill="1" applyBorder="1" applyAlignment="1">
      <alignment horizontal="right" vertical="center"/>
      <protection/>
    </xf>
    <xf numFmtId="3" fontId="3" fillId="34" borderId="43" xfId="60" applyNumberFormat="1" applyFont="1" applyFill="1" applyBorder="1" applyAlignment="1">
      <alignment vertical="center"/>
      <protection/>
    </xf>
    <xf numFmtId="3" fontId="3" fillId="0" borderId="44" xfId="60" applyNumberFormat="1" applyFont="1" applyBorder="1" applyAlignment="1">
      <alignment horizontal="center" vertical="center"/>
      <protection/>
    </xf>
    <xf numFmtId="3" fontId="3" fillId="35" borderId="22" xfId="60" applyNumberFormat="1" applyFont="1" applyFill="1" applyBorder="1" applyAlignment="1">
      <alignment horizontal="right" vertical="center"/>
      <protection/>
    </xf>
    <xf numFmtId="3" fontId="3" fillId="34" borderId="43" xfId="60" applyNumberFormat="1" applyFont="1" applyFill="1" applyBorder="1" applyAlignment="1">
      <alignment horizontal="right" vertical="center"/>
      <protection/>
    </xf>
    <xf numFmtId="0" fontId="3" fillId="0" borderId="44" xfId="60" applyFont="1" applyBorder="1" applyAlignment="1">
      <alignment horizontal="center" vertical="center"/>
      <protection/>
    </xf>
    <xf numFmtId="0" fontId="3" fillId="0" borderId="22" xfId="60" applyFont="1" applyBorder="1" applyAlignment="1">
      <alignment horizontal="distributed" vertical="center" wrapText="1"/>
      <protection/>
    </xf>
    <xf numFmtId="3" fontId="3" fillId="35" borderId="45" xfId="60" applyNumberFormat="1" applyFont="1" applyFill="1" applyBorder="1" applyAlignment="1">
      <alignment horizontal="right" vertical="center"/>
      <protection/>
    </xf>
    <xf numFmtId="3" fontId="3" fillId="34" borderId="46" xfId="60" applyNumberFormat="1" applyFont="1" applyFill="1" applyBorder="1" applyAlignment="1">
      <alignment vertical="center"/>
      <protection/>
    </xf>
    <xf numFmtId="3" fontId="3" fillId="0" borderId="11" xfId="60" applyNumberFormat="1" applyFont="1" applyBorder="1" applyAlignment="1">
      <alignment horizontal="center" vertical="center"/>
      <protection/>
    </xf>
    <xf numFmtId="3" fontId="3" fillId="35" borderId="47" xfId="60" applyNumberFormat="1" applyFont="1" applyFill="1" applyBorder="1" applyAlignment="1">
      <alignment horizontal="right" vertical="center"/>
      <protection/>
    </xf>
    <xf numFmtId="3" fontId="3" fillId="34" borderId="46" xfId="60" applyNumberFormat="1" applyFont="1" applyFill="1" applyBorder="1" applyAlignment="1">
      <alignment horizontal="right" vertical="center"/>
      <protection/>
    </xf>
    <xf numFmtId="0" fontId="3" fillId="0" borderId="47" xfId="60" applyFont="1" applyBorder="1" applyAlignment="1">
      <alignment horizontal="distributed" vertical="center" wrapText="1"/>
      <protection/>
    </xf>
    <xf numFmtId="3" fontId="3" fillId="35" borderId="48" xfId="60" applyNumberFormat="1" applyFont="1" applyFill="1" applyBorder="1" applyAlignment="1">
      <alignment horizontal="right" vertical="center"/>
      <protection/>
    </xf>
    <xf numFmtId="3" fontId="3" fillId="34" borderId="49" xfId="60" applyNumberFormat="1" applyFont="1" applyFill="1" applyBorder="1" applyAlignment="1">
      <alignment horizontal="right" vertical="center"/>
      <protection/>
    </xf>
    <xf numFmtId="0" fontId="3" fillId="0" borderId="44" xfId="60" applyFont="1" applyBorder="1" applyAlignment="1">
      <alignment horizontal="right" vertical="center"/>
      <protection/>
    </xf>
    <xf numFmtId="3" fontId="3" fillId="35"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8" fillId="35" borderId="42" xfId="60" applyNumberFormat="1" applyFont="1" applyFill="1" applyBorder="1" applyAlignment="1">
      <alignment horizontal="right" vertical="center"/>
      <protection/>
    </xf>
    <xf numFmtId="3" fontId="8" fillId="34" borderId="43" xfId="60" applyNumberFormat="1" applyFont="1" applyFill="1" applyBorder="1" applyAlignment="1">
      <alignment horizontal="right" vertical="center"/>
      <protection/>
    </xf>
    <xf numFmtId="0" fontId="8" fillId="0" borderId="44" xfId="60" applyFont="1" applyBorder="1" applyAlignment="1">
      <alignment horizontal="right" vertical="center"/>
      <protection/>
    </xf>
    <xf numFmtId="3" fontId="8" fillId="35" borderId="22" xfId="60" applyNumberFormat="1" applyFont="1" applyFill="1" applyBorder="1" applyAlignment="1">
      <alignment horizontal="right" vertical="center"/>
      <protection/>
    </xf>
    <xf numFmtId="0" fontId="8" fillId="0" borderId="22" xfId="60" applyFont="1" applyBorder="1" applyAlignment="1">
      <alignment horizontal="distributed" vertical="center"/>
      <protection/>
    </xf>
    <xf numFmtId="3" fontId="3" fillId="0" borderId="44" xfId="60" applyNumberFormat="1" applyFont="1" applyBorder="1" applyAlignment="1">
      <alignment horizontal="right" vertical="center"/>
      <protection/>
    </xf>
    <xf numFmtId="0" fontId="3" fillId="0" borderId="22" xfId="60" applyFont="1" applyBorder="1" applyAlignment="1">
      <alignment horizontal="distributed" vertical="center"/>
      <protection/>
    </xf>
    <xf numFmtId="3" fontId="3" fillId="35" borderId="52" xfId="60" applyNumberFormat="1" applyFont="1" applyFill="1" applyBorder="1" applyAlignment="1">
      <alignment horizontal="right" vertical="center"/>
      <protection/>
    </xf>
    <xf numFmtId="3" fontId="3" fillId="34" borderId="32" xfId="60" applyNumberFormat="1" applyFont="1" applyFill="1" applyBorder="1" applyAlignment="1">
      <alignment horizontal="right" vertical="center"/>
      <protection/>
    </xf>
    <xf numFmtId="3" fontId="3" fillId="35" borderId="17" xfId="60" applyNumberFormat="1" applyFont="1" applyFill="1" applyBorder="1" applyAlignment="1">
      <alignment horizontal="right" vertical="center"/>
      <protection/>
    </xf>
    <xf numFmtId="0" fontId="3" fillId="0" borderId="17" xfId="60" applyFont="1" applyBorder="1" applyAlignment="1">
      <alignment horizontal="distributed" vertical="center"/>
      <protection/>
    </xf>
    <xf numFmtId="0" fontId="5" fillId="35" borderId="53"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53"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3" fontId="3"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0" fontId="3" fillId="0" borderId="56" xfId="60" applyFont="1" applyBorder="1" applyAlignment="1">
      <alignment horizontal="distributed" vertical="center"/>
      <protection/>
    </xf>
    <xf numFmtId="3" fontId="3" fillId="34" borderId="57" xfId="60" applyNumberFormat="1" applyFont="1" applyFill="1" applyBorder="1" applyAlignment="1">
      <alignment horizontal="right" vertical="center"/>
      <protection/>
    </xf>
    <xf numFmtId="0" fontId="3" fillId="0" borderId="47"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5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4" borderId="16"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53"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62" xfId="60" applyFont="1" applyBorder="1" applyAlignment="1">
      <alignment horizontal="distributed" vertical="center"/>
      <protection/>
    </xf>
    <xf numFmtId="0" fontId="3" fillId="0" borderId="63" xfId="60" applyFont="1" applyBorder="1" applyAlignment="1">
      <alignment horizontal="distributed" vertical="center"/>
      <protection/>
    </xf>
    <xf numFmtId="0" fontId="3" fillId="0" borderId="64" xfId="60" applyFont="1" applyBorder="1" applyAlignment="1">
      <alignment horizontal="center" vertical="center"/>
      <protection/>
    </xf>
    <xf numFmtId="0" fontId="3" fillId="0" borderId="65" xfId="60" applyFont="1" applyBorder="1" applyAlignment="1">
      <alignment horizontal="center" vertical="center"/>
      <protection/>
    </xf>
    <xf numFmtId="0" fontId="5" fillId="34" borderId="66" xfId="60" applyFont="1" applyFill="1" applyBorder="1" applyAlignment="1">
      <alignment horizontal="right"/>
      <protection/>
    </xf>
    <xf numFmtId="0" fontId="5" fillId="34" borderId="67" xfId="60" applyFont="1" applyFill="1" applyBorder="1" applyAlignment="1">
      <alignment horizontal="right"/>
      <protection/>
    </xf>
    <xf numFmtId="0" fontId="5" fillId="34" borderId="68" xfId="60" applyFont="1" applyFill="1" applyBorder="1" applyAlignment="1">
      <alignment horizontal="right"/>
      <protection/>
    </xf>
    <xf numFmtId="0" fontId="5" fillId="34" borderId="14" xfId="60" applyFont="1" applyFill="1" applyBorder="1" applyAlignment="1">
      <alignment horizontal="right"/>
      <protection/>
    </xf>
    <xf numFmtId="3" fontId="3" fillId="34" borderId="69" xfId="60" applyNumberFormat="1" applyFont="1" applyFill="1" applyBorder="1" applyAlignment="1">
      <alignment horizontal="right" vertical="center" indent="1"/>
      <protection/>
    </xf>
    <xf numFmtId="3" fontId="3" fillId="34" borderId="70" xfId="60" applyNumberFormat="1" applyFont="1" applyFill="1" applyBorder="1" applyAlignment="1">
      <alignment horizontal="right" vertical="center" indent="1"/>
      <protection/>
    </xf>
    <xf numFmtId="3" fontId="3" fillId="34" borderId="71" xfId="60" applyNumberFormat="1" applyFont="1" applyFill="1" applyBorder="1" applyAlignment="1">
      <alignment horizontal="right" vertical="center" indent="1"/>
      <protection/>
    </xf>
    <xf numFmtId="3" fontId="3" fillId="34" borderId="29" xfId="60" applyNumberFormat="1" applyFont="1" applyFill="1" applyBorder="1" applyAlignment="1">
      <alignment horizontal="right" vertical="center" indent="1"/>
      <protection/>
    </xf>
    <xf numFmtId="3" fontId="3" fillId="0" borderId="0" xfId="60" applyNumberFormat="1" applyFont="1" applyAlignment="1">
      <alignment horizontal="left" vertical="center"/>
      <protection/>
    </xf>
    <xf numFmtId="176" fontId="8" fillId="34" borderId="37" xfId="60" applyNumberFormat="1" applyFont="1" applyFill="1" applyBorder="1" applyAlignment="1">
      <alignment horizontal="right" vertical="center"/>
      <protection/>
    </xf>
    <xf numFmtId="176" fontId="8" fillId="34" borderId="28"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0" fontId="3" fillId="36" borderId="75" xfId="60" applyFont="1" applyFill="1" applyBorder="1" applyAlignment="1">
      <alignment horizontal="distributed" vertical="center"/>
      <protection/>
    </xf>
    <xf numFmtId="0" fontId="3" fillId="0" borderId="33" xfId="60" applyFont="1" applyBorder="1" applyAlignment="1">
      <alignment horizontal="distributed" vertical="center"/>
      <protection/>
    </xf>
    <xf numFmtId="0" fontId="3" fillId="36" borderId="76" xfId="60" applyFont="1" applyFill="1" applyBorder="1" applyAlignment="1">
      <alignment horizontal="distributed" vertical="center"/>
      <protection/>
    </xf>
    <xf numFmtId="176" fontId="3" fillId="35" borderId="77" xfId="60" applyNumberFormat="1" applyFont="1" applyFill="1" applyBorder="1" applyAlignment="1">
      <alignment horizontal="right" vertical="center"/>
      <protection/>
    </xf>
    <xf numFmtId="176" fontId="3" fillId="35" borderId="74" xfId="60" applyNumberFormat="1" applyFont="1" applyFill="1" applyBorder="1" applyAlignment="1">
      <alignment horizontal="right"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Border="1" applyAlignment="1">
      <alignment horizontal="left" vertical="top" wrapText="1"/>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41" fontId="3" fillId="34" borderId="32" xfId="60" applyNumberFormat="1" applyFont="1" applyFill="1" applyBorder="1" applyAlignment="1">
      <alignment horizontal="right" vertical="center"/>
      <protection/>
    </xf>
    <xf numFmtId="41" fontId="3" fillId="34" borderId="73" xfId="60" applyNumberFormat="1" applyFont="1" applyFill="1" applyBorder="1" applyAlignment="1">
      <alignment horizontal="right" vertical="center"/>
      <protection/>
    </xf>
    <xf numFmtId="0" fontId="3" fillId="0" borderId="78" xfId="60" applyFont="1" applyBorder="1" applyAlignment="1">
      <alignment horizontal="distributed" vertical="center" wrapText="1"/>
      <protection/>
    </xf>
    <xf numFmtId="0" fontId="3" fillId="0" borderId="78" xfId="60" applyFont="1" applyBorder="1" applyAlignment="1">
      <alignment horizontal="distributed" vertical="center"/>
      <protection/>
    </xf>
    <xf numFmtId="0" fontId="3" fillId="0" borderId="79" xfId="60" applyFont="1" applyBorder="1" applyAlignment="1">
      <alignment horizontal="distributed" vertical="center"/>
      <protection/>
    </xf>
    <xf numFmtId="0" fontId="3" fillId="0" borderId="80" xfId="60" applyFont="1" applyBorder="1" applyAlignment="1">
      <alignment horizontal="distributed" vertical="center" wrapText="1"/>
      <protection/>
    </xf>
    <xf numFmtId="0" fontId="3" fillId="0" borderId="81" xfId="60" applyFont="1" applyBorder="1" applyAlignment="1">
      <alignment horizontal="distributed" vertical="center"/>
      <protection/>
    </xf>
    <xf numFmtId="0" fontId="8" fillId="0" borderId="82" xfId="60" applyFont="1" applyBorder="1" applyAlignment="1">
      <alignment horizontal="distributed" vertical="center"/>
      <protection/>
    </xf>
    <xf numFmtId="0" fontId="8" fillId="0" borderId="83" xfId="60" applyFont="1" applyBorder="1" applyAlignment="1">
      <alignment horizontal="distributed" vertical="center"/>
      <protection/>
    </xf>
    <xf numFmtId="0" fontId="3" fillId="0" borderId="25" xfId="60" applyFont="1" applyBorder="1" applyAlignment="1">
      <alignment horizontal="distributed" vertical="center"/>
      <protection/>
    </xf>
    <xf numFmtId="0" fontId="3" fillId="0" borderId="84" xfId="60" applyFont="1" applyBorder="1" applyAlignment="1">
      <alignment horizontal="distributed" vertical="center"/>
      <protection/>
    </xf>
    <xf numFmtId="0" fontId="3" fillId="0" borderId="0" xfId="60" applyFont="1" applyBorder="1" applyAlignment="1">
      <alignment horizontal="left" vertical="top" wrapText="1"/>
      <protection/>
    </xf>
    <xf numFmtId="0" fontId="3" fillId="0" borderId="0" xfId="60" applyFont="1" applyAlignment="1">
      <alignment horizontal="left" vertical="top" wrapText="1"/>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85"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90" xfId="60" applyFont="1" applyBorder="1" applyAlignment="1">
      <alignment horizontal="center" vertical="center"/>
      <protection/>
    </xf>
    <xf numFmtId="0" fontId="3" fillId="0" borderId="91" xfId="60" applyFont="1" applyBorder="1" applyAlignment="1">
      <alignment horizontal="center" vertical="center"/>
      <protection/>
    </xf>
    <xf numFmtId="0" fontId="3" fillId="0" borderId="92"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31"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65" xfId="60" applyFont="1" applyBorder="1" applyAlignment="1">
      <alignment horizontal="distributed" vertical="center" wrapText="1"/>
      <protection/>
    </xf>
    <xf numFmtId="0" fontId="3" fillId="0" borderId="99" xfId="60" applyFont="1" applyBorder="1" applyAlignment="1">
      <alignment horizontal="distributed" vertical="center" wrapText="1"/>
      <protection/>
    </xf>
    <xf numFmtId="0" fontId="3" fillId="0" borderId="100" xfId="60" applyFont="1" applyBorder="1" applyAlignment="1">
      <alignment horizontal="distributed" vertical="center" wrapText="1"/>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103"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06" xfId="60" applyFont="1" applyBorder="1" applyAlignment="1">
      <alignment horizontal="center" vertical="center" wrapText="1"/>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85"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109" xfId="60" applyFont="1" applyBorder="1" applyAlignment="1">
      <alignment horizontal="distributed" vertical="center"/>
      <protection/>
    </xf>
    <xf numFmtId="0" fontId="3" fillId="0" borderId="110" xfId="60" applyFont="1" applyBorder="1" applyAlignment="1">
      <alignment horizontal="center" vertical="center"/>
      <protection/>
    </xf>
    <xf numFmtId="0" fontId="3" fillId="0" borderId="111" xfId="60" applyFont="1" applyBorder="1" applyAlignment="1">
      <alignment horizontal="left" vertical="center"/>
      <protection/>
    </xf>
    <xf numFmtId="0" fontId="3" fillId="0" borderId="35" xfId="60" applyFont="1" applyBorder="1" applyAlignment="1">
      <alignment horizontal="left"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distributed" vertical="center" wrapText="1"/>
      <protection/>
    </xf>
    <xf numFmtId="0" fontId="3" fillId="0" borderId="116" xfId="60" applyFont="1" applyBorder="1" applyAlignment="1">
      <alignment horizontal="distributed" vertical="center"/>
      <protection/>
    </xf>
    <xf numFmtId="0" fontId="3" fillId="0" borderId="117" xfId="60" applyFont="1" applyBorder="1" applyAlignment="1">
      <alignment horizontal="distributed" vertical="center" wrapText="1"/>
      <protection/>
    </xf>
    <xf numFmtId="0" fontId="3" fillId="0" borderId="118" xfId="60" applyFont="1" applyBorder="1" applyAlignment="1">
      <alignment horizontal="distributed" vertical="center"/>
      <protection/>
    </xf>
    <xf numFmtId="0" fontId="3" fillId="0" borderId="119" xfId="60" applyFont="1" applyBorder="1" applyAlignment="1">
      <alignment horizontal="distributed" vertical="center" wrapText="1"/>
      <protection/>
    </xf>
    <xf numFmtId="0" fontId="3" fillId="0" borderId="120"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10"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view="pageBreakPreview" zoomScaleSheetLayoutView="100"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56" t="s">
        <v>70</v>
      </c>
      <c r="B1" s="156"/>
      <c r="C1" s="156"/>
      <c r="D1" s="156"/>
      <c r="E1" s="156"/>
      <c r="F1" s="156"/>
      <c r="G1" s="156"/>
      <c r="H1" s="156"/>
      <c r="I1" s="156"/>
      <c r="J1" s="156"/>
      <c r="K1" s="156"/>
    </row>
    <row r="2" spans="1:11" ht="15">
      <c r="A2" s="132"/>
      <c r="B2" s="132"/>
      <c r="C2" s="132"/>
      <c r="D2" s="132"/>
      <c r="E2" s="132"/>
      <c r="F2" s="132"/>
      <c r="G2" s="132"/>
      <c r="H2" s="132"/>
      <c r="I2" s="132"/>
      <c r="J2" s="132"/>
      <c r="K2" s="132"/>
    </row>
    <row r="3" spans="1:11" ht="12" thickBot="1">
      <c r="A3" s="157" t="s">
        <v>69</v>
      </c>
      <c r="B3" s="157"/>
      <c r="C3" s="157"/>
      <c r="D3" s="157"/>
      <c r="E3" s="157"/>
      <c r="F3" s="157"/>
      <c r="G3" s="157"/>
      <c r="H3" s="157"/>
      <c r="I3" s="157"/>
      <c r="J3" s="157"/>
      <c r="K3" s="157"/>
    </row>
    <row r="4" spans="1:11" ht="24" customHeight="1">
      <c r="A4" s="158" t="s">
        <v>68</v>
      </c>
      <c r="B4" s="159"/>
      <c r="C4" s="162" t="s">
        <v>67</v>
      </c>
      <c r="D4" s="163"/>
      <c r="E4" s="164"/>
      <c r="F4" s="162" t="s">
        <v>66</v>
      </c>
      <c r="G4" s="163"/>
      <c r="H4" s="164"/>
      <c r="I4" s="162" t="s">
        <v>65</v>
      </c>
      <c r="J4" s="163"/>
      <c r="K4" s="165"/>
    </row>
    <row r="5" spans="1:11" ht="24" customHeight="1">
      <c r="A5" s="160"/>
      <c r="B5" s="161"/>
      <c r="C5" s="166" t="s">
        <v>64</v>
      </c>
      <c r="D5" s="167"/>
      <c r="E5" s="89" t="s">
        <v>63</v>
      </c>
      <c r="F5" s="166" t="s">
        <v>64</v>
      </c>
      <c r="G5" s="167"/>
      <c r="H5" s="89" t="s">
        <v>63</v>
      </c>
      <c r="I5" s="166" t="s">
        <v>64</v>
      </c>
      <c r="J5" s="167"/>
      <c r="K5" s="88" t="s">
        <v>63</v>
      </c>
    </row>
    <row r="6" spans="1:11" ht="12" customHeight="1">
      <c r="A6" s="87"/>
      <c r="B6" s="86"/>
      <c r="C6" s="85"/>
      <c r="D6" s="32" t="s">
        <v>62</v>
      </c>
      <c r="E6" s="7" t="s">
        <v>61</v>
      </c>
      <c r="F6" s="85"/>
      <c r="G6" s="32" t="s">
        <v>62</v>
      </c>
      <c r="H6" s="7" t="s">
        <v>61</v>
      </c>
      <c r="I6" s="85"/>
      <c r="J6" s="32" t="s">
        <v>62</v>
      </c>
      <c r="K6" s="84" t="s">
        <v>61</v>
      </c>
    </row>
    <row r="7" spans="1:11" ht="30" customHeight="1">
      <c r="A7" s="145" t="s">
        <v>60</v>
      </c>
      <c r="B7" s="83" t="s">
        <v>59</v>
      </c>
      <c r="C7" s="70"/>
      <c r="D7" s="81">
        <v>17575</v>
      </c>
      <c r="E7" s="82">
        <v>7072684</v>
      </c>
      <c r="F7" s="78"/>
      <c r="G7" s="81">
        <v>54782</v>
      </c>
      <c r="H7" s="82">
        <v>211340852</v>
      </c>
      <c r="I7" s="78"/>
      <c r="J7" s="81">
        <v>72357</v>
      </c>
      <c r="K7" s="80">
        <v>218413536</v>
      </c>
    </row>
    <row r="8" spans="1:11" ht="30" customHeight="1">
      <c r="A8" s="146"/>
      <c r="B8" s="79" t="s">
        <v>58</v>
      </c>
      <c r="C8" s="70"/>
      <c r="D8" s="59">
        <v>33615</v>
      </c>
      <c r="E8" s="58">
        <v>8807328</v>
      </c>
      <c r="F8" s="78"/>
      <c r="G8" s="59">
        <v>23257</v>
      </c>
      <c r="H8" s="58">
        <v>8672040</v>
      </c>
      <c r="I8" s="78"/>
      <c r="J8" s="59">
        <v>56872</v>
      </c>
      <c r="K8" s="55">
        <v>17479368</v>
      </c>
    </row>
    <row r="9" spans="1:11" s="50" customFormat="1" ht="30" customHeight="1">
      <c r="A9" s="146"/>
      <c r="B9" s="77" t="s">
        <v>57</v>
      </c>
      <c r="C9" s="75"/>
      <c r="D9" s="74">
        <v>51190</v>
      </c>
      <c r="E9" s="76">
        <v>15880012</v>
      </c>
      <c r="F9" s="75"/>
      <c r="G9" s="74">
        <v>78039</v>
      </c>
      <c r="H9" s="76">
        <v>220012892</v>
      </c>
      <c r="I9" s="75"/>
      <c r="J9" s="74">
        <v>129229</v>
      </c>
      <c r="K9" s="73">
        <v>235892904</v>
      </c>
    </row>
    <row r="10" spans="1:11" ht="30" customHeight="1">
      <c r="A10" s="147"/>
      <c r="B10" s="72" t="s">
        <v>56</v>
      </c>
      <c r="C10" s="70"/>
      <c r="D10" s="69">
        <v>2557</v>
      </c>
      <c r="E10" s="71">
        <v>945236</v>
      </c>
      <c r="F10" s="70"/>
      <c r="G10" s="69">
        <v>3225</v>
      </c>
      <c r="H10" s="71">
        <v>11596755</v>
      </c>
      <c r="I10" s="70"/>
      <c r="J10" s="69">
        <v>5782</v>
      </c>
      <c r="K10" s="68">
        <v>12541991</v>
      </c>
    </row>
    <row r="11" spans="1:11" ht="30" customHeight="1">
      <c r="A11" s="148" t="s">
        <v>55</v>
      </c>
      <c r="B11" s="67" t="s">
        <v>54</v>
      </c>
      <c r="C11" s="133"/>
      <c r="D11" s="66">
        <v>2737</v>
      </c>
      <c r="E11" s="65">
        <v>391881</v>
      </c>
      <c r="F11" s="64"/>
      <c r="G11" s="63">
        <v>4134</v>
      </c>
      <c r="H11" s="65">
        <v>1173457</v>
      </c>
      <c r="I11" s="64"/>
      <c r="J11" s="63">
        <v>6871</v>
      </c>
      <c r="K11" s="62">
        <v>1565338</v>
      </c>
    </row>
    <row r="12" spans="1:11" ht="30" customHeight="1">
      <c r="A12" s="149"/>
      <c r="B12" s="61" t="s">
        <v>53</v>
      </c>
      <c r="C12" s="60"/>
      <c r="D12" s="59">
        <v>300</v>
      </c>
      <c r="E12" s="58">
        <v>45970</v>
      </c>
      <c r="F12" s="57"/>
      <c r="G12" s="56">
        <v>603</v>
      </c>
      <c r="H12" s="58">
        <v>325423</v>
      </c>
      <c r="I12" s="57"/>
      <c r="J12" s="56">
        <v>903</v>
      </c>
      <c r="K12" s="55">
        <v>371393</v>
      </c>
    </row>
    <row r="13" spans="1:11" s="50" customFormat="1" ht="30" customHeight="1">
      <c r="A13" s="150" t="s">
        <v>52</v>
      </c>
      <c r="B13" s="151"/>
      <c r="C13" s="53" t="s">
        <v>51</v>
      </c>
      <c r="D13" s="52">
        <v>54765</v>
      </c>
      <c r="E13" s="54">
        <v>15280687</v>
      </c>
      <c r="F13" s="53" t="s">
        <v>51</v>
      </c>
      <c r="G13" s="52">
        <v>81972</v>
      </c>
      <c r="H13" s="54">
        <v>209264170</v>
      </c>
      <c r="I13" s="53" t="s">
        <v>51</v>
      </c>
      <c r="J13" s="52">
        <v>136737</v>
      </c>
      <c r="K13" s="51">
        <v>224544857</v>
      </c>
    </row>
    <row r="14" spans="1:11" ht="30" customHeight="1" thickBot="1">
      <c r="A14" s="152" t="s">
        <v>50</v>
      </c>
      <c r="B14" s="153"/>
      <c r="C14" s="49"/>
      <c r="D14" s="46">
        <v>2395</v>
      </c>
      <c r="E14" s="48">
        <v>64842</v>
      </c>
      <c r="F14" s="47"/>
      <c r="G14" s="46">
        <v>3303</v>
      </c>
      <c r="H14" s="48">
        <v>177503</v>
      </c>
      <c r="I14" s="47"/>
      <c r="J14" s="46">
        <v>5698</v>
      </c>
      <c r="K14" s="45">
        <v>242345</v>
      </c>
    </row>
    <row r="15" spans="1:11" s="139" customFormat="1" ht="3" customHeight="1">
      <c r="A15" s="135"/>
      <c r="B15" s="135"/>
      <c r="C15" s="136"/>
      <c r="D15" s="137"/>
      <c r="E15" s="137"/>
      <c r="F15" s="137"/>
      <c r="G15" s="137"/>
      <c r="H15" s="137"/>
      <c r="I15" s="137"/>
      <c r="J15" s="137"/>
      <c r="K15" s="137"/>
    </row>
    <row r="16" spans="1:11" s="1" customFormat="1" ht="37.5" customHeight="1">
      <c r="A16" s="138" t="s">
        <v>49</v>
      </c>
      <c r="B16" s="154" t="s">
        <v>104</v>
      </c>
      <c r="C16" s="154"/>
      <c r="D16" s="154"/>
      <c r="E16" s="154"/>
      <c r="F16" s="154"/>
      <c r="G16" s="154"/>
      <c r="H16" s="154"/>
      <c r="I16" s="154"/>
      <c r="J16" s="154"/>
      <c r="K16" s="154"/>
    </row>
    <row r="17" spans="2:11" ht="55.5" customHeight="1">
      <c r="B17" s="155" t="s">
        <v>105</v>
      </c>
      <c r="C17" s="155"/>
      <c r="D17" s="155"/>
      <c r="E17" s="155"/>
      <c r="F17" s="155"/>
      <c r="G17" s="155"/>
      <c r="H17" s="155"/>
      <c r="I17" s="155"/>
      <c r="J17" s="155"/>
      <c r="K17" s="155"/>
    </row>
    <row r="18" spans="1:2" ht="14.25" customHeight="1">
      <c r="A18" s="2" t="s">
        <v>81</v>
      </c>
      <c r="B18" s="2" t="s">
        <v>106</v>
      </c>
    </row>
    <row r="19" spans="1:2" ht="11.25">
      <c r="A19" s="134" t="s">
        <v>82</v>
      </c>
      <c r="B19" s="2" t="s">
        <v>107</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（H24）</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SheetLayoutView="10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76</v>
      </c>
    </row>
    <row r="2" spans="1:8" s="2" customFormat="1" ht="15" customHeight="1">
      <c r="A2" s="158" t="s">
        <v>68</v>
      </c>
      <c r="B2" s="159"/>
      <c r="C2" s="170" t="s">
        <v>67</v>
      </c>
      <c r="D2" s="170"/>
      <c r="E2" s="170" t="s">
        <v>75</v>
      </c>
      <c r="F2" s="170"/>
      <c r="G2" s="171" t="s">
        <v>74</v>
      </c>
      <c r="H2" s="172"/>
    </row>
    <row r="3" spans="1:8" s="2" customFormat="1" ht="15" customHeight="1">
      <c r="A3" s="160"/>
      <c r="B3" s="161"/>
      <c r="C3" s="133" t="s">
        <v>73</v>
      </c>
      <c r="D3" s="89" t="s">
        <v>72</v>
      </c>
      <c r="E3" s="133" t="s">
        <v>73</v>
      </c>
      <c r="F3" s="108" t="s">
        <v>72</v>
      </c>
      <c r="G3" s="133" t="s">
        <v>73</v>
      </c>
      <c r="H3" s="107" t="s">
        <v>72</v>
      </c>
    </row>
    <row r="4" spans="1:8" s="102" customFormat="1" ht="15" customHeight="1">
      <c r="A4" s="106"/>
      <c r="B4" s="89"/>
      <c r="C4" s="104" t="s">
        <v>10</v>
      </c>
      <c r="D4" s="105" t="s">
        <v>11</v>
      </c>
      <c r="E4" s="104" t="s">
        <v>10</v>
      </c>
      <c r="F4" s="105" t="s">
        <v>11</v>
      </c>
      <c r="G4" s="104" t="s">
        <v>10</v>
      </c>
      <c r="H4" s="103" t="s">
        <v>11</v>
      </c>
    </row>
    <row r="5" spans="1:8" s="97" customFormat="1" ht="30" customHeight="1">
      <c r="A5" s="173" t="s">
        <v>83</v>
      </c>
      <c r="B5" s="83" t="s">
        <v>71</v>
      </c>
      <c r="C5" s="101">
        <v>60299</v>
      </c>
      <c r="D5" s="82">
        <v>17320716</v>
      </c>
      <c r="E5" s="101">
        <v>83170</v>
      </c>
      <c r="F5" s="82">
        <v>227318052</v>
      </c>
      <c r="G5" s="101">
        <v>143469</v>
      </c>
      <c r="H5" s="80">
        <v>244638767</v>
      </c>
    </row>
    <row r="6" spans="1:8" s="97" customFormat="1" ht="30" customHeight="1">
      <c r="A6" s="174"/>
      <c r="B6" s="72" t="s">
        <v>2</v>
      </c>
      <c r="C6" s="99">
        <v>2640</v>
      </c>
      <c r="D6" s="100">
        <v>1128518</v>
      </c>
      <c r="E6" s="99">
        <v>3515</v>
      </c>
      <c r="F6" s="100">
        <v>11262034</v>
      </c>
      <c r="G6" s="99">
        <v>6155</v>
      </c>
      <c r="H6" s="98">
        <v>12390552</v>
      </c>
    </row>
    <row r="7" spans="1:8" s="97" customFormat="1" ht="30" customHeight="1">
      <c r="A7" s="175" t="s">
        <v>108</v>
      </c>
      <c r="B7" s="96" t="s">
        <v>71</v>
      </c>
      <c r="C7" s="95">
        <v>57616</v>
      </c>
      <c r="D7" s="65">
        <v>16324504</v>
      </c>
      <c r="E7" s="95">
        <v>82300</v>
      </c>
      <c r="F7" s="65">
        <v>228695593</v>
      </c>
      <c r="G7" s="95">
        <v>139916</v>
      </c>
      <c r="H7" s="62">
        <v>245020097</v>
      </c>
    </row>
    <row r="8" spans="1:8" s="97" customFormat="1" ht="30" customHeight="1">
      <c r="A8" s="176"/>
      <c r="B8" s="72" t="s">
        <v>2</v>
      </c>
      <c r="C8" s="99">
        <v>2960</v>
      </c>
      <c r="D8" s="100">
        <v>1107402</v>
      </c>
      <c r="E8" s="99">
        <v>3367</v>
      </c>
      <c r="F8" s="100">
        <v>9676899</v>
      </c>
      <c r="G8" s="99">
        <v>6327</v>
      </c>
      <c r="H8" s="98">
        <v>10784301</v>
      </c>
    </row>
    <row r="9" spans="1:8" s="97" customFormat="1" ht="30" customHeight="1">
      <c r="A9" s="168" t="s">
        <v>84</v>
      </c>
      <c r="B9" s="96" t="s">
        <v>71</v>
      </c>
      <c r="C9" s="95">
        <v>57101</v>
      </c>
      <c r="D9" s="65">
        <v>16286130</v>
      </c>
      <c r="E9" s="95">
        <v>80648</v>
      </c>
      <c r="F9" s="65">
        <v>231209226</v>
      </c>
      <c r="G9" s="95">
        <v>137749</v>
      </c>
      <c r="H9" s="62">
        <v>247495355</v>
      </c>
    </row>
    <row r="10" spans="1:8" s="97" customFormat="1" ht="30" customHeight="1">
      <c r="A10" s="174"/>
      <c r="B10" s="72" t="s">
        <v>2</v>
      </c>
      <c r="C10" s="99">
        <v>2957</v>
      </c>
      <c r="D10" s="100">
        <v>1081118</v>
      </c>
      <c r="E10" s="99">
        <v>3264</v>
      </c>
      <c r="F10" s="100">
        <v>7872046</v>
      </c>
      <c r="G10" s="99">
        <v>6221</v>
      </c>
      <c r="H10" s="98">
        <v>8953164</v>
      </c>
    </row>
    <row r="11" spans="1:8" s="97" customFormat="1" ht="30" customHeight="1">
      <c r="A11" s="168" t="s">
        <v>85</v>
      </c>
      <c r="B11" s="96" t="s">
        <v>71</v>
      </c>
      <c r="C11" s="95">
        <v>53659</v>
      </c>
      <c r="D11" s="65">
        <v>16105186</v>
      </c>
      <c r="E11" s="95">
        <v>79023</v>
      </c>
      <c r="F11" s="65">
        <v>224434071</v>
      </c>
      <c r="G11" s="95">
        <v>132682</v>
      </c>
      <c r="H11" s="62">
        <v>240539257</v>
      </c>
    </row>
    <row r="12" spans="1:8" s="97" customFormat="1" ht="30" customHeight="1">
      <c r="A12" s="174"/>
      <c r="B12" s="72" t="s">
        <v>2</v>
      </c>
      <c r="C12" s="99">
        <v>2636</v>
      </c>
      <c r="D12" s="100">
        <v>862756</v>
      </c>
      <c r="E12" s="99">
        <v>3149</v>
      </c>
      <c r="F12" s="100">
        <v>9275797</v>
      </c>
      <c r="G12" s="99">
        <v>5785</v>
      </c>
      <c r="H12" s="98">
        <v>10138553</v>
      </c>
    </row>
    <row r="13" spans="1:8" s="2" customFormat="1" ht="30" customHeight="1">
      <c r="A13" s="168" t="s">
        <v>109</v>
      </c>
      <c r="B13" s="96" t="s">
        <v>71</v>
      </c>
      <c r="C13" s="95">
        <v>51190</v>
      </c>
      <c r="D13" s="65">
        <v>15880012</v>
      </c>
      <c r="E13" s="95">
        <v>78039</v>
      </c>
      <c r="F13" s="65">
        <v>220012892</v>
      </c>
      <c r="G13" s="95">
        <v>129229</v>
      </c>
      <c r="H13" s="62">
        <v>235892904</v>
      </c>
    </row>
    <row r="14" spans="1:8" s="2" customFormat="1" ht="30" customHeight="1" thickBot="1">
      <c r="A14" s="169"/>
      <c r="B14" s="94" t="s">
        <v>2</v>
      </c>
      <c r="C14" s="92">
        <v>2557</v>
      </c>
      <c r="D14" s="93">
        <v>945236</v>
      </c>
      <c r="E14" s="92">
        <v>3225</v>
      </c>
      <c r="F14" s="93">
        <v>11596755</v>
      </c>
      <c r="G14" s="92">
        <v>5782</v>
      </c>
      <c r="H14" s="91">
        <v>12541991</v>
      </c>
    </row>
    <row r="15" spans="5:7" s="2" customFormat="1" ht="11.25">
      <c r="E15" s="90"/>
      <c r="G15" s="90"/>
    </row>
    <row r="16" spans="5:7" s="2" customFormat="1" ht="11.25">
      <c r="E16" s="90"/>
      <c r="G16" s="90"/>
    </row>
    <row r="17" spans="5:7" s="2" customFormat="1" ht="11.25">
      <c r="E17" s="90"/>
      <c r="G17" s="90"/>
    </row>
    <row r="18" spans="5:7" s="2" customFormat="1" ht="11.25">
      <c r="E18" s="90"/>
      <c r="G18" s="90"/>
    </row>
    <row r="19" spans="5:7" s="2" customFormat="1" ht="11.25">
      <c r="E19" s="90"/>
      <c r="G19" s="90"/>
    </row>
    <row r="20" spans="5:7" s="2" customFormat="1" ht="11.25">
      <c r="E20" s="90"/>
      <c r="G20" s="90"/>
    </row>
    <row r="21" spans="5:7" s="2" customFormat="1" ht="11.25">
      <c r="E21" s="90"/>
      <c r="G21" s="90"/>
    </row>
    <row r="22" spans="5:7" s="2" customFormat="1" ht="11.25">
      <c r="E22" s="90"/>
      <c r="G22" s="90"/>
    </row>
  </sheetData>
  <sheetProtection/>
  <mergeCells count="9">
    <mergeCell ref="A13:A14"/>
    <mergeCell ref="A2:B3"/>
    <mergeCell ref="C2:D2"/>
    <mergeCell ref="E2:F2"/>
    <mergeCell ref="G2:H2"/>
    <mergeCell ref="A5:A6"/>
    <mergeCell ref="A7:A8"/>
    <mergeCell ref="A9:A10"/>
    <mergeCell ref="A11:A12"/>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（H24）</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102" customFormat="1" ht="15" customHeight="1" thickBot="1">
      <c r="A1" s="102" t="s">
        <v>77</v>
      </c>
    </row>
    <row r="2" spans="1:4" s="1" customFormat="1" ht="19.5" customHeight="1">
      <c r="A2" s="109" t="s">
        <v>78</v>
      </c>
      <c r="B2" s="110" t="s">
        <v>79</v>
      </c>
      <c r="C2" s="111" t="s">
        <v>80</v>
      </c>
      <c r="D2" s="112" t="s">
        <v>103</v>
      </c>
    </row>
    <row r="3" spans="1:4" s="102" customFormat="1" ht="15" customHeight="1">
      <c r="A3" s="113" t="s">
        <v>10</v>
      </c>
      <c r="B3" s="114" t="s">
        <v>10</v>
      </c>
      <c r="C3" s="115" t="s">
        <v>10</v>
      </c>
      <c r="D3" s="116" t="s">
        <v>10</v>
      </c>
    </row>
    <row r="4" spans="1:9" s="1" customFormat="1" ht="30" customHeight="1" thickBot="1">
      <c r="A4" s="117">
        <v>139051</v>
      </c>
      <c r="B4" s="118">
        <v>3133</v>
      </c>
      <c r="C4" s="119">
        <v>286</v>
      </c>
      <c r="D4" s="120">
        <v>142470</v>
      </c>
      <c r="E4" s="121"/>
      <c r="G4" s="121"/>
      <c r="I4" s="121"/>
    </row>
    <row r="5" spans="1:9" s="142" customFormat="1" ht="3" customHeight="1">
      <c r="A5" s="140"/>
      <c r="B5" s="140"/>
      <c r="C5" s="140"/>
      <c r="D5" s="140"/>
      <c r="E5" s="141"/>
      <c r="G5" s="141"/>
      <c r="I5" s="141"/>
    </row>
    <row r="6" spans="1:4" s="1" customFormat="1" ht="15" customHeight="1">
      <c r="A6" s="177" t="s">
        <v>110</v>
      </c>
      <c r="B6" s="177"/>
      <c r="C6" s="177"/>
      <c r="D6" s="177"/>
    </row>
    <row r="7" spans="1:4" s="1" customFormat="1" ht="15" customHeight="1">
      <c r="A7" s="178" t="s">
        <v>111</v>
      </c>
      <c r="B7" s="178"/>
      <c r="C7" s="178"/>
      <c r="D7" s="178"/>
    </row>
  </sheetData>
  <sheetProtection/>
  <mergeCells count="2">
    <mergeCell ref="A6:D6"/>
    <mergeCell ref="A7:D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（H24）</oddFooter>
  </headerFooter>
</worksheet>
</file>

<file path=xl/worksheets/sheet4.xml><?xml version="1.0" encoding="utf-8"?>
<worksheet xmlns="http://schemas.openxmlformats.org/spreadsheetml/2006/main" xmlns:r="http://schemas.openxmlformats.org/officeDocument/2006/relationships">
  <dimension ref="A1:N53"/>
  <sheetViews>
    <sheetView showGridLines="0"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178" t="s">
        <v>1</v>
      </c>
      <c r="B2" s="178"/>
      <c r="C2" s="178"/>
      <c r="D2" s="178"/>
      <c r="E2" s="178"/>
      <c r="F2" s="178"/>
      <c r="G2" s="178"/>
      <c r="H2" s="2"/>
      <c r="I2" s="2"/>
      <c r="J2" s="2"/>
      <c r="K2" s="2"/>
      <c r="L2" s="2"/>
      <c r="M2" s="2"/>
      <c r="N2" s="2"/>
    </row>
    <row r="3" spans="1:14" ht="19.5" customHeight="1">
      <c r="A3" s="191" t="s">
        <v>86</v>
      </c>
      <c r="B3" s="194" t="s">
        <v>91</v>
      </c>
      <c r="C3" s="194"/>
      <c r="D3" s="194"/>
      <c r="E3" s="194"/>
      <c r="F3" s="194"/>
      <c r="G3" s="194"/>
      <c r="H3" s="190" t="s">
        <v>2</v>
      </c>
      <c r="I3" s="188"/>
      <c r="J3" s="187" t="s">
        <v>3</v>
      </c>
      <c r="K3" s="188"/>
      <c r="L3" s="190" t="s">
        <v>4</v>
      </c>
      <c r="M3" s="188"/>
      <c r="N3" s="179" t="s">
        <v>5</v>
      </c>
    </row>
    <row r="4" spans="1:14" ht="17.25" customHeight="1">
      <c r="A4" s="192"/>
      <c r="B4" s="182" t="s">
        <v>87</v>
      </c>
      <c r="C4" s="182"/>
      <c r="D4" s="183" t="s">
        <v>6</v>
      </c>
      <c r="E4" s="184"/>
      <c r="F4" s="185" t="s">
        <v>7</v>
      </c>
      <c r="G4" s="186"/>
      <c r="H4" s="185"/>
      <c r="I4" s="189"/>
      <c r="J4" s="185"/>
      <c r="K4" s="189"/>
      <c r="L4" s="185"/>
      <c r="M4" s="189"/>
      <c r="N4" s="180"/>
    </row>
    <row r="5" spans="1:14" s="4" customFormat="1" ht="28.5" customHeight="1">
      <c r="A5" s="193"/>
      <c r="B5" s="128" t="s">
        <v>88</v>
      </c>
      <c r="C5" s="37" t="s">
        <v>89</v>
      </c>
      <c r="D5" s="128" t="s">
        <v>8</v>
      </c>
      <c r="E5" s="37" t="s">
        <v>9</v>
      </c>
      <c r="F5" s="128" t="s">
        <v>88</v>
      </c>
      <c r="G5" s="37" t="s">
        <v>90</v>
      </c>
      <c r="H5" s="128" t="s">
        <v>88</v>
      </c>
      <c r="I5" s="38" t="s">
        <v>92</v>
      </c>
      <c r="J5" s="128" t="s">
        <v>88</v>
      </c>
      <c r="K5" s="38" t="s">
        <v>93</v>
      </c>
      <c r="L5" s="36" t="s">
        <v>88</v>
      </c>
      <c r="M5" s="39" t="s">
        <v>94</v>
      </c>
      <c r="N5" s="181"/>
    </row>
    <row r="6" spans="1:14" s="10" customFormat="1" ht="10.5">
      <c r="A6" s="5"/>
      <c r="B6" s="6" t="s">
        <v>10</v>
      </c>
      <c r="C6" s="7" t="s">
        <v>11</v>
      </c>
      <c r="D6" s="6" t="s">
        <v>10</v>
      </c>
      <c r="E6" s="7" t="s">
        <v>11</v>
      </c>
      <c r="F6" s="6" t="s">
        <v>10</v>
      </c>
      <c r="G6" s="7" t="s">
        <v>11</v>
      </c>
      <c r="H6" s="6" t="s">
        <v>10</v>
      </c>
      <c r="I6" s="8" t="s">
        <v>11</v>
      </c>
      <c r="J6" s="6" t="s">
        <v>10</v>
      </c>
      <c r="K6" s="8" t="s">
        <v>11</v>
      </c>
      <c r="L6" s="6" t="s">
        <v>10</v>
      </c>
      <c r="M6" s="8" t="s">
        <v>11</v>
      </c>
      <c r="N6" s="9"/>
    </row>
    <row r="7" spans="1:14" ht="18.75" customHeight="1">
      <c r="A7" s="11" t="s">
        <v>12</v>
      </c>
      <c r="B7" s="12">
        <f>_xlfn.COMPOUNDVALUE(1)</f>
        <v>340</v>
      </c>
      <c r="C7" s="13">
        <v>153633</v>
      </c>
      <c r="D7" s="12">
        <f>_xlfn.COMPOUNDVALUE(2)</f>
        <v>367</v>
      </c>
      <c r="E7" s="13">
        <v>123892</v>
      </c>
      <c r="F7" s="12">
        <f>_xlfn.COMPOUNDVALUE(3)</f>
        <v>707</v>
      </c>
      <c r="G7" s="13">
        <v>277525</v>
      </c>
      <c r="H7" s="12">
        <f>_xlfn.COMPOUNDVALUE(4)</f>
        <v>14</v>
      </c>
      <c r="I7" s="14">
        <v>11880</v>
      </c>
      <c r="J7" s="12">
        <v>68</v>
      </c>
      <c r="K7" s="14">
        <v>13176</v>
      </c>
      <c r="L7" s="12">
        <v>751</v>
      </c>
      <c r="M7" s="14">
        <v>278821</v>
      </c>
      <c r="N7" s="15" t="s">
        <v>12</v>
      </c>
    </row>
    <row r="8" spans="1:14" ht="18.75" customHeight="1">
      <c r="A8" s="11" t="s">
        <v>13</v>
      </c>
      <c r="B8" s="12">
        <f>_xlfn.COMPOUNDVALUE(5)</f>
        <v>934</v>
      </c>
      <c r="C8" s="13">
        <v>313330</v>
      </c>
      <c r="D8" s="12">
        <f>_xlfn.COMPOUNDVALUE(6)</f>
        <v>1771</v>
      </c>
      <c r="E8" s="13">
        <v>479079</v>
      </c>
      <c r="F8" s="12">
        <f>_xlfn.COMPOUNDVALUE(7)</f>
        <v>2705</v>
      </c>
      <c r="G8" s="13">
        <v>792409</v>
      </c>
      <c r="H8" s="12">
        <f>_xlfn.COMPOUNDVALUE(8)</f>
        <v>98</v>
      </c>
      <c r="I8" s="14">
        <v>29365</v>
      </c>
      <c r="J8" s="12">
        <v>201</v>
      </c>
      <c r="K8" s="14">
        <v>17808</v>
      </c>
      <c r="L8" s="12">
        <v>2913</v>
      </c>
      <c r="M8" s="14">
        <v>780852</v>
      </c>
      <c r="N8" s="15" t="s">
        <v>13</v>
      </c>
    </row>
    <row r="9" spans="1:14" ht="18.75" customHeight="1">
      <c r="A9" s="11" t="s">
        <v>14</v>
      </c>
      <c r="B9" s="12">
        <f>_xlfn.COMPOUNDVALUE(9)</f>
        <v>915</v>
      </c>
      <c r="C9" s="13">
        <v>363231</v>
      </c>
      <c r="D9" s="12">
        <f>_xlfn.COMPOUNDVALUE(10)</f>
        <v>1598</v>
      </c>
      <c r="E9" s="13">
        <v>415594</v>
      </c>
      <c r="F9" s="12">
        <f>_xlfn.COMPOUNDVALUE(11)</f>
        <v>2513</v>
      </c>
      <c r="G9" s="13">
        <v>778825</v>
      </c>
      <c r="H9" s="12">
        <f>_xlfn.COMPOUNDVALUE(12)</f>
        <v>76</v>
      </c>
      <c r="I9" s="14">
        <v>35252</v>
      </c>
      <c r="J9" s="12">
        <v>238</v>
      </c>
      <c r="K9" s="14">
        <v>37820</v>
      </c>
      <c r="L9" s="12">
        <v>2708</v>
      </c>
      <c r="M9" s="14">
        <v>781393</v>
      </c>
      <c r="N9" s="15" t="s">
        <v>14</v>
      </c>
    </row>
    <row r="10" spans="1:14" ht="18.75" customHeight="1">
      <c r="A10" s="11" t="s">
        <v>15</v>
      </c>
      <c r="B10" s="12">
        <f>_xlfn.COMPOUNDVALUE(13)</f>
        <v>1001</v>
      </c>
      <c r="C10" s="13">
        <v>464427</v>
      </c>
      <c r="D10" s="12">
        <f>_xlfn.COMPOUNDVALUE(14)</f>
        <v>1273</v>
      </c>
      <c r="E10" s="13">
        <v>390380</v>
      </c>
      <c r="F10" s="12">
        <f>_xlfn.COMPOUNDVALUE(15)</f>
        <v>2274</v>
      </c>
      <c r="G10" s="13">
        <v>854808</v>
      </c>
      <c r="H10" s="12">
        <f>_xlfn.COMPOUNDVALUE(16)</f>
        <v>50</v>
      </c>
      <c r="I10" s="14">
        <v>23450</v>
      </c>
      <c r="J10" s="12">
        <v>241</v>
      </c>
      <c r="K10" s="14">
        <v>39435</v>
      </c>
      <c r="L10" s="12">
        <v>2421</v>
      </c>
      <c r="M10" s="14">
        <v>870792</v>
      </c>
      <c r="N10" s="15" t="s">
        <v>15</v>
      </c>
    </row>
    <row r="11" spans="1:14" ht="18.75" customHeight="1">
      <c r="A11" s="11" t="s">
        <v>16</v>
      </c>
      <c r="B11" s="12">
        <f>_xlfn.COMPOUNDVALUE(17)</f>
        <v>636</v>
      </c>
      <c r="C11" s="13">
        <v>210164</v>
      </c>
      <c r="D11" s="12">
        <f>_xlfn.COMPOUNDVALUE(18)</f>
        <v>953</v>
      </c>
      <c r="E11" s="13">
        <v>250788</v>
      </c>
      <c r="F11" s="12">
        <f>_xlfn.COMPOUNDVALUE(19)</f>
        <v>1589</v>
      </c>
      <c r="G11" s="13">
        <v>460953</v>
      </c>
      <c r="H11" s="12">
        <f>_xlfn.COMPOUNDVALUE(20)</f>
        <v>49</v>
      </c>
      <c r="I11" s="14">
        <v>35536</v>
      </c>
      <c r="J11" s="12">
        <v>164</v>
      </c>
      <c r="K11" s="14">
        <v>26344</v>
      </c>
      <c r="L11" s="12">
        <v>1752</v>
      </c>
      <c r="M11" s="14">
        <v>451761</v>
      </c>
      <c r="N11" s="15" t="s">
        <v>16</v>
      </c>
    </row>
    <row r="12" spans="1:14" ht="18.75" customHeight="1">
      <c r="A12" s="11" t="s">
        <v>95</v>
      </c>
      <c r="B12" s="12">
        <f>_xlfn.COMPOUNDVALUE(21)</f>
        <v>1002</v>
      </c>
      <c r="C12" s="13">
        <v>340360</v>
      </c>
      <c r="D12" s="12">
        <f>_xlfn.COMPOUNDVALUE(22)</f>
        <v>2527</v>
      </c>
      <c r="E12" s="13">
        <v>594520</v>
      </c>
      <c r="F12" s="12">
        <f>_xlfn.COMPOUNDVALUE(23)</f>
        <v>3529</v>
      </c>
      <c r="G12" s="13">
        <v>934880</v>
      </c>
      <c r="H12" s="12">
        <f>_xlfn.COMPOUNDVALUE(24)</f>
        <v>44</v>
      </c>
      <c r="I12" s="14">
        <v>19069</v>
      </c>
      <c r="J12" s="12">
        <v>172</v>
      </c>
      <c r="K12" s="14">
        <v>19968</v>
      </c>
      <c r="L12" s="12">
        <v>3633</v>
      </c>
      <c r="M12" s="14">
        <v>935779</v>
      </c>
      <c r="N12" s="15" t="s">
        <v>95</v>
      </c>
    </row>
    <row r="13" spans="1:14" ht="18.75" customHeight="1">
      <c r="A13" s="11" t="s">
        <v>18</v>
      </c>
      <c r="B13" s="12">
        <f>_xlfn.COMPOUNDVALUE(25)</f>
        <v>267</v>
      </c>
      <c r="C13" s="13">
        <v>73584</v>
      </c>
      <c r="D13" s="12">
        <f>_xlfn.COMPOUNDVALUE(26)</f>
        <v>391</v>
      </c>
      <c r="E13" s="13">
        <v>86517</v>
      </c>
      <c r="F13" s="12">
        <f>_xlfn.COMPOUNDVALUE(27)</f>
        <v>658</v>
      </c>
      <c r="G13" s="13">
        <v>160101</v>
      </c>
      <c r="H13" s="12">
        <f>_xlfn.COMPOUNDVALUE(28)</f>
        <v>15</v>
      </c>
      <c r="I13" s="14">
        <v>6237</v>
      </c>
      <c r="J13" s="12">
        <v>45</v>
      </c>
      <c r="K13" s="14">
        <v>3036</v>
      </c>
      <c r="L13" s="12">
        <v>681</v>
      </c>
      <c r="M13" s="14">
        <v>156900</v>
      </c>
      <c r="N13" s="15" t="s">
        <v>18</v>
      </c>
    </row>
    <row r="14" spans="1:14" ht="18.75" customHeight="1">
      <c r="A14" s="11" t="s">
        <v>19</v>
      </c>
      <c r="B14" s="12">
        <f>_xlfn.COMPOUNDVALUE(29)</f>
        <v>296</v>
      </c>
      <c r="C14" s="13">
        <v>113033</v>
      </c>
      <c r="D14" s="12">
        <f>_xlfn.COMPOUNDVALUE(30)</f>
        <v>609</v>
      </c>
      <c r="E14" s="13">
        <v>160188</v>
      </c>
      <c r="F14" s="12">
        <f>_xlfn.COMPOUNDVALUE(31)</f>
        <v>905</v>
      </c>
      <c r="G14" s="13">
        <v>273221</v>
      </c>
      <c r="H14" s="12">
        <f>_xlfn.COMPOUNDVALUE(32)</f>
        <v>18</v>
      </c>
      <c r="I14" s="14">
        <v>26432</v>
      </c>
      <c r="J14" s="12">
        <v>94</v>
      </c>
      <c r="K14" s="14">
        <v>8120</v>
      </c>
      <c r="L14" s="12">
        <v>949</v>
      </c>
      <c r="M14" s="14">
        <v>254909</v>
      </c>
      <c r="N14" s="15" t="s">
        <v>19</v>
      </c>
    </row>
    <row r="15" spans="1:14" ht="18.75" customHeight="1">
      <c r="A15" s="11" t="s">
        <v>20</v>
      </c>
      <c r="B15" s="12">
        <f>_xlfn.COMPOUNDVALUE(33)</f>
        <v>663</v>
      </c>
      <c r="C15" s="13">
        <v>214822</v>
      </c>
      <c r="D15" s="12">
        <f>_xlfn.COMPOUNDVALUE(34)</f>
        <v>1487</v>
      </c>
      <c r="E15" s="13">
        <v>384246</v>
      </c>
      <c r="F15" s="12">
        <f>_xlfn.COMPOUNDVALUE(35)</f>
        <v>2150</v>
      </c>
      <c r="G15" s="13">
        <v>599068</v>
      </c>
      <c r="H15" s="12">
        <f>_xlfn.COMPOUNDVALUE(36)</f>
        <v>50</v>
      </c>
      <c r="I15" s="14">
        <v>14603</v>
      </c>
      <c r="J15" s="12">
        <v>132</v>
      </c>
      <c r="K15" s="14">
        <v>24105</v>
      </c>
      <c r="L15" s="12">
        <v>2266</v>
      </c>
      <c r="M15" s="14">
        <v>608569</v>
      </c>
      <c r="N15" s="15" t="s">
        <v>20</v>
      </c>
    </row>
    <row r="16" spans="1:14" ht="18.75" customHeight="1">
      <c r="A16" s="11" t="s">
        <v>21</v>
      </c>
      <c r="B16" s="12">
        <f>_xlfn.COMPOUNDVALUE(37)</f>
        <v>359</v>
      </c>
      <c r="C16" s="13">
        <v>106925</v>
      </c>
      <c r="D16" s="12">
        <f>_xlfn.COMPOUNDVALUE(38)</f>
        <v>985</v>
      </c>
      <c r="E16" s="13">
        <v>241152</v>
      </c>
      <c r="F16" s="12">
        <f>_xlfn.COMPOUNDVALUE(39)</f>
        <v>1344</v>
      </c>
      <c r="G16" s="13">
        <v>348077</v>
      </c>
      <c r="H16" s="12">
        <f>_xlfn.COMPOUNDVALUE(40)</f>
        <v>23</v>
      </c>
      <c r="I16" s="14">
        <v>5928</v>
      </c>
      <c r="J16" s="12">
        <v>94</v>
      </c>
      <c r="K16" s="14">
        <v>28759</v>
      </c>
      <c r="L16" s="12">
        <v>1396</v>
      </c>
      <c r="M16" s="14">
        <v>370908</v>
      </c>
      <c r="N16" s="15" t="s">
        <v>21</v>
      </c>
    </row>
    <row r="17" spans="1:14" ht="18.75" customHeight="1">
      <c r="A17" s="11" t="s">
        <v>22</v>
      </c>
      <c r="B17" s="12">
        <f>_xlfn.COMPOUNDVALUE(41)</f>
        <v>1105</v>
      </c>
      <c r="C17" s="13">
        <v>464913</v>
      </c>
      <c r="D17" s="12">
        <f>_xlfn.COMPOUNDVALUE(42)</f>
        <v>1362</v>
      </c>
      <c r="E17" s="13">
        <v>344985</v>
      </c>
      <c r="F17" s="12">
        <f>_xlfn.COMPOUNDVALUE(43)</f>
        <v>2467</v>
      </c>
      <c r="G17" s="13">
        <v>809898</v>
      </c>
      <c r="H17" s="12">
        <f>_xlfn.COMPOUNDVALUE(44)</f>
        <v>87</v>
      </c>
      <c r="I17" s="14">
        <v>38396</v>
      </c>
      <c r="J17" s="12">
        <v>132</v>
      </c>
      <c r="K17" s="14">
        <v>14872</v>
      </c>
      <c r="L17" s="12">
        <v>2588</v>
      </c>
      <c r="M17" s="14">
        <v>786375</v>
      </c>
      <c r="N17" s="15" t="s">
        <v>22</v>
      </c>
    </row>
    <row r="18" spans="1:14" ht="18.75" customHeight="1">
      <c r="A18" s="11" t="s">
        <v>23</v>
      </c>
      <c r="B18" s="12">
        <f>_xlfn.COMPOUNDVALUE(45)</f>
        <v>2640</v>
      </c>
      <c r="C18" s="13">
        <v>1022724</v>
      </c>
      <c r="D18" s="12">
        <f>_xlfn.COMPOUNDVALUE(46)</f>
        <v>2438</v>
      </c>
      <c r="E18" s="13">
        <v>713833</v>
      </c>
      <c r="F18" s="12">
        <f>_xlfn.COMPOUNDVALUE(47)</f>
        <v>5078</v>
      </c>
      <c r="G18" s="13">
        <v>1736558</v>
      </c>
      <c r="H18" s="12">
        <f>_xlfn.COMPOUNDVALUE(48)</f>
        <v>509</v>
      </c>
      <c r="I18" s="14">
        <v>193668</v>
      </c>
      <c r="J18" s="12">
        <v>222</v>
      </c>
      <c r="K18" s="14">
        <v>19298</v>
      </c>
      <c r="L18" s="12">
        <v>5632</v>
      </c>
      <c r="M18" s="14">
        <v>1562188</v>
      </c>
      <c r="N18" s="15" t="s">
        <v>23</v>
      </c>
    </row>
    <row r="19" spans="1:14" ht="18.75" customHeight="1">
      <c r="A19" s="11" t="s">
        <v>24</v>
      </c>
      <c r="B19" s="12">
        <f>_xlfn.COMPOUNDVALUE(49)</f>
        <v>809</v>
      </c>
      <c r="C19" s="13">
        <v>506270</v>
      </c>
      <c r="D19" s="12">
        <f>_xlfn.COMPOUNDVALUE(50)</f>
        <v>1386</v>
      </c>
      <c r="E19" s="13">
        <v>372414</v>
      </c>
      <c r="F19" s="12">
        <f>_xlfn.COMPOUNDVALUE(51)</f>
        <v>2195</v>
      </c>
      <c r="G19" s="13">
        <v>878685</v>
      </c>
      <c r="H19" s="12">
        <f>_xlfn.COMPOUNDVALUE(52)</f>
        <v>99</v>
      </c>
      <c r="I19" s="14">
        <v>47613</v>
      </c>
      <c r="J19" s="12">
        <v>89</v>
      </c>
      <c r="K19" s="14">
        <v>8361</v>
      </c>
      <c r="L19" s="12">
        <v>2309</v>
      </c>
      <c r="M19" s="14">
        <v>839432</v>
      </c>
      <c r="N19" s="15" t="s">
        <v>24</v>
      </c>
    </row>
    <row r="20" spans="1:14" ht="18.75" customHeight="1">
      <c r="A20" s="11" t="s">
        <v>25</v>
      </c>
      <c r="B20" s="12">
        <f>_xlfn.COMPOUNDVALUE(53)</f>
        <v>382</v>
      </c>
      <c r="C20" s="13">
        <v>100958</v>
      </c>
      <c r="D20" s="12">
        <f>_xlfn.COMPOUNDVALUE(54)</f>
        <v>1993</v>
      </c>
      <c r="E20" s="13">
        <v>476825</v>
      </c>
      <c r="F20" s="12">
        <f>_xlfn.COMPOUNDVALUE(55)</f>
        <v>2375</v>
      </c>
      <c r="G20" s="13">
        <v>577783</v>
      </c>
      <c r="H20" s="12">
        <f>_xlfn.COMPOUNDVALUE(56)</f>
        <v>87</v>
      </c>
      <c r="I20" s="14">
        <v>22939</v>
      </c>
      <c r="J20" s="12">
        <v>103</v>
      </c>
      <c r="K20" s="14">
        <v>4517</v>
      </c>
      <c r="L20" s="12">
        <v>2470</v>
      </c>
      <c r="M20" s="14">
        <v>559361</v>
      </c>
      <c r="N20" s="15" t="s">
        <v>25</v>
      </c>
    </row>
    <row r="21" spans="1:14" ht="18.75" customHeight="1">
      <c r="A21" s="11" t="s">
        <v>26</v>
      </c>
      <c r="B21" s="12">
        <f>_xlfn.COMPOUNDVALUE(57)</f>
        <v>815</v>
      </c>
      <c r="C21" s="13">
        <v>351520</v>
      </c>
      <c r="D21" s="12">
        <f>_xlfn.COMPOUNDVALUE(58)</f>
        <v>1212</v>
      </c>
      <c r="E21" s="13">
        <v>324313</v>
      </c>
      <c r="F21" s="12">
        <f>_xlfn.COMPOUNDVALUE(59)</f>
        <v>2027</v>
      </c>
      <c r="G21" s="13">
        <v>675832</v>
      </c>
      <c r="H21" s="12">
        <f>_xlfn.COMPOUNDVALUE(60)</f>
        <v>570</v>
      </c>
      <c r="I21" s="14">
        <v>130726</v>
      </c>
      <c r="J21" s="12">
        <v>88</v>
      </c>
      <c r="K21" s="14">
        <v>5574</v>
      </c>
      <c r="L21" s="12">
        <v>2619</v>
      </c>
      <c r="M21" s="14">
        <v>550681</v>
      </c>
      <c r="N21" s="15" t="s">
        <v>26</v>
      </c>
    </row>
    <row r="22" spans="1:14" ht="18.75" customHeight="1">
      <c r="A22" s="11" t="s">
        <v>27</v>
      </c>
      <c r="B22" s="12">
        <f>_xlfn.COMPOUNDVALUE(61)</f>
        <v>147</v>
      </c>
      <c r="C22" s="13">
        <v>73097</v>
      </c>
      <c r="D22" s="12">
        <f>_xlfn.COMPOUNDVALUE(62)</f>
        <v>463</v>
      </c>
      <c r="E22" s="13">
        <v>109536</v>
      </c>
      <c r="F22" s="12">
        <f>_xlfn.COMPOUNDVALUE(63)</f>
        <v>610</v>
      </c>
      <c r="G22" s="13">
        <v>182632</v>
      </c>
      <c r="H22" s="12">
        <f>_xlfn.COMPOUNDVALUE(64)</f>
        <v>15</v>
      </c>
      <c r="I22" s="14">
        <v>3179</v>
      </c>
      <c r="J22" s="12">
        <v>50</v>
      </c>
      <c r="K22" s="14">
        <v>10394</v>
      </c>
      <c r="L22" s="12">
        <v>627</v>
      </c>
      <c r="M22" s="14">
        <v>189848</v>
      </c>
      <c r="N22" s="15" t="s">
        <v>27</v>
      </c>
    </row>
    <row r="23" spans="1:14" ht="18.75" customHeight="1">
      <c r="A23" s="11" t="s">
        <v>28</v>
      </c>
      <c r="B23" s="12">
        <f>_xlfn.COMPOUNDVALUE(65)</f>
        <v>568</v>
      </c>
      <c r="C23" s="13">
        <v>239295</v>
      </c>
      <c r="D23" s="12">
        <f>_xlfn.COMPOUNDVALUE(66)</f>
        <v>1433</v>
      </c>
      <c r="E23" s="13">
        <v>370740</v>
      </c>
      <c r="F23" s="12">
        <f>_xlfn.COMPOUNDVALUE(67)</f>
        <v>2001</v>
      </c>
      <c r="G23" s="13">
        <v>610035</v>
      </c>
      <c r="H23" s="12">
        <f>_xlfn.COMPOUNDVALUE(68)</f>
        <v>62</v>
      </c>
      <c r="I23" s="14">
        <v>13500</v>
      </c>
      <c r="J23" s="12">
        <v>114</v>
      </c>
      <c r="K23" s="14">
        <v>12203</v>
      </c>
      <c r="L23" s="12">
        <v>2101</v>
      </c>
      <c r="M23" s="14">
        <v>608738</v>
      </c>
      <c r="N23" s="15" t="s">
        <v>28</v>
      </c>
    </row>
    <row r="24" spans="1:14" ht="18.75" customHeight="1">
      <c r="A24" s="16" t="s">
        <v>29</v>
      </c>
      <c r="B24" s="17">
        <f>_xlfn.COMPOUNDVALUE(69)</f>
        <v>568</v>
      </c>
      <c r="C24" s="18">
        <v>222959</v>
      </c>
      <c r="D24" s="17">
        <f>_xlfn.COMPOUNDVALUE(70)</f>
        <v>1703</v>
      </c>
      <c r="E24" s="18">
        <v>544763</v>
      </c>
      <c r="F24" s="17">
        <f>_xlfn.COMPOUNDVALUE(71)</f>
        <v>2271</v>
      </c>
      <c r="G24" s="18">
        <v>767722</v>
      </c>
      <c r="H24" s="17">
        <f>_xlfn.COMPOUNDVALUE(72)</f>
        <v>58</v>
      </c>
      <c r="I24" s="19">
        <v>28260</v>
      </c>
      <c r="J24" s="17">
        <v>53</v>
      </c>
      <c r="K24" s="19">
        <v>4028</v>
      </c>
      <c r="L24" s="17">
        <v>2349</v>
      </c>
      <c r="M24" s="19">
        <v>743490</v>
      </c>
      <c r="N24" s="20" t="s">
        <v>29</v>
      </c>
    </row>
    <row r="25" spans="1:14" ht="18.75" customHeight="1">
      <c r="A25" s="16" t="s">
        <v>30</v>
      </c>
      <c r="B25" s="17">
        <f>_xlfn.COMPOUNDVALUE(73)</f>
        <v>670</v>
      </c>
      <c r="C25" s="18">
        <v>392704</v>
      </c>
      <c r="D25" s="17">
        <f>_xlfn.COMPOUNDVALUE(74)</f>
        <v>998</v>
      </c>
      <c r="E25" s="18">
        <v>293130</v>
      </c>
      <c r="F25" s="17">
        <f>_xlfn.COMPOUNDVALUE(75)</f>
        <v>1668</v>
      </c>
      <c r="G25" s="18">
        <v>685833</v>
      </c>
      <c r="H25" s="17">
        <f>_xlfn.COMPOUNDVALUE(76)</f>
        <v>73</v>
      </c>
      <c r="I25" s="19">
        <v>59402</v>
      </c>
      <c r="J25" s="17">
        <v>131</v>
      </c>
      <c r="K25" s="19">
        <v>18473</v>
      </c>
      <c r="L25" s="17">
        <v>1783</v>
      </c>
      <c r="M25" s="19">
        <v>644904</v>
      </c>
      <c r="N25" s="20" t="s">
        <v>30</v>
      </c>
    </row>
    <row r="26" spans="1:14" ht="18.75" customHeight="1">
      <c r="A26" s="16" t="s">
        <v>31</v>
      </c>
      <c r="B26" s="17">
        <f>_xlfn.COMPOUNDVALUE(77)</f>
        <v>345</v>
      </c>
      <c r="C26" s="18">
        <v>104038</v>
      </c>
      <c r="D26" s="17">
        <f>_xlfn.COMPOUNDVALUE(78)</f>
        <v>746</v>
      </c>
      <c r="E26" s="18">
        <v>162283</v>
      </c>
      <c r="F26" s="17">
        <f>_xlfn.COMPOUNDVALUE(79)</f>
        <v>1091</v>
      </c>
      <c r="G26" s="18">
        <v>266321</v>
      </c>
      <c r="H26" s="17">
        <f>_xlfn.COMPOUNDVALUE(80)</f>
        <v>109</v>
      </c>
      <c r="I26" s="19">
        <v>37707</v>
      </c>
      <c r="J26" s="17">
        <v>93</v>
      </c>
      <c r="K26" s="19">
        <v>3130</v>
      </c>
      <c r="L26" s="17">
        <v>1210</v>
      </c>
      <c r="M26" s="19">
        <v>231744</v>
      </c>
      <c r="N26" s="20" t="s">
        <v>31</v>
      </c>
    </row>
    <row r="27" spans="1:14" ht="18.75" customHeight="1">
      <c r="A27" s="16" t="s">
        <v>32</v>
      </c>
      <c r="B27" s="17">
        <f>_xlfn.COMPOUNDVALUE(81)</f>
        <v>1010</v>
      </c>
      <c r="C27" s="18">
        <v>516477</v>
      </c>
      <c r="D27" s="17">
        <f>_xlfn.COMPOUNDVALUE(82)</f>
        <v>1748</v>
      </c>
      <c r="E27" s="18">
        <v>475683</v>
      </c>
      <c r="F27" s="17">
        <f>_xlfn.COMPOUNDVALUE(83)</f>
        <v>2758</v>
      </c>
      <c r="G27" s="18">
        <v>992160</v>
      </c>
      <c r="H27" s="17">
        <f>_xlfn.COMPOUNDVALUE(84)</f>
        <v>62</v>
      </c>
      <c r="I27" s="19">
        <v>36319</v>
      </c>
      <c r="J27" s="17">
        <v>109</v>
      </c>
      <c r="K27" s="19">
        <v>6553</v>
      </c>
      <c r="L27" s="17">
        <v>2860</v>
      </c>
      <c r="M27" s="19">
        <v>962395</v>
      </c>
      <c r="N27" s="20" t="s">
        <v>32</v>
      </c>
    </row>
    <row r="28" spans="1:14" ht="18.75" customHeight="1">
      <c r="A28" s="16" t="s">
        <v>33</v>
      </c>
      <c r="B28" s="17">
        <f>_xlfn.COMPOUNDVALUE(85)</f>
        <v>169</v>
      </c>
      <c r="C28" s="18">
        <v>54252</v>
      </c>
      <c r="D28" s="17">
        <f>_xlfn.COMPOUNDVALUE(86)</f>
        <v>710</v>
      </c>
      <c r="E28" s="18">
        <v>169273</v>
      </c>
      <c r="F28" s="17">
        <f>_xlfn.COMPOUNDVALUE(87)</f>
        <v>879</v>
      </c>
      <c r="G28" s="18">
        <v>223524</v>
      </c>
      <c r="H28" s="17">
        <f>_xlfn.COMPOUNDVALUE(88)</f>
        <v>8</v>
      </c>
      <c r="I28" s="19">
        <v>2322</v>
      </c>
      <c r="J28" s="17">
        <v>72</v>
      </c>
      <c r="K28" s="19">
        <v>3072</v>
      </c>
      <c r="L28" s="17">
        <v>895</v>
      </c>
      <c r="M28" s="19">
        <v>224274</v>
      </c>
      <c r="N28" s="20" t="s">
        <v>33</v>
      </c>
    </row>
    <row r="29" spans="1:14" ht="18.75" customHeight="1">
      <c r="A29" s="16" t="s">
        <v>34</v>
      </c>
      <c r="B29" s="17">
        <f>_xlfn.COMPOUNDVALUE(89)</f>
        <v>107</v>
      </c>
      <c r="C29" s="18">
        <v>30332</v>
      </c>
      <c r="D29" s="17">
        <f>_xlfn.COMPOUNDVALUE(90)</f>
        <v>949</v>
      </c>
      <c r="E29" s="18">
        <v>253432</v>
      </c>
      <c r="F29" s="17">
        <f>_xlfn.COMPOUNDVALUE(91)</f>
        <v>1056</v>
      </c>
      <c r="G29" s="18">
        <v>283764</v>
      </c>
      <c r="H29" s="17">
        <f>_xlfn.COMPOUNDVALUE(92)</f>
        <v>17</v>
      </c>
      <c r="I29" s="19">
        <v>7984</v>
      </c>
      <c r="J29" s="17">
        <v>28</v>
      </c>
      <c r="K29" s="19">
        <v>653</v>
      </c>
      <c r="L29" s="17">
        <v>1081</v>
      </c>
      <c r="M29" s="19">
        <v>276433</v>
      </c>
      <c r="N29" s="20" t="s">
        <v>34</v>
      </c>
    </row>
    <row r="30" spans="1:14" ht="18.75" customHeight="1">
      <c r="A30" s="16" t="s">
        <v>35</v>
      </c>
      <c r="B30" s="17">
        <f>_xlfn.COMPOUNDVALUE(93)</f>
        <v>160</v>
      </c>
      <c r="C30" s="18">
        <v>52549</v>
      </c>
      <c r="D30" s="17">
        <f>_xlfn.COMPOUNDVALUE(94)</f>
        <v>766</v>
      </c>
      <c r="E30" s="18">
        <v>171547</v>
      </c>
      <c r="F30" s="17">
        <f>_xlfn.COMPOUNDVALUE(95)</f>
        <v>926</v>
      </c>
      <c r="G30" s="18">
        <v>224096</v>
      </c>
      <c r="H30" s="17">
        <f>_xlfn.COMPOUNDVALUE(96)</f>
        <v>43</v>
      </c>
      <c r="I30" s="19">
        <v>13841</v>
      </c>
      <c r="J30" s="17">
        <v>31</v>
      </c>
      <c r="K30" s="19">
        <v>1534</v>
      </c>
      <c r="L30" s="17">
        <v>978</v>
      </c>
      <c r="M30" s="19">
        <v>211788</v>
      </c>
      <c r="N30" s="20" t="s">
        <v>35</v>
      </c>
    </row>
    <row r="31" spans="1:14" ht="18.75" customHeight="1">
      <c r="A31" s="16" t="s">
        <v>36</v>
      </c>
      <c r="B31" s="17">
        <f>_xlfn.COMPOUNDVALUE(97)</f>
        <v>229</v>
      </c>
      <c r="C31" s="18">
        <v>117778</v>
      </c>
      <c r="D31" s="17">
        <f>_xlfn.COMPOUNDVALUE(98)</f>
        <v>1185</v>
      </c>
      <c r="E31" s="18">
        <v>288930</v>
      </c>
      <c r="F31" s="17">
        <f>_xlfn.COMPOUNDVALUE(99)</f>
        <v>1414</v>
      </c>
      <c r="G31" s="18">
        <v>406708</v>
      </c>
      <c r="H31" s="17">
        <f>_xlfn.COMPOUNDVALUE(100)</f>
        <v>12</v>
      </c>
      <c r="I31" s="19">
        <v>1368</v>
      </c>
      <c r="J31" s="17">
        <v>67</v>
      </c>
      <c r="K31" s="19">
        <v>-342</v>
      </c>
      <c r="L31" s="17">
        <v>1432</v>
      </c>
      <c r="M31" s="19">
        <v>404998</v>
      </c>
      <c r="N31" s="20" t="s">
        <v>36</v>
      </c>
    </row>
    <row r="32" spans="1:14" ht="18.75" customHeight="1">
      <c r="A32" s="16" t="s">
        <v>37</v>
      </c>
      <c r="B32" s="17">
        <f>_xlfn.COMPOUNDVALUE(101)</f>
        <v>81</v>
      </c>
      <c r="C32" s="18">
        <v>31887</v>
      </c>
      <c r="D32" s="17">
        <f>_xlfn.COMPOUNDVALUE(102)</f>
        <v>255</v>
      </c>
      <c r="E32" s="18">
        <v>52005</v>
      </c>
      <c r="F32" s="17">
        <f>_xlfn.COMPOUNDVALUE(103)</f>
        <v>336</v>
      </c>
      <c r="G32" s="18">
        <v>83892</v>
      </c>
      <c r="H32" s="17">
        <f>_xlfn.COMPOUNDVALUE(104)</f>
        <v>9</v>
      </c>
      <c r="I32" s="19">
        <v>5359</v>
      </c>
      <c r="J32" s="17">
        <v>9</v>
      </c>
      <c r="K32" s="19">
        <v>86</v>
      </c>
      <c r="L32" s="17">
        <v>345</v>
      </c>
      <c r="M32" s="19">
        <v>78619</v>
      </c>
      <c r="N32" s="20" t="s">
        <v>37</v>
      </c>
    </row>
    <row r="33" spans="1:14" ht="18.75" customHeight="1">
      <c r="A33" s="16" t="s">
        <v>38</v>
      </c>
      <c r="B33" s="17">
        <f>_xlfn.COMPOUNDVALUE(105)</f>
        <v>306</v>
      </c>
      <c r="C33" s="18">
        <v>85801</v>
      </c>
      <c r="D33" s="17">
        <f>_xlfn.COMPOUNDVALUE(106)</f>
        <v>1008</v>
      </c>
      <c r="E33" s="18">
        <v>238931</v>
      </c>
      <c r="F33" s="17">
        <f>_xlfn.COMPOUNDVALUE(107)</f>
        <v>1314</v>
      </c>
      <c r="G33" s="18">
        <v>324731</v>
      </c>
      <c r="H33" s="17">
        <f>_xlfn.COMPOUNDVALUE(108)</f>
        <v>44</v>
      </c>
      <c r="I33" s="19">
        <v>12111</v>
      </c>
      <c r="J33" s="17">
        <v>77</v>
      </c>
      <c r="K33" s="19">
        <v>6279</v>
      </c>
      <c r="L33" s="17">
        <v>1368</v>
      </c>
      <c r="M33" s="19">
        <v>318900</v>
      </c>
      <c r="N33" s="20" t="s">
        <v>38</v>
      </c>
    </row>
    <row r="34" spans="1:14" ht="18.75" customHeight="1">
      <c r="A34" s="16" t="s">
        <v>39</v>
      </c>
      <c r="B34" s="17">
        <f>_xlfn.COMPOUNDVALUE(109)</f>
        <v>81</v>
      </c>
      <c r="C34" s="18">
        <v>33771</v>
      </c>
      <c r="D34" s="17">
        <f>_xlfn.COMPOUNDVALUE(110)</f>
        <v>377</v>
      </c>
      <c r="E34" s="18">
        <v>83130</v>
      </c>
      <c r="F34" s="17">
        <f>_xlfn.COMPOUNDVALUE(111)</f>
        <v>458</v>
      </c>
      <c r="G34" s="18">
        <v>116901</v>
      </c>
      <c r="H34" s="17">
        <f>_xlfn.COMPOUNDVALUE(112)</f>
        <v>7</v>
      </c>
      <c r="I34" s="19">
        <v>550</v>
      </c>
      <c r="J34" s="17">
        <v>18</v>
      </c>
      <c r="K34" s="19">
        <v>1034</v>
      </c>
      <c r="L34" s="17">
        <v>471</v>
      </c>
      <c r="M34" s="19">
        <v>117385</v>
      </c>
      <c r="N34" s="20" t="s">
        <v>39</v>
      </c>
    </row>
    <row r="35" spans="1:14" ht="18.75" customHeight="1">
      <c r="A35" s="16" t="s">
        <v>40</v>
      </c>
      <c r="B35" s="17">
        <f>_xlfn.COMPOUNDVALUE(113)</f>
        <v>322</v>
      </c>
      <c r="C35" s="18">
        <v>120445</v>
      </c>
      <c r="D35" s="17">
        <f>_xlfn.COMPOUNDVALUE(114)</f>
        <v>558</v>
      </c>
      <c r="E35" s="18">
        <v>136271</v>
      </c>
      <c r="F35" s="17">
        <f>_xlfn.COMPOUNDVALUE(115)</f>
        <v>880</v>
      </c>
      <c r="G35" s="18">
        <v>256716</v>
      </c>
      <c r="H35" s="17">
        <f>_xlfn.COMPOUNDVALUE(116)</f>
        <v>55</v>
      </c>
      <c r="I35" s="19">
        <v>19177</v>
      </c>
      <c r="J35" s="17">
        <v>72</v>
      </c>
      <c r="K35" s="19">
        <v>6760</v>
      </c>
      <c r="L35" s="17">
        <v>956</v>
      </c>
      <c r="M35" s="19">
        <v>244298</v>
      </c>
      <c r="N35" s="20" t="s">
        <v>40</v>
      </c>
    </row>
    <row r="36" spans="1:14" s="21" customFormat="1" ht="18.75" customHeight="1" thickBot="1">
      <c r="A36" s="129" t="s">
        <v>41</v>
      </c>
      <c r="B36" s="124">
        <f>_xlfn.COMPOUNDVALUE(117)</f>
        <v>648</v>
      </c>
      <c r="C36" s="130">
        <v>197408</v>
      </c>
      <c r="D36" s="124">
        <f>_xlfn.COMPOUNDVALUE(118)</f>
        <v>364</v>
      </c>
      <c r="E36" s="130">
        <v>98948</v>
      </c>
      <c r="F36" s="124">
        <f>_xlfn.COMPOUNDVALUE(119)</f>
        <v>1012</v>
      </c>
      <c r="G36" s="130">
        <v>296356</v>
      </c>
      <c r="H36" s="124">
        <f>_xlfn.COMPOUNDVALUE(120)</f>
        <v>194</v>
      </c>
      <c r="I36" s="131">
        <v>63063</v>
      </c>
      <c r="J36" s="124">
        <v>30</v>
      </c>
      <c r="K36" s="131">
        <v>861</v>
      </c>
      <c r="L36" s="124">
        <v>1221</v>
      </c>
      <c r="M36" s="131">
        <v>234154</v>
      </c>
      <c r="N36" s="127" t="s">
        <v>41</v>
      </c>
    </row>
    <row r="37" spans="1:14" ht="18.75" customHeight="1" thickBot="1" thickTop="1">
      <c r="A37" s="22" t="s">
        <v>48</v>
      </c>
      <c r="B37" s="23">
        <v>17575</v>
      </c>
      <c r="C37" s="24">
        <v>7072684</v>
      </c>
      <c r="D37" s="23">
        <v>33615</v>
      </c>
      <c r="E37" s="24">
        <v>8807328</v>
      </c>
      <c r="F37" s="23">
        <v>51190</v>
      </c>
      <c r="G37" s="24">
        <v>15880012</v>
      </c>
      <c r="H37" s="23">
        <v>2557</v>
      </c>
      <c r="I37" s="25">
        <v>945236</v>
      </c>
      <c r="J37" s="23">
        <v>3037</v>
      </c>
      <c r="K37" s="25">
        <v>345911</v>
      </c>
      <c r="L37" s="23">
        <v>54765</v>
      </c>
      <c r="M37" s="25">
        <v>15280687</v>
      </c>
      <c r="N37" s="26" t="str">
        <f>IF(A37="","",A37)</f>
        <v>合　　計</v>
      </c>
    </row>
    <row r="38" spans="1:14" ht="3" customHeight="1">
      <c r="A38" s="42"/>
      <c r="B38" s="43"/>
      <c r="C38" s="43"/>
      <c r="D38" s="43"/>
      <c r="E38" s="43"/>
      <c r="F38" s="43"/>
      <c r="G38" s="43"/>
      <c r="H38" s="43"/>
      <c r="I38" s="43"/>
      <c r="J38" s="43"/>
      <c r="K38" s="43"/>
      <c r="L38" s="43"/>
      <c r="M38" s="43"/>
      <c r="N38" s="42"/>
    </row>
    <row r="39" spans="1:14" ht="13.5">
      <c r="A39" s="177" t="s">
        <v>96</v>
      </c>
      <c r="B39" s="177"/>
      <c r="C39" s="177"/>
      <c r="D39" s="177"/>
      <c r="E39" s="177"/>
      <c r="F39" s="177"/>
      <c r="G39" s="177"/>
      <c r="H39" s="177"/>
      <c r="I39" s="177"/>
      <c r="J39" s="27"/>
      <c r="K39" s="27"/>
      <c r="L39" s="2"/>
      <c r="M39" s="2"/>
      <c r="N39" s="2"/>
    </row>
    <row r="41" spans="2:10" ht="13.5">
      <c r="B41" s="28"/>
      <c r="C41" s="28"/>
      <c r="D41" s="28"/>
      <c r="E41" s="28"/>
      <c r="F41" s="28"/>
      <c r="G41" s="28"/>
      <c r="H41" s="28"/>
      <c r="J41" s="28"/>
    </row>
    <row r="42" spans="2:10" ht="13.5">
      <c r="B42" s="28"/>
      <c r="C42" s="28"/>
      <c r="D42" s="28"/>
      <c r="E42" s="28"/>
      <c r="F42" s="28"/>
      <c r="G42" s="28"/>
      <c r="H42" s="28"/>
      <c r="J42" s="28"/>
    </row>
    <row r="43" spans="2:10" ht="13.5">
      <c r="B43" s="28"/>
      <c r="C43" s="28"/>
      <c r="D43" s="28"/>
      <c r="E43" s="28"/>
      <c r="F43" s="28"/>
      <c r="G43" s="28"/>
      <c r="H43" s="28"/>
      <c r="J43" s="28"/>
    </row>
    <row r="44" spans="2:10" ht="13.5">
      <c r="B44" s="28"/>
      <c r="C44" s="28"/>
      <c r="D44" s="28"/>
      <c r="E44" s="28"/>
      <c r="F44" s="28"/>
      <c r="G44" s="28"/>
      <c r="H44" s="28"/>
      <c r="J44" s="28"/>
    </row>
    <row r="45" spans="2:10" ht="13.5">
      <c r="B45" s="28"/>
      <c r="C45" s="28"/>
      <c r="D45" s="28"/>
      <c r="E45" s="28"/>
      <c r="F45" s="28"/>
      <c r="G45" s="28"/>
      <c r="H45" s="28"/>
      <c r="J45" s="28"/>
    </row>
    <row r="46" spans="2:10" ht="13.5">
      <c r="B46" s="28"/>
      <c r="C46" s="28"/>
      <c r="D46" s="28"/>
      <c r="E46" s="28"/>
      <c r="F46" s="28"/>
      <c r="G46" s="28"/>
      <c r="H46" s="28"/>
      <c r="J46" s="28"/>
    </row>
    <row r="47" spans="2:10" ht="13.5">
      <c r="B47" s="28"/>
      <c r="C47" s="28"/>
      <c r="D47" s="28"/>
      <c r="E47" s="28"/>
      <c r="F47" s="28"/>
      <c r="G47" s="28"/>
      <c r="H47" s="28"/>
      <c r="J47" s="28"/>
    </row>
    <row r="48" spans="2:10" ht="13.5">
      <c r="B48" s="28"/>
      <c r="C48" s="28"/>
      <c r="D48" s="28"/>
      <c r="E48" s="28"/>
      <c r="F48" s="28"/>
      <c r="G48" s="28"/>
      <c r="H48" s="28"/>
      <c r="J48" s="28"/>
    </row>
    <row r="49" spans="2:10" ht="13.5">
      <c r="B49" s="28"/>
      <c r="C49" s="28"/>
      <c r="D49" s="28"/>
      <c r="E49" s="28"/>
      <c r="F49" s="28"/>
      <c r="G49" s="28"/>
      <c r="H49" s="28"/>
      <c r="J49" s="28"/>
    </row>
    <row r="50" spans="2:10" ht="13.5">
      <c r="B50" s="28"/>
      <c r="C50" s="28"/>
      <c r="D50" s="28"/>
      <c r="E50" s="28"/>
      <c r="F50" s="28"/>
      <c r="G50" s="28"/>
      <c r="H50" s="28"/>
      <c r="J50" s="28"/>
    </row>
    <row r="51" spans="2:10" ht="13.5">
      <c r="B51" s="28"/>
      <c r="C51" s="28"/>
      <c r="D51" s="28"/>
      <c r="E51" s="28"/>
      <c r="F51" s="28"/>
      <c r="G51" s="28"/>
      <c r="H51" s="28"/>
      <c r="J51" s="28"/>
    </row>
    <row r="52" spans="2:10" ht="13.5">
      <c r="B52" s="28"/>
      <c r="C52" s="28"/>
      <c r="D52" s="28"/>
      <c r="E52" s="28"/>
      <c r="F52" s="28"/>
      <c r="G52" s="28"/>
      <c r="H52" s="28"/>
      <c r="J52" s="28"/>
    </row>
    <row r="53" spans="2:10" ht="13.5">
      <c r="B53" s="28"/>
      <c r="C53" s="28"/>
      <c r="D53" s="28"/>
      <c r="E53" s="28"/>
      <c r="F53" s="28"/>
      <c r="G53" s="28"/>
      <c r="H53" s="28"/>
      <c r="J53" s="28"/>
    </row>
  </sheetData>
  <sheetProtection/>
  <mergeCells count="11">
    <mergeCell ref="A39:I39"/>
    <mergeCell ref="A2:G2"/>
    <mergeCell ref="A3:A5"/>
    <mergeCell ref="B3:G3"/>
    <mergeCell ref="H3:I4"/>
    <mergeCell ref="N3:N5"/>
    <mergeCell ref="B4:C4"/>
    <mergeCell ref="D4:E4"/>
    <mergeCell ref="F4:G4"/>
    <mergeCell ref="J3:K4"/>
    <mergeCell ref="L3:M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（H24）</oddFooter>
  </headerFooter>
</worksheet>
</file>

<file path=xl/worksheets/sheet5.xml><?xml version="1.0" encoding="utf-8"?>
<worksheet xmlns="http://schemas.openxmlformats.org/spreadsheetml/2006/main" xmlns:r="http://schemas.openxmlformats.org/officeDocument/2006/relationships">
  <dimension ref="A1:N39"/>
  <sheetViews>
    <sheetView showGridLines="0" view="pageBreakPreview" zoomScaleSheetLayoutView="100" zoomScalePageLayoutView="0" workbookViewId="0" topLeftCell="A1">
      <selection activeCell="A1" sqref="A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42</v>
      </c>
      <c r="B1" s="1"/>
      <c r="C1" s="1"/>
      <c r="D1" s="1"/>
      <c r="E1" s="1"/>
      <c r="F1" s="1"/>
      <c r="G1" s="1"/>
      <c r="H1" s="1"/>
      <c r="I1" s="1"/>
      <c r="J1" s="1"/>
      <c r="K1" s="1"/>
      <c r="L1" s="2"/>
      <c r="M1" s="2"/>
    </row>
    <row r="2" spans="1:13" ht="14.25" thickBot="1">
      <c r="A2" s="195" t="s">
        <v>43</v>
      </c>
      <c r="B2" s="195"/>
      <c r="C2" s="195"/>
      <c r="D2" s="195"/>
      <c r="E2" s="195"/>
      <c r="F2" s="195"/>
      <c r="G2" s="195"/>
      <c r="H2" s="195"/>
      <c r="I2" s="195"/>
      <c r="J2" s="27"/>
      <c r="K2" s="27"/>
      <c r="L2" s="2"/>
      <c r="M2" s="2"/>
    </row>
    <row r="3" spans="1:14" ht="19.5" customHeight="1">
      <c r="A3" s="191" t="s">
        <v>86</v>
      </c>
      <c r="B3" s="194" t="s">
        <v>91</v>
      </c>
      <c r="C3" s="194"/>
      <c r="D3" s="194"/>
      <c r="E3" s="194"/>
      <c r="F3" s="194"/>
      <c r="G3" s="194"/>
      <c r="H3" s="190" t="s">
        <v>2</v>
      </c>
      <c r="I3" s="188"/>
      <c r="J3" s="187" t="s">
        <v>3</v>
      </c>
      <c r="K3" s="188"/>
      <c r="L3" s="190" t="s">
        <v>4</v>
      </c>
      <c r="M3" s="188"/>
      <c r="N3" s="179" t="s">
        <v>44</v>
      </c>
    </row>
    <row r="4" spans="1:14" ht="17.25" customHeight="1">
      <c r="A4" s="192"/>
      <c r="B4" s="185" t="s">
        <v>87</v>
      </c>
      <c r="C4" s="186"/>
      <c r="D4" s="185" t="s">
        <v>6</v>
      </c>
      <c r="E4" s="186"/>
      <c r="F4" s="185" t="s">
        <v>7</v>
      </c>
      <c r="G4" s="186"/>
      <c r="H4" s="185"/>
      <c r="I4" s="189"/>
      <c r="J4" s="185"/>
      <c r="K4" s="189"/>
      <c r="L4" s="185"/>
      <c r="M4" s="189"/>
      <c r="N4" s="180"/>
    </row>
    <row r="5" spans="1:14" ht="28.5" customHeight="1">
      <c r="A5" s="193"/>
      <c r="B5" s="128" t="s">
        <v>88</v>
      </c>
      <c r="C5" s="37" t="s">
        <v>89</v>
      </c>
      <c r="D5" s="128" t="s">
        <v>88</v>
      </c>
      <c r="E5" s="37" t="s">
        <v>89</v>
      </c>
      <c r="F5" s="128" t="s">
        <v>88</v>
      </c>
      <c r="G5" s="37" t="s">
        <v>90</v>
      </c>
      <c r="H5" s="128" t="s">
        <v>88</v>
      </c>
      <c r="I5" s="38" t="s">
        <v>92</v>
      </c>
      <c r="J5" s="128" t="s">
        <v>88</v>
      </c>
      <c r="K5" s="38" t="s">
        <v>93</v>
      </c>
      <c r="L5" s="36" t="s">
        <v>88</v>
      </c>
      <c r="M5" s="39" t="s">
        <v>94</v>
      </c>
      <c r="N5" s="181"/>
    </row>
    <row r="6" spans="1:14" s="29" customFormat="1" ht="10.5">
      <c r="A6" s="5"/>
      <c r="B6" s="6" t="s">
        <v>10</v>
      </c>
      <c r="C6" s="7" t="s">
        <v>11</v>
      </c>
      <c r="D6" s="6" t="s">
        <v>10</v>
      </c>
      <c r="E6" s="7" t="s">
        <v>11</v>
      </c>
      <c r="F6" s="6" t="s">
        <v>10</v>
      </c>
      <c r="G6" s="7" t="s">
        <v>11</v>
      </c>
      <c r="H6" s="6" t="s">
        <v>10</v>
      </c>
      <c r="I6" s="8" t="s">
        <v>11</v>
      </c>
      <c r="J6" s="6" t="s">
        <v>10</v>
      </c>
      <c r="K6" s="8" t="s">
        <v>11</v>
      </c>
      <c r="L6" s="6" t="s">
        <v>10</v>
      </c>
      <c r="M6" s="8" t="s">
        <v>11</v>
      </c>
      <c r="N6" s="9"/>
    </row>
    <row r="7" spans="1:14" ht="18.75" customHeight="1">
      <c r="A7" s="11" t="s">
        <v>97</v>
      </c>
      <c r="B7" s="12">
        <f>_xlfn.COMPOUNDVALUE(121)</f>
        <v>3138</v>
      </c>
      <c r="C7" s="13">
        <v>30653767</v>
      </c>
      <c r="D7" s="12">
        <f>_xlfn.COMPOUNDVALUE(122)</f>
        <v>834</v>
      </c>
      <c r="E7" s="13">
        <v>393100</v>
      </c>
      <c r="F7" s="12">
        <f>_xlfn.COMPOUNDVALUE(123)</f>
        <v>3972</v>
      </c>
      <c r="G7" s="13">
        <v>31046867</v>
      </c>
      <c r="H7" s="12">
        <f>_xlfn.COMPOUNDVALUE(124)</f>
        <v>220</v>
      </c>
      <c r="I7" s="14">
        <v>3359548</v>
      </c>
      <c r="J7" s="12">
        <v>214</v>
      </c>
      <c r="K7" s="14">
        <v>78741</v>
      </c>
      <c r="L7" s="12">
        <v>4219</v>
      </c>
      <c r="M7" s="14">
        <v>27766059</v>
      </c>
      <c r="N7" s="15" t="s">
        <v>97</v>
      </c>
    </row>
    <row r="8" spans="1:14" ht="18.75" customHeight="1">
      <c r="A8" s="11" t="s">
        <v>13</v>
      </c>
      <c r="B8" s="12">
        <f>_xlfn.COMPOUNDVALUE(125)</f>
        <v>6197</v>
      </c>
      <c r="C8" s="13">
        <v>27634321</v>
      </c>
      <c r="D8" s="12">
        <f>_xlfn.COMPOUNDVALUE(126)</f>
        <v>2780</v>
      </c>
      <c r="E8" s="13">
        <v>1037982</v>
      </c>
      <c r="F8" s="12">
        <f>_xlfn.COMPOUNDVALUE(127)</f>
        <v>8977</v>
      </c>
      <c r="G8" s="13">
        <v>28672303</v>
      </c>
      <c r="H8" s="12">
        <f>_xlfn.COMPOUNDVALUE(128)</f>
        <v>339</v>
      </c>
      <c r="I8" s="14">
        <v>666844</v>
      </c>
      <c r="J8" s="12">
        <v>566</v>
      </c>
      <c r="K8" s="14">
        <v>95996</v>
      </c>
      <c r="L8" s="12">
        <v>9430</v>
      </c>
      <c r="M8" s="14">
        <v>28101455</v>
      </c>
      <c r="N8" s="15" t="s">
        <v>13</v>
      </c>
    </row>
    <row r="9" spans="1:14" ht="18.75" customHeight="1">
      <c r="A9" s="11" t="s">
        <v>14</v>
      </c>
      <c r="B9" s="12">
        <f>_xlfn.COMPOUNDVALUE(129)</f>
        <v>4870</v>
      </c>
      <c r="C9" s="13">
        <v>16117101</v>
      </c>
      <c r="D9" s="12">
        <f>_xlfn.COMPOUNDVALUE(130)</f>
        <v>2246</v>
      </c>
      <c r="E9" s="13">
        <v>811121</v>
      </c>
      <c r="F9" s="12">
        <f>_xlfn.COMPOUNDVALUE(131)</f>
        <v>7116</v>
      </c>
      <c r="G9" s="13">
        <v>16928222</v>
      </c>
      <c r="H9" s="12">
        <f>_xlfn.COMPOUNDVALUE(132)</f>
        <v>284</v>
      </c>
      <c r="I9" s="14">
        <v>473999</v>
      </c>
      <c r="J9" s="12">
        <v>373</v>
      </c>
      <c r="K9" s="14">
        <v>57017</v>
      </c>
      <c r="L9" s="12">
        <v>7466</v>
      </c>
      <c r="M9" s="14">
        <v>16511240</v>
      </c>
      <c r="N9" s="15" t="s">
        <v>14</v>
      </c>
    </row>
    <row r="10" spans="1:14" ht="18.75" customHeight="1">
      <c r="A10" s="11" t="s">
        <v>15</v>
      </c>
      <c r="B10" s="12">
        <f>_xlfn.COMPOUNDVALUE(133)</f>
        <v>5335</v>
      </c>
      <c r="C10" s="13">
        <v>23044981</v>
      </c>
      <c r="D10" s="12">
        <f>_xlfn.COMPOUNDVALUE(134)</f>
        <v>2194</v>
      </c>
      <c r="E10" s="13">
        <v>839695</v>
      </c>
      <c r="F10" s="12">
        <f>_xlfn.COMPOUNDVALUE(135)</f>
        <v>7529</v>
      </c>
      <c r="G10" s="13">
        <v>23884676</v>
      </c>
      <c r="H10" s="12">
        <f>_xlfn.COMPOUNDVALUE(136)</f>
        <v>373</v>
      </c>
      <c r="I10" s="14">
        <v>1075083</v>
      </c>
      <c r="J10" s="12">
        <v>509</v>
      </c>
      <c r="K10" s="14">
        <v>89842</v>
      </c>
      <c r="L10" s="12">
        <v>7976</v>
      </c>
      <c r="M10" s="14">
        <v>22899435</v>
      </c>
      <c r="N10" s="15" t="s">
        <v>15</v>
      </c>
    </row>
    <row r="11" spans="1:14" ht="18.75" customHeight="1">
      <c r="A11" s="11" t="s">
        <v>16</v>
      </c>
      <c r="B11" s="12">
        <f>_xlfn.COMPOUNDVALUE(137)</f>
        <v>4057</v>
      </c>
      <c r="C11" s="13">
        <v>19248003</v>
      </c>
      <c r="D11" s="12">
        <f>_xlfn.COMPOUNDVALUE(138)</f>
        <v>1670</v>
      </c>
      <c r="E11" s="13">
        <v>635898</v>
      </c>
      <c r="F11" s="12">
        <f>_xlfn.COMPOUNDVALUE(139)</f>
        <v>5727</v>
      </c>
      <c r="G11" s="13">
        <v>19883900</v>
      </c>
      <c r="H11" s="12">
        <f>_xlfn.COMPOUNDVALUE(140)</f>
        <v>193</v>
      </c>
      <c r="I11" s="14">
        <v>308535</v>
      </c>
      <c r="J11" s="12">
        <v>376</v>
      </c>
      <c r="K11" s="14">
        <v>213287</v>
      </c>
      <c r="L11" s="12">
        <v>5971</v>
      </c>
      <c r="M11" s="14">
        <v>19788652</v>
      </c>
      <c r="N11" s="15" t="s">
        <v>16</v>
      </c>
    </row>
    <row r="12" spans="1:14" ht="18.75" customHeight="1">
      <c r="A12" s="11" t="s">
        <v>95</v>
      </c>
      <c r="B12" s="12">
        <f>_xlfn.COMPOUNDVALUE(141)</f>
        <v>3605</v>
      </c>
      <c r="C12" s="13">
        <v>11367404</v>
      </c>
      <c r="D12" s="12">
        <f>_xlfn.COMPOUNDVALUE(142)</f>
        <v>1620</v>
      </c>
      <c r="E12" s="13">
        <v>603722</v>
      </c>
      <c r="F12" s="12">
        <f>_xlfn.COMPOUNDVALUE(143)</f>
        <v>5225</v>
      </c>
      <c r="G12" s="13">
        <v>11971125</v>
      </c>
      <c r="H12" s="12">
        <f>_xlfn.COMPOUNDVALUE(144)</f>
        <v>144</v>
      </c>
      <c r="I12" s="14">
        <v>364889</v>
      </c>
      <c r="J12" s="12">
        <v>267</v>
      </c>
      <c r="K12" s="14">
        <v>100854</v>
      </c>
      <c r="L12" s="12">
        <v>5399</v>
      </c>
      <c r="M12" s="14">
        <v>11707091</v>
      </c>
      <c r="N12" s="15" t="s">
        <v>95</v>
      </c>
    </row>
    <row r="13" spans="1:14" ht="18.75" customHeight="1">
      <c r="A13" s="11" t="s">
        <v>18</v>
      </c>
      <c r="B13" s="12">
        <f>_xlfn.COMPOUNDVALUE(145)</f>
        <v>1313</v>
      </c>
      <c r="C13" s="13">
        <v>4719876</v>
      </c>
      <c r="D13" s="12">
        <f>_xlfn.COMPOUNDVALUE(146)</f>
        <v>612</v>
      </c>
      <c r="E13" s="13">
        <v>184086</v>
      </c>
      <c r="F13" s="12">
        <f>_xlfn.COMPOUNDVALUE(147)</f>
        <v>1925</v>
      </c>
      <c r="G13" s="13">
        <v>4903962</v>
      </c>
      <c r="H13" s="12">
        <f>_xlfn.COMPOUNDVALUE(148)</f>
        <v>114</v>
      </c>
      <c r="I13" s="14">
        <v>910103</v>
      </c>
      <c r="J13" s="12">
        <v>97</v>
      </c>
      <c r="K13" s="14">
        <v>590</v>
      </c>
      <c r="L13" s="12">
        <v>2052</v>
      </c>
      <c r="M13" s="14">
        <v>3994449</v>
      </c>
      <c r="N13" s="15" t="s">
        <v>18</v>
      </c>
    </row>
    <row r="14" spans="1:14" ht="18.75" customHeight="1">
      <c r="A14" s="11" t="s">
        <v>19</v>
      </c>
      <c r="B14" s="12">
        <f>_xlfn.COMPOUNDVALUE(149)</f>
        <v>1370</v>
      </c>
      <c r="C14" s="13">
        <v>4427195</v>
      </c>
      <c r="D14" s="12">
        <f>_xlfn.COMPOUNDVALUE(150)</f>
        <v>726</v>
      </c>
      <c r="E14" s="13">
        <v>254698</v>
      </c>
      <c r="F14" s="12">
        <f>_xlfn.COMPOUNDVALUE(151)</f>
        <v>2096</v>
      </c>
      <c r="G14" s="13">
        <v>4681892</v>
      </c>
      <c r="H14" s="12">
        <f>_xlfn.COMPOUNDVALUE(152)</f>
        <v>54</v>
      </c>
      <c r="I14" s="14">
        <v>129905</v>
      </c>
      <c r="J14" s="12">
        <v>161</v>
      </c>
      <c r="K14" s="14">
        <v>25004</v>
      </c>
      <c r="L14" s="12">
        <v>2164</v>
      </c>
      <c r="M14" s="14">
        <v>4576991</v>
      </c>
      <c r="N14" s="15" t="s">
        <v>19</v>
      </c>
    </row>
    <row r="15" spans="1:14" s="21" customFormat="1" ht="18.75" customHeight="1">
      <c r="A15" s="11" t="s">
        <v>20</v>
      </c>
      <c r="B15" s="12">
        <f>_xlfn.COMPOUNDVALUE(153)</f>
        <v>2397</v>
      </c>
      <c r="C15" s="13">
        <v>6595478</v>
      </c>
      <c r="D15" s="12">
        <f>_xlfn.COMPOUNDVALUE(154)</f>
        <v>1145</v>
      </c>
      <c r="E15" s="13">
        <v>434122</v>
      </c>
      <c r="F15" s="12">
        <f>_xlfn.COMPOUNDVALUE(155)</f>
        <v>3542</v>
      </c>
      <c r="G15" s="13">
        <v>7029600</v>
      </c>
      <c r="H15" s="12">
        <f>_xlfn.COMPOUNDVALUE(156)</f>
        <v>83</v>
      </c>
      <c r="I15" s="14">
        <v>163773</v>
      </c>
      <c r="J15" s="12">
        <v>200</v>
      </c>
      <c r="K15" s="14">
        <v>20042</v>
      </c>
      <c r="L15" s="12">
        <v>3654</v>
      </c>
      <c r="M15" s="14">
        <v>6885869</v>
      </c>
      <c r="N15" s="15" t="s">
        <v>20</v>
      </c>
    </row>
    <row r="16" spans="1:14" s="30" customFormat="1" ht="18.75" customHeight="1">
      <c r="A16" s="11" t="s">
        <v>21</v>
      </c>
      <c r="B16" s="12">
        <f>_xlfn.COMPOUNDVALUE(157)</f>
        <v>1697</v>
      </c>
      <c r="C16" s="13">
        <v>6515684</v>
      </c>
      <c r="D16" s="12">
        <f>_xlfn.COMPOUNDVALUE(158)</f>
        <v>800</v>
      </c>
      <c r="E16" s="13">
        <v>297029</v>
      </c>
      <c r="F16" s="12">
        <f>_xlfn.COMPOUNDVALUE(159)</f>
        <v>2497</v>
      </c>
      <c r="G16" s="13">
        <v>6812713</v>
      </c>
      <c r="H16" s="12">
        <f>_xlfn.COMPOUNDVALUE(160)</f>
        <v>98</v>
      </c>
      <c r="I16" s="14">
        <v>381220</v>
      </c>
      <c r="J16" s="12">
        <v>156</v>
      </c>
      <c r="K16" s="14">
        <v>23611</v>
      </c>
      <c r="L16" s="12">
        <v>2633</v>
      </c>
      <c r="M16" s="14">
        <v>6455104</v>
      </c>
      <c r="N16" s="15" t="s">
        <v>21</v>
      </c>
    </row>
    <row r="17" spans="1:14" ht="18.75" customHeight="1">
      <c r="A17" s="11" t="s">
        <v>22</v>
      </c>
      <c r="B17" s="12">
        <f>_xlfn.COMPOUNDVALUE(161)</f>
        <v>2488</v>
      </c>
      <c r="C17" s="13">
        <v>7322420</v>
      </c>
      <c r="D17" s="12">
        <f>_xlfn.COMPOUNDVALUE(162)</f>
        <v>1081</v>
      </c>
      <c r="E17" s="13">
        <v>401407</v>
      </c>
      <c r="F17" s="12">
        <f>_xlfn.COMPOUNDVALUE(163)</f>
        <v>3569</v>
      </c>
      <c r="G17" s="13">
        <v>7723826</v>
      </c>
      <c r="H17" s="12">
        <f>_xlfn.COMPOUNDVALUE(164)</f>
        <v>102</v>
      </c>
      <c r="I17" s="14">
        <v>147725</v>
      </c>
      <c r="J17" s="12">
        <v>257</v>
      </c>
      <c r="K17" s="14">
        <v>21664</v>
      </c>
      <c r="L17" s="12">
        <v>3711</v>
      </c>
      <c r="M17" s="14">
        <v>7597765</v>
      </c>
      <c r="N17" s="15" t="s">
        <v>22</v>
      </c>
    </row>
    <row r="18" spans="1:14" ht="18.75" customHeight="1">
      <c r="A18" s="11" t="s">
        <v>23</v>
      </c>
      <c r="B18" s="12">
        <f>_xlfn.COMPOUNDVALUE(165)</f>
        <v>3505</v>
      </c>
      <c r="C18" s="13">
        <v>11704951</v>
      </c>
      <c r="D18" s="12">
        <f>_xlfn.COMPOUNDVALUE(166)</f>
        <v>1268</v>
      </c>
      <c r="E18" s="13">
        <v>487094</v>
      </c>
      <c r="F18" s="12">
        <f>_xlfn.COMPOUNDVALUE(167)</f>
        <v>4773</v>
      </c>
      <c r="G18" s="13">
        <v>12192045</v>
      </c>
      <c r="H18" s="12">
        <f>_xlfn.COMPOUNDVALUE(168)</f>
        <v>262</v>
      </c>
      <c r="I18" s="14">
        <v>1130882</v>
      </c>
      <c r="J18" s="12">
        <v>311</v>
      </c>
      <c r="K18" s="14">
        <v>21989</v>
      </c>
      <c r="L18" s="12">
        <v>5065</v>
      </c>
      <c r="M18" s="14">
        <v>11083151</v>
      </c>
      <c r="N18" s="15" t="s">
        <v>23</v>
      </c>
    </row>
    <row r="19" spans="1:14" ht="18.75" customHeight="1">
      <c r="A19" s="11" t="s">
        <v>24</v>
      </c>
      <c r="B19" s="12">
        <f>_xlfn.COMPOUNDVALUE(169)</f>
        <v>1350</v>
      </c>
      <c r="C19" s="13">
        <v>3905216</v>
      </c>
      <c r="D19" s="12">
        <f>_xlfn.COMPOUNDVALUE(170)</f>
        <v>607</v>
      </c>
      <c r="E19" s="13">
        <v>232493</v>
      </c>
      <c r="F19" s="12">
        <f>_xlfn.COMPOUNDVALUE(171)</f>
        <v>1957</v>
      </c>
      <c r="G19" s="13">
        <v>4137708</v>
      </c>
      <c r="H19" s="12">
        <f>_xlfn.COMPOUNDVALUE(172)</f>
        <v>76</v>
      </c>
      <c r="I19" s="14">
        <v>152943</v>
      </c>
      <c r="J19" s="12">
        <v>95</v>
      </c>
      <c r="K19" s="14">
        <v>8134</v>
      </c>
      <c r="L19" s="12">
        <v>2048</v>
      </c>
      <c r="M19" s="14">
        <v>3992899</v>
      </c>
      <c r="N19" s="15" t="s">
        <v>24</v>
      </c>
    </row>
    <row r="20" spans="1:14" ht="18.75" customHeight="1">
      <c r="A20" s="11" t="s">
        <v>25</v>
      </c>
      <c r="B20" s="12">
        <f>_xlfn.COMPOUNDVALUE(173)</f>
        <v>1506</v>
      </c>
      <c r="C20" s="13">
        <v>3566951</v>
      </c>
      <c r="D20" s="12">
        <f>_xlfn.COMPOUNDVALUE(174)</f>
        <v>741</v>
      </c>
      <c r="E20" s="13">
        <v>272720</v>
      </c>
      <c r="F20" s="12">
        <f>_xlfn.COMPOUNDVALUE(175)</f>
        <v>2247</v>
      </c>
      <c r="G20" s="13">
        <v>3839671</v>
      </c>
      <c r="H20" s="12">
        <f>_xlfn.COMPOUNDVALUE(176)</f>
        <v>83</v>
      </c>
      <c r="I20" s="14">
        <v>240528</v>
      </c>
      <c r="J20" s="12">
        <v>117</v>
      </c>
      <c r="K20" s="14">
        <v>-6213</v>
      </c>
      <c r="L20" s="12">
        <v>2352</v>
      </c>
      <c r="M20" s="14">
        <v>3592930</v>
      </c>
      <c r="N20" s="15" t="s">
        <v>25</v>
      </c>
    </row>
    <row r="21" spans="1:14" ht="18.75" customHeight="1">
      <c r="A21" s="11" t="s">
        <v>26</v>
      </c>
      <c r="B21" s="12">
        <f>_xlfn.COMPOUNDVALUE(177)</f>
        <v>1008</v>
      </c>
      <c r="C21" s="13">
        <v>3194328</v>
      </c>
      <c r="D21" s="12">
        <f>_xlfn.COMPOUNDVALUE(178)</f>
        <v>387</v>
      </c>
      <c r="E21" s="13">
        <v>141312</v>
      </c>
      <c r="F21" s="12">
        <f>_xlfn.COMPOUNDVALUE(179)</f>
        <v>1395</v>
      </c>
      <c r="G21" s="13">
        <v>3335640</v>
      </c>
      <c r="H21" s="12">
        <f>_xlfn.COMPOUNDVALUE(180)</f>
        <v>96</v>
      </c>
      <c r="I21" s="14">
        <v>121332</v>
      </c>
      <c r="J21" s="12">
        <v>248</v>
      </c>
      <c r="K21" s="14">
        <v>31429</v>
      </c>
      <c r="L21" s="12">
        <v>1511</v>
      </c>
      <c r="M21" s="14">
        <v>3245737</v>
      </c>
      <c r="N21" s="15" t="s">
        <v>26</v>
      </c>
    </row>
    <row r="22" spans="1:14" ht="18.75" customHeight="1">
      <c r="A22" s="11" t="s">
        <v>27</v>
      </c>
      <c r="B22" s="12">
        <f>_xlfn.COMPOUNDVALUE(181)</f>
        <v>462</v>
      </c>
      <c r="C22" s="13">
        <v>1156650</v>
      </c>
      <c r="D22" s="12">
        <f>_xlfn.COMPOUNDVALUE(182)</f>
        <v>228</v>
      </c>
      <c r="E22" s="13">
        <v>86362</v>
      </c>
      <c r="F22" s="12">
        <f>_xlfn.COMPOUNDVALUE(183)</f>
        <v>690</v>
      </c>
      <c r="G22" s="13">
        <v>1243012</v>
      </c>
      <c r="H22" s="12">
        <f>_xlfn.COMPOUNDVALUE(184)</f>
        <v>21</v>
      </c>
      <c r="I22" s="14">
        <v>59841</v>
      </c>
      <c r="J22" s="12">
        <v>26</v>
      </c>
      <c r="K22" s="14">
        <v>1517</v>
      </c>
      <c r="L22" s="12">
        <v>719</v>
      </c>
      <c r="M22" s="14">
        <v>1184688</v>
      </c>
      <c r="N22" s="15" t="s">
        <v>27</v>
      </c>
    </row>
    <row r="23" spans="1:14" ht="18.75" customHeight="1">
      <c r="A23" s="11" t="s">
        <v>28</v>
      </c>
      <c r="B23" s="12">
        <f>_xlfn.COMPOUNDVALUE(185)</f>
        <v>2244</v>
      </c>
      <c r="C23" s="13">
        <v>8512062</v>
      </c>
      <c r="D23" s="12">
        <f>_xlfn.COMPOUNDVALUE(186)</f>
        <v>949</v>
      </c>
      <c r="E23" s="13">
        <v>375937</v>
      </c>
      <c r="F23" s="12">
        <f>_xlfn.COMPOUNDVALUE(187)</f>
        <v>3193</v>
      </c>
      <c r="G23" s="13">
        <v>8887999</v>
      </c>
      <c r="H23" s="12">
        <f>_xlfn.COMPOUNDVALUE(188)</f>
        <v>141</v>
      </c>
      <c r="I23" s="14">
        <v>423940</v>
      </c>
      <c r="J23" s="12">
        <v>178</v>
      </c>
      <c r="K23" s="14">
        <v>22888</v>
      </c>
      <c r="L23" s="12">
        <v>3354</v>
      </c>
      <c r="M23" s="14">
        <v>8486947</v>
      </c>
      <c r="N23" s="15" t="s">
        <v>28</v>
      </c>
    </row>
    <row r="24" spans="1:14" ht="18.75" customHeight="1">
      <c r="A24" s="16" t="s">
        <v>29</v>
      </c>
      <c r="B24" s="17">
        <f>_xlfn.COMPOUNDVALUE(189)</f>
        <v>971</v>
      </c>
      <c r="C24" s="18">
        <v>2505699</v>
      </c>
      <c r="D24" s="17">
        <f>_xlfn.COMPOUNDVALUE(190)</f>
        <v>315</v>
      </c>
      <c r="E24" s="18">
        <v>112725</v>
      </c>
      <c r="F24" s="17">
        <f>_xlfn.COMPOUNDVALUE(191)</f>
        <v>1286</v>
      </c>
      <c r="G24" s="18">
        <v>2618424</v>
      </c>
      <c r="H24" s="17">
        <f>_xlfn.COMPOUNDVALUE(192)</f>
        <v>74</v>
      </c>
      <c r="I24" s="19">
        <v>202101</v>
      </c>
      <c r="J24" s="17">
        <v>56</v>
      </c>
      <c r="K24" s="19">
        <v>-10828</v>
      </c>
      <c r="L24" s="17">
        <v>1371</v>
      </c>
      <c r="M24" s="19">
        <v>2405495</v>
      </c>
      <c r="N24" s="20" t="s">
        <v>29</v>
      </c>
    </row>
    <row r="25" spans="1:14" s="21" customFormat="1" ht="18.75" customHeight="1">
      <c r="A25" s="16" t="s">
        <v>30</v>
      </c>
      <c r="B25" s="17">
        <f>_xlfn.COMPOUNDVALUE(193)</f>
        <v>723</v>
      </c>
      <c r="C25" s="18">
        <v>1939470</v>
      </c>
      <c r="D25" s="17">
        <f>_xlfn.COMPOUNDVALUE(194)</f>
        <v>224</v>
      </c>
      <c r="E25" s="18">
        <v>77664</v>
      </c>
      <c r="F25" s="17">
        <f>_xlfn.COMPOUNDVALUE(195)</f>
        <v>947</v>
      </c>
      <c r="G25" s="18">
        <v>2017134</v>
      </c>
      <c r="H25" s="17">
        <f>_xlfn.COMPOUNDVALUE(196)</f>
        <v>58</v>
      </c>
      <c r="I25" s="19">
        <v>209906</v>
      </c>
      <c r="J25" s="17">
        <v>43</v>
      </c>
      <c r="K25" s="19">
        <v>4920</v>
      </c>
      <c r="L25" s="17">
        <v>1014</v>
      </c>
      <c r="M25" s="19">
        <v>1812148</v>
      </c>
      <c r="N25" s="20" t="s">
        <v>30</v>
      </c>
    </row>
    <row r="26" spans="1:14" s="30" customFormat="1" ht="18.75" customHeight="1">
      <c r="A26" s="16" t="s">
        <v>31</v>
      </c>
      <c r="B26" s="17">
        <f>_xlfn.COMPOUNDVALUE(197)</f>
        <v>634</v>
      </c>
      <c r="C26" s="18">
        <v>1507287</v>
      </c>
      <c r="D26" s="17">
        <f>_xlfn.COMPOUNDVALUE(198)</f>
        <v>270</v>
      </c>
      <c r="E26" s="18">
        <v>89746</v>
      </c>
      <c r="F26" s="17">
        <f>_xlfn.COMPOUNDVALUE(199)</f>
        <v>904</v>
      </c>
      <c r="G26" s="18">
        <v>1597033</v>
      </c>
      <c r="H26" s="17">
        <f>_xlfn.COMPOUNDVALUE(200)</f>
        <v>52</v>
      </c>
      <c r="I26" s="19">
        <v>123427</v>
      </c>
      <c r="J26" s="17">
        <v>78</v>
      </c>
      <c r="K26" s="19">
        <v>6118</v>
      </c>
      <c r="L26" s="17">
        <v>963</v>
      </c>
      <c r="M26" s="19">
        <v>1479724</v>
      </c>
      <c r="N26" s="20" t="s">
        <v>31</v>
      </c>
    </row>
    <row r="27" spans="1:14" ht="18.75" customHeight="1">
      <c r="A27" s="16" t="s">
        <v>32</v>
      </c>
      <c r="B27" s="17">
        <f>_xlfn.COMPOUNDVALUE(201)</f>
        <v>1193</v>
      </c>
      <c r="C27" s="18">
        <v>2941475</v>
      </c>
      <c r="D27" s="17">
        <f>_xlfn.COMPOUNDVALUE(202)</f>
        <v>418</v>
      </c>
      <c r="E27" s="18">
        <v>159000</v>
      </c>
      <c r="F27" s="17">
        <f>_xlfn.COMPOUNDVALUE(203)</f>
        <v>1611</v>
      </c>
      <c r="G27" s="18">
        <v>3100474</v>
      </c>
      <c r="H27" s="17">
        <f>_xlfn.COMPOUNDVALUE(204)</f>
        <v>52</v>
      </c>
      <c r="I27" s="19">
        <v>190654</v>
      </c>
      <c r="J27" s="17">
        <v>80</v>
      </c>
      <c r="K27" s="19">
        <v>5872</v>
      </c>
      <c r="L27" s="17">
        <v>1671</v>
      </c>
      <c r="M27" s="19">
        <v>2915692</v>
      </c>
      <c r="N27" s="20" t="s">
        <v>32</v>
      </c>
    </row>
    <row r="28" spans="1:14" ht="18.75" customHeight="1">
      <c r="A28" s="16" t="s">
        <v>33</v>
      </c>
      <c r="B28" s="17">
        <f>_xlfn.COMPOUNDVALUE(205)</f>
        <v>910</v>
      </c>
      <c r="C28" s="18">
        <v>3279968</v>
      </c>
      <c r="D28" s="17">
        <f>_xlfn.COMPOUNDVALUE(206)</f>
        <v>497</v>
      </c>
      <c r="E28" s="18">
        <v>177363</v>
      </c>
      <c r="F28" s="17">
        <f>_xlfn.COMPOUNDVALUE(207)</f>
        <v>1407</v>
      </c>
      <c r="G28" s="18">
        <v>3457331</v>
      </c>
      <c r="H28" s="17">
        <f>_xlfn.COMPOUNDVALUE(208)</f>
        <v>35</v>
      </c>
      <c r="I28" s="19">
        <v>72945</v>
      </c>
      <c r="J28" s="17">
        <v>63</v>
      </c>
      <c r="K28" s="19">
        <v>16518</v>
      </c>
      <c r="L28" s="17">
        <v>1460</v>
      </c>
      <c r="M28" s="19">
        <v>3400904</v>
      </c>
      <c r="N28" s="20" t="s">
        <v>33</v>
      </c>
    </row>
    <row r="29" spans="1:14" ht="18.75" customHeight="1">
      <c r="A29" s="16" t="s">
        <v>34</v>
      </c>
      <c r="B29" s="17">
        <f>_xlfn.COMPOUNDVALUE(209)</f>
        <v>365</v>
      </c>
      <c r="C29" s="18">
        <v>811940</v>
      </c>
      <c r="D29" s="17">
        <f>_xlfn.COMPOUNDVALUE(210)</f>
        <v>155</v>
      </c>
      <c r="E29" s="18">
        <v>52570</v>
      </c>
      <c r="F29" s="17">
        <f>_xlfn.COMPOUNDVALUE(211)</f>
        <v>520</v>
      </c>
      <c r="G29" s="18">
        <v>864510</v>
      </c>
      <c r="H29" s="17">
        <f>_xlfn.COMPOUNDVALUE(212)</f>
        <v>28</v>
      </c>
      <c r="I29" s="19">
        <v>28397</v>
      </c>
      <c r="J29" s="17">
        <v>17</v>
      </c>
      <c r="K29" s="19">
        <v>960</v>
      </c>
      <c r="L29" s="17">
        <v>553</v>
      </c>
      <c r="M29" s="19">
        <v>837073</v>
      </c>
      <c r="N29" s="20" t="s">
        <v>34</v>
      </c>
    </row>
    <row r="30" spans="1:14" ht="18.75" customHeight="1">
      <c r="A30" s="16" t="s">
        <v>35</v>
      </c>
      <c r="B30" s="17">
        <f>_xlfn.COMPOUNDVALUE(213)</f>
        <v>365</v>
      </c>
      <c r="C30" s="18">
        <v>1160395</v>
      </c>
      <c r="D30" s="17">
        <f>_xlfn.COMPOUNDVALUE(214)</f>
        <v>150</v>
      </c>
      <c r="E30" s="18">
        <v>55343</v>
      </c>
      <c r="F30" s="17">
        <f>_xlfn.COMPOUNDVALUE(215)</f>
        <v>515</v>
      </c>
      <c r="G30" s="18">
        <v>1215737</v>
      </c>
      <c r="H30" s="17">
        <f>_xlfn.COMPOUNDVALUE(216)</f>
        <v>28</v>
      </c>
      <c r="I30" s="19">
        <v>37019</v>
      </c>
      <c r="J30" s="17">
        <v>18</v>
      </c>
      <c r="K30" s="19">
        <v>-3899</v>
      </c>
      <c r="L30" s="17">
        <v>548</v>
      </c>
      <c r="M30" s="19">
        <v>1174819</v>
      </c>
      <c r="N30" s="20" t="s">
        <v>35</v>
      </c>
    </row>
    <row r="31" spans="1:14" ht="18.75" customHeight="1">
      <c r="A31" s="16" t="s">
        <v>36</v>
      </c>
      <c r="B31" s="17">
        <f>_xlfn.COMPOUNDVALUE(217)</f>
        <v>624</v>
      </c>
      <c r="C31" s="18">
        <v>1092548</v>
      </c>
      <c r="D31" s="17">
        <f>_xlfn.COMPOUNDVALUE(218)</f>
        <v>258</v>
      </c>
      <c r="E31" s="18">
        <v>83567</v>
      </c>
      <c r="F31" s="17">
        <f>_xlfn.COMPOUNDVALUE(219)</f>
        <v>882</v>
      </c>
      <c r="G31" s="18">
        <v>1176115</v>
      </c>
      <c r="H31" s="17">
        <f>_xlfn.COMPOUNDVALUE(220)</f>
        <v>29</v>
      </c>
      <c r="I31" s="19">
        <v>57047</v>
      </c>
      <c r="J31" s="17">
        <v>52</v>
      </c>
      <c r="K31" s="19">
        <v>3932</v>
      </c>
      <c r="L31" s="17">
        <v>920</v>
      </c>
      <c r="M31" s="19">
        <v>1123001</v>
      </c>
      <c r="N31" s="20" t="s">
        <v>36</v>
      </c>
    </row>
    <row r="32" spans="1:14" ht="18.75" customHeight="1">
      <c r="A32" s="16" t="s">
        <v>37</v>
      </c>
      <c r="B32" s="17">
        <f>_xlfn.COMPOUNDVALUE(221)</f>
        <v>273</v>
      </c>
      <c r="C32" s="18">
        <v>540485</v>
      </c>
      <c r="D32" s="17">
        <f>_xlfn.COMPOUNDVALUE(222)</f>
        <v>137</v>
      </c>
      <c r="E32" s="18">
        <v>48001</v>
      </c>
      <c r="F32" s="17">
        <f>_xlfn.COMPOUNDVALUE(223)</f>
        <v>410</v>
      </c>
      <c r="G32" s="18">
        <v>588486</v>
      </c>
      <c r="H32" s="17">
        <f>_xlfn.COMPOUNDVALUE(224)</f>
        <v>9</v>
      </c>
      <c r="I32" s="19">
        <v>27020</v>
      </c>
      <c r="J32" s="17">
        <v>28</v>
      </c>
      <c r="K32" s="19">
        <v>5014</v>
      </c>
      <c r="L32" s="17">
        <v>423</v>
      </c>
      <c r="M32" s="19">
        <v>566480</v>
      </c>
      <c r="N32" s="20" t="s">
        <v>37</v>
      </c>
    </row>
    <row r="33" spans="1:14" ht="18.75" customHeight="1">
      <c r="A33" s="16" t="s">
        <v>38</v>
      </c>
      <c r="B33" s="17">
        <f>_xlfn.COMPOUNDVALUE(225)</f>
        <v>755</v>
      </c>
      <c r="C33" s="18">
        <v>1676543</v>
      </c>
      <c r="D33" s="17">
        <f>_xlfn.COMPOUNDVALUE(226)</f>
        <v>327</v>
      </c>
      <c r="E33" s="18">
        <v>117420</v>
      </c>
      <c r="F33" s="17">
        <f>_xlfn.COMPOUNDVALUE(227)</f>
        <v>1082</v>
      </c>
      <c r="G33" s="18">
        <v>1793963</v>
      </c>
      <c r="H33" s="17">
        <f>_xlfn.COMPOUNDVALUE(228)</f>
        <v>53</v>
      </c>
      <c r="I33" s="19">
        <v>352804</v>
      </c>
      <c r="J33" s="17">
        <v>54</v>
      </c>
      <c r="K33" s="19">
        <v>4182</v>
      </c>
      <c r="L33" s="17">
        <v>1143</v>
      </c>
      <c r="M33" s="19">
        <v>1445341</v>
      </c>
      <c r="N33" s="20" t="s">
        <v>38</v>
      </c>
    </row>
    <row r="34" spans="1:14" ht="18.75" customHeight="1">
      <c r="A34" s="16" t="s">
        <v>39</v>
      </c>
      <c r="B34" s="17">
        <f>_xlfn.COMPOUNDVALUE(217)</f>
        <v>306</v>
      </c>
      <c r="C34" s="18">
        <v>1799619</v>
      </c>
      <c r="D34" s="17">
        <f>_xlfn.COMPOUNDVALUE(229)</f>
        <v>130</v>
      </c>
      <c r="E34" s="18">
        <v>39506</v>
      </c>
      <c r="F34" s="17">
        <f>_xlfn.COMPOUNDVALUE(230)</f>
        <v>436</v>
      </c>
      <c r="G34" s="18">
        <v>1839125</v>
      </c>
      <c r="H34" s="17">
        <f>_xlfn.COMPOUNDVALUE(231)</f>
        <v>31</v>
      </c>
      <c r="I34" s="19">
        <v>49006</v>
      </c>
      <c r="J34" s="17">
        <v>6</v>
      </c>
      <c r="K34" s="19">
        <v>970</v>
      </c>
      <c r="L34" s="17">
        <v>470</v>
      </c>
      <c r="M34" s="19">
        <v>1791089</v>
      </c>
      <c r="N34" s="20" t="s">
        <v>39</v>
      </c>
    </row>
    <row r="35" spans="1:14" s="21" customFormat="1" ht="18.75" customHeight="1">
      <c r="A35" s="16" t="s">
        <v>40</v>
      </c>
      <c r="B35" s="17">
        <f>_xlfn.COMPOUNDVALUE(232)</f>
        <v>709</v>
      </c>
      <c r="C35" s="18">
        <v>1565559</v>
      </c>
      <c r="D35" s="17">
        <f>_xlfn.COMPOUNDVALUE(233)</f>
        <v>342</v>
      </c>
      <c r="E35" s="18">
        <v>119627</v>
      </c>
      <c r="F35" s="17">
        <f>_xlfn.COMPOUNDVALUE(234)</f>
        <v>1051</v>
      </c>
      <c r="G35" s="18">
        <v>1685186</v>
      </c>
      <c r="H35" s="17">
        <f>_xlfn.COMPOUNDVALUE(235)</f>
        <v>60</v>
      </c>
      <c r="I35" s="19">
        <v>100616</v>
      </c>
      <c r="J35" s="17">
        <v>56</v>
      </c>
      <c r="K35" s="19">
        <v>1422</v>
      </c>
      <c r="L35" s="17">
        <v>1120</v>
      </c>
      <c r="M35" s="19">
        <v>1585991</v>
      </c>
      <c r="N35" s="20" t="s">
        <v>40</v>
      </c>
    </row>
    <row r="36" spans="1:14" s="30" customFormat="1" ht="18.75" customHeight="1" thickBot="1">
      <c r="A36" s="129" t="s">
        <v>41</v>
      </c>
      <c r="B36" s="124">
        <f>_xlfn.COMPOUNDVALUE(236)</f>
        <v>412</v>
      </c>
      <c r="C36" s="130">
        <v>833479</v>
      </c>
      <c r="D36" s="124">
        <f>_xlfn.COMPOUNDVALUE(237)</f>
        <v>146</v>
      </c>
      <c r="E36" s="130">
        <v>50734</v>
      </c>
      <c r="F36" s="124">
        <f>_xlfn.COMPOUNDVALUE(238)</f>
        <v>558</v>
      </c>
      <c r="G36" s="130">
        <v>884214</v>
      </c>
      <c r="H36" s="124">
        <f>_xlfn.COMPOUNDVALUE(239)</f>
        <v>33</v>
      </c>
      <c r="I36" s="131">
        <v>34724</v>
      </c>
      <c r="J36" s="124">
        <v>35</v>
      </c>
      <c r="K36" s="131">
        <v>6461</v>
      </c>
      <c r="L36" s="124">
        <v>592</v>
      </c>
      <c r="M36" s="131">
        <v>855951</v>
      </c>
      <c r="N36" s="127" t="s">
        <v>41</v>
      </c>
    </row>
    <row r="37" spans="1:14" ht="18.75" customHeight="1" thickBot="1" thickTop="1">
      <c r="A37" s="22" t="s">
        <v>48</v>
      </c>
      <c r="B37" s="23">
        <v>54782</v>
      </c>
      <c r="C37" s="24">
        <v>211340852</v>
      </c>
      <c r="D37" s="23">
        <v>23257</v>
      </c>
      <c r="E37" s="24">
        <v>8672040</v>
      </c>
      <c r="F37" s="23">
        <v>78039</v>
      </c>
      <c r="G37" s="24">
        <v>220012892</v>
      </c>
      <c r="H37" s="23">
        <v>3225</v>
      </c>
      <c r="I37" s="25">
        <v>11596755</v>
      </c>
      <c r="J37" s="23">
        <v>4737</v>
      </c>
      <c r="K37" s="25">
        <v>848034</v>
      </c>
      <c r="L37" s="23">
        <v>81972</v>
      </c>
      <c r="M37" s="25">
        <v>209264170</v>
      </c>
      <c r="N37" s="26" t="str">
        <f>IF(A37="","",A37)</f>
        <v>合　　計</v>
      </c>
    </row>
    <row r="38" spans="1:14" s="30" customFormat="1" ht="3" customHeight="1">
      <c r="A38" s="42"/>
      <c r="B38" s="43"/>
      <c r="C38" s="43"/>
      <c r="D38" s="43"/>
      <c r="E38" s="43"/>
      <c r="F38" s="43"/>
      <c r="G38" s="43"/>
      <c r="H38" s="43"/>
      <c r="I38" s="43"/>
      <c r="J38" s="43"/>
      <c r="K38" s="43"/>
      <c r="L38" s="43"/>
      <c r="M38" s="43"/>
      <c r="N38" s="42"/>
    </row>
    <row r="39" spans="1:14" ht="13.5">
      <c r="A39" s="177" t="s">
        <v>96</v>
      </c>
      <c r="B39" s="177"/>
      <c r="C39" s="177"/>
      <c r="D39" s="177"/>
      <c r="E39" s="177"/>
      <c r="F39" s="177"/>
      <c r="G39" s="177"/>
      <c r="H39" s="177"/>
      <c r="I39" s="177"/>
      <c r="J39" s="27"/>
      <c r="K39" s="27"/>
      <c r="L39" s="2"/>
      <c r="M39" s="2"/>
      <c r="N39" s="2"/>
    </row>
  </sheetData>
  <sheetProtection/>
  <mergeCells count="11">
    <mergeCell ref="A39:I39"/>
    <mergeCell ref="A2:I2"/>
    <mergeCell ref="A3:A5"/>
    <mergeCell ref="B3:G3"/>
    <mergeCell ref="H3:I4"/>
    <mergeCell ref="N3:N5"/>
    <mergeCell ref="B4:C4"/>
    <mergeCell ref="D4:E4"/>
    <mergeCell ref="F4:G4"/>
    <mergeCell ref="J3:K4"/>
    <mergeCell ref="L3:M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（H24）</oddFooter>
  </headerFooter>
</worksheet>
</file>

<file path=xl/worksheets/sheet6.xml><?xml version="1.0" encoding="utf-8"?>
<worksheet xmlns="http://schemas.openxmlformats.org/spreadsheetml/2006/main" xmlns:r="http://schemas.openxmlformats.org/officeDocument/2006/relationships">
  <dimension ref="A1:R40"/>
  <sheetViews>
    <sheetView showGridLines="0" view="pageBreakPreview" zoomScaleSheetLayoutView="100" zoomScalePageLayoutView="0" workbookViewId="0" topLeftCell="A1">
      <selection activeCell="A1" sqref="A1"/>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42</v>
      </c>
      <c r="B1" s="1"/>
      <c r="C1" s="1"/>
      <c r="D1" s="1"/>
      <c r="E1" s="1"/>
      <c r="F1" s="1"/>
      <c r="G1" s="1"/>
      <c r="H1" s="1"/>
      <c r="I1" s="1"/>
      <c r="J1" s="1"/>
      <c r="K1" s="1"/>
      <c r="L1" s="2"/>
      <c r="M1" s="2"/>
      <c r="N1" s="2"/>
      <c r="O1" s="2"/>
      <c r="P1" s="2"/>
    </row>
    <row r="2" spans="1:16" ht="14.25" thickBot="1">
      <c r="A2" s="195" t="s">
        <v>45</v>
      </c>
      <c r="B2" s="195"/>
      <c r="C2" s="195"/>
      <c r="D2" s="195"/>
      <c r="E2" s="195"/>
      <c r="F2" s="195"/>
      <c r="G2" s="195"/>
      <c r="H2" s="195"/>
      <c r="I2" s="195"/>
      <c r="J2" s="27"/>
      <c r="K2" s="27"/>
      <c r="L2" s="2"/>
      <c r="M2" s="2"/>
      <c r="N2" s="2"/>
      <c r="O2" s="2"/>
      <c r="P2" s="2"/>
    </row>
    <row r="3" spans="1:18" ht="19.5" customHeight="1">
      <c r="A3" s="191" t="s">
        <v>86</v>
      </c>
      <c r="B3" s="194" t="s">
        <v>91</v>
      </c>
      <c r="C3" s="194"/>
      <c r="D3" s="194"/>
      <c r="E3" s="194"/>
      <c r="F3" s="194"/>
      <c r="G3" s="194"/>
      <c r="H3" s="194" t="s">
        <v>2</v>
      </c>
      <c r="I3" s="194"/>
      <c r="J3" s="207" t="s">
        <v>3</v>
      </c>
      <c r="K3" s="194"/>
      <c r="L3" s="194" t="s">
        <v>4</v>
      </c>
      <c r="M3" s="194"/>
      <c r="N3" s="197" t="s">
        <v>99</v>
      </c>
      <c r="O3" s="198"/>
      <c r="P3" s="198"/>
      <c r="Q3" s="199"/>
      <c r="R3" s="179" t="s">
        <v>44</v>
      </c>
    </row>
    <row r="4" spans="1:18" ht="17.25" customHeight="1">
      <c r="A4" s="192"/>
      <c r="B4" s="182" t="s">
        <v>87</v>
      </c>
      <c r="C4" s="182"/>
      <c r="D4" s="182" t="s">
        <v>6</v>
      </c>
      <c r="E4" s="182"/>
      <c r="F4" s="182" t="s">
        <v>7</v>
      </c>
      <c r="G4" s="182"/>
      <c r="H4" s="182"/>
      <c r="I4" s="182"/>
      <c r="J4" s="182"/>
      <c r="K4" s="182"/>
      <c r="L4" s="182"/>
      <c r="M4" s="182"/>
      <c r="N4" s="200" t="s">
        <v>46</v>
      </c>
      <c r="O4" s="202" t="s">
        <v>100</v>
      </c>
      <c r="P4" s="204" t="s">
        <v>101</v>
      </c>
      <c r="Q4" s="189" t="s">
        <v>47</v>
      </c>
      <c r="R4" s="180"/>
    </row>
    <row r="5" spans="1:18" ht="28.5" customHeight="1">
      <c r="A5" s="193"/>
      <c r="B5" s="128" t="s">
        <v>88</v>
      </c>
      <c r="C5" s="37" t="s">
        <v>89</v>
      </c>
      <c r="D5" s="128" t="s">
        <v>88</v>
      </c>
      <c r="E5" s="37" t="s">
        <v>89</v>
      </c>
      <c r="F5" s="128" t="s">
        <v>88</v>
      </c>
      <c r="G5" s="37" t="s">
        <v>90</v>
      </c>
      <c r="H5" s="128" t="s">
        <v>88</v>
      </c>
      <c r="I5" s="37" t="s">
        <v>92</v>
      </c>
      <c r="J5" s="128" t="s">
        <v>88</v>
      </c>
      <c r="K5" s="37" t="s">
        <v>93</v>
      </c>
      <c r="L5" s="128" t="s">
        <v>88</v>
      </c>
      <c r="M5" s="31" t="s">
        <v>98</v>
      </c>
      <c r="N5" s="201"/>
      <c r="O5" s="203"/>
      <c r="P5" s="205"/>
      <c r="Q5" s="206"/>
      <c r="R5" s="181"/>
    </row>
    <row r="6" spans="1:18" s="29" customFormat="1" ht="10.5">
      <c r="A6" s="5"/>
      <c r="B6" s="6" t="s">
        <v>10</v>
      </c>
      <c r="C6" s="7" t="s">
        <v>11</v>
      </c>
      <c r="D6" s="6" t="s">
        <v>10</v>
      </c>
      <c r="E6" s="7" t="s">
        <v>11</v>
      </c>
      <c r="F6" s="6" t="s">
        <v>10</v>
      </c>
      <c r="G6" s="7" t="s">
        <v>11</v>
      </c>
      <c r="H6" s="6" t="s">
        <v>10</v>
      </c>
      <c r="I6" s="7" t="s">
        <v>11</v>
      </c>
      <c r="J6" s="6" t="s">
        <v>10</v>
      </c>
      <c r="K6" s="7" t="s">
        <v>11</v>
      </c>
      <c r="L6" s="6" t="s">
        <v>10</v>
      </c>
      <c r="M6" s="7" t="s">
        <v>11</v>
      </c>
      <c r="N6" s="6" t="s">
        <v>10</v>
      </c>
      <c r="O6" s="32" t="s">
        <v>10</v>
      </c>
      <c r="P6" s="32" t="s">
        <v>10</v>
      </c>
      <c r="Q6" s="33" t="s">
        <v>10</v>
      </c>
      <c r="R6" s="9"/>
    </row>
    <row r="7" spans="1:18" ht="18.75" customHeight="1">
      <c r="A7" s="11" t="s">
        <v>12</v>
      </c>
      <c r="B7" s="12">
        <f>_xlfn.COMPOUNDVALUE(240)</f>
        <v>3478</v>
      </c>
      <c r="C7" s="13">
        <v>30807400</v>
      </c>
      <c r="D7" s="12">
        <f>_xlfn.COMPOUNDVALUE(241)</f>
        <v>1201</v>
      </c>
      <c r="E7" s="13">
        <v>516992</v>
      </c>
      <c r="F7" s="12">
        <f>_xlfn.COMPOUNDVALUE(242)</f>
        <v>4679</v>
      </c>
      <c r="G7" s="13">
        <v>31324392</v>
      </c>
      <c r="H7" s="12">
        <f>_xlfn.COMPOUNDVALUE(243)</f>
        <v>234</v>
      </c>
      <c r="I7" s="14">
        <v>3371428</v>
      </c>
      <c r="J7" s="12">
        <v>282</v>
      </c>
      <c r="K7" s="14">
        <v>91917</v>
      </c>
      <c r="L7" s="12">
        <v>4970</v>
      </c>
      <c r="M7" s="14">
        <v>28044880</v>
      </c>
      <c r="N7" s="12">
        <v>5120</v>
      </c>
      <c r="O7" s="34">
        <v>176</v>
      </c>
      <c r="P7" s="34">
        <v>48</v>
      </c>
      <c r="Q7" s="35">
        <v>5344</v>
      </c>
      <c r="R7" s="15" t="str">
        <f aca="true" t="shared" si="0" ref="R7:R37">IF(A7="","",A7)</f>
        <v>札幌中</v>
      </c>
    </row>
    <row r="8" spans="1:18" ht="18.75" customHeight="1">
      <c r="A8" s="11" t="s">
        <v>13</v>
      </c>
      <c r="B8" s="12">
        <f>_xlfn.COMPOUNDVALUE(244)</f>
        <v>7131</v>
      </c>
      <c r="C8" s="13">
        <v>27947651</v>
      </c>
      <c r="D8" s="12">
        <f>_xlfn.COMPOUNDVALUE(245)</f>
        <v>4551</v>
      </c>
      <c r="E8" s="13">
        <v>1517061</v>
      </c>
      <c r="F8" s="12">
        <f>_xlfn.COMPOUNDVALUE(246)</f>
        <v>11682</v>
      </c>
      <c r="G8" s="13">
        <v>29464712</v>
      </c>
      <c r="H8" s="12">
        <f>_xlfn.COMPOUNDVALUE(247)</f>
        <v>437</v>
      </c>
      <c r="I8" s="14">
        <v>696209</v>
      </c>
      <c r="J8" s="12">
        <v>767</v>
      </c>
      <c r="K8" s="14">
        <v>113804</v>
      </c>
      <c r="L8" s="12">
        <v>12343</v>
      </c>
      <c r="M8" s="14">
        <v>28882307</v>
      </c>
      <c r="N8" s="12">
        <v>12875</v>
      </c>
      <c r="O8" s="34">
        <v>257</v>
      </c>
      <c r="P8" s="34">
        <v>38</v>
      </c>
      <c r="Q8" s="35">
        <v>13170</v>
      </c>
      <c r="R8" s="20" t="str">
        <f t="shared" si="0"/>
        <v>札幌北</v>
      </c>
    </row>
    <row r="9" spans="1:18" ht="18.75" customHeight="1">
      <c r="A9" s="11" t="s">
        <v>14</v>
      </c>
      <c r="B9" s="12">
        <f>_xlfn.COMPOUNDVALUE(248)</f>
        <v>5785</v>
      </c>
      <c r="C9" s="13">
        <v>16480331</v>
      </c>
      <c r="D9" s="12">
        <f>_xlfn.COMPOUNDVALUE(249)</f>
        <v>3844</v>
      </c>
      <c r="E9" s="13">
        <v>1226716</v>
      </c>
      <c r="F9" s="12">
        <f>_xlfn.COMPOUNDVALUE(250)</f>
        <v>9629</v>
      </c>
      <c r="G9" s="13">
        <v>17707047</v>
      </c>
      <c r="H9" s="12">
        <f>_xlfn.COMPOUNDVALUE(251)</f>
        <v>360</v>
      </c>
      <c r="I9" s="14">
        <v>509250</v>
      </c>
      <c r="J9" s="12">
        <v>611</v>
      </c>
      <c r="K9" s="14">
        <v>94836</v>
      </c>
      <c r="L9" s="12">
        <v>10174</v>
      </c>
      <c r="M9" s="14">
        <v>17292633</v>
      </c>
      <c r="N9" s="12">
        <v>10511</v>
      </c>
      <c r="O9" s="34">
        <v>235</v>
      </c>
      <c r="P9" s="34">
        <v>18</v>
      </c>
      <c r="Q9" s="35">
        <v>10764</v>
      </c>
      <c r="R9" s="20" t="str">
        <f t="shared" si="0"/>
        <v>札幌南</v>
      </c>
    </row>
    <row r="10" spans="1:18" ht="18.75" customHeight="1">
      <c r="A10" s="11" t="s">
        <v>15</v>
      </c>
      <c r="B10" s="12">
        <f>_xlfn.COMPOUNDVALUE(252)</f>
        <v>6336</v>
      </c>
      <c r="C10" s="13">
        <v>23509409</v>
      </c>
      <c r="D10" s="12">
        <f>_xlfn.COMPOUNDVALUE(253)</f>
        <v>3467</v>
      </c>
      <c r="E10" s="13">
        <v>1230075</v>
      </c>
      <c r="F10" s="12">
        <f>_xlfn.COMPOUNDVALUE(254)</f>
        <v>9803</v>
      </c>
      <c r="G10" s="13">
        <v>24739484</v>
      </c>
      <c r="H10" s="12">
        <f>_xlfn.COMPOUNDVALUE(255)</f>
        <v>423</v>
      </c>
      <c r="I10" s="14">
        <v>1098534</v>
      </c>
      <c r="J10" s="12">
        <v>750</v>
      </c>
      <c r="K10" s="14">
        <v>129277</v>
      </c>
      <c r="L10" s="12">
        <v>10397</v>
      </c>
      <c r="M10" s="14">
        <v>23770227</v>
      </c>
      <c r="N10" s="12">
        <v>10621</v>
      </c>
      <c r="O10" s="34">
        <v>256</v>
      </c>
      <c r="P10" s="34">
        <v>41</v>
      </c>
      <c r="Q10" s="35">
        <v>10918</v>
      </c>
      <c r="R10" s="20" t="str">
        <f t="shared" si="0"/>
        <v>札幌西</v>
      </c>
    </row>
    <row r="11" spans="1:18" ht="18.75" customHeight="1">
      <c r="A11" s="11" t="s">
        <v>16</v>
      </c>
      <c r="B11" s="12">
        <f>_xlfn.COMPOUNDVALUE(256)</f>
        <v>4693</v>
      </c>
      <c r="C11" s="13">
        <v>19458167</v>
      </c>
      <c r="D11" s="12">
        <f>_xlfn.COMPOUNDVALUE(257)</f>
        <v>2623</v>
      </c>
      <c r="E11" s="13">
        <v>886686</v>
      </c>
      <c r="F11" s="12">
        <f>_xlfn.COMPOUNDVALUE(258)</f>
        <v>7316</v>
      </c>
      <c r="G11" s="13">
        <v>20344853</v>
      </c>
      <c r="H11" s="12">
        <f>_xlfn.COMPOUNDVALUE(259)</f>
        <v>242</v>
      </c>
      <c r="I11" s="14">
        <v>344071</v>
      </c>
      <c r="J11" s="12">
        <v>540</v>
      </c>
      <c r="K11" s="14">
        <v>239631</v>
      </c>
      <c r="L11" s="12">
        <v>7723</v>
      </c>
      <c r="M11" s="14">
        <v>20240413</v>
      </c>
      <c r="N11" s="12">
        <v>7807</v>
      </c>
      <c r="O11" s="34">
        <v>152</v>
      </c>
      <c r="P11" s="34">
        <v>27</v>
      </c>
      <c r="Q11" s="35">
        <v>7986</v>
      </c>
      <c r="R11" s="20" t="str">
        <f t="shared" si="0"/>
        <v>札幌東</v>
      </c>
    </row>
    <row r="12" spans="1:18" ht="18.75" customHeight="1">
      <c r="A12" s="11" t="s">
        <v>17</v>
      </c>
      <c r="B12" s="12">
        <f>_xlfn.COMPOUNDVALUE(260)</f>
        <v>4607</v>
      </c>
      <c r="C12" s="13">
        <v>11707764</v>
      </c>
      <c r="D12" s="12">
        <f>_xlfn.COMPOUNDVALUE(261)</f>
        <v>4147</v>
      </c>
      <c r="E12" s="13">
        <v>1198241</v>
      </c>
      <c r="F12" s="12">
        <f>_xlfn.COMPOUNDVALUE(262)</f>
        <v>8754</v>
      </c>
      <c r="G12" s="13">
        <v>12906005</v>
      </c>
      <c r="H12" s="12">
        <f>_xlfn.COMPOUNDVALUE(263)</f>
        <v>188</v>
      </c>
      <c r="I12" s="14">
        <v>383957</v>
      </c>
      <c r="J12" s="12">
        <v>439</v>
      </c>
      <c r="K12" s="14">
        <v>120822</v>
      </c>
      <c r="L12" s="12">
        <v>9032</v>
      </c>
      <c r="M12" s="14">
        <v>12642870</v>
      </c>
      <c r="N12" s="12">
        <v>9180</v>
      </c>
      <c r="O12" s="34">
        <v>133</v>
      </c>
      <c r="P12" s="34">
        <v>11</v>
      </c>
      <c r="Q12" s="35">
        <v>9324</v>
      </c>
      <c r="R12" s="20" t="str">
        <f t="shared" si="0"/>
        <v>函館</v>
      </c>
    </row>
    <row r="13" spans="1:18" ht="18.75" customHeight="1">
      <c r="A13" s="11" t="s">
        <v>18</v>
      </c>
      <c r="B13" s="12">
        <f>_xlfn.COMPOUNDVALUE(264)</f>
        <v>1580</v>
      </c>
      <c r="C13" s="13">
        <v>4793459</v>
      </c>
      <c r="D13" s="12">
        <f>_xlfn.COMPOUNDVALUE(265)</f>
        <v>1003</v>
      </c>
      <c r="E13" s="13">
        <v>270603</v>
      </c>
      <c r="F13" s="12">
        <f>_xlfn.COMPOUNDVALUE(266)</f>
        <v>2583</v>
      </c>
      <c r="G13" s="13">
        <v>5064062</v>
      </c>
      <c r="H13" s="12">
        <f>_xlfn.COMPOUNDVALUE(267)</f>
        <v>129</v>
      </c>
      <c r="I13" s="14">
        <v>916339</v>
      </c>
      <c r="J13" s="12">
        <v>142</v>
      </c>
      <c r="K13" s="14">
        <v>3626</v>
      </c>
      <c r="L13" s="12">
        <v>2733</v>
      </c>
      <c r="M13" s="14">
        <v>4151348</v>
      </c>
      <c r="N13" s="12">
        <v>2727</v>
      </c>
      <c r="O13" s="34">
        <v>83</v>
      </c>
      <c r="P13" s="34">
        <v>6</v>
      </c>
      <c r="Q13" s="35">
        <v>2816</v>
      </c>
      <c r="R13" s="20" t="str">
        <f t="shared" si="0"/>
        <v>小樽</v>
      </c>
    </row>
    <row r="14" spans="1:18" ht="18.75" customHeight="1">
      <c r="A14" s="11" t="s">
        <v>19</v>
      </c>
      <c r="B14" s="12">
        <f>_xlfn.COMPOUNDVALUE(268)</f>
        <v>1666</v>
      </c>
      <c r="C14" s="13">
        <v>4540227</v>
      </c>
      <c r="D14" s="12">
        <f>_xlfn.COMPOUNDVALUE(269)</f>
        <v>1335</v>
      </c>
      <c r="E14" s="13">
        <v>414886</v>
      </c>
      <c r="F14" s="12">
        <f>_xlfn.COMPOUNDVALUE(270)</f>
        <v>3001</v>
      </c>
      <c r="G14" s="13">
        <v>4955113</v>
      </c>
      <c r="H14" s="12">
        <f>_xlfn.COMPOUNDVALUE(271)</f>
        <v>72</v>
      </c>
      <c r="I14" s="14">
        <v>156338</v>
      </c>
      <c r="J14" s="12">
        <v>255</v>
      </c>
      <c r="K14" s="14">
        <v>33124</v>
      </c>
      <c r="L14" s="12">
        <v>3113</v>
      </c>
      <c r="M14" s="14">
        <v>4831900</v>
      </c>
      <c r="N14" s="12">
        <v>3210</v>
      </c>
      <c r="O14" s="34">
        <v>80</v>
      </c>
      <c r="P14" s="34">
        <v>7</v>
      </c>
      <c r="Q14" s="35">
        <v>3297</v>
      </c>
      <c r="R14" s="20" t="str">
        <f t="shared" si="0"/>
        <v>旭川中</v>
      </c>
    </row>
    <row r="15" spans="1:18" ht="18.75" customHeight="1">
      <c r="A15" s="11" t="s">
        <v>20</v>
      </c>
      <c r="B15" s="12">
        <f>_xlfn.COMPOUNDVALUE(272)</f>
        <v>3060</v>
      </c>
      <c r="C15" s="13">
        <v>6810300</v>
      </c>
      <c r="D15" s="12">
        <f>_xlfn.COMPOUNDVALUE(273)</f>
        <v>2632</v>
      </c>
      <c r="E15" s="13">
        <v>818368</v>
      </c>
      <c r="F15" s="12">
        <f>_xlfn.COMPOUNDVALUE(274)</f>
        <v>5692</v>
      </c>
      <c r="G15" s="13">
        <v>7628668</v>
      </c>
      <c r="H15" s="12">
        <f>_xlfn.COMPOUNDVALUE(275)</f>
        <v>133</v>
      </c>
      <c r="I15" s="14">
        <v>178376</v>
      </c>
      <c r="J15" s="12">
        <v>332</v>
      </c>
      <c r="K15" s="14">
        <v>44146</v>
      </c>
      <c r="L15" s="12">
        <v>5920</v>
      </c>
      <c r="M15" s="14">
        <v>7494438</v>
      </c>
      <c r="N15" s="12">
        <v>6107</v>
      </c>
      <c r="O15" s="34">
        <v>103</v>
      </c>
      <c r="P15" s="34">
        <v>7</v>
      </c>
      <c r="Q15" s="35">
        <v>6217</v>
      </c>
      <c r="R15" s="20" t="str">
        <f t="shared" si="0"/>
        <v>旭川東</v>
      </c>
    </row>
    <row r="16" spans="1:18" ht="18.75" customHeight="1">
      <c r="A16" s="11" t="s">
        <v>21</v>
      </c>
      <c r="B16" s="12">
        <f>_xlfn.COMPOUNDVALUE(276)</f>
        <v>2056</v>
      </c>
      <c r="C16" s="13">
        <v>6622609</v>
      </c>
      <c r="D16" s="12">
        <f>_xlfn.COMPOUNDVALUE(277)</f>
        <v>1785</v>
      </c>
      <c r="E16" s="13">
        <v>538181</v>
      </c>
      <c r="F16" s="12">
        <f>_xlfn.COMPOUNDVALUE(278)</f>
        <v>3841</v>
      </c>
      <c r="G16" s="13">
        <v>7160790</v>
      </c>
      <c r="H16" s="12">
        <f>_xlfn.COMPOUNDVALUE(279)</f>
        <v>121</v>
      </c>
      <c r="I16" s="14">
        <v>387148</v>
      </c>
      <c r="J16" s="12">
        <v>250</v>
      </c>
      <c r="K16" s="14">
        <v>52370</v>
      </c>
      <c r="L16" s="12">
        <v>4029</v>
      </c>
      <c r="M16" s="14">
        <v>6826011</v>
      </c>
      <c r="N16" s="12">
        <v>4072</v>
      </c>
      <c r="O16" s="34">
        <v>93</v>
      </c>
      <c r="P16" s="34">
        <v>5</v>
      </c>
      <c r="Q16" s="35">
        <v>4170</v>
      </c>
      <c r="R16" s="20" t="str">
        <f t="shared" si="0"/>
        <v>室蘭</v>
      </c>
    </row>
    <row r="17" spans="1:18" ht="18.75" customHeight="1">
      <c r="A17" s="11" t="s">
        <v>22</v>
      </c>
      <c r="B17" s="12">
        <f>_xlfn.COMPOUNDVALUE(280)</f>
        <v>3593</v>
      </c>
      <c r="C17" s="13">
        <v>7787333</v>
      </c>
      <c r="D17" s="12">
        <f>_xlfn.COMPOUNDVALUE(281)</f>
        <v>2443</v>
      </c>
      <c r="E17" s="13">
        <v>746392</v>
      </c>
      <c r="F17" s="12">
        <f>_xlfn.COMPOUNDVALUE(282)</f>
        <v>6036</v>
      </c>
      <c r="G17" s="13">
        <v>8533725</v>
      </c>
      <c r="H17" s="12">
        <f>_xlfn.COMPOUNDVALUE(283)</f>
        <v>189</v>
      </c>
      <c r="I17" s="14">
        <v>186121</v>
      </c>
      <c r="J17" s="12">
        <v>389</v>
      </c>
      <c r="K17" s="14">
        <v>36536</v>
      </c>
      <c r="L17" s="12">
        <v>6299</v>
      </c>
      <c r="M17" s="14">
        <v>8384140</v>
      </c>
      <c r="N17" s="12">
        <v>6306</v>
      </c>
      <c r="O17" s="34">
        <v>146</v>
      </c>
      <c r="P17" s="34">
        <v>12</v>
      </c>
      <c r="Q17" s="35">
        <v>6464</v>
      </c>
      <c r="R17" s="20" t="str">
        <f t="shared" si="0"/>
        <v>釧路</v>
      </c>
    </row>
    <row r="18" spans="1:18" ht="18.75" customHeight="1">
      <c r="A18" s="11" t="s">
        <v>23</v>
      </c>
      <c r="B18" s="12">
        <f>_xlfn.COMPOUNDVALUE(284)</f>
        <v>6145</v>
      </c>
      <c r="C18" s="13">
        <v>12727675</v>
      </c>
      <c r="D18" s="12">
        <f>_xlfn.COMPOUNDVALUE(285)</f>
        <v>3706</v>
      </c>
      <c r="E18" s="13">
        <v>1200927</v>
      </c>
      <c r="F18" s="12">
        <f>_xlfn.COMPOUNDVALUE(286)</f>
        <v>9851</v>
      </c>
      <c r="G18" s="13">
        <v>13928602</v>
      </c>
      <c r="H18" s="12">
        <f>_xlfn.COMPOUNDVALUE(287)</f>
        <v>771</v>
      </c>
      <c r="I18" s="14">
        <v>1324550</v>
      </c>
      <c r="J18" s="12">
        <v>533</v>
      </c>
      <c r="K18" s="14">
        <v>41287</v>
      </c>
      <c r="L18" s="12">
        <v>10697</v>
      </c>
      <c r="M18" s="14">
        <v>12645339</v>
      </c>
      <c r="N18" s="12">
        <v>10486</v>
      </c>
      <c r="O18" s="34">
        <v>300</v>
      </c>
      <c r="P18" s="34">
        <v>9</v>
      </c>
      <c r="Q18" s="35">
        <v>10795</v>
      </c>
      <c r="R18" s="20" t="str">
        <f t="shared" si="0"/>
        <v>帯広</v>
      </c>
    </row>
    <row r="19" spans="1:18" ht="18.75" customHeight="1">
      <c r="A19" s="11" t="s">
        <v>24</v>
      </c>
      <c r="B19" s="12">
        <f>_xlfn.COMPOUNDVALUE(288)</f>
        <v>2159</v>
      </c>
      <c r="C19" s="13">
        <v>4411486</v>
      </c>
      <c r="D19" s="12">
        <f>_xlfn.COMPOUNDVALUE(289)</f>
        <v>1993</v>
      </c>
      <c r="E19" s="13">
        <v>604907</v>
      </c>
      <c r="F19" s="12">
        <f>_xlfn.COMPOUNDVALUE(290)</f>
        <v>4152</v>
      </c>
      <c r="G19" s="13">
        <v>5016393</v>
      </c>
      <c r="H19" s="12">
        <f>_xlfn.COMPOUNDVALUE(291)</f>
        <v>175</v>
      </c>
      <c r="I19" s="14">
        <v>200556</v>
      </c>
      <c r="J19" s="12">
        <v>184</v>
      </c>
      <c r="K19" s="14">
        <v>16495</v>
      </c>
      <c r="L19" s="12">
        <v>4357</v>
      </c>
      <c r="M19" s="14">
        <v>4832331</v>
      </c>
      <c r="N19" s="12">
        <v>4378</v>
      </c>
      <c r="O19" s="34">
        <v>81</v>
      </c>
      <c r="P19" s="34">
        <v>13</v>
      </c>
      <c r="Q19" s="35">
        <v>4472</v>
      </c>
      <c r="R19" s="20" t="str">
        <f t="shared" si="0"/>
        <v>北見</v>
      </c>
    </row>
    <row r="20" spans="1:18" ht="18.75" customHeight="1">
      <c r="A20" s="11" t="s">
        <v>25</v>
      </c>
      <c r="B20" s="12">
        <f>_xlfn.COMPOUNDVALUE(292)</f>
        <v>1888</v>
      </c>
      <c r="C20" s="13">
        <v>3667909</v>
      </c>
      <c r="D20" s="12">
        <f>_xlfn.COMPOUNDVALUE(293)</f>
        <v>2734</v>
      </c>
      <c r="E20" s="13">
        <v>749545</v>
      </c>
      <c r="F20" s="12">
        <f>_xlfn.COMPOUNDVALUE(294)</f>
        <v>4622</v>
      </c>
      <c r="G20" s="13">
        <v>4417454</v>
      </c>
      <c r="H20" s="12">
        <f>_xlfn.COMPOUNDVALUE(295)</f>
        <v>170</v>
      </c>
      <c r="I20" s="14">
        <v>263467</v>
      </c>
      <c r="J20" s="12">
        <v>220</v>
      </c>
      <c r="K20" s="14">
        <v>-1696</v>
      </c>
      <c r="L20" s="12">
        <v>4822</v>
      </c>
      <c r="M20" s="14">
        <v>4152291</v>
      </c>
      <c r="N20" s="12">
        <v>5284</v>
      </c>
      <c r="O20" s="34">
        <v>113</v>
      </c>
      <c r="P20" s="34">
        <v>8</v>
      </c>
      <c r="Q20" s="35">
        <v>5405</v>
      </c>
      <c r="R20" s="20" t="str">
        <f t="shared" si="0"/>
        <v>岩見沢</v>
      </c>
    </row>
    <row r="21" spans="1:18" ht="18.75" customHeight="1">
      <c r="A21" s="11" t="s">
        <v>26</v>
      </c>
      <c r="B21" s="12">
        <f>_xlfn.COMPOUNDVALUE(296)</f>
        <v>1823</v>
      </c>
      <c r="C21" s="13">
        <v>3545847</v>
      </c>
      <c r="D21" s="12">
        <f>_xlfn.COMPOUNDVALUE(297)</f>
        <v>1599</v>
      </c>
      <c r="E21" s="13">
        <v>465625</v>
      </c>
      <c r="F21" s="12">
        <f>_xlfn.COMPOUNDVALUE(298)</f>
        <v>3422</v>
      </c>
      <c r="G21" s="13">
        <v>4011472</v>
      </c>
      <c r="H21" s="12">
        <f>_xlfn.COMPOUNDVALUE(299)</f>
        <v>666</v>
      </c>
      <c r="I21" s="14">
        <v>252058</v>
      </c>
      <c r="J21" s="12">
        <v>336</v>
      </c>
      <c r="K21" s="14">
        <v>37003</v>
      </c>
      <c r="L21" s="12">
        <v>4130</v>
      </c>
      <c r="M21" s="14">
        <v>3796418</v>
      </c>
      <c r="N21" s="12">
        <v>4190</v>
      </c>
      <c r="O21" s="34">
        <v>74</v>
      </c>
      <c r="P21" s="34">
        <v>2</v>
      </c>
      <c r="Q21" s="35">
        <v>4266</v>
      </c>
      <c r="R21" s="20" t="str">
        <f t="shared" si="0"/>
        <v>網走</v>
      </c>
    </row>
    <row r="22" spans="1:18" ht="18.75" customHeight="1">
      <c r="A22" s="11" t="s">
        <v>27</v>
      </c>
      <c r="B22" s="12">
        <f>_xlfn.COMPOUNDVALUE(300)</f>
        <v>609</v>
      </c>
      <c r="C22" s="13">
        <v>1229746</v>
      </c>
      <c r="D22" s="12">
        <f>_xlfn.COMPOUNDVALUE(301)</f>
        <v>691</v>
      </c>
      <c r="E22" s="13">
        <v>195898</v>
      </c>
      <c r="F22" s="12">
        <f>_xlfn.COMPOUNDVALUE(302)</f>
        <v>1300</v>
      </c>
      <c r="G22" s="13">
        <v>1425644</v>
      </c>
      <c r="H22" s="12">
        <f>_xlfn.COMPOUNDVALUE(303)</f>
        <v>36</v>
      </c>
      <c r="I22" s="14">
        <v>63020</v>
      </c>
      <c r="J22" s="12">
        <v>76</v>
      </c>
      <c r="K22" s="14">
        <v>11912</v>
      </c>
      <c r="L22" s="12">
        <v>1346</v>
      </c>
      <c r="M22" s="14">
        <v>1374536</v>
      </c>
      <c r="N22" s="12">
        <v>1430</v>
      </c>
      <c r="O22" s="34">
        <v>26</v>
      </c>
      <c r="P22" s="143">
        <v>0</v>
      </c>
      <c r="Q22" s="35">
        <v>1456</v>
      </c>
      <c r="R22" s="20" t="str">
        <f t="shared" si="0"/>
        <v>留萌</v>
      </c>
    </row>
    <row r="23" spans="1:18" ht="18.75" customHeight="1">
      <c r="A23" s="11" t="s">
        <v>28</v>
      </c>
      <c r="B23" s="12">
        <f>_xlfn.COMPOUNDVALUE(304)</f>
        <v>2812</v>
      </c>
      <c r="C23" s="13">
        <v>8751357</v>
      </c>
      <c r="D23" s="12">
        <f>_xlfn.COMPOUNDVALUE(305)</f>
        <v>2382</v>
      </c>
      <c r="E23" s="13">
        <v>746677</v>
      </c>
      <c r="F23" s="12">
        <f>_xlfn.COMPOUNDVALUE(306)</f>
        <v>5194</v>
      </c>
      <c r="G23" s="13">
        <v>9498035</v>
      </c>
      <c r="H23" s="12">
        <f>_xlfn.COMPOUNDVALUE(307)</f>
        <v>203</v>
      </c>
      <c r="I23" s="14">
        <v>437440</v>
      </c>
      <c r="J23" s="12">
        <v>292</v>
      </c>
      <c r="K23" s="14">
        <v>35092</v>
      </c>
      <c r="L23" s="12">
        <v>5455</v>
      </c>
      <c r="M23" s="14">
        <v>9095686</v>
      </c>
      <c r="N23" s="12">
        <v>5560</v>
      </c>
      <c r="O23" s="34">
        <v>131</v>
      </c>
      <c r="P23" s="34">
        <v>14</v>
      </c>
      <c r="Q23" s="35">
        <v>5705</v>
      </c>
      <c r="R23" s="20" t="str">
        <f t="shared" si="0"/>
        <v>苫小牧</v>
      </c>
    </row>
    <row r="24" spans="1:18" ht="18.75" customHeight="1">
      <c r="A24" s="16" t="s">
        <v>29</v>
      </c>
      <c r="B24" s="17">
        <f>_xlfn.COMPOUNDVALUE(308)</f>
        <v>1539</v>
      </c>
      <c r="C24" s="18">
        <v>2728658</v>
      </c>
      <c r="D24" s="17">
        <f>_xlfn.COMPOUNDVALUE(309)</f>
        <v>2018</v>
      </c>
      <c r="E24" s="18">
        <v>657488</v>
      </c>
      <c r="F24" s="17">
        <f>_xlfn.COMPOUNDVALUE(310)</f>
        <v>3557</v>
      </c>
      <c r="G24" s="18">
        <v>3386146</v>
      </c>
      <c r="H24" s="17">
        <f>_xlfn.COMPOUNDVALUE(311)</f>
        <v>132</v>
      </c>
      <c r="I24" s="19">
        <v>230361</v>
      </c>
      <c r="J24" s="17">
        <v>109</v>
      </c>
      <c r="K24" s="19">
        <v>-6800</v>
      </c>
      <c r="L24" s="17">
        <v>3720</v>
      </c>
      <c r="M24" s="19">
        <v>3148985</v>
      </c>
      <c r="N24" s="12">
        <v>3637</v>
      </c>
      <c r="O24" s="34">
        <v>102</v>
      </c>
      <c r="P24" s="34">
        <v>4</v>
      </c>
      <c r="Q24" s="35">
        <v>3743</v>
      </c>
      <c r="R24" s="20" t="str">
        <f t="shared" si="0"/>
        <v>稚内</v>
      </c>
    </row>
    <row r="25" spans="1:18" ht="18.75" customHeight="1">
      <c r="A25" s="16" t="s">
        <v>30</v>
      </c>
      <c r="B25" s="17">
        <f>_xlfn.COMPOUNDVALUE(312)</f>
        <v>1393</v>
      </c>
      <c r="C25" s="18">
        <v>2332173</v>
      </c>
      <c r="D25" s="17">
        <f>_xlfn.COMPOUNDVALUE(313)</f>
        <v>1222</v>
      </c>
      <c r="E25" s="18">
        <v>370794</v>
      </c>
      <c r="F25" s="17">
        <f>_xlfn.COMPOUNDVALUE(314)</f>
        <v>2615</v>
      </c>
      <c r="G25" s="18">
        <v>2702967</v>
      </c>
      <c r="H25" s="17">
        <f>_xlfn.COMPOUNDVALUE(315)</f>
        <v>131</v>
      </c>
      <c r="I25" s="19">
        <v>269308</v>
      </c>
      <c r="J25" s="17">
        <v>174</v>
      </c>
      <c r="K25" s="19">
        <v>23393</v>
      </c>
      <c r="L25" s="17">
        <v>2797</v>
      </c>
      <c r="M25" s="19">
        <v>2457052</v>
      </c>
      <c r="N25" s="12">
        <v>2654</v>
      </c>
      <c r="O25" s="34">
        <v>86</v>
      </c>
      <c r="P25" s="34">
        <v>1</v>
      </c>
      <c r="Q25" s="35">
        <v>2741</v>
      </c>
      <c r="R25" s="20" t="str">
        <f t="shared" si="0"/>
        <v>紋別</v>
      </c>
    </row>
    <row r="26" spans="1:18" ht="18.75" customHeight="1">
      <c r="A26" s="16" t="s">
        <v>31</v>
      </c>
      <c r="B26" s="17">
        <f>_xlfn.COMPOUNDVALUE(316)</f>
        <v>979</v>
      </c>
      <c r="C26" s="18">
        <v>1611325</v>
      </c>
      <c r="D26" s="17">
        <f>_xlfn.COMPOUNDVALUE(317)</f>
        <v>1016</v>
      </c>
      <c r="E26" s="18">
        <v>252029</v>
      </c>
      <c r="F26" s="17">
        <f>_xlfn.COMPOUNDVALUE(318)</f>
        <v>1995</v>
      </c>
      <c r="G26" s="18">
        <v>1863353</v>
      </c>
      <c r="H26" s="17">
        <f>_xlfn.COMPOUNDVALUE(319)</f>
        <v>161</v>
      </c>
      <c r="I26" s="19">
        <v>161133</v>
      </c>
      <c r="J26" s="17">
        <v>171</v>
      </c>
      <c r="K26" s="19">
        <v>9248</v>
      </c>
      <c r="L26" s="17">
        <v>2173</v>
      </c>
      <c r="M26" s="19">
        <v>1711468</v>
      </c>
      <c r="N26" s="12">
        <v>2218</v>
      </c>
      <c r="O26" s="34">
        <v>46</v>
      </c>
      <c r="P26" s="34">
        <v>1</v>
      </c>
      <c r="Q26" s="35">
        <v>2265</v>
      </c>
      <c r="R26" s="20" t="str">
        <f t="shared" si="0"/>
        <v>名寄</v>
      </c>
    </row>
    <row r="27" spans="1:18" ht="18.75" customHeight="1">
      <c r="A27" s="16" t="s">
        <v>32</v>
      </c>
      <c r="B27" s="17">
        <f>_xlfn.COMPOUNDVALUE(320)</f>
        <v>2203</v>
      </c>
      <c r="C27" s="18">
        <v>3457952</v>
      </c>
      <c r="D27" s="17">
        <f>_xlfn.COMPOUNDVALUE(321)</f>
        <v>2166</v>
      </c>
      <c r="E27" s="18">
        <v>634683</v>
      </c>
      <c r="F27" s="17">
        <f>_xlfn.COMPOUNDVALUE(322)</f>
        <v>4369</v>
      </c>
      <c r="G27" s="18">
        <v>4092635</v>
      </c>
      <c r="H27" s="17">
        <f>_xlfn.COMPOUNDVALUE(323)</f>
        <v>114</v>
      </c>
      <c r="I27" s="19">
        <v>226973</v>
      </c>
      <c r="J27" s="17">
        <v>189</v>
      </c>
      <c r="K27" s="19">
        <v>12425</v>
      </c>
      <c r="L27" s="17">
        <v>4531</v>
      </c>
      <c r="M27" s="19">
        <v>3878086</v>
      </c>
      <c r="N27" s="12">
        <v>4333</v>
      </c>
      <c r="O27" s="34">
        <v>106</v>
      </c>
      <c r="P27" s="34">
        <v>2</v>
      </c>
      <c r="Q27" s="35">
        <v>4441</v>
      </c>
      <c r="R27" s="20" t="str">
        <f t="shared" si="0"/>
        <v>根室</v>
      </c>
    </row>
    <row r="28" spans="1:18" ht="18.75" customHeight="1">
      <c r="A28" s="16" t="s">
        <v>33</v>
      </c>
      <c r="B28" s="17">
        <f>_xlfn.COMPOUNDVALUE(324)</f>
        <v>1079</v>
      </c>
      <c r="C28" s="18">
        <v>3334220</v>
      </c>
      <c r="D28" s="17">
        <f>_xlfn.COMPOUNDVALUE(325)</f>
        <v>1207</v>
      </c>
      <c r="E28" s="18">
        <v>346635</v>
      </c>
      <c r="F28" s="17">
        <f>_xlfn.COMPOUNDVALUE(326)</f>
        <v>2286</v>
      </c>
      <c r="G28" s="18">
        <v>3680855</v>
      </c>
      <c r="H28" s="17">
        <f>_xlfn.COMPOUNDVALUE(327)</f>
        <v>43</v>
      </c>
      <c r="I28" s="19">
        <v>75267</v>
      </c>
      <c r="J28" s="17">
        <v>135</v>
      </c>
      <c r="K28" s="19">
        <v>19590</v>
      </c>
      <c r="L28" s="17">
        <v>2355</v>
      </c>
      <c r="M28" s="19">
        <v>3625178</v>
      </c>
      <c r="N28" s="12">
        <v>2529</v>
      </c>
      <c r="O28" s="34">
        <v>47</v>
      </c>
      <c r="P28" s="34">
        <v>1</v>
      </c>
      <c r="Q28" s="35">
        <v>2577</v>
      </c>
      <c r="R28" s="20" t="str">
        <f t="shared" si="0"/>
        <v>滝川</v>
      </c>
    </row>
    <row r="29" spans="1:18" ht="18.75" customHeight="1">
      <c r="A29" s="16" t="s">
        <v>34</v>
      </c>
      <c r="B29" s="17">
        <f>_xlfn.COMPOUNDVALUE(328)</f>
        <v>472</v>
      </c>
      <c r="C29" s="18">
        <v>842272</v>
      </c>
      <c r="D29" s="17">
        <f>_xlfn.COMPOUNDVALUE(329)</f>
        <v>1104</v>
      </c>
      <c r="E29" s="18">
        <v>306002</v>
      </c>
      <c r="F29" s="17">
        <f>_xlfn.COMPOUNDVALUE(330)</f>
        <v>1576</v>
      </c>
      <c r="G29" s="18">
        <v>1148274</v>
      </c>
      <c r="H29" s="17">
        <f>_xlfn.COMPOUNDVALUE(331)</f>
        <v>45</v>
      </c>
      <c r="I29" s="19">
        <v>36380</v>
      </c>
      <c r="J29" s="17">
        <v>45</v>
      </c>
      <c r="K29" s="19">
        <v>1612</v>
      </c>
      <c r="L29" s="17">
        <v>1634</v>
      </c>
      <c r="M29" s="19">
        <v>1113506</v>
      </c>
      <c r="N29" s="12">
        <v>1915</v>
      </c>
      <c r="O29" s="34">
        <v>16</v>
      </c>
      <c r="P29" s="143">
        <v>0</v>
      </c>
      <c r="Q29" s="35">
        <v>1931</v>
      </c>
      <c r="R29" s="20" t="str">
        <f t="shared" si="0"/>
        <v>深川</v>
      </c>
    </row>
    <row r="30" spans="1:18" ht="18.75" customHeight="1">
      <c r="A30" s="16" t="s">
        <v>35</v>
      </c>
      <c r="B30" s="17">
        <f>_xlfn.COMPOUNDVALUE(332)</f>
        <v>525</v>
      </c>
      <c r="C30" s="18">
        <v>1212944</v>
      </c>
      <c r="D30" s="17">
        <f>_xlfn.COMPOUNDVALUE(333)</f>
        <v>916</v>
      </c>
      <c r="E30" s="18">
        <v>226889</v>
      </c>
      <c r="F30" s="17">
        <f>_xlfn.COMPOUNDVALUE(334)</f>
        <v>1441</v>
      </c>
      <c r="G30" s="18">
        <v>1439833</v>
      </c>
      <c r="H30" s="17">
        <f>_xlfn.COMPOUNDVALUE(335)</f>
        <v>71</v>
      </c>
      <c r="I30" s="19">
        <v>50860</v>
      </c>
      <c r="J30" s="17">
        <v>49</v>
      </c>
      <c r="K30" s="19">
        <v>-2365</v>
      </c>
      <c r="L30" s="17">
        <v>1526</v>
      </c>
      <c r="M30" s="19">
        <v>1386608</v>
      </c>
      <c r="N30" s="12">
        <v>1549</v>
      </c>
      <c r="O30" s="34">
        <v>38</v>
      </c>
      <c r="P30" s="34">
        <v>4</v>
      </c>
      <c r="Q30" s="35">
        <v>1591</v>
      </c>
      <c r="R30" s="20" t="str">
        <f t="shared" si="0"/>
        <v>富良野</v>
      </c>
    </row>
    <row r="31" spans="1:18" ht="18.75" customHeight="1">
      <c r="A31" s="16" t="s">
        <v>36</v>
      </c>
      <c r="B31" s="17">
        <f>_xlfn.COMPOUNDVALUE(336)</f>
        <v>853</v>
      </c>
      <c r="C31" s="18">
        <v>1210325</v>
      </c>
      <c r="D31" s="17">
        <f>_xlfn.COMPOUNDVALUE(337)</f>
        <v>1443</v>
      </c>
      <c r="E31" s="18">
        <v>372498</v>
      </c>
      <c r="F31" s="17">
        <f>_xlfn.COMPOUNDVALUE(338)</f>
        <v>2296</v>
      </c>
      <c r="G31" s="18">
        <v>1582823</v>
      </c>
      <c r="H31" s="17">
        <f>_xlfn.COMPOUNDVALUE(339)</f>
        <v>41</v>
      </c>
      <c r="I31" s="19">
        <v>58415</v>
      </c>
      <c r="J31" s="17">
        <v>119</v>
      </c>
      <c r="K31" s="19">
        <v>3590</v>
      </c>
      <c r="L31" s="17">
        <v>2352</v>
      </c>
      <c r="M31" s="19">
        <v>1527998</v>
      </c>
      <c r="N31" s="12">
        <v>2377</v>
      </c>
      <c r="O31" s="34">
        <v>32</v>
      </c>
      <c r="P31" s="34">
        <v>1</v>
      </c>
      <c r="Q31" s="35">
        <v>2410</v>
      </c>
      <c r="R31" s="20" t="str">
        <f t="shared" si="0"/>
        <v>八雲</v>
      </c>
    </row>
    <row r="32" spans="1:18" ht="18.75" customHeight="1">
      <c r="A32" s="16" t="s">
        <v>37</v>
      </c>
      <c r="B32" s="17">
        <f>_xlfn.COMPOUNDVALUE(340)</f>
        <v>354</v>
      </c>
      <c r="C32" s="18">
        <v>572372</v>
      </c>
      <c r="D32" s="17">
        <f>_xlfn.COMPOUNDVALUE(341)</f>
        <v>392</v>
      </c>
      <c r="E32" s="18">
        <v>100007</v>
      </c>
      <c r="F32" s="17">
        <f>_xlfn.COMPOUNDVALUE(342)</f>
        <v>746</v>
      </c>
      <c r="G32" s="18">
        <v>672379</v>
      </c>
      <c r="H32" s="17">
        <f>_xlfn.COMPOUNDVALUE(343)</f>
        <v>18</v>
      </c>
      <c r="I32" s="19">
        <v>32379</v>
      </c>
      <c r="J32" s="17">
        <v>37</v>
      </c>
      <c r="K32" s="19">
        <v>5099</v>
      </c>
      <c r="L32" s="17">
        <v>768</v>
      </c>
      <c r="M32" s="19">
        <v>645099</v>
      </c>
      <c r="N32" s="12">
        <v>756</v>
      </c>
      <c r="O32" s="34">
        <v>21</v>
      </c>
      <c r="P32" s="34">
        <v>1</v>
      </c>
      <c r="Q32" s="35">
        <v>778</v>
      </c>
      <c r="R32" s="20" t="str">
        <f t="shared" si="0"/>
        <v>江差</v>
      </c>
    </row>
    <row r="33" spans="1:18" ht="18.75" customHeight="1">
      <c r="A33" s="16" t="s">
        <v>38</v>
      </c>
      <c r="B33" s="17">
        <f>_xlfn.COMPOUNDVALUE(344)</f>
        <v>1061</v>
      </c>
      <c r="C33" s="18">
        <v>1762344</v>
      </c>
      <c r="D33" s="17">
        <f>_xlfn.COMPOUNDVALUE(345)</f>
        <v>1335</v>
      </c>
      <c r="E33" s="18">
        <v>356350</v>
      </c>
      <c r="F33" s="17">
        <f>_xlfn.COMPOUNDVALUE(346)</f>
        <v>2396</v>
      </c>
      <c r="G33" s="18">
        <v>2118694</v>
      </c>
      <c r="H33" s="17">
        <f>_xlfn.COMPOUNDVALUE(347)</f>
        <v>97</v>
      </c>
      <c r="I33" s="19">
        <v>364915</v>
      </c>
      <c r="J33" s="17">
        <v>131</v>
      </c>
      <c r="K33" s="19">
        <v>10461</v>
      </c>
      <c r="L33" s="17">
        <v>2511</v>
      </c>
      <c r="M33" s="19">
        <v>1764240</v>
      </c>
      <c r="N33" s="12">
        <v>2473</v>
      </c>
      <c r="O33" s="34">
        <v>69</v>
      </c>
      <c r="P33" s="34">
        <v>3</v>
      </c>
      <c r="Q33" s="35">
        <v>2545</v>
      </c>
      <c r="R33" s="20" t="str">
        <f t="shared" si="0"/>
        <v>倶知安</v>
      </c>
    </row>
    <row r="34" spans="1:18" ht="18.75" customHeight="1">
      <c r="A34" s="16" t="s">
        <v>39</v>
      </c>
      <c r="B34" s="17">
        <f>_xlfn.COMPOUNDVALUE(348)</f>
        <v>387</v>
      </c>
      <c r="C34" s="18">
        <v>1833390</v>
      </c>
      <c r="D34" s="17">
        <f>_xlfn.COMPOUNDVALUE(349)</f>
        <v>507</v>
      </c>
      <c r="E34" s="18">
        <v>122636</v>
      </c>
      <c r="F34" s="17">
        <f>_xlfn.COMPOUNDVALUE(350)</f>
        <v>894</v>
      </c>
      <c r="G34" s="18">
        <v>1956026</v>
      </c>
      <c r="H34" s="17">
        <f>_xlfn.COMPOUNDVALUE(351)</f>
        <v>38</v>
      </c>
      <c r="I34" s="19">
        <v>49556</v>
      </c>
      <c r="J34" s="17">
        <v>24</v>
      </c>
      <c r="K34" s="19">
        <v>2004</v>
      </c>
      <c r="L34" s="17">
        <v>941</v>
      </c>
      <c r="M34" s="19">
        <v>1908474</v>
      </c>
      <c r="N34" s="12">
        <v>938</v>
      </c>
      <c r="O34" s="34">
        <v>16</v>
      </c>
      <c r="P34" s="34">
        <v>1</v>
      </c>
      <c r="Q34" s="35">
        <v>955</v>
      </c>
      <c r="R34" s="20" t="str">
        <f t="shared" si="0"/>
        <v>余市</v>
      </c>
    </row>
    <row r="35" spans="1:18" ht="18.75" customHeight="1">
      <c r="A35" s="16" t="s">
        <v>40</v>
      </c>
      <c r="B35" s="17">
        <f>_xlfn.COMPOUNDVALUE(352)</f>
        <v>1031</v>
      </c>
      <c r="C35" s="18">
        <v>1686003</v>
      </c>
      <c r="D35" s="17">
        <f>_xlfn.COMPOUNDVALUE(353)</f>
        <v>900</v>
      </c>
      <c r="E35" s="18">
        <v>255898</v>
      </c>
      <c r="F35" s="17">
        <f>_xlfn.COMPOUNDVALUE(354)</f>
        <v>1931</v>
      </c>
      <c r="G35" s="18">
        <v>1941901</v>
      </c>
      <c r="H35" s="17">
        <f>_xlfn.COMPOUNDVALUE(355)</f>
        <v>115</v>
      </c>
      <c r="I35" s="19">
        <v>119793</v>
      </c>
      <c r="J35" s="17">
        <v>128</v>
      </c>
      <c r="K35" s="19">
        <v>8182</v>
      </c>
      <c r="L35" s="17">
        <v>2076</v>
      </c>
      <c r="M35" s="19">
        <v>1830289</v>
      </c>
      <c r="N35" s="12">
        <v>2048</v>
      </c>
      <c r="O35" s="34">
        <v>57</v>
      </c>
      <c r="P35" s="34">
        <v>1</v>
      </c>
      <c r="Q35" s="35">
        <v>2106</v>
      </c>
      <c r="R35" s="20" t="str">
        <f t="shared" si="0"/>
        <v>浦河</v>
      </c>
    </row>
    <row r="36" spans="1:18" ht="18.75" customHeight="1" thickBot="1">
      <c r="A36" s="129" t="s">
        <v>41</v>
      </c>
      <c r="B36" s="124">
        <f>_xlfn.COMPOUNDVALUE(356)</f>
        <v>1060</v>
      </c>
      <c r="C36" s="130">
        <v>1030887</v>
      </c>
      <c r="D36" s="124">
        <f>_xlfn.COMPOUNDVALUE(357)</f>
        <v>510</v>
      </c>
      <c r="E36" s="130">
        <v>149682</v>
      </c>
      <c r="F36" s="124">
        <f>_xlfn.COMPOUNDVALUE(358)</f>
        <v>1570</v>
      </c>
      <c r="G36" s="130">
        <v>1180569</v>
      </c>
      <c r="H36" s="124">
        <f>_xlfn.COMPOUNDVALUE(359)</f>
        <v>227</v>
      </c>
      <c r="I36" s="131">
        <v>97787</v>
      </c>
      <c r="J36" s="124">
        <v>65</v>
      </c>
      <c r="K36" s="131">
        <v>7322</v>
      </c>
      <c r="L36" s="124">
        <v>1813</v>
      </c>
      <c r="M36" s="131">
        <v>1090104</v>
      </c>
      <c r="N36" s="124">
        <v>1760</v>
      </c>
      <c r="O36" s="125">
        <v>58</v>
      </c>
      <c r="P36" s="144">
        <v>0</v>
      </c>
      <c r="Q36" s="126">
        <v>1818</v>
      </c>
      <c r="R36" s="127" t="str">
        <f t="shared" si="0"/>
        <v>十勝池田</v>
      </c>
    </row>
    <row r="37" spans="1:18" s="21" customFormat="1" ht="18.75" customHeight="1" thickBot="1" thickTop="1">
      <c r="A37" s="22" t="s">
        <v>48</v>
      </c>
      <c r="B37" s="23">
        <v>72357</v>
      </c>
      <c r="C37" s="24">
        <v>218413536</v>
      </c>
      <c r="D37" s="23">
        <v>56872</v>
      </c>
      <c r="E37" s="24">
        <v>17479368</v>
      </c>
      <c r="F37" s="23">
        <v>129229</v>
      </c>
      <c r="G37" s="24">
        <v>235892904</v>
      </c>
      <c r="H37" s="23">
        <v>5782</v>
      </c>
      <c r="I37" s="25">
        <v>12541991</v>
      </c>
      <c r="J37" s="23">
        <v>7774</v>
      </c>
      <c r="K37" s="25">
        <v>1193945</v>
      </c>
      <c r="L37" s="23">
        <v>136737</v>
      </c>
      <c r="M37" s="25">
        <v>224544857</v>
      </c>
      <c r="N37" s="23">
        <v>139051</v>
      </c>
      <c r="O37" s="122">
        <v>3133</v>
      </c>
      <c r="P37" s="122">
        <v>286</v>
      </c>
      <c r="Q37" s="123">
        <v>142470</v>
      </c>
      <c r="R37" s="26" t="str">
        <f t="shared" si="0"/>
        <v>合　　計</v>
      </c>
    </row>
    <row r="38" spans="1:18" s="44" customFormat="1" ht="3" customHeight="1">
      <c r="A38" s="40"/>
      <c r="B38" s="41"/>
      <c r="C38" s="41"/>
      <c r="D38" s="41"/>
      <c r="E38" s="41"/>
      <c r="F38" s="41"/>
      <c r="G38" s="41"/>
      <c r="H38" s="41"/>
      <c r="I38" s="41"/>
      <c r="J38" s="41"/>
      <c r="K38" s="41"/>
      <c r="L38" s="41"/>
      <c r="M38" s="41"/>
      <c r="N38" s="41"/>
      <c r="O38" s="41"/>
      <c r="P38" s="41"/>
      <c r="Q38" s="41"/>
      <c r="R38" s="40"/>
    </row>
    <row r="39" spans="1:17" ht="14.25" thickBot="1">
      <c r="A39" s="177" t="s">
        <v>102</v>
      </c>
      <c r="B39" s="177"/>
      <c r="C39" s="177"/>
      <c r="D39" s="177"/>
      <c r="E39" s="177"/>
      <c r="F39" s="177"/>
      <c r="G39" s="177"/>
      <c r="H39" s="177"/>
      <c r="I39" s="177"/>
      <c r="J39" s="177"/>
      <c r="K39" s="177"/>
      <c r="L39" s="177"/>
      <c r="M39" s="177"/>
      <c r="N39" s="177"/>
      <c r="O39" s="177"/>
      <c r="P39" s="177"/>
      <c r="Q39" s="177"/>
    </row>
    <row r="40" spans="1:9" ht="13.5">
      <c r="A40" s="196"/>
      <c r="B40" s="196"/>
      <c r="C40" s="196"/>
      <c r="D40" s="196"/>
      <c r="E40" s="196"/>
      <c r="F40" s="196"/>
      <c r="G40" s="196"/>
      <c r="H40" s="196"/>
      <c r="I40" s="196"/>
    </row>
  </sheetData>
  <sheetProtection/>
  <mergeCells count="17">
    <mergeCell ref="R3:R5"/>
    <mergeCell ref="B4:C4"/>
    <mergeCell ref="D4:E4"/>
    <mergeCell ref="F4:G4"/>
    <mergeCell ref="N4:N5"/>
    <mergeCell ref="O4:O5"/>
    <mergeCell ref="P4:P5"/>
    <mergeCell ref="Q4:Q5"/>
    <mergeCell ref="J3:K4"/>
    <mergeCell ref="L3:M4"/>
    <mergeCell ref="A40:I40"/>
    <mergeCell ref="N3:Q3"/>
    <mergeCell ref="A2:I2"/>
    <mergeCell ref="A3:A5"/>
    <mergeCell ref="B3:G3"/>
    <mergeCell ref="H3:I4"/>
    <mergeCell ref="A39:Q39"/>
  </mergeCells>
  <printOptions horizontalCentered="1"/>
  <pageMargins left="0.7874015748031497" right="0.5511811023622047" top="0.9055118110236221" bottom="0.5905511811023623" header="0.5118110236220472" footer="0.31496062992125984"/>
  <pageSetup fitToHeight="0" horizontalDpi="600" verticalDpi="600" orientation="landscape" paperSize="9" scale="72" r:id="rId1"/>
  <headerFooter alignWithMargins="0">
    <oddFooter>&amp;R札幌国税局　
消費税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2014-04-21T01:31:48Z</cp:lastPrinted>
  <dcterms:created xsi:type="dcterms:W3CDTF">2011-12-09T10:59:54Z</dcterms:created>
  <dcterms:modified xsi:type="dcterms:W3CDTF">2014-06-10T02:06:33Z</dcterms:modified>
  <cp:category/>
  <cp:version/>
  <cp:contentType/>
  <cp:contentStatus/>
</cp:coreProperties>
</file>