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tabRatio="82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'(4)税務署別(個人事業者）'!$A$1:$N$103</definedName>
    <definedName name="_xlnm.Print_Titles" localSheetId="3">'(4)税務署別(個人事業者）'!$3:$6</definedName>
    <definedName name="_xlnm.Print_Titles" localSheetId="5">'(4)税務署別（合計）'!$3:$6</definedName>
    <definedName name="_xlnm.Print_Titles" localSheetId="4">'(4)税務署別（法人）'!$3:$6</definedName>
  </definedNames>
  <calcPr fullCalcOnLoad="1"/>
</workbook>
</file>

<file path=xl/sharedStrings.xml><?xml version="1.0" encoding="utf-8"?>
<sst xmlns="http://schemas.openxmlformats.org/spreadsheetml/2006/main" count="737" uniqueCount="180">
  <si>
    <t>　イ　個人事業者</t>
  </si>
  <si>
    <t>税務署名</t>
  </si>
  <si>
    <t>納　　　税　　　申　　　告　　　及　　　び　　　処　　　理</t>
  </si>
  <si>
    <t>還付申告及び処理</t>
  </si>
  <si>
    <t>既往年分の
申告及び処理</t>
  </si>
  <si>
    <t>合　　　　　　計</t>
  </si>
  <si>
    <t>税務署名</t>
  </si>
  <si>
    <t>一般申告及び処理</t>
  </si>
  <si>
    <t>簡易申告及び処理</t>
  </si>
  <si>
    <t>小　　　　　　計</t>
  </si>
  <si>
    <t>件数</t>
  </si>
  <si>
    <t>税額</t>
  </si>
  <si>
    <t>税　額　①</t>
  </si>
  <si>
    <t>税　額　②</t>
  </si>
  <si>
    <t>税　額　③</t>
  </si>
  <si>
    <t>件</t>
  </si>
  <si>
    <t>千円</t>
  </si>
  <si>
    <t>総　計</t>
  </si>
  <si>
    <t>大津</t>
  </si>
  <si>
    <t>彦根</t>
  </si>
  <si>
    <t>長浜</t>
  </si>
  <si>
    <t>近江八幡</t>
  </si>
  <si>
    <t>草津</t>
  </si>
  <si>
    <t>水口</t>
  </si>
  <si>
    <t>今津</t>
  </si>
  <si>
    <t>滋賀県計</t>
  </si>
  <si>
    <t>上京</t>
  </si>
  <si>
    <t>左京</t>
  </si>
  <si>
    <t>中京</t>
  </si>
  <si>
    <t>東山</t>
  </si>
  <si>
    <t>下京</t>
  </si>
  <si>
    <t>右京</t>
  </si>
  <si>
    <t>伏見</t>
  </si>
  <si>
    <t>福知山</t>
  </si>
  <si>
    <t>舞鶴</t>
  </si>
  <si>
    <t>宇治</t>
  </si>
  <si>
    <t>宮津</t>
  </si>
  <si>
    <t>園部</t>
  </si>
  <si>
    <t>峰山</t>
  </si>
  <si>
    <t>京都府計</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</si>
  <si>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</si>
  <si>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</si>
  <si>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</si>
  <si>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</si>
  <si>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</si>
  <si>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</si>
  <si>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</si>
  <si>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</si>
  <si>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</si>
  <si>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</si>
  <si>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</si>
  <si>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</si>
  <si>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</si>
  <si>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</si>
  <si>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</si>
  <si>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</si>
  <si>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</si>
  <si>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</si>
  <si>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</si>
  <si>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</si>
  <si>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</si>
  <si>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</si>
  <si>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</si>
  <si>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</si>
  <si>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</si>
  <si>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</si>
  <si>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</si>
  <si>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</si>
  <si>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</si>
  <si>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</si>
  <si>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</si>
  <si>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</si>
  <si>
    <t>灘</t>
  </si>
  <si>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</si>
  <si>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</si>
  <si>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</si>
  <si>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</si>
  <si>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</si>
  <si>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</si>
  <si>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</si>
  <si>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</si>
  <si>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</si>
  <si>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</si>
  <si>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</si>
  <si>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</si>
  <si>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</si>
  <si>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</si>
  <si>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</si>
  <si>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</si>
  <si>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</si>
  <si>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</si>
  <si>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</si>
  <si>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</si>
  <si>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</si>
  <si>
    <t>奈良</t>
  </si>
  <si>
    <t>葛城</t>
  </si>
  <si>
    <t>桜井</t>
  </si>
  <si>
    <t>吉野</t>
  </si>
  <si>
    <t>奈良県計</t>
  </si>
  <si>
    <t>和歌山</t>
  </si>
  <si>
    <t>海南</t>
  </si>
  <si>
    <t>御坊</t>
  </si>
  <si>
    <t>田辺</t>
  </si>
  <si>
    <t>新宮</t>
  </si>
  <si>
    <t>粉河</t>
  </si>
  <si>
    <t>湯浅</t>
  </si>
  <si>
    <t>和歌山県計</t>
  </si>
  <si>
    <t>　ロ　法　　　人</t>
  </si>
  <si>
    <t>税務署名</t>
  </si>
  <si>
    <t>滋賀県計</t>
  </si>
  <si>
    <t>課　税　事　業　者　等　届　出　件　数</t>
  </si>
  <si>
    <t>課税事業者
届出</t>
  </si>
  <si>
    <t>課税事業者
選択届出</t>
  </si>
  <si>
    <t>新設法人に
該当する旨
の届出</t>
  </si>
  <si>
    <t>合　　　計</t>
  </si>
  <si>
    <t>件数</t>
  </si>
  <si>
    <t>税　　　額
(①－②＋③)</t>
  </si>
  <si>
    <t>税　　額
(①－②＋③)</t>
  </si>
  <si>
    <t>総　計</t>
  </si>
  <si>
    <t/>
  </si>
  <si>
    <t>滋賀県計</t>
  </si>
  <si>
    <t>京都府計</t>
  </si>
  <si>
    <t>大阪府計</t>
  </si>
  <si>
    <t>兵庫県計</t>
  </si>
  <si>
    <t>奈良県計</t>
  </si>
  <si>
    <t>和歌山県計</t>
  </si>
  <si>
    <t>７　消　費　税</t>
  </si>
  <si>
    <t>区　　　分</t>
  </si>
  <si>
    <t>個　人　事　業　者</t>
  </si>
  <si>
    <t>件　　　数</t>
  </si>
  <si>
    <t>税　　　額</t>
  </si>
  <si>
    <t>件</t>
  </si>
  <si>
    <t>千円</t>
  </si>
  <si>
    <t>加算税</t>
  </si>
  <si>
    <t>(2)　課税状況の累年比較</t>
  </si>
  <si>
    <t>法　　　　　　　人</t>
  </si>
  <si>
    <t>合　　　　　　　計</t>
  </si>
  <si>
    <t>件　　数</t>
  </si>
  <si>
    <t>税　　額</t>
  </si>
  <si>
    <t>納税申告計</t>
  </si>
  <si>
    <t>(3)　課税事業者等届出件数</t>
  </si>
  <si>
    <t>課税事業者届出書</t>
  </si>
  <si>
    <t>課税事業者選択届出書</t>
  </si>
  <si>
    <t>新設法人に該当する旨の届出書</t>
  </si>
  <si>
    <t>合計</t>
  </si>
  <si>
    <t>（注）納税義務者でなくなった旨の届出書又は課税事業者選択不適用届出書を提出した者は含まない。</t>
  </si>
  <si>
    <t>(1)　課税状況</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</si>
  <si>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</si>
  <si>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</si>
  <si>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</si>
  <si>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</si>
  <si>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</si>
  <si>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</si>
  <si>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</si>
  <si>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</si>
  <si>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京都府計</t>
  </si>
  <si>
    <t>大阪府計</t>
  </si>
  <si>
    <t>兵庫県計</t>
  </si>
  <si>
    <t>奈良県計</t>
  </si>
  <si>
    <t>和歌山県計</t>
  </si>
  <si>
    <t>総　計</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</si>
  <si>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</si>
  <si>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</si>
  <si>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平成27年度</t>
  </si>
  <si>
    <t>実件</t>
  </si>
  <si>
    <t>(4)　税務署別課税状況等</t>
  </si>
  <si>
    <t>(4)　税務署別課税状況等（続）</t>
  </si>
  <si>
    <t>平成28年度</t>
  </si>
  <si>
    <t>　ハ　個人事業者と法人の合計</t>
  </si>
  <si>
    <t>調査対象等：</t>
  </si>
  <si>
    <t>平成29年度</t>
  </si>
  <si>
    <t>平成30年度</t>
  </si>
  <si>
    <t>令和元年度</t>
  </si>
  <si>
    <t>調査対象等：令和元年度末（令和２年３月31日現在）の届出件数を示している。</t>
  </si>
  <si>
    <t>（注）  税関分は含まない。</t>
  </si>
  <si>
    <t xml:space="preserve"> 「現年分」は､平成31年４月１日から令和２年３月31日までに終了した課税期間に係る消費税の申告及び処理（更正、決定等）による課税事績(令和２年６月30日までのもの。国・地方公共団体等については令和２年９月30日までのもの。)に基づいて作成した。</t>
  </si>
  <si>
    <t xml:space="preserve"> 「既往年分」は、平成31年３月31日以前に終了した課税期間に係る消費税の申告及び処理（更正、決定等）による課税事績（令和元年７月１日から令和２年６月30日までのもの。国・地方公共団体等については令和元年10月１日から令和２年６月30日までのもの。）に基づいて作成した。</t>
  </si>
  <si>
    <t>個　人　事　業　者</t>
  </si>
  <si>
    <t>法　　　　　人</t>
  </si>
  <si>
    <t>合　　　　　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</si>
</sst>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50">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b/>
      <sz val="9"/>
      <name val="ＭＳ 明朝"/>
      <family val="1"/>
    </font>
    <font>
      <b/>
      <sz val="11"/>
      <name val="ＭＳ Ｐゴシック"/>
      <family val="3"/>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sz val="9"/>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bottom style="double"/>
    </border>
    <border>
      <left style="thin"/>
      <right style="medium"/>
      <top/>
      <bottom style="double"/>
    </border>
    <border>
      <left style="medium"/>
      <right/>
      <top/>
      <bottom style="medium"/>
    </border>
    <border>
      <left style="thin"/>
      <right style="medium"/>
      <top/>
      <bottom style="medium"/>
    </border>
    <border>
      <left style="medium"/>
      <right/>
      <top style="thin">
        <color indexed="55"/>
      </top>
      <bottom style="thin">
        <color indexed="55"/>
      </bottom>
    </border>
    <border>
      <left style="thin"/>
      <right style="medium"/>
      <top style="thin">
        <color indexed="55"/>
      </top>
      <bottom style="thin">
        <color indexed="55"/>
      </bottom>
    </border>
    <border>
      <left style="thin"/>
      <right style="medium"/>
      <top style="thin">
        <color indexed="55"/>
      </top>
      <bottom style="hair">
        <color indexed="55"/>
      </bottom>
    </border>
    <border>
      <left style="hair"/>
      <right style="thin"/>
      <top style="hair"/>
      <bottom style="thin"/>
    </border>
    <border>
      <left style="hair"/>
      <right style="hair"/>
      <top style="thin"/>
      <bottom/>
    </border>
    <border>
      <left style="thin"/>
      <right style="medium"/>
      <top style="thin">
        <color indexed="23"/>
      </top>
      <bottom/>
    </border>
    <border>
      <left style="thin"/>
      <right style="medium"/>
      <top style="double"/>
      <bottom style="medium"/>
    </border>
    <border>
      <left style="thin"/>
      <right style="medium"/>
      <top style="thin">
        <color indexed="23"/>
      </top>
      <bottom style="thin">
        <color indexed="23"/>
      </bottom>
    </border>
    <border>
      <left style="thin"/>
      <right style="hair"/>
      <top style="hair"/>
      <bottom style="thin"/>
    </border>
    <border>
      <left style="hair"/>
      <right/>
      <top style="hair"/>
      <bottom style="thin"/>
    </border>
    <border>
      <left style="hair"/>
      <right style="medium"/>
      <top style="thin"/>
      <bottom/>
    </border>
    <border>
      <left style="hair"/>
      <right style="thin"/>
      <top/>
      <bottom style="hair">
        <color indexed="55"/>
      </bottom>
    </border>
    <border>
      <left style="hair"/>
      <right style="medium"/>
      <top/>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hair"/>
      <right style="thin"/>
      <top style="thin"/>
      <bottom style="hair">
        <color indexed="55"/>
      </bottom>
    </border>
    <border>
      <left style="hair"/>
      <right style="medium"/>
      <top style="thin"/>
      <bottom style="hair">
        <color indexed="55"/>
      </bottom>
    </border>
    <border>
      <left/>
      <right style="thin"/>
      <top style="thin"/>
      <bottom/>
    </border>
    <border>
      <left/>
      <right style="medium"/>
      <top style="thin"/>
      <bottom/>
    </border>
    <border>
      <left style="thin"/>
      <right style="hair"/>
      <top/>
      <bottom style="hair">
        <color indexed="55"/>
      </bottom>
    </border>
    <border>
      <left style="thin"/>
      <right style="hair"/>
      <top style="hair">
        <color indexed="55"/>
      </top>
      <bottom style="thin"/>
    </border>
    <border>
      <left style="hair"/>
      <right style="medium"/>
      <top style="hair">
        <color indexed="55"/>
      </top>
      <bottom style="thin"/>
    </border>
    <border>
      <left style="thin"/>
      <right style="hair"/>
      <top style="thin"/>
      <bottom style="hair">
        <color indexed="55"/>
      </bottom>
    </border>
    <border>
      <left style="hair"/>
      <right style="thin"/>
      <top style="hair">
        <color indexed="55"/>
      </top>
      <bottom style="mediu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border>
    <border>
      <left style="thin"/>
      <right style="thin"/>
      <top style="thin"/>
      <bottom/>
    </border>
    <border>
      <left style="thin"/>
      <right/>
      <top style="thin"/>
      <bottom/>
    </border>
    <border>
      <left style="hair"/>
      <right style="hair"/>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hair"/>
      <top style="thin"/>
      <bottom style="hair">
        <color indexed="55"/>
      </bottom>
    </border>
    <border>
      <left style="hair"/>
      <right style="hair"/>
      <top/>
      <bottom style="medium"/>
    </border>
    <border>
      <left style="hair"/>
      <right style="thin"/>
      <top/>
      <bottom style="medium"/>
    </border>
    <border>
      <left style="hair"/>
      <right style="medium"/>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hair"/>
      <top/>
      <bottom style="medium"/>
    </border>
    <border>
      <left style="hair"/>
      <right/>
      <top/>
      <bottom style="medium"/>
    </border>
    <border>
      <left style="thin"/>
      <right style="hair"/>
      <top style="hair">
        <color indexed="55"/>
      </top>
      <bottom style="medium"/>
    </border>
    <border>
      <left style="hair"/>
      <right style="medium"/>
      <top style="hair">
        <color indexed="55"/>
      </top>
      <bottom style="medium"/>
    </border>
    <border>
      <left style="medium"/>
      <right style="thin"/>
      <top/>
      <bottom style="medium"/>
    </border>
    <border>
      <left style="thin"/>
      <right style="thin"/>
      <top/>
      <bottom style="medium"/>
    </border>
    <border>
      <left style="thin"/>
      <right/>
      <top/>
      <bottom style="medium"/>
    </border>
    <border>
      <left style="hair"/>
      <right style="hair"/>
      <top style="hair">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top style="thin">
        <color indexed="55"/>
      </top>
      <bottom style="thin">
        <color indexed="55"/>
      </bottom>
    </border>
    <border>
      <left>
        <color indexed="63"/>
      </left>
      <right style="hair"/>
      <top/>
      <bottom style="hair">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top style="thin">
        <color indexed="55"/>
      </top>
      <bottom style="hair">
        <color indexed="55"/>
      </bottom>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style="hair"/>
      <top style="double"/>
      <bottom style="medium"/>
    </border>
    <border>
      <left style="hair"/>
      <right style="hair"/>
      <top style="double"/>
      <bottom style="medium"/>
    </border>
    <border>
      <left style="hair"/>
      <right/>
      <top style="double"/>
      <bottom style="medium"/>
    </border>
    <border>
      <left style="hair"/>
      <right style="hair"/>
      <top style="hair">
        <color indexed="55"/>
      </top>
      <bottom style="thin"/>
    </border>
    <border>
      <left/>
      <right/>
      <top style="medium"/>
      <bottom style="thin"/>
    </border>
    <border>
      <left/>
      <right style="thin"/>
      <top style="medium"/>
      <bottom style="thin"/>
    </border>
    <border>
      <left/>
      <right style="medium"/>
      <top style="medium"/>
      <bottom style="thin"/>
    </border>
    <border>
      <left style="medium"/>
      <right style="hair"/>
      <top/>
      <bottom/>
    </border>
    <border>
      <left style="medium"/>
      <right style="hair"/>
      <top/>
      <bottom style="thin"/>
    </border>
    <border>
      <left style="medium"/>
      <right style="hair"/>
      <top style="thin"/>
      <bottom style="hair"/>
    </border>
    <border>
      <left style="medium"/>
      <right style="hair"/>
      <top style="hair"/>
      <bottom style="thin"/>
    </border>
    <border>
      <left/>
      <right style="thin"/>
      <top/>
      <bottom style="medium"/>
    </border>
    <border>
      <left/>
      <right/>
      <top style="medium"/>
      <bottom/>
    </border>
    <border>
      <left style="medium"/>
      <right/>
      <top style="medium"/>
      <bottom/>
    </border>
    <border>
      <left/>
      <right style="thin"/>
      <top style="medium"/>
      <bottom/>
    </border>
    <border>
      <left style="medium"/>
      <right/>
      <top/>
      <bottom/>
    </border>
    <border>
      <left/>
      <right style="thin"/>
      <top/>
      <bottom/>
    </border>
    <border>
      <left style="medium"/>
      <right style="hair"/>
      <top/>
      <bottom style="hair"/>
    </border>
    <border>
      <left style="medium"/>
      <right style="hair"/>
      <top style="hair"/>
      <bottom style="medium"/>
    </border>
    <border>
      <left style="thin"/>
      <right style="thin"/>
      <top style="medium"/>
      <bottom style="thin"/>
    </border>
    <border>
      <left/>
      <right style="medium"/>
      <top style="medium"/>
      <bottom/>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
      <left style="thin"/>
      <right/>
      <top style="medium"/>
      <bottom style="hair"/>
    </border>
    <border>
      <left/>
      <right/>
      <top style="medium"/>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protection/>
    </xf>
    <xf numFmtId="0" fontId="47" fillId="32" borderId="0" applyNumberFormat="0" applyBorder="0" applyAlignment="0" applyProtection="0"/>
  </cellStyleXfs>
  <cellXfs count="222">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0" fontId="3" fillId="36" borderId="16" xfId="60" applyFont="1" applyFill="1" applyBorder="1" applyAlignment="1">
      <alignment horizontal="distributed" vertical="center"/>
      <protection/>
    </xf>
    <xf numFmtId="0" fontId="3" fillId="36" borderId="17" xfId="60" applyFont="1" applyFill="1" applyBorder="1" applyAlignment="1">
      <alignment horizontal="distributed" vertical="center"/>
      <protection/>
    </xf>
    <xf numFmtId="0" fontId="3" fillId="36" borderId="18" xfId="60" applyFont="1" applyFill="1" applyBorder="1" applyAlignment="1">
      <alignment horizontal="distributed" vertical="center"/>
      <protection/>
    </xf>
    <xf numFmtId="0" fontId="8" fillId="36" borderId="19" xfId="60" applyFont="1" applyFill="1" applyBorder="1" applyAlignment="1">
      <alignment horizontal="distributed" vertical="center"/>
      <protection/>
    </xf>
    <xf numFmtId="0" fontId="8" fillId="36" borderId="20" xfId="60" applyFont="1" applyFill="1" applyBorder="1" applyAlignment="1">
      <alignment horizontal="distributed" vertical="center"/>
      <protection/>
    </xf>
    <xf numFmtId="0" fontId="9" fillId="0" borderId="0" xfId="60" applyFont="1">
      <alignment/>
      <protection/>
    </xf>
    <xf numFmtId="0" fontId="10" fillId="0" borderId="21" xfId="60" applyFont="1" applyFill="1" applyBorder="1" applyAlignment="1">
      <alignment horizontal="distributed" vertical="center"/>
      <protection/>
    </xf>
    <xf numFmtId="0" fontId="10" fillId="0" borderId="22" xfId="60" applyFont="1" applyFill="1" applyBorder="1" applyAlignment="1">
      <alignment horizontal="center" vertical="center"/>
      <protection/>
    </xf>
    <xf numFmtId="0" fontId="11" fillId="0" borderId="0" xfId="60" applyFont="1" applyFill="1">
      <alignment/>
      <protection/>
    </xf>
    <xf numFmtId="0" fontId="8" fillId="0" borderId="23" xfId="60" applyFont="1" applyBorder="1" applyAlignment="1">
      <alignment horizontal="center" vertical="center"/>
      <protection/>
    </xf>
    <xf numFmtId="0" fontId="8" fillId="0" borderId="24" xfId="60" applyFont="1" applyBorder="1" applyAlignment="1">
      <alignment horizontal="center" vertical="center"/>
      <protection/>
    </xf>
    <xf numFmtId="0" fontId="10" fillId="0" borderId="25" xfId="60" applyFont="1" applyFill="1" applyBorder="1" applyAlignment="1">
      <alignment horizontal="distributed" vertical="center"/>
      <protection/>
    </xf>
    <xf numFmtId="0" fontId="10" fillId="0" borderId="26" xfId="60" applyFont="1" applyFill="1" applyBorder="1" applyAlignment="1">
      <alignment horizontal="center" vertical="center"/>
      <protection/>
    </xf>
    <xf numFmtId="0" fontId="3" fillId="36" borderId="27" xfId="60" applyFont="1" applyFill="1" applyBorder="1" applyAlignment="1">
      <alignment horizontal="distributed" vertical="center"/>
      <protection/>
    </xf>
    <xf numFmtId="176" fontId="10" fillId="0" borderId="25" xfId="60" applyNumberFormat="1" applyFont="1" applyFill="1" applyBorder="1" applyAlignment="1">
      <alignment horizontal="distributed"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2" fillId="0" borderId="0" xfId="60" applyFont="1" applyFill="1">
      <alignment/>
      <protection/>
    </xf>
    <xf numFmtId="0" fontId="3" fillId="0" borderId="28" xfId="60" applyFont="1" applyBorder="1" applyAlignment="1">
      <alignment horizontal="center" vertical="center" wrapText="1"/>
      <protection/>
    </xf>
    <xf numFmtId="0" fontId="5" fillId="34" borderId="29" xfId="60" applyFont="1" applyFill="1" applyBorder="1" applyAlignment="1">
      <alignment horizontal="right" vertical="top"/>
      <protection/>
    </xf>
    <xf numFmtId="0" fontId="5" fillId="34" borderId="13" xfId="60" applyFont="1" applyFill="1" applyBorder="1" applyAlignment="1">
      <alignment horizontal="right" vertical="top"/>
      <protection/>
    </xf>
    <xf numFmtId="0" fontId="10" fillId="0" borderId="30" xfId="60" applyFont="1" applyFill="1" applyBorder="1" applyAlignment="1">
      <alignment horizontal="center" vertical="center"/>
      <protection/>
    </xf>
    <xf numFmtId="0" fontId="8" fillId="0" borderId="31" xfId="60" applyFont="1" applyBorder="1" applyAlignment="1">
      <alignment horizontal="center" vertical="center"/>
      <protection/>
    </xf>
    <xf numFmtId="0" fontId="10" fillId="0" borderId="32" xfId="60" applyFont="1" applyFill="1" applyBorder="1" applyAlignment="1">
      <alignment horizontal="center" vertical="center"/>
      <protection/>
    </xf>
    <xf numFmtId="0" fontId="3" fillId="0" borderId="33" xfId="60" applyFont="1" applyBorder="1" applyAlignment="1">
      <alignment horizontal="distributed" vertical="center" indent="1"/>
      <protection/>
    </xf>
    <xf numFmtId="0" fontId="3" fillId="0" borderId="28" xfId="60" applyFont="1" applyBorder="1" applyAlignment="1">
      <alignment horizontal="distributed" vertical="center" indent="1"/>
      <protection/>
    </xf>
    <xf numFmtId="0" fontId="3" fillId="0" borderId="34" xfId="60" applyFont="1" applyBorder="1" applyAlignment="1">
      <alignment horizontal="centerContinuous" vertical="center" wrapText="1"/>
      <protection/>
    </xf>
    <xf numFmtId="0" fontId="3" fillId="0" borderId="34" xfId="60" applyFont="1" applyBorder="1" applyAlignment="1">
      <alignment horizontal="center" vertical="center"/>
      <protection/>
    </xf>
    <xf numFmtId="0" fontId="3" fillId="0" borderId="28" xfId="60" applyFont="1" applyBorder="1" applyAlignment="1">
      <alignment horizontal="center" vertical="center"/>
      <protection/>
    </xf>
    <xf numFmtId="176" fontId="2" fillId="0" borderId="0" xfId="60" applyNumberFormat="1" applyFont="1">
      <alignment/>
      <protection/>
    </xf>
    <xf numFmtId="0" fontId="12" fillId="0" borderId="0" xfId="60" applyFont="1" applyAlignment="1">
      <alignment horizontal="center" vertical="top"/>
      <protection/>
    </xf>
    <xf numFmtId="0" fontId="3" fillId="0" borderId="12" xfId="60" applyFont="1" applyBorder="1" applyAlignment="1">
      <alignment horizontal="center" vertical="center"/>
      <protection/>
    </xf>
    <xf numFmtId="0" fontId="3" fillId="0" borderId="35" xfId="60" applyFont="1" applyBorder="1" applyAlignment="1">
      <alignment horizontal="center" vertical="center"/>
      <protection/>
    </xf>
    <xf numFmtId="0" fontId="5" fillId="0" borderId="10"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5" fillId="35" borderId="35" xfId="60" applyFont="1" applyFill="1" applyBorder="1" applyAlignment="1">
      <alignment horizontal="right" vertical="top"/>
      <protection/>
    </xf>
    <xf numFmtId="0" fontId="3" fillId="0" borderId="36" xfId="60" applyFont="1" applyBorder="1" applyAlignment="1">
      <alignment horizontal="distributed" vertical="center"/>
      <protection/>
    </xf>
    <xf numFmtId="3" fontId="3" fillId="35" borderId="36" xfId="60" applyNumberFormat="1" applyFont="1" applyFill="1" applyBorder="1" applyAlignment="1">
      <alignment horizontal="right" vertical="center"/>
      <protection/>
    </xf>
    <xf numFmtId="3" fontId="3" fillId="35" borderId="37" xfId="60" applyNumberFormat="1" applyFont="1" applyFill="1" applyBorder="1" applyAlignment="1">
      <alignment horizontal="right" vertical="center"/>
      <protection/>
    </xf>
    <xf numFmtId="0" fontId="3" fillId="0" borderId="38" xfId="60" applyFont="1" applyBorder="1" applyAlignment="1">
      <alignment horizontal="distributed" vertical="center"/>
      <protection/>
    </xf>
    <xf numFmtId="0" fontId="8" fillId="0" borderId="38" xfId="60" applyFont="1" applyBorder="1" applyAlignment="1">
      <alignment horizontal="distributed" vertical="center"/>
      <protection/>
    </xf>
    <xf numFmtId="0" fontId="8" fillId="0" borderId="0" xfId="60" applyFont="1" applyAlignment="1">
      <alignment horizontal="left" vertical="top"/>
      <protection/>
    </xf>
    <xf numFmtId="0" fontId="3" fillId="0" borderId="39" xfId="60" applyFont="1" applyBorder="1" applyAlignment="1">
      <alignment horizontal="distributed" vertical="center"/>
      <protection/>
    </xf>
    <xf numFmtId="0" fontId="3" fillId="0" borderId="40" xfId="60" applyFont="1" applyBorder="1" applyAlignment="1">
      <alignment horizontal="distributed" vertical="center" wrapText="1"/>
      <protection/>
    </xf>
    <xf numFmtId="0" fontId="3" fillId="0" borderId="11" xfId="60" applyFont="1" applyBorder="1" applyAlignment="1">
      <alignment horizontal="center" vertical="center"/>
      <protection/>
    </xf>
    <xf numFmtId="3" fontId="3" fillId="35" borderId="40" xfId="60" applyNumberFormat="1" applyFont="1" applyFill="1" applyBorder="1" applyAlignment="1">
      <alignment horizontal="right" vertical="center"/>
      <protection/>
    </xf>
    <xf numFmtId="3" fontId="3" fillId="35" borderId="41" xfId="60" applyNumberFormat="1" applyFont="1" applyFill="1" applyBorder="1" applyAlignment="1">
      <alignment horizontal="right" vertical="center"/>
      <protection/>
    </xf>
    <xf numFmtId="0" fontId="3" fillId="0" borderId="0" xfId="60" applyFont="1" applyAlignment="1" quotePrefix="1">
      <alignment horizontal="left" vertical="top"/>
      <protection/>
    </xf>
    <xf numFmtId="0" fontId="3" fillId="0" borderId="42" xfId="60" applyFont="1" applyBorder="1" applyAlignment="1">
      <alignment horizontal="center" vertical="center"/>
      <protection/>
    </xf>
    <xf numFmtId="0" fontId="3" fillId="0" borderId="43" xfId="60" applyFont="1" applyBorder="1" applyAlignment="1">
      <alignment horizontal="center" vertical="center"/>
      <protection/>
    </xf>
    <xf numFmtId="0" fontId="3" fillId="0" borderId="10" xfId="60" applyFont="1" applyBorder="1" applyAlignment="1">
      <alignment horizontal="center" vertical="center"/>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5" fillId="35" borderId="35" xfId="60" applyFont="1" applyFill="1" applyBorder="1" applyAlignment="1">
      <alignment horizontal="right"/>
      <protection/>
    </xf>
    <xf numFmtId="0" fontId="3" fillId="0" borderId="0" xfId="60" applyFont="1" applyAlignment="1">
      <alignment horizontal="left"/>
      <protection/>
    </xf>
    <xf numFmtId="3" fontId="3" fillId="34" borderId="44" xfId="60" applyNumberFormat="1" applyFont="1" applyFill="1" applyBorder="1" applyAlignment="1">
      <alignment horizontal="right" vertical="center"/>
      <protection/>
    </xf>
    <xf numFmtId="0" fontId="3" fillId="0" borderId="0" xfId="60" applyFont="1" applyBorder="1" applyAlignment="1">
      <alignment horizontal="left" vertical="top"/>
      <protection/>
    </xf>
    <xf numFmtId="3" fontId="3" fillId="34" borderId="45" xfId="60" applyNumberFormat="1" applyFont="1" applyFill="1" applyBorder="1" applyAlignment="1">
      <alignment horizontal="right" vertical="center"/>
      <protection/>
    </xf>
    <xf numFmtId="3" fontId="3" fillId="35" borderId="39" xfId="60" applyNumberFormat="1" applyFont="1" applyFill="1" applyBorder="1" applyAlignment="1">
      <alignment horizontal="right" vertical="center"/>
      <protection/>
    </xf>
    <xf numFmtId="3" fontId="3" fillId="35" borderId="46" xfId="60" applyNumberFormat="1" applyFont="1" applyFill="1" applyBorder="1" applyAlignment="1">
      <alignment horizontal="right" vertical="center"/>
      <protection/>
    </xf>
    <xf numFmtId="0" fontId="3" fillId="0" borderId="40" xfId="60" applyFont="1" applyBorder="1" applyAlignment="1">
      <alignment horizontal="distributed" vertical="center"/>
      <protection/>
    </xf>
    <xf numFmtId="3" fontId="3" fillId="34" borderId="47" xfId="60" applyNumberFormat="1" applyFont="1" applyFill="1" applyBorder="1" applyAlignment="1">
      <alignment horizontal="right" vertical="center"/>
      <protection/>
    </xf>
    <xf numFmtId="0" fontId="3" fillId="0" borderId="48" xfId="60" applyFont="1" applyBorder="1" applyAlignment="1">
      <alignment horizontal="distributed" vertical="center"/>
      <protection/>
    </xf>
    <xf numFmtId="3" fontId="3" fillId="0" borderId="0" xfId="60" applyNumberFormat="1" applyFont="1" applyAlignment="1">
      <alignment horizontal="left" vertical="top"/>
      <protection/>
    </xf>
    <xf numFmtId="0" fontId="3" fillId="0" borderId="49" xfId="60" applyFont="1" applyBorder="1" applyAlignment="1">
      <alignment horizontal="distributed" vertical="center"/>
      <protection/>
    </xf>
    <xf numFmtId="0" fontId="3" fillId="0" borderId="50" xfId="60" applyFont="1" applyBorder="1" applyAlignment="1">
      <alignment horizontal="distributed" vertical="center"/>
      <protection/>
    </xf>
    <xf numFmtId="0" fontId="3" fillId="0" borderId="51" xfId="60" applyFont="1" applyBorder="1" applyAlignment="1">
      <alignment horizontal="center" vertical="center"/>
      <protection/>
    </xf>
    <xf numFmtId="0" fontId="3" fillId="0" borderId="52" xfId="60" applyFont="1" applyBorder="1" applyAlignment="1">
      <alignment horizontal="distributed" vertical="center" indent="1"/>
      <protection/>
    </xf>
    <xf numFmtId="0" fontId="5" fillId="34" borderId="53" xfId="60" applyFont="1" applyFill="1" applyBorder="1" applyAlignment="1">
      <alignment horizontal="right"/>
      <protection/>
    </xf>
    <xf numFmtId="0" fontId="5" fillId="34" borderId="54" xfId="60" applyFont="1" applyFill="1" applyBorder="1" applyAlignment="1">
      <alignment horizontal="right"/>
      <protection/>
    </xf>
    <xf numFmtId="0" fontId="5" fillId="34" borderId="55" xfId="60" applyFont="1" applyFill="1" applyBorder="1" applyAlignment="1">
      <alignment horizontal="right"/>
      <protection/>
    </xf>
    <xf numFmtId="0" fontId="5" fillId="34" borderId="14" xfId="60" applyFont="1" applyFill="1" applyBorder="1" applyAlignment="1">
      <alignment horizontal="right"/>
      <protection/>
    </xf>
    <xf numFmtId="3" fontId="3" fillId="0" borderId="0" xfId="60" applyNumberFormat="1" applyFont="1" applyAlignment="1">
      <alignment horizontal="left" vertical="center"/>
      <protection/>
    </xf>
    <xf numFmtId="3" fontId="3" fillId="34" borderId="56" xfId="60" applyNumberFormat="1" applyFont="1" applyFill="1" applyBorder="1" applyAlignment="1">
      <alignment horizontal="right" vertical="center"/>
      <protection/>
    </xf>
    <xf numFmtId="3" fontId="3" fillId="34" borderId="57" xfId="60" applyNumberFormat="1" applyFont="1" applyFill="1" applyBorder="1" applyAlignment="1">
      <alignment horizontal="right" vertical="center"/>
      <protection/>
    </xf>
    <xf numFmtId="3" fontId="3" fillId="35" borderId="38" xfId="60" applyNumberFormat="1" applyFont="1" applyFill="1" applyBorder="1" applyAlignment="1">
      <alignment horizontal="right" vertical="center"/>
      <protection/>
    </xf>
    <xf numFmtId="3" fontId="3" fillId="35" borderId="58" xfId="60" applyNumberFormat="1" applyFont="1" applyFill="1" applyBorder="1" applyAlignment="1">
      <alignment horizontal="right" vertical="center"/>
      <protection/>
    </xf>
    <xf numFmtId="3" fontId="8" fillId="34" borderId="57" xfId="60" applyNumberFormat="1" applyFont="1" applyFill="1" applyBorder="1" applyAlignment="1">
      <alignment horizontal="right" vertical="center"/>
      <protection/>
    </xf>
    <xf numFmtId="3" fontId="8" fillId="35" borderId="38" xfId="60" applyNumberFormat="1" applyFont="1" applyFill="1" applyBorder="1" applyAlignment="1">
      <alignment horizontal="right" vertical="center"/>
      <protection/>
    </xf>
    <xf numFmtId="3" fontId="3" fillId="34" borderId="59" xfId="60" applyNumberFormat="1" applyFont="1" applyFill="1" applyBorder="1" applyAlignment="1">
      <alignment horizontal="right" vertical="center"/>
      <protection/>
    </xf>
    <xf numFmtId="3" fontId="3" fillId="35" borderId="60" xfId="60" applyNumberFormat="1" applyFont="1" applyFill="1" applyBorder="1" applyAlignment="1">
      <alignment horizontal="right" vertical="center"/>
      <protection/>
    </xf>
    <xf numFmtId="3" fontId="3" fillId="34" borderId="61" xfId="60" applyNumberFormat="1" applyFont="1" applyFill="1" applyBorder="1" applyAlignment="1">
      <alignment horizontal="right" vertical="center"/>
      <protection/>
    </xf>
    <xf numFmtId="3" fontId="3" fillId="34" borderId="61" xfId="60" applyNumberFormat="1" applyFont="1" applyFill="1" applyBorder="1" applyAlignment="1">
      <alignment vertical="center"/>
      <protection/>
    </xf>
    <xf numFmtId="3" fontId="3" fillId="34" borderId="62" xfId="60" applyNumberFormat="1" applyFont="1" applyFill="1" applyBorder="1" applyAlignment="1">
      <alignment horizontal="right" vertical="center"/>
      <protection/>
    </xf>
    <xf numFmtId="3" fontId="3" fillId="35" borderId="63" xfId="60" applyNumberFormat="1" applyFont="1" applyFill="1" applyBorder="1" applyAlignment="1">
      <alignment horizontal="right" vertical="center"/>
      <protection/>
    </xf>
    <xf numFmtId="3" fontId="3" fillId="35" borderId="64" xfId="60" applyNumberFormat="1" applyFont="1" applyFill="1" applyBorder="1" applyAlignment="1">
      <alignment horizontal="right" vertical="center"/>
      <protection/>
    </xf>
    <xf numFmtId="176" fontId="3" fillId="34" borderId="44" xfId="60" applyNumberFormat="1" applyFont="1" applyFill="1" applyBorder="1" applyAlignment="1">
      <alignment horizontal="right" vertical="center"/>
      <protection/>
    </xf>
    <xf numFmtId="176" fontId="3" fillId="35" borderId="36" xfId="60" applyNumberFormat="1" applyFont="1" applyFill="1" applyBorder="1" applyAlignment="1">
      <alignment horizontal="right" vertical="center"/>
      <protection/>
    </xf>
    <xf numFmtId="176" fontId="3" fillId="35" borderId="65" xfId="60" applyNumberFormat="1" applyFont="1" applyFill="1" applyBorder="1" applyAlignment="1">
      <alignment horizontal="right" vertical="center"/>
      <protection/>
    </xf>
    <xf numFmtId="176" fontId="3" fillId="34" borderId="66" xfId="60" applyNumberFormat="1" applyFont="1" applyFill="1" applyBorder="1" applyAlignment="1">
      <alignment horizontal="right" vertical="center"/>
      <protection/>
    </xf>
    <xf numFmtId="176" fontId="3" fillId="35" borderId="38" xfId="60" applyNumberFormat="1" applyFont="1" applyFill="1" applyBorder="1" applyAlignment="1">
      <alignment horizontal="right" vertical="center"/>
      <protection/>
    </xf>
    <xf numFmtId="176" fontId="3" fillId="35" borderId="67" xfId="60" applyNumberFormat="1" applyFont="1" applyFill="1" applyBorder="1" applyAlignment="1">
      <alignment horizontal="right" vertical="center"/>
      <protection/>
    </xf>
    <xf numFmtId="176" fontId="8" fillId="34" borderId="68" xfId="60" applyNumberFormat="1" applyFont="1" applyFill="1" applyBorder="1" applyAlignment="1">
      <alignment horizontal="right" vertical="center"/>
      <protection/>
    </xf>
    <xf numFmtId="176" fontId="8" fillId="35" borderId="69" xfId="60" applyNumberFormat="1" applyFont="1" applyFill="1" applyBorder="1" applyAlignment="1">
      <alignment horizontal="right" vertical="center"/>
      <protection/>
    </xf>
    <xf numFmtId="176" fontId="8" fillId="35" borderId="70" xfId="60" applyNumberFormat="1" applyFont="1" applyFill="1" applyBorder="1" applyAlignment="1">
      <alignment horizontal="right" vertical="center"/>
      <protection/>
    </xf>
    <xf numFmtId="176" fontId="10" fillId="0" borderId="71" xfId="60" applyNumberFormat="1" applyFont="1" applyFill="1" applyBorder="1" applyAlignment="1">
      <alignment horizontal="right" vertical="center"/>
      <protection/>
    </xf>
    <xf numFmtId="176" fontId="10" fillId="0" borderId="72" xfId="60" applyNumberFormat="1" applyFont="1" applyFill="1" applyBorder="1" applyAlignment="1">
      <alignment horizontal="right" vertical="center"/>
      <protection/>
    </xf>
    <xf numFmtId="176" fontId="10" fillId="0" borderId="73" xfId="60" applyNumberFormat="1" applyFont="1" applyFill="1" applyBorder="1" applyAlignment="1">
      <alignment horizontal="right" vertical="center"/>
      <protection/>
    </xf>
    <xf numFmtId="176" fontId="3" fillId="0" borderId="74" xfId="60" applyNumberFormat="1" applyFont="1" applyFill="1" applyBorder="1" applyAlignment="1">
      <alignment horizontal="right" vertical="center"/>
      <protection/>
    </xf>
    <xf numFmtId="176" fontId="3" fillId="0" borderId="75" xfId="60" applyNumberFormat="1" applyFont="1" applyFill="1" applyBorder="1" applyAlignment="1">
      <alignment horizontal="right" vertical="center"/>
      <protection/>
    </xf>
    <xf numFmtId="176" fontId="3" fillId="0" borderId="76" xfId="60" applyNumberFormat="1" applyFont="1" applyFill="1" applyBorder="1" applyAlignment="1">
      <alignment horizontal="right" vertical="center"/>
      <protection/>
    </xf>
    <xf numFmtId="176" fontId="8" fillId="34" borderId="77" xfId="60" applyNumberFormat="1" applyFont="1" applyFill="1" applyBorder="1" applyAlignment="1">
      <alignment horizontal="right" vertical="center"/>
      <protection/>
    </xf>
    <xf numFmtId="176" fontId="8" fillId="35" borderId="63" xfId="60" applyNumberFormat="1" applyFont="1" applyFill="1" applyBorder="1" applyAlignment="1">
      <alignment horizontal="right" vertical="center"/>
      <protection/>
    </xf>
    <xf numFmtId="176" fontId="8" fillId="35" borderId="78" xfId="60" applyNumberFormat="1" applyFont="1" applyFill="1" applyBorder="1" applyAlignment="1">
      <alignment horizontal="right" vertical="center"/>
      <protection/>
    </xf>
    <xf numFmtId="3" fontId="3" fillId="34" borderId="79" xfId="60" applyNumberFormat="1" applyFont="1" applyFill="1" applyBorder="1" applyAlignment="1">
      <alignment horizontal="right" vertical="center"/>
      <protection/>
    </xf>
    <xf numFmtId="3" fontId="3" fillId="35" borderId="48" xfId="60" applyNumberFormat="1" applyFont="1" applyFill="1" applyBorder="1" applyAlignment="1">
      <alignment horizontal="right" vertical="center"/>
      <protection/>
    </xf>
    <xf numFmtId="3" fontId="3" fillId="35" borderId="80" xfId="60" applyNumberFormat="1" applyFont="1" applyFill="1" applyBorder="1" applyAlignment="1">
      <alignment horizontal="right" vertical="center"/>
      <protection/>
    </xf>
    <xf numFmtId="3" fontId="8" fillId="35" borderId="58" xfId="60" applyNumberFormat="1" applyFont="1" applyFill="1" applyBorder="1" applyAlignment="1">
      <alignment horizontal="right" vertical="center"/>
      <protection/>
    </xf>
    <xf numFmtId="3" fontId="3" fillId="34" borderId="81" xfId="60" applyNumberFormat="1" applyFont="1" applyFill="1" applyBorder="1" applyAlignment="1">
      <alignment vertical="center"/>
      <protection/>
    </xf>
    <xf numFmtId="3" fontId="3" fillId="34" borderId="82" xfId="60" applyNumberFormat="1" applyFont="1" applyFill="1" applyBorder="1" applyAlignment="1">
      <alignment vertical="center"/>
      <protection/>
    </xf>
    <xf numFmtId="3" fontId="3" fillId="34" borderId="83" xfId="60" applyNumberFormat="1" applyFont="1" applyFill="1" applyBorder="1" applyAlignment="1">
      <alignment vertical="center"/>
      <protection/>
    </xf>
    <xf numFmtId="3" fontId="3" fillId="34" borderId="24" xfId="60" applyNumberFormat="1" applyFont="1" applyFill="1" applyBorder="1" applyAlignment="1">
      <alignment vertical="center"/>
      <protection/>
    </xf>
    <xf numFmtId="0" fontId="3" fillId="0" borderId="0" xfId="0" applyFont="1" applyAlignment="1">
      <alignment horizontal="left" vertical="top"/>
    </xf>
    <xf numFmtId="3" fontId="48" fillId="34" borderId="56" xfId="60" applyNumberFormat="1" applyFont="1" applyFill="1" applyBorder="1" applyAlignment="1">
      <alignment horizontal="right" vertical="center"/>
      <protection/>
    </xf>
    <xf numFmtId="3" fontId="48" fillId="34" borderId="57" xfId="60" applyNumberFormat="1" applyFont="1" applyFill="1" applyBorder="1" applyAlignment="1">
      <alignment horizontal="right" vertical="center"/>
      <protection/>
    </xf>
    <xf numFmtId="3" fontId="49" fillId="34" borderId="57" xfId="60" applyNumberFormat="1" applyFont="1" applyFill="1" applyBorder="1" applyAlignment="1">
      <alignment horizontal="right" vertical="center"/>
      <protection/>
    </xf>
    <xf numFmtId="3" fontId="48" fillId="34" borderId="59" xfId="60" applyNumberFormat="1" applyFont="1" applyFill="1" applyBorder="1" applyAlignment="1">
      <alignment horizontal="right" vertical="center"/>
      <protection/>
    </xf>
    <xf numFmtId="3" fontId="48" fillId="34" borderId="47" xfId="60" applyNumberFormat="1" applyFont="1" applyFill="1" applyBorder="1" applyAlignment="1">
      <alignment horizontal="right" vertical="center"/>
      <protection/>
    </xf>
    <xf numFmtId="3" fontId="48" fillId="34" borderId="79" xfId="60" applyNumberFormat="1" applyFont="1" applyFill="1" applyBorder="1" applyAlignment="1">
      <alignment horizontal="right" vertical="center"/>
      <protection/>
    </xf>
    <xf numFmtId="176" fontId="48" fillId="35" borderId="36" xfId="60" applyNumberFormat="1" applyFont="1" applyFill="1" applyBorder="1" applyAlignment="1">
      <alignment horizontal="right" vertical="center"/>
      <protection/>
    </xf>
    <xf numFmtId="176" fontId="48" fillId="35" borderId="38" xfId="60" applyNumberFormat="1" applyFont="1" applyFill="1" applyBorder="1" applyAlignment="1">
      <alignment horizontal="right" vertical="center"/>
      <protection/>
    </xf>
    <xf numFmtId="176" fontId="48" fillId="35" borderId="65" xfId="60" applyNumberFormat="1" applyFont="1" applyFill="1" applyBorder="1" applyAlignment="1">
      <alignment horizontal="right" vertical="center"/>
      <protection/>
    </xf>
    <xf numFmtId="176" fontId="48" fillId="35" borderId="67" xfId="60" applyNumberFormat="1" applyFont="1" applyFill="1" applyBorder="1" applyAlignment="1">
      <alignment horizontal="right" vertical="center"/>
      <protection/>
    </xf>
    <xf numFmtId="176" fontId="48" fillId="34" borderId="44" xfId="60" applyNumberFormat="1" applyFont="1" applyFill="1" applyBorder="1" applyAlignment="1">
      <alignment horizontal="right" vertical="center"/>
      <protection/>
    </xf>
    <xf numFmtId="176" fontId="49" fillId="34" borderId="68" xfId="60" applyNumberFormat="1" applyFont="1" applyFill="1" applyBorder="1" applyAlignment="1">
      <alignment horizontal="right" vertical="center"/>
      <protection/>
    </xf>
    <xf numFmtId="176" fontId="48" fillId="0" borderId="74" xfId="60" applyNumberFormat="1" applyFont="1" applyFill="1" applyBorder="1" applyAlignment="1">
      <alignment horizontal="right" vertical="center"/>
      <protection/>
    </xf>
    <xf numFmtId="176" fontId="49" fillId="34" borderId="77" xfId="60" applyNumberFormat="1" applyFont="1" applyFill="1" applyBorder="1" applyAlignment="1">
      <alignment horizontal="right" vertical="center"/>
      <protection/>
    </xf>
    <xf numFmtId="176" fontId="48" fillId="0" borderId="76" xfId="60" applyNumberFormat="1" applyFont="1" applyFill="1" applyBorder="1" applyAlignment="1">
      <alignment horizontal="right" vertical="center"/>
      <protection/>
    </xf>
    <xf numFmtId="41" fontId="3" fillId="34" borderId="44" xfId="60" applyNumberFormat="1" applyFont="1" applyFill="1" applyBorder="1" applyAlignment="1">
      <alignment horizontal="right" vertical="center"/>
      <protection/>
    </xf>
    <xf numFmtId="41" fontId="3" fillId="34" borderId="56" xfId="60" applyNumberFormat="1" applyFont="1" applyFill="1" applyBorder="1" applyAlignment="1">
      <alignment horizontal="right" vertical="center"/>
      <protection/>
    </xf>
    <xf numFmtId="41" fontId="3" fillId="34" borderId="36" xfId="60" applyNumberFormat="1" applyFont="1" applyFill="1" applyBorder="1" applyAlignment="1">
      <alignment horizontal="right" vertical="center"/>
      <protection/>
    </xf>
    <xf numFmtId="41" fontId="3" fillId="34" borderId="66" xfId="60" applyNumberFormat="1" applyFont="1" applyFill="1" applyBorder="1" applyAlignment="1">
      <alignment horizontal="right" vertical="center"/>
      <protection/>
    </xf>
    <xf numFmtId="41" fontId="3" fillId="34" borderId="57" xfId="60" applyNumberFormat="1" applyFont="1" applyFill="1" applyBorder="1" applyAlignment="1">
      <alignment horizontal="right" vertical="center"/>
      <protection/>
    </xf>
    <xf numFmtId="41" fontId="3" fillId="34" borderId="67" xfId="60" applyNumberFormat="1" applyFont="1" applyFill="1" applyBorder="1" applyAlignment="1">
      <alignment horizontal="right" vertical="center"/>
      <protection/>
    </xf>
    <xf numFmtId="41" fontId="8" fillId="34" borderId="68" xfId="60" applyNumberFormat="1" applyFont="1" applyFill="1" applyBorder="1" applyAlignment="1">
      <alignment horizontal="right" vertical="center"/>
      <protection/>
    </xf>
    <xf numFmtId="41" fontId="8" fillId="34" borderId="84" xfId="60" applyNumberFormat="1" applyFont="1" applyFill="1" applyBorder="1" applyAlignment="1">
      <alignment horizontal="right" vertical="center"/>
      <protection/>
    </xf>
    <xf numFmtId="41" fontId="8" fillId="34" borderId="70" xfId="60" applyNumberFormat="1" applyFont="1" applyFill="1" applyBorder="1" applyAlignment="1">
      <alignment horizontal="right" vertical="center"/>
      <protection/>
    </xf>
    <xf numFmtId="41" fontId="3" fillId="0" borderId="85" xfId="60" applyNumberFormat="1" applyFont="1" applyFill="1" applyBorder="1" applyAlignment="1">
      <alignment horizontal="right" vertical="center"/>
      <protection/>
    </xf>
    <xf numFmtId="41" fontId="3" fillId="0" borderId="86" xfId="60" applyNumberFormat="1" applyFont="1" applyFill="1" applyBorder="1" applyAlignment="1">
      <alignment horizontal="right" vertical="center"/>
      <protection/>
    </xf>
    <xf numFmtId="41" fontId="3" fillId="0" borderId="87" xfId="60" applyNumberFormat="1" applyFont="1" applyFill="1" applyBorder="1" applyAlignment="1">
      <alignment horizontal="right" vertical="center"/>
      <protection/>
    </xf>
    <xf numFmtId="41" fontId="3" fillId="34" borderId="65" xfId="60" applyNumberFormat="1" applyFont="1" applyFill="1" applyBorder="1" applyAlignment="1">
      <alignment horizontal="right" vertical="center"/>
      <protection/>
    </xf>
    <xf numFmtId="41" fontId="3" fillId="34" borderId="88" xfId="60" applyNumberFormat="1" applyFont="1" applyFill="1" applyBorder="1" applyAlignment="1">
      <alignment horizontal="right" vertical="center"/>
      <protection/>
    </xf>
    <xf numFmtId="41" fontId="3" fillId="28" borderId="65" xfId="60" applyNumberFormat="1" applyFont="1" applyFill="1" applyBorder="1" applyAlignment="1">
      <alignment horizontal="right" vertical="center"/>
      <protection/>
    </xf>
    <xf numFmtId="41" fontId="3" fillId="34" borderId="89" xfId="60" applyNumberFormat="1" applyFont="1" applyFill="1" applyBorder="1" applyAlignment="1">
      <alignment horizontal="right" vertical="center"/>
      <protection/>
    </xf>
    <xf numFmtId="41" fontId="3" fillId="34" borderId="90" xfId="60" applyNumberFormat="1" applyFont="1" applyFill="1" applyBorder="1" applyAlignment="1">
      <alignment horizontal="right" vertical="center"/>
      <protection/>
    </xf>
    <xf numFmtId="41" fontId="3" fillId="34" borderId="91" xfId="60" applyNumberFormat="1" applyFont="1" applyFill="1" applyBorder="1" applyAlignment="1">
      <alignment horizontal="right" vertical="center"/>
      <protection/>
    </xf>
    <xf numFmtId="41" fontId="3" fillId="0" borderId="92" xfId="60" applyNumberFormat="1" applyFont="1" applyFill="1" applyBorder="1" applyAlignment="1">
      <alignment horizontal="right" vertical="center"/>
      <protection/>
    </xf>
    <xf numFmtId="41" fontId="3" fillId="0" borderId="93" xfId="60" applyNumberFormat="1" applyFont="1" applyFill="1" applyBorder="1" applyAlignment="1">
      <alignment horizontal="right" vertical="center"/>
      <protection/>
    </xf>
    <xf numFmtId="41" fontId="3" fillId="0" borderId="94" xfId="60" applyNumberFormat="1" applyFont="1" applyFill="1" applyBorder="1" applyAlignment="1">
      <alignment horizontal="right" vertical="center"/>
      <protection/>
    </xf>
    <xf numFmtId="41" fontId="8" fillId="34" borderId="95" xfId="60" applyNumberFormat="1" applyFont="1" applyFill="1" applyBorder="1" applyAlignment="1">
      <alignment horizontal="right" vertical="center"/>
      <protection/>
    </xf>
    <xf numFmtId="41" fontId="8" fillId="34" borderId="96" xfId="60" applyNumberFormat="1" applyFont="1" applyFill="1" applyBorder="1" applyAlignment="1">
      <alignment horizontal="right" vertical="center"/>
      <protection/>
    </xf>
    <xf numFmtId="41" fontId="8" fillId="34" borderId="97" xfId="60" applyNumberFormat="1" applyFont="1" applyFill="1" applyBorder="1" applyAlignment="1">
      <alignment horizontal="right" vertical="center"/>
      <protection/>
    </xf>
    <xf numFmtId="0" fontId="3" fillId="0" borderId="29" xfId="60" applyFont="1" applyBorder="1" applyAlignment="1">
      <alignment horizontal="center" vertical="center"/>
      <protection/>
    </xf>
    <xf numFmtId="0" fontId="3" fillId="0" borderId="39" xfId="60" applyFont="1" applyBorder="1" applyAlignment="1">
      <alignment horizontal="distributed" vertical="center" wrapText="1"/>
      <protection/>
    </xf>
    <xf numFmtId="3" fontId="3" fillId="34" borderId="98" xfId="60" applyNumberFormat="1" applyFont="1" applyFill="1" applyBorder="1" applyAlignment="1">
      <alignment horizontal="right" vertical="center"/>
      <protection/>
    </xf>
    <xf numFmtId="3" fontId="3" fillId="34" borderId="98" xfId="60" applyNumberFormat="1" applyFont="1" applyFill="1" applyBorder="1" applyAlignment="1">
      <alignment vertical="center"/>
      <protection/>
    </xf>
    <xf numFmtId="0" fontId="3" fillId="0" borderId="99" xfId="60" applyFont="1" applyBorder="1" applyAlignment="1">
      <alignment horizontal="center" vertical="center"/>
      <protection/>
    </xf>
    <xf numFmtId="0" fontId="3" fillId="0" borderId="100" xfId="60" applyFont="1" applyBorder="1" applyAlignment="1">
      <alignment horizontal="center" vertical="center"/>
      <protection/>
    </xf>
    <xf numFmtId="0" fontId="3" fillId="0" borderId="101" xfId="60" applyFont="1" applyBorder="1" applyAlignment="1">
      <alignment horizontal="center" vertical="center"/>
      <protection/>
    </xf>
    <xf numFmtId="0" fontId="3" fillId="0" borderId="102" xfId="60" applyFont="1" applyBorder="1" applyAlignment="1">
      <alignment horizontal="distributed" vertical="center" wrapText="1"/>
      <protection/>
    </xf>
    <xf numFmtId="0" fontId="3" fillId="0" borderId="102" xfId="60" applyFont="1" applyBorder="1" applyAlignment="1">
      <alignment horizontal="distributed" vertical="center"/>
      <protection/>
    </xf>
    <xf numFmtId="0" fontId="3" fillId="0" borderId="103" xfId="60" applyFont="1" applyBorder="1" applyAlignment="1">
      <alignment horizontal="distributed" vertical="center"/>
      <protection/>
    </xf>
    <xf numFmtId="0" fontId="3" fillId="0" borderId="104" xfId="60" applyFont="1" applyBorder="1" applyAlignment="1">
      <alignment horizontal="distributed" vertical="center" wrapText="1"/>
      <protection/>
    </xf>
    <xf numFmtId="0" fontId="3" fillId="0" borderId="105" xfId="60" applyFont="1" applyBorder="1" applyAlignment="1">
      <alignment horizontal="distributed" vertical="center"/>
      <protection/>
    </xf>
    <xf numFmtId="0" fontId="3" fillId="0" borderId="23" xfId="60" applyFont="1" applyBorder="1" applyAlignment="1">
      <alignment horizontal="distributed" vertical="center"/>
      <protection/>
    </xf>
    <xf numFmtId="0" fontId="3" fillId="0" borderId="106" xfId="60" applyFont="1" applyBorder="1" applyAlignment="1">
      <alignment horizontal="distributed" vertical="center"/>
      <protection/>
    </xf>
    <xf numFmtId="0" fontId="3" fillId="0" borderId="107" xfId="0" applyFont="1" applyBorder="1" applyAlignment="1">
      <alignment horizontal="left" vertical="top" wrapText="1"/>
    </xf>
    <xf numFmtId="0" fontId="3" fillId="0" borderId="0" xfId="0" applyFont="1" applyAlignment="1">
      <alignment horizontal="left" vertical="top" wrapText="1"/>
    </xf>
    <xf numFmtId="0" fontId="12" fillId="0" borderId="0" xfId="60" applyFont="1" applyAlignment="1">
      <alignment horizontal="center" vertical="top"/>
      <protection/>
    </xf>
    <xf numFmtId="0" fontId="3" fillId="0" borderId="0" xfId="60" applyFont="1" applyAlignment="1">
      <alignment horizontal="left" vertical="top"/>
      <protection/>
    </xf>
    <xf numFmtId="0" fontId="3" fillId="0" borderId="108" xfId="60" applyFont="1" applyBorder="1" applyAlignment="1">
      <alignment horizontal="center" vertical="center"/>
      <protection/>
    </xf>
    <xf numFmtId="0" fontId="3" fillId="0" borderId="109" xfId="60" applyFont="1" applyBorder="1" applyAlignment="1">
      <alignment horizontal="center" vertical="center"/>
      <protection/>
    </xf>
    <xf numFmtId="0" fontId="3" fillId="0" borderId="110" xfId="60" applyFont="1" applyBorder="1" applyAlignment="1">
      <alignment horizontal="center" vertical="center"/>
      <protection/>
    </xf>
    <xf numFmtId="0" fontId="3" fillId="0" borderId="111" xfId="60" applyFont="1" applyBorder="1" applyAlignment="1">
      <alignment horizontal="center" vertical="center"/>
      <protection/>
    </xf>
    <xf numFmtId="0" fontId="3" fillId="0" borderId="112" xfId="60" applyFont="1" applyBorder="1" applyAlignment="1">
      <alignment horizontal="center" vertical="center"/>
      <protection/>
    </xf>
    <xf numFmtId="0" fontId="3" fillId="0" borderId="105" xfId="60" applyFont="1" applyBorder="1" applyAlignment="1">
      <alignment horizontal="center" vertical="center"/>
      <protection/>
    </xf>
    <xf numFmtId="0" fontId="3" fillId="0" borderId="104" xfId="60" applyFont="1" applyBorder="1" applyAlignment="1">
      <alignment horizontal="center" vertical="center"/>
      <protection/>
    </xf>
    <xf numFmtId="0" fontId="3" fillId="0" borderId="113" xfId="60" applyFont="1" applyBorder="1" applyAlignment="1">
      <alignment horizontal="center" vertical="center"/>
      <protection/>
    </xf>
    <xf numFmtId="0" fontId="3" fillId="0" borderId="114" xfId="60" applyFont="1" applyBorder="1" applyAlignment="1">
      <alignment horizontal="center" vertical="center"/>
      <protection/>
    </xf>
    <xf numFmtId="0" fontId="3" fillId="0" borderId="107" xfId="60" applyFont="1" applyBorder="1" applyAlignment="1">
      <alignment horizontal="center" vertical="center"/>
      <protection/>
    </xf>
    <xf numFmtId="0" fontId="3" fillId="0" borderId="115" xfId="60" applyFont="1" applyBorder="1" applyAlignment="1">
      <alignment horizontal="center" vertical="center"/>
      <protection/>
    </xf>
    <xf numFmtId="0" fontId="3" fillId="0" borderId="107" xfId="60" applyFont="1" applyBorder="1" applyAlignment="1">
      <alignment horizontal="left" vertical="center"/>
      <protection/>
    </xf>
    <xf numFmtId="0" fontId="3" fillId="0" borderId="0" xfId="60" applyFont="1" applyAlignment="1">
      <alignment horizontal="left" vertical="center"/>
      <protection/>
    </xf>
    <xf numFmtId="0" fontId="3" fillId="0" borderId="108" xfId="60" applyFont="1" applyBorder="1" applyAlignment="1">
      <alignment horizontal="distributed" vertical="center"/>
      <protection/>
    </xf>
    <xf numFmtId="0" fontId="3" fillId="0" borderId="110" xfId="60" applyFont="1" applyBorder="1" applyAlignment="1">
      <alignment horizontal="distributed" vertical="center"/>
      <protection/>
    </xf>
    <xf numFmtId="0" fontId="3" fillId="0" borderId="116" xfId="60" applyFont="1" applyBorder="1" applyAlignment="1">
      <alignment horizontal="distributed" vertical="center"/>
      <protection/>
    </xf>
    <xf numFmtId="0" fontId="3" fillId="0" borderId="117" xfId="60" applyFont="1" applyBorder="1" applyAlignment="1">
      <alignment horizontal="center" vertical="center"/>
      <protection/>
    </xf>
    <xf numFmtId="0" fontId="3" fillId="0" borderId="118" xfId="60" applyFont="1" applyBorder="1" applyAlignment="1">
      <alignment horizontal="center" vertical="center"/>
      <protection/>
    </xf>
    <xf numFmtId="0" fontId="3" fillId="0" borderId="119" xfId="60" applyFont="1" applyBorder="1" applyAlignment="1">
      <alignment horizontal="center" vertical="center"/>
      <protection/>
    </xf>
    <xf numFmtId="0" fontId="3" fillId="0" borderId="120" xfId="60" applyFont="1" applyBorder="1" applyAlignment="1">
      <alignment horizontal="center" vertical="center"/>
      <protection/>
    </xf>
    <xf numFmtId="0" fontId="3" fillId="0" borderId="121" xfId="60" applyFont="1" applyBorder="1" applyAlignment="1">
      <alignment horizontal="center" vertical="center"/>
      <protection/>
    </xf>
    <xf numFmtId="0" fontId="3" fillId="0" borderId="52" xfId="60" applyFont="1" applyBorder="1" applyAlignment="1">
      <alignment horizontal="distributed" vertical="center" wrapText="1"/>
      <protection/>
    </xf>
    <xf numFmtId="0" fontId="3" fillId="0" borderId="122" xfId="60" applyFont="1" applyBorder="1" applyAlignment="1">
      <alignment horizontal="distributed" vertical="center" wrapText="1"/>
      <protection/>
    </xf>
    <xf numFmtId="0" fontId="3" fillId="0" borderId="123" xfId="60" applyFont="1" applyBorder="1" applyAlignment="1">
      <alignment horizontal="distributed" vertical="center" wrapText="1"/>
      <protection/>
    </xf>
    <xf numFmtId="0" fontId="3" fillId="0" borderId="124" xfId="60" applyFont="1" applyBorder="1" applyAlignment="1">
      <alignment horizontal="center" vertical="center"/>
      <protection/>
    </xf>
    <xf numFmtId="0" fontId="3" fillId="0" borderId="125" xfId="60" applyFont="1" applyBorder="1" applyAlignment="1">
      <alignment horizontal="center" vertical="center"/>
      <protection/>
    </xf>
    <xf numFmtId="0" fontId="3" fillId="0" borderId="118" xfId="60" applyFont="1" applyBorder="1" applyAlignment="1">
      <alignment horizontal="center" vertical="center" wrapText="1"/>
      <protection/>
    </xf>
    <xf numFmtId="0" fontId="3" fillId="0" borderId="126" xfId="60" applyFont="1" applyBorder="1" applyAlignment="1">
      <alignment horizontal="left" vertical="center"/>
      <protection/>
    </xf>
    <xf numFmtId="0" fontId="3" fillId="0" borderId="127" xfId="60" applyFont="1" applyBorder="1" applyAlignment="1">
      <alignment horizontal="distributed" vertical="center" wrapText="1"/>
      <protection/>
    </xf>
    <xf numFmtId="0" fontId="3" fillId="0" borderId="128" xfId="60" applyFont="1" applyBorder="1" applyAlignment="1">
      <alignment horizontal="distributed" vertical="center"/>
      <protection/>
    </xf>
    <xf numFmtId="0" fontId="3" fillId="0" borderId="129" xfId="60" applyFont="1" applyBorder="1" applyAlignment="1">
      <alignment horizontal="distributed" vertical="center" wrapText="1"/>
      <protection/>
    </xf>
    <xf numFmtId="0" fontId="3" fillId="0" borderId="130" xfId="60" applyFont="1" applyBorder="1" applyAlignment="1">
      <alignment horizontal="distributed" vertical="center"/>
      <protection/>
    </xf>
    <xf numFmtId="0" fontId="3" fillId="0" borderId="131" xfId="60" applyFont="1" applyBorder="1" applyAlignment="1">
      <alignment horizontal="distributed" vertical="center" wrapText="1"/>
      <protection/>
    </xf>
    <xf numFmtId="0" fontId="3" fillId="0" borderId="132" xfId="60" applyFont="1" applyBorder="1" applyAlignment="1">
      <alignment horizontal="distributed" vertical="center" wrapText="1"/>
      <protection/>
    </xf>
    <xf numFmtId="0" fontId="3" fillId="0" borderId="34" xfId="60" applyFont="1" applyBorder="1" applyAlignment="1">
      <alignment horizontal="center" vertical="center"/>
      <protection/>
    </xf>
    <xf numFmtId="0" fontId="3" fillId="0" borderId="117" xfId="60" applyFont="1" applyBorder="1" applyAlignment="1">
      <alignment horizontal="center" vertical="center" wrapText="1"/>
      <protection/>
    </xf>
    <xf numFmtId="0" fontId="3" fillId="0" borderId="133" xfId="60" applyFont="1" applyBorder="1" applyAlignment="1">
      <alignment horizontal="center" vertical="center"/>
      <protection/>
    </xf>
    <xf numFmtId="0" fontId="3" fillId="0" borderId="134" xfId="60" applyFont="1" applyBorder="1" applyAlignment="1">
      <alignment horizontal="center" vertical="center"/>
      <protection/>
    </xf>
    <xf numFmtId="0" fontId="31" fillId="0" borderId="107" xfId="0" applyFont="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17"/>
  <sheetViews>
    <sheetView showGridLines="0" tabSelected="1" zoomScaleSheetLayoutView="100" workbookViewId="0" topLeftCell="A1">
      <selection activeCell="I11" sqref="I11"/>
    </sheetView>
  </sheetViews>
  <sheetFormatPr defaultColWidth="5.8515625" defaultRowHeight="15"/>
  <cols>
    <col min="1" max="1" width="9.8515625" style="2" customWidth="1"/>
    <col min="2" max="2" width="17.28125" style="2" customWidth="1"/>
    <col min="3" max="3" width="9.140625" style="2" customWidth="1"/>
    <col min="4" max="4" width="12.57421875" style="2" customWidth="1"/>
    <col min="5" max="5" width="9.140625" style="2" customWidth="1"/>
    <col min="6" max="6" width="12.57421875" style="2" customWidth="1"/>
    <col min="7" max="7" width="9.140625" style="2" customWidth="1"/>
    <col min="8" max="8" width="12.57421875" style="2" customWidth="1"/>
    <col min="9" max="16384" width="5.8515625" style="2" customWidth="1"/>
  </cols>
  <sheetData>
    <row r="1" spans="1:8" ht="15">
      <c r="A1" s="181" t="s">
        <v>126</v>
      </c>
      <c r="B1" s="181"/>
      <c r="C1" s="181"/>
      <c r="D1" s="181"/>
      <c r="E1" s="181"/>
      <c r="F1" s="181"/>
      <c r="G1" s="181"/>
      <c r="H1" s="181"/>
    </row>
    <row r="2" spans="1:8" ht="15">
      <c r="A2" s="43"/>
      <c r="B2" s="43"/>
      <c r="C2" s="43"/>
      <c r="D2" s="43"/>
      <c r="E2" s="43"/>
      <c r="F2" s="43"/>
      <c r="G2" s="43"/>
      <c r="H2" s="43"/>
    </row>
    <row r="3" spans="1:8" ht="12" thickBot="1">
      <c r="A3" s="182" t="s">
        <v>146</v>
      </c>
      <c r="B3" s="182"/>
      <c r="C3" s="182"/>
      <c r="D3" s="182"/>
      <c r="E3" s="182"/>
      <c r="F3" s="182"/>
      <c r="G3" s="182"/>
      <c r="H3" s="182"/>
    </row>
    <row r="4" spans="1:8" ht="24" customHeight="1">
      <c r="A4" s="183" t="s">
        <v>127</v>
      </c>
      <c r="B4" s="184"/>
      <c r="C4" s="169" t="s">
        <v>177</v>
      </c>
      <c r="D4" s="170"/>
      <c r="E4" s="169" t="s">
        <v>178</v>
      </c>
      <c r="F4" s="170"/>
      <c r="G4" s="169" t="s">
        <v>179</v>
      </c>
      <c r="H4" s="171"/>
    </row>
    <row r="5" spans="1:8" ht="24" customHeight="1">
      <c r="A5" s="185"/>
      <c r="B5" s="186"/>
      <c r="C5" s="165" t="s">
        <v>129</v>
      </c>
      <c r="D5" s="44" t="s">
        <v>130</v>
      </c>
      <c r="E5" s="165" t="s">
        <v>129</v>
      </c>
      <c r="F5" s="44" t="s">
        <v>130</v>
      </c>
      <c r="G5" s="165" t="s">
        <v>129</v>
      </c>
      <c r="H5" s="45" t="s">
        <v>130</v>
      </c>
    </row>
    <row r="6" spans="1:8" ht="12" customHeight="1">
      <c r="A6" s="46"/>
      <c r="B6" s="47"/>
      <c r="C6" s="32" t="s">
        <v>131</v>
      </c>
      <c r="D6" s="7" t="s">
        <v>132</v>
      </c>
      <c r="E6" s="32" t="s">
        <v>131</v>
      </c>
      <c r="F6" s="7" t="s">
        <v>132</v>
      </c>
      <c r="G6" s="32" t="s">
        <v>131</v>
      </c>
      <c r="H6" s="48" t="s">
        <v>132</v>
      </c>
    </row>
    <row r="7" spans="1:8" ht="30" customHeight="1">
      <c r="A7" s="172" t="s">
        <v>147</v>
      </c>
      <c r="B7" s="49" t="s">
        <v>148</v>
      </c>
      <c r="C7" s="126">
        <v>100216</v>
      </c>
      <c r="D7" s="50">
        <v>63794856</v>
      </c>
      <c r="E7" s="86">
        <v>222983</v>
      </c>
      <c r="F7" s="50">
        <v>2250620930</v>
      </c>
      <c r="G7" s="86">
        <v>323199</v>
      </c>
      <c r="H7" s="51">
        <v>2314415786</v>
      </c>
    </row>
    <row r="8" spans="1:8" ht="30" customHeight="1">
      <c r="A8" s="173"/>
      <c r="B8" s="52" t="s">
        <v>149</v>
      </c>
      <c r="C8" s="127">
        <v>85962</v>
      </c>
      <c r="D8" s="88">
        <v>41416790</v>
      </c>
      <c r="E8" s="87">
        <v>65811</v>
      </c>
      <c r="F8" s="88">
        <v>43987965</v>
      </c>
      <c r="G8" s="87">
        <v>151773</v>
      </c>
      <c r="H8" s="89">
        <v>85404755</v>
      </c>
    </row>
    <row r="9" spans="1:8" s="54" customFormat="1" ht="30" customHeight="1">
      <c r="A9" s="173"/>
      <c r="B9" s="53" t="s">
        <v>150</v>
      </c>
      <c r="C9" s="128">
        <v>186178</v>
      </c>
      <c r="D9" s="91">
        <v>105211646</v>
      </c>
      <c r="E9" s="90">
        <v>288794</v>
      </c>
      <c r="F9" s="91">
        <v>2294608895</v>
      </c>
      <c r="G9" s="90">
        <v>474972</v>
      </c>
      <c r="H9" s="120">
        <v>2399820541</v>
      </c>
    </row>
    <row r="10" spans="1:8" ht="30" customHeight="1">
      <c r="A10" s="174"/>
      <c r="B10" s="55" t="s">
        <v>151</v>
      </c>
      <c r="C10" s="129">
        <v>7815</v>
      </c>
      <c r="D10" s="93">
        <v>5702106</v>
      </c>
      <c r="E10" s="92">
        <v>29793</v>
      </c>
      <c r="F10" s="93">
        <v>624700624</v>
      </c>
      <c r="G10" s="87">
        <v>37608</v>
      </c>
      <c r="H10" s="89">
        <v>630402729</v>
      </c>
    </row>
    <row r="11" spans="1:8" ht="30" customHeight="1">
      <c r="A11" s="175" t="s">
        <v>152</v>
      </c>
      <c r="B11" s="56" t="s">
        <v>153</v>
      </c>
      <c r="C11" s="94">
        <v>14298</v>
      </c>
      <c r="D11" s="58">
        <v>4901136</v>
      </c>
      <c r="E11" s="95">
        <v>15722</v>
      </c>
      <c r="F11" s="58">
        <v>9866790</v>
      </c>
      <c r="G11" s="95">
        <v>30020</v>
      </c>
      <c r="H11" s="59">
        <v>14767925</v>
      </c>
    </row>
    <row r="12" spans="1:8" ht="30" customHeight="1">
      <c r="A12" s="176"/>
      <c r="B12" s="166" t="s">
        <v>154</v>
      </c>
      <c r="C12" s="167">
        <v>1611</v>
      </c>
      <c r="D12" s="71">
        <v>461762</v>
      </c>
      <c r="E12" s="168">
        <v>2797</v>
      </c>
      <c r="F12" s="71">
        <v>4411103</v>
      </c>
      <c r="G12" s="168">
        <v>4408</v>
      </c>
      <c r="H12" s="72">
        <v>4872865</v>
      </c>
    </row>
    <row r="13" spans="1:8" ht="30" customHeight="1" thickBot="1">
      <c r="A13" s="177" t="s">
        <v>133</v>
      </c>
      <c r="B13" s="178"/>
      <c r="C13" s="96">
        <v>13732</v>
      </c>
      <c r="D13" s="97">
        <v>909653</v>
      </c>
      <c r="E13" s="96">
        <v>11632</v>
      </c>
      <c r="F13" s="97">
        <v>1518350</v>
      </c>
      <c r="G13" s="96">
        <v>25364</v>
      </c>
      <c r="H13" s="98">
        <v>2428004</v>
      </c>
    </row>
    <row r="14" spans="1:8" s="1" customFormat="1" ht="34.5" customHeight="1">
      <c r="A14" s="221" t="s">
        <v>169</v>
      </c>
      <c r="B14" s="179" t="s">
        <v>175</v>
      </c>
      <c r="C14" s="179"/>
      <c r="D14" s="179"/>
      <c r="E14" s="179"/>
      <c r="F14" s="179"/>
      <c r="G14" s="179"/>
      <c r="H14" s="179"/>
    </row>
    <row r="15" spans="1:8" ht="35.25" customHeight="1">
      <c r="A15" s="125"/>
      <c r="B15" s="180" t="s">
        <v>176</v>
      </c>
      <c r="C15" s="180"/>
      <c r="D15" s="180"/>
      <c r="E15" s="180"/>
      <c r="F15" s="180"/>
      <c r="G15" s="180"/>
      <c r="H15" s="180"/>
    </row>
    <row r="16" ht="12.75" customHeight="1">
      <c r="A16" s="2" t="s">
        <v>174</v>
      </c>
    </row>
    <row r="17" ht="11.25">
      <c r="A17" s="60"/>
    </row>
  </sheetData>
  <sheetProtection/>
  <mergeCells count="11">
    <mergeCell ref="B14:H14"/>
    <mergeCell ref="B15:H15"/>
    <mergeCell ref="A1:H1"/>
    <mergeCell ref="A3:H3"/>
    <mergeCell ref="A4:B5"/>
    <mergeCell ref="C4:D4"/>
    <mergeCell ref="E4:F4"/>
    <mergeCell ref="G4:H4"/>
    <mergeCell ref="A7:A10"/>
    <mergeCell ref="A11:A12"/>
    <mergeCell ref="A13:B1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4" r:id="rId1"/>
  <headerFooter alignWithMargins="0">
    <oddFooter>&amp;R&amp;10大阪国税局
消費税
(R01)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SheetLayoutView="106" workbookViewId="0" topLeftCell="A1">
      <selection activeCell="I11" sqref="I11"/>
    </sheetView>
  </sheetViews>
  <sheetFormatPr defaultColWidth="9.14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2" thickBot="1">
      <c r="A1" s="2" t="s">
        <v>134</v>
      </c>
    </row>
    <row r="2" spans="1:8" s="2" customFormat="1" ht="15" customHeight="1">
      <c r="A2" s="183" t="s">
        <v>127</v>
      </c>
      <c r="B2" s="184"/>
      <c r="C2" s="191" t="s">
        <v>128</v>
      </c>
      <c r="D2" s="191"/>
      <c r="E2" s="191" t="s">
        <v>135</v>
      </c>
      <c r="F2" s="191"/>
      <c r="G2" s="192" t="s">
        <v>136</v>
      </c>
      <c r="H2" s="193"/>
    </row>
    <row r="3" spans="1:8" s="2" customFormat="1" ht="15" customHeight="1">
      <c r="A3" s="185"/>
      <c r="B3" s="186"/>
      <c r="C3" s="57" t="s">
        <v>137</v>
      </c>
      <c r="D3" s="44" t="s">
        <v>138</v>
      </c>
      <c r="E3" s="57" t="s">
        <v>137</v>
      </c>
      <c r="F3" s="61" t="s">
        <v>138</v>
      </c>
      <c r="G3" s="57" t="s">
        <v>137</v>
      </c>
      <c r="H3" s="62" t="s">
        <v>138</v>
      </c>
    </row>
    <row r="4" spans="1:8" s="67" customFormat="1" ht="15" customHeight="1">
      <c r="A4" s="63"/>
      <c r="B4" s="44"/>
      <c r="C4" s="64" t="s">
        <v>15</v>
      </c>
      <c r="D4" s="65" t="s">
        <v>16</v>
      </c>
      <c r="E4" s="64" t="s">
        <v>15</v>
      </c>
      <c r="F4" s="65" t="s">
        <v>16</v>
      </c>
      <c r="G4" s="64" t="s">
        <v>15</v>
      </c>
      <c r="H4" s="66" t="s">
        <v>16</v>
      </c>
    </row>
    <row r="5" spans="1:8" s="69" customFormat="1" ht="30" customHeight="1">
      <c r="A5" s="187" t="s">
        <v>163</v>
      </c>
      <c r="B5" s="49" t="s">
        <v>139</v>
      </c>
      <c r="C5" s="68">
        <v>194470</v>
      </c>
      <c r="D5" s="50">
        <v>100399718</v>
      </c>
      <c r="E5" s="68">
        <v>283438</v>
      </c>
      <c r="F5" s="50">
        <v>2147985077</v>
      </c>
      <c r="G5" s="68">
        <v>477908</v>
      </c>
      <c r="H5" s="51">
        <v>2248384795</v>
      </c>
    </row>
    <row r="6" spans="1:8" s="69" customFormat="1" ht="30" customHeight="1">
      <c r="A6" s="188"/>
      <c r="B6" s="55" t="s">
        <v>3</v>
      </c>
      <c r="C6" s="70">
        <v>7550</v>
      </c>
      <c r="D6" s="71">
        <v>6179978</v>
      </c>
      <c r="E6" s="70">
        <v>25727</v>
      </c>
      <c r="F6" s="71">
        <v>536553648</v>
      </c>
      <c r="G6" s="70">
        <v>33277</v>
      </c>
      <c r="H6" s="72">
        <v>542733626</v>
      </c>
    </row>
    <row r="7" spans="1:8" s="69" customFormat="1" ht="30" customHeight="1">
      <c r="A7" s="187" t="s">
        <v>167</v>
      </c>
      <c r="B7" s="73" t="s">
        <v>139</v>
      </c>
      <c r="C7" s="74">
        <v>193856</v>
      </c>
      <c r="D7" s="58">
        <v>101369413</v>
      </c>
      <c r="E7" s="74">
        <v>285253</v>
      </c>
      <c r="F7" s="58">
        <v>2295954449</v>
      </c>
      <c r="G7" s="74">
        <v>479109</v>
      </c>
      <c r="H7" s="59">
        <v>2397323862</v>
      </c>
    </row>
    <row r="8" spans="1:8" s="69" customFormat="1" ht="30" customHeight="1">
      <c r="A8" s="188"/>
      <c r="B8" s="55" t="s">
        <v>3</v>
      </c>
      <c r="C8" s="70">
        <v>7562</v>
      </c>
      <c r="D8" s="71">
        <v>6173705</v>
      </c>
      <c r="E8" s="70">
        <v>26565</v>
      </c>
      <c r="F8" s="71">
        <v>593585995</v>
      </c>
      <c r="G8" s="70">
        <v>34127</v>
      </c>
      <c r="H8" s="72">
        <v>599759701</v>
      </c>
    </row>
    <row r="9" spans="1:8" s="69" customFormat="1" ht="30" customHeight="1">
      <c r="A9" s="187" t="s">
        <v>170</v>
      </c>
      <c r="B9" s="73" t="s">
        <v>139</v>
      </c>
      <c r="C9" s="74">
        <v>192374</v>
      </c>
      <c r="D9" s="58">
        <v>100387092</v>
      </c>
      <c r="E9" s="74">
        <v>286810</v>
      </c>
      <c r="F9" s="58">
        <v>2312442885</v>
      </c>
      <c r="G9" s="74">
        <v>479184</v>
      </c>
      <c r="H9" s="59">
        <v>2412829977</v>
      </c>
    </row>
    <row r="10" spans="1:8" s="69" customFormat="1" ht="30" customHeight="1">
      <c r="A10" s="188"/>
      <c r="B10" s="55" t="s">
        <v>3</v>
      </c>
      <c r="C10" s="70">
        <v>7649</v>
      </c>
      <c r="D10" s="71">
        <v>5913994</v>
      </c>
      <c r="E10" s="70">
        <v>27560</v>
      </c>
      <c r="F10" s="71">
        <v>585242584</v>
      </c>
      <c r="G10" s="70">
        <v>35209</v>
      </c>
      <c r="H10" s="72">
        <v>591156577</v>
      </c>
    </row>
    <row r="11" spans="1:8" s="69" customFormat="1" ht="30" customHeight="1">
      <c r="A11" s="187" t="s">
        <v>171</v>
      </c>
      <c r="B11" s="73" t="s">
        <v>139</v>
      </c>
      <c r="C11" s="74">
        <v>190904</v>
      </c>
      <c r="D11" s="58">
        <v>100884512</v>
      </c>
      <c r="E11" s="74">
        <v>288658</v>
      </c>
      <c r="F11" s="58">
        <v>2262407116</v>
      </c>
      <c r="G11" s="74">
        <v>479562</v>
      </c>
      <c r="H11" s="59">
        <v>2363291628</v>
      </c>
    </row>
    <row r="12" spans="1:8" s="69" customFormat="1" ht="30" customHeight="1">
      <c r="A12" s="188"/>
      <c r="B12" s="55" t="s">
        <v>3</v>
      </c>
      <c r="C12" s="70">
        <v>7703</v>
      </c>
      <c r="D12" s="71">
        <v>5914380</v>
      </c>
      <c r="E12" s="70">
        <v>28806</v>
      </c>
      <c r="F12" s="71">
        <v>626782512</v>
      </c>
      <c r="G12" s="70">
        <v>36509</v>
      </c>
      <c r="H12" s="72">
        <v>632696892</v>
      </c>
    </row>
    <row r="13" spans="1:8" s="2" customFormat="1" ht="30" customHeight="1">
      <c r="A13" s="189" t="s">
        <v>172</v>
      </c>
      <c r="B13" s="73" t="s">
        <v>139</v>
      </c>
      <c r="C13" s="130">
        <v>186178</v>
      </c>
      <c r="D13" s="58">
        <v>105211646</v>
      </c>
      <c r="E13" s="74">
        <v>288794</v>
      </c>
      <c r="F13" s="58">
        <v>2294608895</v>
      </c>
      <c r="G13" s="74">
        <v>474972</v>
      </c>
      <c r="H13" s="59">
        <v>2399820541</v>
      </c>
    </row>
    <row r="14" spans="1:8" s="2" customFormat="1" ht="30" customHeight="1" thickBot="1">
      <c r="A14" s="190"/>
      <c r="B14" s="75" t="s">
        <v>3</v>
      </c>
      <c r="C14" s="131">
        <v>7815</v>
      </c>
      <c r="D14" s="118">
        <v>5702106</v>
      </c>
      <c r="E14" s="117">
        <v>29793</v>
      </c>
      <c r="F14" s="118">
        <v>624700624</v>
      </c>
      <c r="G14" s="117">
        <v>37608</v>
      </c>
      <c r="H14" s="119">
        <v>630402729</v>
      </c>
    </row>
    <row r="15" spans="5:7" s="2" customFormat="1" ht="11.25">
      <c r="E15" s="76"/>
      <c r="G15" s="76"/>
    </row>
    <row r="16" spans="5:7" s="2" customFormat="1" ht="11.25">
      <c r="E16" s="76"/>
      <c r="G16" s="76"/>
    </row>
    <row r="17" spans="5:7" s="2" customFormat="1" ht="11.25">
      <c r="E17" s="76"/>
      <c r="G17" s="76"/>
    </row>
    <row r="18" spans="5:7" s="2" customFormat="1" ht="11.25">
      <c r="E18" s="76"/>
      <c r="G18" s="76"/>
    </row>
    <row r="19" spans="5:7" s="2" customFormat="1" ht="11.25">
      <c r="E19" s="76"/>
      <c r="G19" s="76"/>
    </row>
    <row r="20" spans="5:7" s="2" customFormat="1" ht="11.25">
      <c r="E20" s="76"/>
      <c r="G20" s="76"/>
    </row>
    <row r="21" spans="5:7" s="2" customFormat="1" ht="11.25">
      <c r="E21" s="76"/>
      <c r="G21" s="76"/>
    </row>
    <row r="22" spans="5:7" s="2" customFormat="1" ht="11.25">
      <c r="E22" s="76"/>
      <c r="G22" s="76"/>
    </row>
  </sheetData>
  <sheetProtection/>
  <mergeCells count="9">
    <mergeCell ref="A11:A12"/>
    <mergeCell ref="A13:A14"/>
    <mergeCell ref="A2:B3"/>
    <mergeCell ref="C2:D2"/>
    <mergeCell ref="E2:F2"/>
    <mergeCell ref="G2:H2"/>
    <mergeCell ref="A5:A6"/>
    <mergeCell ref="A7:A8"/>
    <mergeCell ref="A9:A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&amp;R&amp;10大阪国税局
消費税
(R01)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SheetLayoutView="175" workbookViewId="0" topLeftCell="A1">
      <selection activeCell="I11" sqref="I11"/>
    </sheetView>
  </sheetViews>
  <sheetFormatPr defaultColWidth="9.140625" defaultRowHeight="15"/>
  <cols>
    <col min="1" max="2" width="18.57421875" style="3" customWidth="1"/>
    <col min="3" max="3" width="23.57421875" style="3" customWidth="1"/>
    <col min="4" max="4" width="18.57421875" style="3" customWidth="1"/>
    <col min="5" max="16384" width="9.00390625" style="3" customWidth="1"/>
  </cols>
  <sheetData>
    <row r="1" s="2" customFormat="1" ht="20.25" customHeight="1" thickBot="1">
      <c r="A1" s="2" t="s">
        <v>140</v>
      </c>
    </row>
    <row r="2" spans="1:4" s="1" customFormat="1" ht="19.5" customHeight="1">
      <c r="A2" s="77" t="s">
        <v>141</v>
      </c>
      <c r="B2" s="78" t="s">
        <v>142</v>
      </c>
      <c r="C2" s="79" t="s">
        <v>143</v>
      </c>
      <c r="D2" s="80" t="s">
        <v>144</v>
      </c>
    </row>
    <row r="3" spans="1:4" s="67" customFormat="1" ht="15" customHeight="1">
      <c r="A3" s="81" t="s">
        <v>15</v>
      </c>
      <c r="B3" s="82" t="s">
        <v>15</v>
      </c>
      <c r="C3" s="83" t="s">
        <v>15</v>
      </c>
      <c r="D3" s="84" t="s">
        <v>15</v>
      </c>
    </row>
    <row r="4" spans="1:9" s="1" customFormat="1" ht="30" customHeight="1" thickBot="1">
      <c r="A4" s="121">
        <v>548995</v>
      </c>
      <c r="B4" s="122">
        <v>19798</v>
      </c>
      <c r="C4" s="123">
        <v>2206</v>
      </c>
      <c r="D4" s="124">
        <v>570999</v>
      </c>
      <c r="E4" s="85"/>
      <c r="G4" s="85"/>
      <c r="I4" s="85"/>
    </row>
    <row r="5" spans="1:4" s="1" customFormat="1" ht="15" customHeight="1">
      <c r="A5" s="194" t="s">
        <v>173</v>
      </c>
      <c r="B5" s="194"/>
      <c r="C5" s="194"/>
      <c r="D5" s="194"/>
    </row>
    <row r="6" spans="1:4" s="1" customFormat="1" ht="15" customHeight="1">
      <c r="A6" s="195" t="s">
        <v>145</v>
      </c>
      <c r="B6" s="195"/>
      <c r="C6" s="195"/>
      <c r="D6" s="195"/>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&amp;R&amp;10大阪国税局
消費税
(R01)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117"/>
  <sheetViews>
    <sheetView showGridLines="0" zoomScaleSheetLayoutView="85" workbookViewId="0" topLeftCell="A1">
      <selection activeCell="I11" sqref="I11"/>
    </sheetView>
  </sheetViews>
  <sheetFormatPr defaultColWidth="9.140625" defaultRowHeight="15"/>
  <cols>
    <col min="1" max="1" width="11.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4" ht="13.5">
      <c r="A1" s="1" t="s">
        <v>165</v>
      </c>
      <c r="B1" s="1"/>
      <c r="C1" s="1"/>
      <c r="D1" s="1"/>
      <c r="E1" s="1"/>
      <c r="F1" s="1"/>
      <c r="G1" s="1"/>
      <c r="H1" s="2"/>
      <c r="I1" s="2"/>
      <c r="J1" s="2"/>
      <c r="K1" s="2"/>
      <c r="L1" s="2"/>
      <c r="M1" s="2"/>
      <c r="N1" s="2"/>
    </row>
    <row r="2" spans="1:14" ht="14.25" thickBot="1">
      <c r="A2" s="195" t="s">
        <v>0</v>
      </c>
      <c r="B2" s="195"/>
      <c r="C2" s="195"/>
      <c r="D2" s="195"/>
      <c r="E2" s="195"/>
      <c r="F2" s="195"/>
      <c r="G2" s="195"/>
      <c r="H2" s="2"/>
      <c r="I2" s="2"/>
      <c r="J2" s="2"/>
      <c r="K2" s="2"/>
      <c r="L2" s="2"/>
      <c r="M2" s="2"/>
      <c r="N2" s="2"/>
    </row>
    <row r="3" spans="1:14" ht="19.5" customHeight="1">
      <c r="A3" s="196" t="s">
        <v>1</v>
      </c>
      <c r="B3" s="199" t="s">
        <v>2</v>
      </c>
      <c r="C3" s="199"/>
      <c r="D3" s="199"/>
      <c r="E3" s="199"/>
      <c r="F3" s="199"/>
      <c r="G3" s="199"/>
      <c r="H3" s="200" t="s">
        <v>3</v>
      </c>
      <c r="I3" s="201"/>
      <c r="J3" s="209" t="s">
        <v>4</v>
      </c>
      <c r="K3" s="201"/>
      <c r="L3" s="200" t="s">
        <v>5</v>
      </c>
      <c r="M3" s="201"/>
      <c r="N3" s="204" t="s">
        <v>6</v>
      </c>
    </row>
    <row r="4" spans="1:14" ht="17.25" customHeight="1">
      <c r="A4" s="197"/>
      <c r="B4" s="207" t="s">
        <v>7</v>
      </c>
      <c r="C4" s="207"/>
      <c r="D4" s="202" t="s">
        <v>8</v>
      </c>
      <c r="E4" s="208"/>
      <c r="F4" s="202" t="s">
        <v>9</v>
      </c>
      <c r="G4" s="208"/>
      <c r="H4" s="202"/>
      <c r="I4" s="203"/>
      <c r="J4" s="202"/>
      <c r="K4" s="203"/>
      <c r="L4" s="202"/>
      <c r="M4" s="203"/>
      <c r="N4" s="205"/>
    </row>
    <row r="5" spans="1:14" s="4" customFormat="1" ht="28.5" customHeight="1">
      <c r="A5" s="198"/>
      <c r="B5" s="37" t="s">
        <v>10</v>
      </c>
      <c r="C5" s="38" t="s">
        <v>11</v>
      </c>
      <c r="D5" s="37" t="s">
        <v>10</v>
      </c>
      <c r="E5" s="38" t="s">
        <v>11</v>
      </c>
      <c r="F5" s="37" t="s">
        <v>10</v>
      </c>
      <c r="G5" s="41" t="s">
        <v>12</v>
      </c>
      <c r="H5" s="37" t="s">
        <v>115</v>
      </c>
      <c r="I5" s="40" t="s">
        <v>13</v>
      </c>
      <c r="J5" s="37" t="s">
        <v>115</v>
      </c>
      <c r="K5" s="40" t="s">
        <v>14</v>
      </c>
      <c r="L5" s="37" t="s">
        <v>115</v>
      </c>
      <c r="M5" s="39" t="s">
        <v>116</v>
      </c>
      <c r="N5" s="206"/>
    </row>
    <row r="6" spans="1:14" s="10" customFormat="1" ht="10.5">
      <c r="A6" s="5"/>
      <c r="B6" s="6" t="s">
        <v>15</v>
      </c>
      <c r="C6" s="7" t="s">
        <v>16</v>
      </c>
      <c r="D6" s="6" t="s">
        <v>15</v>
      </c>
      <c r="E6" s="7" t="s">
        <v>16</v>
      </c>
      <c r="F6" s="6" t="s">
        <v>15</v>
      </c>
      <c r="G6" s="7" t="s">
        <v>16</v>
      </c>
      <c r="H6" s="6" t="s">
        <v>15</v>
      </c>
      <c r="I6" s="8" t="s">
        <v>16</v>
      </c>
      <c r="J6" s="6" t="s">
        <v>15</v>
      </c>
      <c r="K6" s="8" t="s">
        <v>16</v>
      </c>
      <c r="L6" s="6" t="s">
        <v>164</v>
      </c>
      <c r="M6" s="8" t="s">
        <v>16</v>
      </c>
      <c r="N6" s="9"/>
    </row>
    <row r="7" spans="1:14" s="17" customFormat="1" ht="15.75" customHeight="1">
      <c r="A7" s="11" t="s">
        <v>18</v>
      </c>
      <c r="B7" s="99">
        <f>_xlfn.COMPOUNDVALUE(1)</f>
        <v>1266</v>
      </c>
      <c r="C7" s="132">
        <v>784736</v>
      </c>
      <c r="D7" s="99">
        <f>_xlfn.COMPOUNDVALUE(2)</f>
        <v>1153</v>
      </c>
      <c r="E7" s="132">
        <v>551218</v>
      </c>
      <c r="F7" s="99">
        <f>_xlfn.COMPOUNDVALUE(3)</f>
        <v>2419</v>
      </c>
      <c r="G7" s="132">
        <v>1335953</v>
      </c>
      <c r="H7" s="99">
        <f>_xlfn.COMPOUNDVALUE(4)</f>
        <v>110</v>
      </c>
      <c r="I7" s="134">
        <v>47985</v>
      </c>
      <c r="J7" s="99">
        <v>284</v>
      </c>
      <c r="K7" s="101">
        <v>76249</v>
      </c>
      <c r="L7" s="99">
        <v>2658</v>
      </c>
      <c r="M7" s="101">
        <v>1364216</v>
      </c>
      <c r="N7" s="12" t="s">
        <v>18</v>
      </c>
    </row>
    <row r="8" spans="1:14" s="17" customFormat="1" ht="15.75" customHeight="1">
      <c r="A8" s="13" t="s">
        <v>19</v>
      </c>
      <c r="B8" s="102">
        <f>_xlfn.COMPOUNDVALUE(5)</f>
        <v>648</v>
      </c>
      <c r="C8" s="133">
        <v>377052</v>
      </c>
      <c r="D8" s="102">
        <f>_xlfn.COMPOUNDVALUE(6)</f>
        <v>662</v>
      </c>
      <c r="E8" s="133">
        <v>295882</v>
      </c>
      <c r="F8" s="102">
        <f>_xlfn.COMPOUNDVALUE(7)</f>
        <v>1310</v>
      </c>
      <c r="G8" s="133">
        <v>672934</v>
      </c>
      <c r="H8" s="102">
        <f>_xlfn.COMPOUNDVALUE(8)</f>
        <v>42</v>
      </c>
      <c r="I8" s="135">
        <v>21850</v>
      </c>
      <c r="J8" s="102">
        <v>97</v>
      </c>
      <c r="K8" s="104">
        <v>40249</v>
      </c>
      <c r="L8" s="102">
        <v>1382</v>
      </c>
      <c r="M8" s="104">
        <v>691333</v>
      </c>
      <c r="N8" s="14" t="s">
        <v>19</v>
      </c>
    </row>
    <row r="9" spans="1:14" s="17" customFormat="1" ht="15.75" customHeight="1">
      <c r="A9" s="13" t="s">
        <v>20</v>
      </c>
      <c r="B9" s="102">
        <f>_xlfn.COMPOUNDVALUE(9)</f>
        <v>716</v>
      </c>
      <c r="C9" s="133">
        <v>397157</v>
      </c>
      <c r="D9" s="102">
        <f>_xlfn.COMPOUNDVALUE(10)</f>
        <v>679</v>
      </c>
      <c r="E9" s="133">
        <v>288486</v>
      </c>
      <c r="F9" s="102">
        <f>_xlfn.COMPOUNDVALUE(11)</f>
        <v>1395</v>
      </c>
      <c r="G9" s="133">
        <v>685644</v>
      </c>
      <c r="H9" s="102">
        <f>_xlfn.COMPOUNDVALUE(12)</f>
        <v>46</v>
      </c>
      <c r="I9" s="135">
        <v>16717</v>
      </c>
      <c r="J9" s="102">
        <v>67</v>
      </c>
      <c r="K9" s="104">
        <v>10526</v>
      </c>
      <c r="L9" s="102">
        <v>1465</v>
      </c>
      <c r="M9" s="104">
        <v>679452</v>
      </c>
      <c r="N9" s="14" t="s">
        <v>20</v>
      </c>
    </row>
    <row r="10" spans="1:14" s="17" customFormat="1" ht="15.75" customHeight="1">
      <c r="A10" s="13" t="s">
        <v>21</v>
      </c>
      <c r="B10" s="102">
        <f>_xlfn.COMPOUNDVALUE(13)</f>
        <v>1039</v>
      </c>
      <c r="C10" s="133">
        <v>649347</v>
      </c>
      <c r="D10" s="102">
        <f>_xlfn.COMPOUNDVALUE(14)</f>
        <v>1089</v>
      </c>
      <c r="E10" s="133">
        <v>453156</v>
      </c>
      <c r="F10" s="102">
        <f>_xlfn.COMPOUNDVALUE(15)</f>
        <v>2128</v>
      </c>
      <c r="G10" s="133">
        <v>1102503</v>
      </c>
      <c r="H10" s="102">
        <f>_xlfn.COMPOUNDVALUE(16)</f>
        <v>108</v>
      </c>
      <c r="I10" s="135">
        <v>70836</v>
      </c>
      <c r="J10" s="102">
        <v>177</v>
      </c>
      <c r="K10" s="104">
        <v>39007</v>
      </c>
      <c r="L10" s="102">
        <v>2287</v>
      </c>
      <c r="M10" s="104">
        <v>1070674</v>
      </c>
      <c r="N10" s="14" t="s">
        <v>21</v>
      </c>
    </row>
    <row r="11" spans="1:14" s="17" customFormat="1" ht="15.75" customHeight="1">
      <c r="A11" s="13" t="s">
        <v>22</v>
      </c>
      <c r="B11" s="102">
        <f>_xlfn.COMPOUNDVALUE(17)</f>
        <v>1261</v>
      </c>
      <c r="C11" s="133">
        <v>1377759</v>
      </c>
      <c r="D11" s="102">
        <f>_xlfn.COMPOUNDVALUE(18)</f>
        <v>1193</v>
      </c>
      <c r="E11" s="133">
        <v>593637</v>
      </c>
      <c r="F11" s="102">
        <f>_xlfn.COMPOUNDVALUE(19)</f>
        <v>2454</v>
      </c>
      <c r="G11" s="133">
        <v>1971396</v>
      </c>
      <c r="H11" s="102">
        <f>_xlfn.COMPOUNDVALUE(20)</f>
        <v>104</v>
      </c>
      <c r="I11" s="135">
        <v>53260</v>
      </c>
      <c r="J11" s="102">
        <v>235</v>
      </c>
      <c r="K11" s="104">
        <v>30683</v>
      </c>
      <c r="L11" s="102">
        <v>2635</v>
      </c>
      <c r="M11" s="104">
        <v>1948818</v>
      </c>
      <c r="N11" s="14" t="s">
        <v>22</v>
      </c>
    </row>
    <row r="12" spans="1:14" s="17" customFormat="1" ht="15.75" customHeight="1">
      <c r="A12" s="13" t="s">
        <v>23</v>
      </c>
      <c r="B12" s="102">
        <f>_xlfn.COMPOUNDVALUE(21)</f>
        <v>563</v>
      </c>
      <c r="C12" s="133">
        <v>385610</v>
      </c>
      <c r="D12" s="102">
        <f>_xlfn.COMPOUNDVALUE(22)</f>
        <v>583</v>
      </c>
      <c r="E12" s="133">
        <v>255593</v>
      </c>
      <c r="F12" s="102">
        <f>_xlfn.COMPOUNDVALUE(23)</f>
        <v>1146</v>
      </c>
      <c r="G12" s="133">
        <v>641203</v>
      </c>
      <c r="H12" s="102">
        <f>_xlfn.COMPOUNDVALUE(24)</f>
        <v>46</v>
      </c>
      <c r="I12" s="135">
        <v>56370</v>
      </c>
      <c r="J12" s="102">
        <v>108</v>
      </c>
      <c r="K12" s="104">
        <v>30158</v>
      </c>
      <c r="L12" s="102">
        <v>1246</v>
      </c>
      <c r="M12" s="104">
        <v>614991</v>
      </c>
      <c r="N12" s="14" t="s">
        <v>23</v>
      </c>
    </row>
    <row r="13" spans="1:14" s="17" customFormat="1" ht="15.75" customHeight="1">
      <c r="A13" s="13" t="s">
        <v>24</v>
      </c>
      <c r="B13" s="102">
        <f>_xlfn.COMPOUNDVALUE(25)</f>
        <v>297</v>
      </c>
      <c r="C13" s="133">
        <v>155786</v>
      </c>
      <c r="D13" s="102">
        <f>_xlfn.COMPOUNDVALUE(26)</f>
        <v>312</v>
      </c>
      <c r="E13" s="133">
        <v>123346</v>
      </c>
      <c r="F13" s="102">
        <f>_xlfn.COMPOUNDVALUE(27)</f>
        <v>609</v>
      </c>
      <c r="G13" s="133">
        <v>279132</v>
      </c>
      <c r="H13" s="102">
        <f>_xlfn.COMPOUNDVALUE(28)</f>
        <v>21</v>
      </c>
      <c r="I13" s="135">
        <v>7909</v>
      </c>
      <c r="J13" s="102">
        <v>44</v>
      </c>
      <c r="K13" s="104">
        <v>8789</v>
      </c>
      <c r="L13" s="102">
        <v>655</v>
      </c>
      <c r="M13" s="104">
        <v>280012</v>
      </c>
      <c r="N13" s="14" t="s">
        <v>24</v>
      </c>
    </row>
    <row r="14" spans="1:14" s="17" customFormat="1" ht="15.75" customHeight="1">
      <c r="A14" s="15" t="s">
        <v>25</v>
      </c>
      <c r="B14" s="105">
        <v>5790</v>
      </c>
      <c r="C14" s="106">
        <v>4127446</v>
      </c>
      <c r="D14" s="105">
        <v>5671</v>
      </c>
      <c r="E14" s="106">
        <v>2561318</v>
      </c>
      <c r="F14" s="105">
        <v>11461</v>
      </c>
      <c r="G14" s="106">
        <v>6688764</v>
      </c>
      <c r="H14" s="105">
        <v>477</v>
      </c>
      <c r="I14" s="107">
        <v>274927</v>
      </c>
      <c r="J14" s="105">
        <v>1012</v>
      </c>
      <c r="K14" s="107">
        <v>235660</v>
      </c>
      <c r="L14" s="105">
        <v>12328</v>
      </c>
      <c r="M14" s="107">
        <v>6649497</v>
      </c>
      <c r="N14" s="16" t="s">
        <v>120</v>
      </c>
    </row>
    <row r="15" spans="1:14" s="17" customFormat="1" ht="15.75" customHeight="1">
      <c r="A15" s="26"/>
      <c r="B15" s="108"/>
      <c r="C15" s="109"/>
      <c r="D15" s="108"/>
      <c r="E15" s="109"/>
      <c r="F15" s="110"/>
      <c r="G15" s="109"/>
      <c r="H15" s="110"/>
      <c r="I15" s="109"/>
      <c r="J15" s="110"/>
      <c r="K15" s="109"/>
      <c r="L15" s="110"/>
      <c r="M15" s="109"/>
      <c r="N15" s="24"/>
    </row>
    <row r="16" spans="1:14" s="17" customFormat="1" ht="15.75" customHeight="1">
      <c r="A16" s="11" t="s">
        <v>26</v>
      </c>
      <c r="B16" s="99">
        <f>_xlfn.COMPOUNDVALUE(29)</f>
        <v>1117</v>
      </c>
      <c r="C16" s="132">
        <v>820635</v>
      </c>
      <c r="D16" s="99">
        <f>_xlfn.COMPOUNDVALUE(30)</f>
        <v>1141</v>
      </c>
      <c r="E16" s="132">
        <v>535633</v>
      </c>
      <c r="F16" s="99">
        <f>_xlfn.COMPOUNDVALUE(31)</f>
        <v>2258</v>
      </c>
      <c r="G16" s="132">
        <v>1356269</v>
      </c>
      <c r="H16" s="99">
        <f>_xlfn.COMPOUNDVALUE(32)</f>
        <v>92</v>
      </c>
      <c r="I16" s="134">
        <v>54085</v>
      </c>
      <c r="J16" s="99">
        <v>176</v>
      </c>
      <c r="K16" s="101">
        <v>30491</v>
      </c>
      <c r="L16" s="99">
        <v>2415</v>
      </c>
      <c r="M16" s="101">
        <v>1332674</v>
      </c>
      <c r="N16" s="25" t="s">
        <v>26</v>
      </c>
    </row>
    <row r="17" spans="1:14" s="17" customFormat="1" ht="15.75" customHeight="1">
      <c r="A17" s="11" t="s">
        <v>27</v>
      </c>
      <c r="B17" s="99">
        <f>_xlfn.COMPOUNDVALUE(33)</f>
        <v>801</v>
      </c>
      <c r="C17" s="132">
        <v>695220</v>
      </c>
      <c r="D17" s="99">
        <f>_xlfn.COMPOUNDVALUE(34)</f>
        <v>821</v>
      </c>
      <c r="E17" s="132">
        <v>446830</v>
      </c>
      <c r="F17" s="99">
        <f>_xlfn.COMPOUNDVALUE(35)</f>
        <v>1622</v>
      </c>
      <c r="G17" s="132">
        <v>1142050</v>
      </c>
      <c r="H17" s="99">
        <f>_xlfn.COMPOUNDVALUE(36)</f>
        <v>78</v>
      </c>
      <c r="I17" s="134">
        <v>92792</v>
      </c>
      <c r="J17" s="99">
        <v>114</v>
      </c>
      <c r="K17" s="101">
        <v>9469</v>
      </c>
      <c r="L17" s="99">
        <v>1740</v>
      </c>
      <c r="M17" s="101">
        <v>1058728</v>
      </c>
      <c r="N17" s="12" t="s">
        <v>27</v>
      </c>
    </row>
    <row r="18" spans="1:14" s="17" customFormat="1" ht="15.75" customHeight="1">
      <c r="A18" s="11" t="s">
        <v>28</v>
      </c>
      <c r="B18" s="99">
        <f>_xlfn.COMPOUNDVALUE(37)</f>
        <v>960</v>
      </c>
      <c r="C18" s="132">
        <v>806678</v>
      </c>
      <c r="D18" s="99">
        <f>_xlfn.COMPOUNDVALUE(38)</f>
        <v>1081</v>
      </c>
      <c r="E18" s="132">
        <v>608934</v>
      </c>
      <c r="F18" s="99">
        <f>_xlfn.COMPOUNDVALUE(39)</f>
        <v>2041</v>
      </c>
      <c r="G18" s="132">
        <v>1415612</v>
      </c>
      <c r="H18" s="99">
        <f>_xlfn.COMPOUNDVALUE(40)</f>
        <v>74</v>
      </c>
      <c r="I18" s="134">
        <v>85948</v>
      </c>
      <c r="J18" s="99">
        <v>118</v>
      </c>
      <c r="K18" s="101">
        <v>116046</v>
      </c>
      <c r="L18" s="99">
        <v>2142</v>
      </c>
      <c r="M18" s="101">
        <v>1445710</v>
      </c>
      <c r="N18" s="12" t="s">
        <v>28</v>
      </c>
    </row>
    <row r="19" spans="1:14" s="17" customFormat="1" ht="15.75" customHeight="1">
      <c r="A19" s="11" t="s">
        <v>29</v>
      </c>
      <c r="B19" s="99">
        <f>_xlfn.COMPOUNDVALUE(41)</f>
        <v>1070</v>
      </c>
      <c r="C19" s="132">
        <v>697248</v>
      </c>
      <c r="D19" s="99">
        <f>_xlfn.COMPOUNDVALUE(42)</f>
        <v>935</v>
      </c>
      <c r="E19" s="132">
        <v>434635</v>
      </c>
      <c r="F19" s="99">
        <f>_xlfn.COMPOUNDVALUE(43)</f>
        <v>2005</v>
      </c>
      <c r="G19" s="132">
        <v>1131883</v>
      </c>
      <c r="H19" s="99">
        <f>_xlfn.COMPOUNDVALUE(44)</f>
        <v>78</v>
      </c>
      <c r="I19" s="134">
        <v>61744</v>
      </c>
      <c r="J19" s="99">
        <v>207</v>
      </c>
      <c r="K19" s="101">
        <v>55157</v>
      </c>
      <c r="L19" s="99">
        <v>2184</v>
      </c>
      <c r="M19" s="101">
        <v>1125296</v>
      </c>
      <c r="N19" s="12" t="s">
        <v>29</v>
      </c>
    </row>
    <row r="20" spans="1:14" s="17" customFormat="1" ht="15.75" customHeight="1">
      <c r="A20" s="11" t="s">
        <v>30</v>
      </c>
      <c r="B20" s="99">
        <f>_xlfn.COMPOUNDVALUE(45)</f>
        <v>1030</v>
      </c>
      <c r="C20" s="132">
        <v>812075</v>
      </c>
      <c r="D20" s="99">
        <f>_xlfn.COMPOUNDVALUE(46)</f>
        <v>1046</v>
      </c>
      <c r="E20" s="132">
        <v>528234</v>
      </c>
      <c r="F20" s="99">
        <f>_xlfn.COMPOUNDVALUE(47)</f>
        <v>2076</v>
      </c>
      <c r="G20" s="132">
        <v>1340310</v>
      </c>
      <c r="H20" s="99">
        <f>_xlfn.COMPOUNDVALUE(48)</f>
        <v>94</v>
      </c>
      <c r="I20" s="134">
        <v>59376</v>
      </c>
      <c r="J20" s="99">
        <v>118</v>
      </c>
      <c r="K20" s="101">
        <v>34190</v>
      </c>
      <c r="L20" s="99">
        <v>2223</v>
      </c>
      <c r="M20" s="101">
        <v>1315124</v>
      </c>
      <c r="N20" s="12" t="s">
        <v>30</v>
      </c>
    </row>
    <row r="21" spans="1:14" s="17" customFormat="1" ht="15.75" customHeight="1">
      <c r="A21" s="11" t="s">
        <v>31</v>
      </c>
      <c r="B21" s="99">
        <f>_xlfn.COMPOUNDVALUE(49)</f>
        <v>2110</v>
      </c>
      <c r="C21" s="132">
        <v>1223216</v>
      </c>
      <c r="D21" s="99">
        <f>_xlfn.COMPOUNDVALUE(50)</f>
        <v>1892</v>
      </c>
      <c r="E21" s="132">
        <v>925196</v>
      </c>
      <c r="F21" s="99">
        <f>_xlfn.COMPOUNDVALUE(51)</f>
        <v>4002</v>
      </c>
      <c r="G21" s="132">
        <v>2148412</v>
      </c>
      <c r="H21" s="99">
        <f>_xlfn.COMPOUNDVALUE(52)</f>
        <v>162</v>
      </c>
      <c r="I21" s="134">
        <v>131441</v>
      </c>
      <c r="J21" s="99">
        <v>315</v>
      </c>
      <c r="K21" s="101">
        <v>66110</v>
      </c>
      <c r="L21" s="99">
        <v>4314</v>
      </c>
      <c r="M21" s="101">
        <v>2083081</v>
      </c>
      <c r="N21" s="12" t="s">
        <v>31</v>
      </c>
    </row>
    <row r="22" spans="1:14" s="17" customFormat="1" ht="15.75" customHeight="1">
      <c r="A22" s="13" t="s">
        <v>32</v>
      </c>
      <c r="B22" s="102">
        <f>_xlfn.COMPOUNDVALUE(53)</f>
        <v>1204</v>
      </c>
      <c r="C22" s="133">
        <v>683943</v>
      </c>
      <c r="D22" s="102">
        <f>_xlfn.COMPOUNDVALUE(54)</f>
        <v>1029</v>
      </c>
      <c r="E22" s="133">
        <v>503949</v>
      </c>
      <c r="F22" s="102">
        <f>_xlfn.COMPOUNDVALUE(55)</f>
        <v>2233</v>
      </c>
      <c r="G22" s="133">
        <v>1187891</v>
      </c>
      <c r="H22" s="102">
        <f>_xlfn.COMPOUNDVALUE(56)</f>
        <v>76</v>
      </c>
      <c r="I22" s="135">
        <v>44650</v>
      </c>
      <c r="J22" s="102">
        <v>189</v>
      </c>
      <c r="K22" s="104">
        <v>23017</v>
      </c>
      <c r="L22" s="102">
        <v>2396</v>
      </c>
      <c r="M22" s="104">
        <v>1166258</v>
      </c>
      <c r="N22" s="14" t="s">
        <v>32</v>
      </c>
    </row>
    <row r="23" spans="1:14" s="17" customFormat="1" ht="15.75" customHeight="1">
      <c r="A23" s="13" t="s">
        <v>33</v>
      </c>
      <c r="B23" s="102">
        <f>_xlfn.COMPOUNDVALUE(57)</f>
        <v>456</v>
      </c>
      <c r="C23" s="133">
        <v>266603</v>
      </c>
      <c r="D23" s="102">
        <f>_xlfn.COMPOUNDVALUE(58)</f>
        <v>442</v>
      </c>
      <c r="E23" s="133">
        <v>177563</v>
      </c>
      <c r="F23" s="102">
        <f>_xlfn.COMPOUNDVALUE(59)</f>
        <v>898</v>
      </c>
      <c r="G23" s="133">
        <v>444167</v>
      </c>
      <c r="H23" s="102">
        <f>_xlfn.COMPOUNDVALUE(60)</f>
        <v>19</v>
      </c>
      <c r="I23" s="135">
        <v>2434</v>
      </c>
      <c r="J23" s="102">
        <v>115</v>
      </c>
      <c r="K23" s="104">
        <v>27507</v>
      </c>
      <c r="L23" s="102">
        <v>959</v>
      </c>
      <c r="M23" s="104">
        <v>469239</v>
      </c>
      <c r="N23" s="14" t="s">
        <v>33</v>
      </c>
    </row>
    <row r="24" spans="1:14" s="17" customFormat="1" ht="15.75" customHeight="1">
      <c r="A24" s="13" t="s">
        <v>34</v>
      </c>
      <c r="B24" s="102">
        <f>_xlfn.COMPOUNDVALUE(61)</f>
        <v>339</v>
      </c>
      <c r="C24" s="133">
        <v>198163</v>
      </c>
      <c r="D24" s="102">
        <f>_xlfn.COMPOUNDVALUE(62)</f>
        <v>299</v>
      </c>
      <c r="E24" s="133">
        <v>134181</v>
      </c>
      <c r="F24" s="102">
        <f>_xlfn.COMPOUNDVALUE(63)</f>
        <v>638</v>
      </c>
      <c r="G24" s="133">
        <v>332344</v>
      </c>
      <c r="H24" s="102">
        <f>_xlfn.COMPOUNDVALUE(64)</f>
        <v>14</v>
      </c>
      <c r="I24" s="135">
        <v>11936</v>
      </c>
      <c r="J24" s="102">
        <v>60</v>
      </c>
      <c r="K24" s="104">
        <v>13742</v>
      </c>
      <c r="L24" s="102">
        <v>671</v>
      </c>
      <c r="M24" s="104">
        <v>334150</v>
      </c>
      <c r="N24" s="14" t="s">
        <v>34</v>
      </c>
    </row>
    <row r="25" spans="1:14" s="17" customFormat="1" ht="15.75" customHeight="1">
      <c r="A25" s="13" t="s">
        <v>35</v>
      </c>
      <c r="B25" s="102">
        <f>_xlfn.COMPOUNDVALUE(65)</f>
        <v>2288</v>
      </c>
      <c r="C25" s="133">
        <v>1292173</v>
      </c>
      <c r="D25" s="102">
        <f>_xlfn.COMPOUNDVALUE(66)</f>
        <v>2091</v>
      </c>
      <c r="E25" s="133">
        <v>920893</v>
      </c>
      <c r="F25" s="102">
        <f>_xlfn.COMPOUNDVALUE(67)</f>
        <v>4379</v>
      </c>
      <c r="G25" s="133">
        <v>2213066</v>
      </c>
      <c r="H25" s="102">
        <f>_xlfn.COMPOUNDVALUE(68)</f>
        <v>240</v>
      </c>
      <c r="I25" s="135">
        <v>162736</v>
      </c>
      <c r="J25" s="102">
        <v>280</v>
      </c>
      <c r="K25" s="104">
        <v>94940</v>
      </c>
      <c r="L25" s="102">
        <v>4754</v>
      </c>
      <c r="M25" s="104">
        <v>2145270</v>
      </c>
      <c r="N25" s="14" t="s">
        <v>35</v>
      </c>
    </row>
    <row r="26" spans="1:14" s="17" customFormat="1" ht="15.75" customHeight="1">
      <c r="A26" s="13" t="s">
        <v>36</v>
      </c>
      <c r="B26" s="102">
        <f>_xlfn.COMPOUNDVALUE(69)</f>
        <v>292</v>
      </c>
      <c r="C26" s="133">
        <v>161512</v>
      </c>
      <c r="D26" s="102">
        <f>_xlfn.COMPOUNDVALUE(70)</f>
        <v>247</v>
      </c>
      <c r="E26" s="133">
        <v>94441</v>
      </c>
      <c r="F26" s="102">
        <f>_xlfn.COMPOUNDVALUE(71)</f>
        <v>539</v>
      </c>
      <c r="G26" s="133">
        <v>255952</v>
      </c>
      <c r="H26" s="102">
        <f>_xlfn.COMPOUNDVALUE(72)</f>
        <v>13</v>
      </c>
      <c r="I26" s="135">
        <v>3582</v>
      </c>
      <c r="J26" s="102">
        <v>48</v>
      </c>
      <c r="K26" s="104">
        <v>11872</v>
      </c>
      <c r="L26" s="102">
        <v>561</v>
      </c>
      <c r="M26" s="104">
        <v>264242</v>
      </c>
      <c r="N26" s="14" t="s">
        <v>36</v>
      </c>
    </row>
    <row r="27" spans="1:14" s="17" customFormat="1" ht="15.75" customHeight="1">
      <c r="A27" s="13" t="s">
        <v>37</v>
      </c>
      <c r="B27" s="102">
        <f>_xlfn.COMPOUNDVALUE(73)</f>
        <v>649</v>
      </c>
      <c r="C27" s="133">
        <v>334991</v>
      </c>
      <c r="D27" s="102">
        <f>_xlfn.COMPOUNDVALUE(74)</f>
        <v>551</v>
      </c>
      <c r="E27" s="133">
        <v>231616</v>
      </c>
      <c r="F27" s="102">
        <f>_xlfn.COMPOUNDVALUE(75)</f>
        <v>1200</v>
      </c>
      <c r="G27" s="133">
        <v>566607</v>
      </c>
      <c r="H27" s="102">
        <f>_xlfn.COMPOUNDVALUE(76)</f>
        <v>38</v>
      </c>
      <c r="I27" s="135">
        <v>11536</v>
      </c>
      <c r="J27" s="102">
        <v>75</v>
      </c>
      <c r="K27" s="104">
        <v>20881</v>
      </c>
      <c r="L27" s="102">
        <v>1275</v>
      </c>
      <c r="M27" s="104">
        <v>575952</v>
      </c>
      <c r="N27" s="14" t="s">
        <v>37</v>
      </c>
    </row>
    <row r="28" spans="1:14" s="17" customFormat="1" ht="15.75" customHeight="1">
      <c r="A28" s="13" t="s">
        <v>38</v>
      </c>
      <c r="B28" s="102">
        <f>_xlfn.COMPOUNDVALUE(77)</f>
        <v>450</v>
      </c>
      <c r="C28" s="133">
        <v>278188</v>
      </c>
      <c r="D28" s="102">
        <f>_xlfn.COMPOUNDVALUE(78)</f>
        <v>325</v>
      </c>
      <c r="E28" s="133">
        <v>142392</v>
      </c>
      <c r="F28" s="102">
        <f>_xlfn.COMPOUNDVALUE(79)</f>
        <v>775</v>
      </c>
      <c r="G28" s="133">
        <v>420580</v>
      </c>
      <c r="H28" s="102">
        <f>_xlfn.COMPOUNDVALUE(80)</f>
        <v>27</v>
      </c>
      <c r="I28" s="135">
        <v>6002</v>
      </c>
      <c r="J28" s="102">
        <v>56</v>
      </c>
      <c r="K28" s="104">
        <v>5380</v>
      </c>
      <c r="L28" s="102">
        <v>813</v>
      </c>
      <c r="M28" s="104">
        <v>419959</v>
      </c>
      <c r="N28" s="14" t="s">
        <v>38</v>
      </c>
    </row>
    <row r="29" spans="1:14" s="17" customFormat="1" ht="15.75" customHeight="1">
      <c r="A29" s="15" t="s">
        <v>39</v>
      </c>
      <c r="B29" s="105">
        <v>12766</v>
      </c>
      <c r="C29" s="106">
        <v>8270646</v>
      </c>
      <c r="D29" s="105">
        <v>11900</v>
      </c>
      <c r="E29" s="106">
        <v>5684497</v>
      </c>
      <c r="F29" s="105">
        <v>24666</v>
      </c>
      <c r="G29" s="106">
        <v>13955142</v>
      </c>
      <c r="H29" s="105">
        <v>1005</v>
      </c>
      <c r="I29" s="107">
        <v>728263</v>
      </c>
      <c r="J29" s="105">
        <v>1871</v>
      </c>
      <c r="K29" s="107">
        <v>508803</v>
      </c>
      <c r="L29" s="105">
        <v>26447</v>
      </c>
      <c r="M29" s="107">
        <v>13735683</v>
      </c>
      <c r="N29" s="16" t="s">
        <v>121</v>
      </c>
    </row>
    <row r="30" spans="1:14" s="17" customFormat="1" ht="15.75" customHeight="1">
      <c r="A30" s="23"/>
      <c r="B30" s="108"/>
      <c r="C30" s="109"/>
      <c r="D30" s="108"/>
      <c r="E30" s="109"/>
      <c r="F30" s="110"/>
      <c r="G30" s="109"/>
      <c r="H30" s="110"/>
      <c r="I30" s="109"/>
      <c r="J30" s="110"/>
      <c r="K30" s="109"/>
      <c r="L30" s="110"/>
      <c r="M30" s="109"/>
      <c r="N30" s="24"/>
    </row>
    <row r="31" spans="1:14" s="17" customFormat="1" ht="15.75" customHeight="1">
      <c r="A31" s="11" t="s">
        <v>40</v>
      </c>
      <c r="B31" s="99">
        <f>_xlfn.COMPOUNDVALUE(81)</f>
        <v>779</v>
      </c>
      <c r="C31" s="132">
        <v>468592</v>
      </c>
      <c r="D31" s="99">
        <f>_xlfn.COMPOUNDVALUE(82)</f>
        <v>574</v>
      </c>
      <c r="E31" s="132">
        <v>298848</v>
      </c>
      <c r="F31" s="99">
        <f>_xlfn.COMPOUNDVALUE(83)</f>
        <v>1353</v>
      </c>
      <c r="G31" s="132">
        <v>767440</v>
      </c>
      <c r="H31" s="99">
        <f>_xlfn.COMPOUNDVALUE(84)</f>
        <v>52</v>
      </c>
      <c r="I31" s="134">
        <v>18745</v>
      </c>
      <c r="J31" s="99">
        <v>105</v>
      </c>
      <c r="K31" s="101">
        <v>33670</v>
      </c>
      <c r="L31" s="99">
        <v>1445</v>
      </c>
      <c r="M31" s="101">
        <v>782365</v>
      </c>
      <c r="N31" s="25" t="s">
        <v>40</v>
      </c>
    </row>
    <row r="32" spans="1:14" s="17" customFormat="1" ht="15.75" customHeight="1">
      <c r="A32" s="11" t="s">
        <v>41</v>
      </c>
      <c r="B32" s="99">
        <f>_xlfn.COMPOUNDVALUE(85)</f>
        <v>1021</v>
      </c>
      <c r="C32" s="132">
        <v>763043</v>
      </c>
      <c r="D32" s="99">
        <f>_xlfn.COMPOUNDVALUE(86)</f>
        <v>671</v>
      </c>
      <c r="E32" s="132">
        <v>355150</v>
      </c>
      <c r="F32" s="99">
        <f>_xlfn.COMPOUNDVALUE(87)</f>
        <v>1692</v>
      </c>
      <c r="G32" s="132">
        <v>1118193</v>
      </c>
      <c r="H32" s="99">
        <f>_xlfn.COMPOUNDVALUE(88)</f>
        <v>100</v>
      </c>
      <c r="I32" s="134">
        <v>50842</v>
      </c>
      <c r="J32" s="99">
        <v>108</v>
      </c>
      <c r="K32" s="101">
        <v>36265</v>
      </c>
      <c r="L32" s="99">
        <v>1836</v>
      </c>
      <c r="M32" s="101">
        <v>1103617</v>
      </c>
      <c r="N32" s="12" t="s">
        <v>41</v>
      </c>
    </row>
    <row r="33" spans="1:14" s="17" customFormat="1" ht="15.75" customHeight="1">
      <c r="A33" s="11" t="s">
        <v>42</v>
      </c>
      <c r="B33" s="99">
        <f>_xlfn.COMPOUNDVALUE(89)</f>
        <v>788</v>
      </c>
      <c r="C33" s="132">
        <v>616703</v>
      </c>
      <c r="D33" s="99">
        <f>_xlfn.COMPOUNDVALUE(90)</f>
        <v>577</v>
      </c>
      <c r="E33" s="132">
        <v>257046</v>
      </c>
      <c r="F33" s="99">
        <f>_xlfn.COMPOUNDVALUE(91)</f>
        <v>1365</v>
      </c>
      <c r="G33" s="132">
        <v>873750</v>
      </c>
      <c r="H33" s="99">
        <f>_xlfn.COMPOUNDVALUE(92)</f>
        <v>42</v>
      </c>
      <c r="I33" s="134">
        <v>13067</v>
      </c>
      <c r="J33" s="99">
        <v>118</v>
      </c>
      <c r="K33" s="101">
        <v>18321</v>
      </c>
      <c r="L33" s="99">
        <v>1437</v>
      </c>
      <c r="M33" s="101">
        <v>879004</v>
      </c>
      <c r="N33" s="12" t="s">
        <v>42</v>
      </c>
    </row>
    <row r="34" spans="1:14" s="17" customFormat="1" ht="15.75" customHeight="1">
      <c r="A34" s="11" t="s">
        <v>43</v>
      </c>
      <c r="B34" s="99">
        <f>_xlfn.COMPOUNDVALUE(93)</f>
        <v>522</v>
      </c>
      <c r="C34" s="132">
        <v>403056</v>
      </c>
      <c r="D34" s="99">
        <f>_xlfn.COMPOUNDVALUE(94)</f>
        <v>512</v>
      </c>
      <c r="E34" s="132">
        <v>296431</v>
      </c>
      <c r="F34" s="99">
        <f>_xlfn.COMPOUNDVALUE(95)</f>
        <v>1034</v>
      </c>
      <c r="G34" s="132">
        <v>699487</v>
      </c>
      <c r="H34" s="99">
        <f>_xlfn.COMPOUNDVALUE(96)</f>
        <v>59</v>
      </c>
      <c r="I34" s="134">
        <v>40618</v>
      </c>
      <c r="J34" s="99">
        <v>56</v>
      </c>
      <c r="K34" s="101">
        <v>27444</v>
      </c>
      <c r="L34" s="99">
        <v>1114</v>
      </c>
      <c r="M34" s="101">
        <v>686313</v>
      </c>
      <c r="N34" s="12" t="s">
        <v>43</v>
      </c>
    </row>
    <row r="35" spans="1:14" s="17" customFormat="1" ht="15.75" customHeight="1">
      <c r="A35" s="11" t="s">
        <v>44</v>
      </c>
      <c r="B35" s="99">
        <f>_xlfn.COMPOUNDVALUE(97)</f>
        <v>558</v>
      </c>
      <c r="C35" s="132">
        <v>415173</v>
      </c>
      <c r="D35" s="99">
        <f>_xlfn.COMPOUNDVALUE(98)</f>
        <v>284</v>
      </c>
      <c r="E35" s="132">
        <v>152186</v>
      </c>
      <c r="F35" s="99">
        <f>_xlfn.COMPOUNDVALUE(99)</f>
        <v>842</v>
      </c>
      <c r="G35" s="132">
        <v>567359</v>
      </c>
      <c r="H35" s="99">
        <f>_xlfn.COMPOUNDVALUE(100)</f>
        <v>52</v>
      </c>
      <c r="I35" s="134">
        <v>36137</v>
      </c>
      <c r="J35" s="99">
        <v>72</v>
      </c>
      <c r="K35" s="101">
        <v>46346</v>
      </c>
      <c r="L35" s="99">
        <v>923</v>
      </c>
      <c r="M35" s="101">
        <v>577567</v>
      </c>
      <c r="N35" s="12" t="s">
        <v>44</v>
      </c>
    </row>
    <row r="36" spans="1:14" s="17" customFormat="1" ht="15.75" customHeight="1">
      <c r="A36" s="11" t="s">
        <v>45</v>
      </c>
      <c r="B36" s="99">
        <f>_xlfn.COMPOUNDVALUE(101)</f>
        <v>429</v>
      </c>
      <c r="C36" s="132">
        <v>285540</v>
      </c>
      <c r="D36" s="99">
        <f>_xlfn.COMPOUNDVALUE(102)</f>
        <v>335</v>
      </c>
      <c r="E36" s="132">
        <v>140925</v>
      </c>
      <c r="F36" s="99">
        <f>_xlfn.COMPOUNDVALUE(103)</f>
        <v>764</v>
      </c>
      <c r="G36" s="132">
        <v>426465</v>
      </c>
      <c r="H36" s="99">
        <f>_xlfn.COMPOUNDVALUE(104)</f>
        <v>25</v>
      </c>
      <c r="I36" s="134">
        <v>12126</v>
      </c>
      <c r="J36" s="99">
        <v>84</v>
      </c>
      <c r="K36" s="101">
        <v>18985</v>
      </c>
      <c r="L36" s="99">
        <v>818</v>
      </c>
      <c r="M36" s="101">
        <v>433324</v>
      </c>
      <c r="N36" s="12" t="s">
        <v>45</v>
      </c>
    </row>
    <row r="37" spans="1:14" s="17" customFormat="1" ht="15.75" customHeight="1">
      <c r="A37" s="11" t="s">
        <v>46</v>
      </c>
      <c r="B37" s="99">
        <f>_xlfn.COMPOUNDVALUE(105)</f>
        <v>474</v>
      </c>
      <c r="C37" s="132">
        <v>307226</v>
      </c>
      <c r="D37" s="99">
        <f>_xlfn.COMPOUNDVALUE(106)</f>
        <v>438</v>
      </c>
      <c r="E37" s="132">
        <v>192041</v>
      </c>
      <c r="F37" s="99">
        <f>_xlfn.COMPOUNDVALUE(107)</f>
        <v>912</v>
      </c>
      <c r="G37" s="132">
        <v>499267</v>
      </c>
      <c r="H37" s="99">
        <f>_xlfn.COMPOUNDVALUE(108)</f>
        <v>37</v>
      </c>
      <c r="I37" s="134">
        <v>23256</v>
      </c>
      <c r="J37" s="99">
        <v>61</v>
      </c>
      <c r="K37" s="101">
        <v>14597</v>
      </c>
      <c r="L37" s="99">
        <v>975</v>
      </c>
      <c r="M37" s="101">
        <v>490609</v>
      </c>
      <c r="N37" s="12" t="s">
        <v>46</v>
      </c>
    </row>
    <row r="38" spans="1:14" s="17" customFormat="1" ht="15.75" customHeight="1">
      <c r="A38" s="11" t="s">
        <v>47</v>
      </c>
      <c r="B38" s="99">
        <f>_xlfn.COMPOUNDVALUE(109)</f>
        <v>893</v>
      </c>
      <c r="C38" s="132">
        <v>611548</v>
      </c>
      <c r="D38" s="99">
        <f>_xlfn.COMPOUNDVALUE(110)</f>
        <v>788</v>
      </c>
      <c r="E38" s="132">
        <v>355821</v>
      </c>
      <c r="F38" s="99">
        <f>_xlfn.COMPOUNDVALUE(111)</f>
        <v>1681</v>
      </c>
      <c r="G38" s="132">
        <v>967369</v>
      </c>
      <c r="H38" s="99">
        <f>_xlfn.COMPOUNDVALUE(112)</f>
        <v>68</v>
      </c>
      <c r="I38" s="134">
        <v>30359</v>
      </c>
      <c r="J38" s="99">
        <v>176</v>
      </c>
      <c r="K38" s="101">
        <v>48953</v>
      </c>
      <c r="L38" s="99">
        <v>1806</v>
      </c>
      <c r="M38" s="101">
        <v>985963</v>
      </c>
      <c r="N38" s="12" t="s">
        <v>47</v>
      </c>
    </row>
    <row r="39" spans="1:14" s="17" customFormat="1" ht="15.75" customHeight="1">
      <c r="A39" s="11" t="s">
        <v>48</v>
      </c>
      <c r="B39" s="99">
        <f>_xlfn.COMPOUNDVALUE(113)</f>
        <v>885</v>
      </c>
      <c r="C39" s="132">
        <v>494675</v>
      </c>
      <c r="D39" s="99">
        <f>_xlfn.COMPOUNDVALUE(114)</f>
        <v>747</v>
      </c>
      <c r="E39" s="132">
        <v>347902</v>
      </c>
      <c r="F39" s="99">
        <f>_xlfn.COMPOUNDVALUE(115)</f>
        <v>1632</v>
      </c>
      <c r="G39" s="132">
        <v>842577</v>
      </c>
      <c r="H39" s="99">
        <f>_xlfn.COMPOUNDVALUE(116)</f>
        <v>82</v>
      </c>
      <c r="I39" s="134">
        <v>31808</v>
      </c>
      <c r="J39" s="99">
        <v>150</v>
      </c>
      <c r="K39" s="101">
        <v>33688</v>
      </c>
      <c r="L39" s="99">
        <v>1798</v>
      </c>
      <c r="M39" s="101">
        <v>844457</v>
      </c>
      <c r="N39" s="12" t="s">
        <v>48</v>
      </c>
    </row>
    <row r="40" spans="1:14" s="17" customFormat="1" ht="15.75" customHeight="1">
      <c r="A40" s="11" t="s">
        <v>49</v>
      </c>
      <c r="B40" s="99">
        <f>_xlfn.COMPOUNDVALUE(117)</f>
        <v>1175</v>
      </c>
      <c r="C40" s="132">
        <v>643578</v>
      </c>
      <c r="D40" s="99">
        <f>_xlfn.COMPOUNDVALUE(118)</f>
        <v>877</v>
      </c>
      <c r="E40" s="132">
        <v>439574</v>
      </c>
      <c r="F40" s="99">
        <f>_xlfn.COMPOUNDVALUE(119)</f>
        <v>2052</v>
      </c>
      <c r="G40" s="132">
        <v>1083152</v>
      </c>
      <c r="H40" s="99">
        <f>_xlfn.COMPOUNDVALUE(120)</f>
        <v>95</v>
      </c>
      <c r="I40" s="134">
        <v>85565</v>
      </c>
      <c r="J40" s="99">
        <v>220</v>
      </c>
      <c r="K40" s="101">
        <v>43177</v>
      </c>
      <c r="L40" s="99">
        <v>2237</v>
      </c>
      <c r="M40" s="101">
        <v>1040763</v>
      </c>
      <c r="N40" s="12" t="s">
        <v>49</v>
      </c>
    </row>
    <row r="41" spans="1:14" s="17" customFormat="1" ht="15.75" customHeight="1">
      <c r="A41" s="11" t="s">
        <v>50</v>
      </c>
      <c r="B41" s="99">
        <f>_xlfn.COMPOUNDVALUE(121)</f>
        <v>526</v>
      </c>
      <c r="C41" s="132">
        <v>367817</v>
      </c>
      <c r="D41" s="99">
        <f>_xlfn.COMPOUNDVALUE(122)</f>
        <v>496</v>
      </c>
      <c r="E41" s="132">
        <v>281002</v>
      </c>
      <c r="F41" s="99">
        <f>_xlfn.COMPOUNDVALUE(123)</f>
        <v>1022</v>
      </c>
      <c r="G41" s="132">
        <v>648818</v>
      </c>
      <c r="H41" s="99">
        <f>_xlfn.COMPOUNDVALUE(124)</f>
        <v>36</v>
      </c>
      <c r="I41" s="134">
        <v>13839</v>
      </c>
      <c r="J41" s="99">
        <v>51</v>
      </c>
      <c r="K41" s="101">
        <v>7982</v>
      </c>
      <c r="L41" s="99">
        <v>1079</v>
      </c>
      <c r="M41" s="101">
        <v>642962</v>
      </c>
      <c r="N41" s="12" t="s">
        <v>50</v>
      </c>
    </row>
    <row r="42" spans="1:14" s="17" customFormat="1" ht="15.75" customHeight="1">
      <c r="A42" s="11" t="s">
        <v>51</v>
      </c>
      <c r="B42" s="99">
        <f>_xlfn.COMPOUNDVALUE(125)</f>
        <v>1189</v>
      </c>
      <c r="C42" s="132">
        <v>597927</v>
      </c>
      <c r="D42" s="99">
        <f>_xlfn.COMPOUNDVALUE(126)</f>
        <v>877</v>
      </c>
      <c r="E42" s="132">
        <v>441289</v>
      </c>
      <c r="F42" s="99">
        <f>_xlfn.COMPOUNDVALUE(127)</f>
        <v>2066</v>
      </c>
      <c r="G42" s="132">
        <v>1039216</v>
      </c>
      <c r="H42" s="99">
        <f>_xlfn.COMPOUNDVALUE(128)</f>
        <v>90</v>
      </c>
      <c r="I42" s="134">
        <v>50467</v>
      </c>
      <c r="J42" s="99">
        <v>212</v>
      </c>
      <c r="K42" s="101">
        <v>53967</v>
      </c>
      <c r="L42" s="99">
        <v>2252</v>
      </c>
      <c r="M42" s="101">
        <v>1042716</v>
      </c>
      <c r="N42" s="12" t="s">
        <v>51</v>
      </c>
    </row>
    <row r="43" spans="1:14" s="17" customFormat="1" ht="15.75" customHeight="1">
      <c r="A43" s="11" t="s">
        <v>52</v>
      </c>
      <c r="B43" s="99">
        <f>_xlfn.COMPOUNDVALUE(129)</f>
        <v>1836</v>
      </c>
      <c r="C43" s="132">
        <v>1021591</v>
      </c>
      <c r="D43" s="99">
        <f>_xlfn.COMPOUNDVALUE(130)</f>
        <v>1458</v>
      </c>
      <c r="E43" s="132">
        <v>682511</v>
      </c>
      <c r="F43" s="99">
        <f>_xlfn.COMPOUNDVALUE(131)</f>
        <v>3294</v>
      </c>
      <c r="G43" s="132">
        <v>1704102</v>
      </c>
      <c r="H43" s="99">
        <f>_xlfn.COMPOUNDVALUE(132)</f>
        <v>112</v>
      </c>
      <c r="I43" s="134">
        <v>89110</v>
      </c>
      <c r="J43" s="99">
        <v>379</v>
      </c>
      <c r="K43" s="101">
        <v>87172</v>
      </c>
      <c r="L43" s="99">
        <v>3589</v>
      </c>
      <c r="M43" s="101">
        <v>1702163</v>
      </c>
      <c r="N43" s="12" t="s">
        <v>52</v>
      </c>
    </row>
    <row r="44" spans="1:14" s="17" customFormat="1" ht="15.75" customHeight="1">
      <c r="A44" s="11" t="s">
        <v>53</v>
      </c>
      <c r="B44" s="99">
        <f>_xlfn.COMPOUNDVALUE(133)</f>
        <v>532</v>
      </c>
      <c r="C44" s="132">
        <v>294720</v>
      </c>
      <c r="D44" s="99">
        <f>_xlfn.COMPOUNDVALUE(134)</f>
        <v>358</v>
      </c>
      <c r="E44" s="132">
        <v>202744</v>
      </c>
      <c r="F44" s="99">
        <f>_xlfn.COMPOUNDVALUE(135)</f>
        <v>890</v>
      </c>
      <c r="G44" s="132">
        <v>497465</v>
      </c>
      <c r="H44" s="99">
        <f>_xlfn.COMPOUNDVALUE(136)</f>
        <v>30</v>
      </c>
      <c r="I44" s="134">
        <v>8057</v>
      </c>
      <c r="J44" s="99">
        <v>115</v>
      </c>
      <c r="K44" s="101">
        <v>83348</v>
      </c>
      <c r="L44" s="99">
        <v>977</v>
      </c>
      <c r="M44" s="101">
        <v>572756</v>
      </c>
      <c r="N44" s="12" t="s">
        <v>53</v>
      </c>
    </row>
    <row r="45" spans="1:14" s="17" customFormat="1" ht="15.75" customHeight="1">
      <c r="A45" s="11" t="s">
        <v>54</v>
      </c>
      <c r="B45" s="99">
        <f>_xlfn.COMPOUNDVALUE(137)</f>
        <v>1664</v>
      </c>
      <c r="C45" s="132">
        <v>1052875</v>
      </c>
      <c r="D45" s="99">
        <f>_xlfn.COMPOUNDVALUE(138)</f>
        <v>1108</v>
      </c>
      <c r="E45" s="132">
        <v>570858</v>
      </c>
      <c r="F45" s="99">
        <f>_xlfn.COMPOUNDVALUE(139)</f>
        <v>2772</v>
      </c>
      <c r="G45" s="132">
        <v>1623733</v>
      </c>
      <c r="H45" s="99">
        <f>_xlfn.COMPOUNDVALUE(140)</f>
        <v>98</v>
      </c>
      <c r="I45" s="134">
        <v>56170</v>
      </c>
      <c r="J45" s="99">
        <v>444</v>
      </c>
      <c r="K45" s="101">
        <v>130254</v>
      </c>
      <c r="L45" s="99">
        <v>3086</v>
      </c>
      <c r="M45" s="101">
        <v>1697817</v>
      </c>
      <c r="N45" s="12" t="s">
        <v>54</v>
      </c>
    </row>
    <row r="46" spans="1:14" s="17" customFormat="1" ht="15.75" customHeight="1">
      <c r="A46" s="11" t="s">
        <v>55</v>
      </c>
      <c r="B46" s="99">
        <f>_xlfn.COMPOUNDVALUE(141)</f>
        <v>1392</v>
      </c>
      <c r="C46" s="132">
        <v>1623411</v>
      </c>
      <c r="D46" s="99">
        <f>_xlfn.COMPOUNDVALUE(142)</f>
        <v>1325</v>
      </c>
      <c r="E46" s="132">
        <v>906551</v>
      </c>
      <c r="F46" s="99">
        <f>_xlfn.COMPOUNDVALUE(143)</f>
        <v>2717</v>
      </c>
      <c r="G46" s="132">
        <v>2529962</v>
      </c>
      <c r="H46" s="99">
        <f>_xlfn.COMPOUNDVALUE(144)</f>
        <v>85</v>
      </c>
      <c r="I46" s="134">
        <v>114718</v>
      </c>
      <c r="J46" s="99">
        <v>177</v>
      </c>
      <c r="K46" s="101">
        <v>32442</v>
      </c>
      <c r="L46" s="99">
        <v>2857</v>
      </c>
      <c r="M46" s="101">
        <v>2447686</v>
      </c>
      <c r="N46" s="12" t="s">
        <v>55</v>
      </c>
    </row>
    <row r="47" spans="1:14" s="17" customFormat="1" ht="15.75" customHeight="1">
      <c r="A47" s="11" t="s">
        <v>56</v>
      </c>
      <c r="B47" s="99">
        <f>_xlfn.COMPOUNDVALUE(145)</f>
        <v>654</v>
      </c>
      <c r="C47" s="132">
        <v>649932</v>
      </c>
      <c r="D47" s="99">
        <f>_xlfn.COMPOUNDVALUE(146)</f>
        <v>539</v>
      </c>
      <c r="E47" s="132">
        <v>292278</v>
      </c>
      <c r="F47" s="99">
        <f>_xlfn.COMPOUNDVALUE(147)</f>
        <v>1193</v>
      </c>
      <c r="G47" s="132">
        <v>942210</v>
      </c>
      <c r="H47" s="99">
        <f>_xlfn.COMPOUNDVALUE(148)</f>
        <v>81</v>
      </c>
      <c r="I47" s="134">
        <v>71886</v>
      </c>
      <c r="J47" s="99">
        <v>61</v>
      </c>
      <c r="K47" s="101">
        <v>13103</v>
      </c>
      <c r="L47" s="99">
        <v>1300</v>
      </c>
      <c r="M47" s="101">
        <v>883427</v>
      </c>
      <c r="N47" s="12" t="s">
        <v>56</v>
      </c>
    </row>
    <row r="48" spans="1:14" s="17" customFormat="1" ht="15.75" customHeight="1">
      <c r="A48" s="11" t="s">
        <v>57</v>
      </c>
      <c r="B48" s="136">
        <f>_xlfn.COMPOUNDVALUE(149)</f>
        <v>1064</v>
      </c>
      <c r="C48" s="132">
        <v>1217631</v>
      </c>
      <c r="D48" s="99">
        <f>_xlfn.COMPOUNDVALUE(150)</f>
        <v>1006</v>
      </c>
      <c r="E48" s="132">
        <v>679919</v>
      </c>
      <c r="F48" s="136">
        <f>_xlfn.COMPOUNDVALUE(151)</f>
        <v>2070</v>
      </c>
      <c r="G48" s="132">
        <v>1897550</v>
      </c>
      <c r="H48" s="136">
        <f>_xlfn.COMPOUNDVALUE(152)</f>
        <v>89</v>
      </c>
      <c r="I48" s="134">
        <v>194189</v>
      </c>
      <c r="J48" s="99">
        <v>135</v>
      </c>
      <c r="K48" s="101">
        <v>28507</v>
      </c>
      <c r="L48" s="99">
        <v>2208</v>
      </c>
      <c r="M48" s="101">
        <v>1731869</v>
      </c>
      <c r="N48" s="12" t="s">
        <v>57</v>
      </c>
    </row>
    <row r="49" spans="1:14" s="17" customFormat="1" ht="15.75" customHeight="1">
      <c r="A49" s="11" t="s">
        <v>58</v>
      </c>
      <c r="B49" s="136">
        <f>_xlfn.COMPOUNDVALUE(153)</f>
        <v>1046</v>
      </c>
      <c r="C49" s="132">
        <v>877344</v>
      </c>
      <c r="D49" s="99">
        <f>_xlfn.COMPOUNDVALUE(154)</f>
        <v>670</v>
      </c>
      <c r="E49" s="132">
        <v>393789</v>
      </c>
      <c r="F49" s="136">
        <f>_xlfn.COMPOUNDVALUE(155)</f>
        <v>1716</v>
      </c>
      <c r="G49" s="132">
        <v>1271133</v>
      </c>
      <c r="H49" s="136">
        <f>_xlfn.COMPOUNDVALUE(156)</f>
        <v>92</v>
      </c>
      <c r="I49" s="134">
        <v>32589</v>
      </c>
      <c r="J49" s="99">
        <v>157</v>
      </c>
      <c r="K49" s="101">
        <v>157266</v>
      </c>
      <c r="L49" s="99">
        <v>1870</v>
      </c>
      <c r="M49" s="101">
        <v>1395809</v>
      </c>
      <c r="N49" s="12" t="s">
        <v>58</v>
      </c>
    </row>
    <row r="50" spans="1:14" s="17" customFormat="1" ht="15.75" customHeight="1">
      <c r="A50" s="11" t="s">
        <v>59</v>
      </c>
      <c r="B50" s="136">
        <f>_xlfn.COMPOUNDVALUE(157)</f>
        <v>3895</v>
      </c>
      <c r="C50" s="132">
        <v>2288585</v>
      </c>
      <c r="D50" s="99">
        <f>_xlfn.COMPOUNDVALUE(158)</f>
        <v>2665</v>
      </c>
      <c r="E50" s="132">
        <v>1337060</v>
      </c>
      <c r="F50" s="136">
        <f>_xlfn.COMPOUNDVALUE(159)</f>
        <v>6560</v>
      </c>
      <c r="G50" s="132">
        <v>3625645</v>
      </c>
      <c r="H50" s="136">
        <f>_xlfn.COMPOUNDVALUE(160)</f>
        <v>274</v>
      </c>
      <c r="I50" s="134">
        <v>269366</v>
      </c>
      <c r="J50" s="99">
        <v>581</v>
      </c>
      <c r="K50" s="101">
        <v>206981</v>
      </c>
      <c r="L50" s="99">
        <v>7146</v>
      </c>
      <c r="M50" s="101">
        <v>3563260</v>
      </c>
      <c r="N50" s="12" t="s">
        <v>59</v>
      </c>
    </row>
    <row r="51" spans="1:14" s="17" customFormat="1" ht="15.75" customHeight="1">
      <c r="A51" s="11" t="s">
        <v>60</v>
      </c>
      <c r="B51" s="136">
        <f>_xlfn.COMPOUNDVALUE(161)</f>
        <v>1590</v>
      </c>
      <c r="C51" s="132">
        <v>900319</v>
      </c>
      <c r="D51" s="99">
        <f>_xlfn.COMPOUNDVALUE(162)</f>
        <v>999</v>
      </c>
      <c r="E51" s="132">
        <v>455953</v>
      </c>
      <c r="F51" s="136">
        <f>_xlfn.COMPOUNDVALUE(163)</f>
        <v>2589</v>
      </c>
      <c r="G51" s="132">
        <v>1356273</v>
      </c>
      <c r="H51" s="136">
        <f>_xlfn.COMPOUNDVALUE(164)</f>
        <v>105</v>
      </c>
      <c r="I51" s="134">
        <v>64817</v>
      </c>
      <c r="J51" s="99">
        <v>241</v>
      </c>
      <c r="K51" s="101">
        <v>53427</v>
      </c>
      <c r="L51" s="99">
        <v>2845</v>
      </c>
      <c r="M51" s="101">
        <v>1344882</v>
      </c>
      <c r="N51" s="12" t="s">
        <v>60</v>
      </c>
    </row>
    <row r="52" spans="1:14" s="17" customFormat="1" ht="15.75" customHeight="1">
      <c r="A52" s="11" t="s">
        <v>61</v>
      </c>
      <c r="B52" s="99">
        <f>_xlfn.COMPOUNDVALUE(165)</f>
        <v>2665</v>
      </c>
      <c r="C52" s="132">
        <v>1670839</v>
      </c>
      <c r="D52" s="99">
        <f>_xlfn.COMPOUNDVALUE(166)</f>
        <v>2495</v>
      </c>
      <c r="E52" s="132">
        <v>1286099</v>
      </c>
      <c r="F52" s="99">
        <f>_xlfn.COMPOUNDVALUE(167)</f>
        <v>5160</v>
      </c>
      <c r="G52" s="132">
        <v>2956938</v>
      </c>
      <c r="H52" s="99">
        <f>_xlfn.COMPOUNDVALUE(168)</f>
        <v>243</v>
      </c>
      <c r="I52" s="134">
        <v>130783</v>
      </c>
      <c r="J52" s="99">
        <v>463</v>
      </c>
      <c r="K52" s="101">
        <v>133742</v>
      </c>
      <c r="L52" s="99">
        <v>5623</v>
      </c>
      <c r="M52" s="101">
        <v>2959897</v>
      </c>
      <c r="N52" s="12" t="s">
        <v>61</v>
      </c>
    </row>
    <row r="53" spans="1:14" s="17" customFormat="1" ht="15.75" customHeight="1">
      <c r="A53" s="11" t="s">
        <v>62</v>
      </c>
      <c r="B53" s="99">
        <f>_xlfn.COMPOUNDVALUE(169)</f>
        <v>1699</v>
      </c>
      <c r="C53" s="132">
        <v>983453</v>
      </c>
      <c r="D53" s="136">
        <f>_xlfn.COMPOUNDVALUE(170)</f>
        <v>1477</v>
      </c>
      <c r="E53" s="132">
        <v>809598</v>
      </c>
      <c r="F53" s="136">
        <f>_xlfn.COMPOUNDVALUE(171)</f>
        <v>3176</v>
      </c>
      <c r="G53" s="132">
        <v>1793051</v>
      </c>
      <c r="H53" s="136">
        <f>_xlfn.COMPOUNDVALUE(172)</f>
        <v>159</v>
      </c>
      <c r="I53" s="134">
        <v>117825</v>
      </c>
      <c r="J53" s="99">
        <v>285</v>
      </c>
      <c r="K53" s="101">
        <v>45546</v>
      </c>
      <c r="L53" s="99">
        <v>3442</v>
      </c>
      <c r="M53" s="101">
        <v>1720771</v>
      </c>
      <c r="N53" s="12" t="s">
        <v>62</v>
      </c>
    </row>
    <row r="54" spans="1:14" s="17" customFormat="1" ht="15.75" customHeight="1">
      <c r="A54" s="11" t="s">
        <v>63</v>
      </c>
      <c r="B54" s="99">
        <f>_xlfn.COMPOUNDVALUE(173)</f>
        <v>1587</v>
      </c>
      <c r="C54" s="132">
        <v>801507</v>
      </c>
      <c r="D54" s="99">
        <f>_xlfn.COMPOUNDVALUE(174)</f>
        <v>1032</v>
      </c>
      <c r="E54" s="132">
        <v>474943</v>
      </c>
      <c r="F54" s="99">
        <f>_xlfn.COMPOUNDVALUE(175)</f>
        <v>2619</v>
      </c>
      <c r="G54" s="132">
        <v>1276450</v>
      </c>
      <c r="H54" s="99">
        <f>_xlfn.COMPOUNDVALUE(176)</f>
        <v>115</v>
      </c>
      <c r="I54" s="134">
        <v>73147</v>
      </c>
      <c r="J54" s="99">
        <v>273</v>
      </c>
      <c r="K54" s="101">
        <v>59464</v>
      </c>
      <c r="L54" s="99">
        <v>2839</v>
      </c>
      <c r="M54" s="101">
        <v>1262768</v>
      </c>
      <c r="N54" s="12" t="s">
        <v>63</v>
      </c>
    </row>
    <row r="55" spans="1:14" s="17" customFormat="1" ht="15.75" customHeight="1">
      <c r="A55" s="13" t="s">
        <v>64</v>
      </c>
      <c r="B55" s="102">
        <f>_xlfn.COMPOUNDVALUE(177)</f>
        <v>2852</v>
      </c>
      <c r="C55" s="133">
        <v>1546323</v>
      </c>
      <c r="D55" s="102">
        <f>_xlfn.COMPOUNDVALUE(178)</f>
        <v>2104</v>
      </c>
      <c r="E55" s="133">
        <v>1055239</v>
      </c>
      <c r="F55" s="102">
        <f>_xlfn.COMPOUNDVALUE(179)</f>
        <v>4956</v>
      </c>
      <c r="G55" s="133">
        <v>2601562</v>
      </c>
      <c r="H55" s="102">
        <f>_xlfn.COMPOUNDVALUE(180)</f>
        <v>215</v>
      </c>
      <c r="I55" s="135">
        <v>161272</v>
      </c>
      <c r="J55" s="102">
        <v>397</v>
      </c>
      <c r="K55" s="104">
        <v>92842</v>
      </c>
      <c r="L55" s="102">
        <v>5383</v>
      </c>
      <c r="M55" s="104">
        <v>2533132</v>
      </c>
      <c r="N55" s="14" t="s">
        <v>64</v>
      </c>
    </row>
    <row r="56" spans="1:14" s="17" customFormat="1" ht="15.75" customHeight="1">
      <c r="A56" s="13" t="s">
        <v>65</v>
      </c>
      <c r="B56" s="102">
        <f>_xlfn.COMPOUNDVALUE(181)</f>
        <v>2180</v>
      </c>
      <c r="C56" s="133">
        <v>1252749</v>
      </c>
      <c r="D56" s="102">
        <f>_xlfn.COMPOUNDVALUE(182)</f>
        <v>1786</v>
      </c>
      <c r="E56" s="133">
        <v>939048</v>
      </c>
      <c r="F56" s="102">
        <f>_xlfn.COMPOUNDVALUE(183)</f>
        <v>3966</v>
      </c>
      <c r="G56" s="133">
        <v>2191798</v>
      </c>
      <c r="H56" s="102">
        <f>_xlfn.COMPOUNDVALUE(184)</f>
        <v>150</v>
      </c>
      <c r="I56" s="135">
        <v>216339</v>
      </c>
      <c r="J56" s="102">
        <v>337</v>
      </c>
      <c r="K56" s="104">
        <v>97087</v>
      </c>
      <c r="L56" s="102">
        <v>4292</v>
      </c>
      <c r="M56" s="104">
        <v>2072546</v>
      </c>
      <c r="N56" s="14" t="s">
        <v>65</v>
      </c>
    </row>
    <row r="57" spans="1:14" s="17" customFormat="1" ht="15.75" customHeight="1">
      <c r="A57" s="13" t="s">
        <v>66</v>
      </c>
      <c r="B57" s="102">
        <f>_xlfn.COMPOUNDVALUE(185)</f>
        <v>2486</v>
      </c>
      <c r="C57" s="133">
        <v>1472420</v>
      </c>
      <c r="D57" s="102">
        <f>_xlfn.COMPOUNDVALUE(186)</f>
        <v>1961</v>
      </c>
      <c r="E57" s="133">
        <v>907073</v>
      </c>
      <c r="F57" s="102">
        <f>_xlfn.COMPOUNDVALUE(187)</f>
        <v>4447</v>
      </c>
      <c r="G57" s="133">
        <v>2379493</v>
      </c>
      <c r="H57" s="102">
        <f>_xlfn.COMPOUNDVALUE(188)</f>
        <v>156</v>
      </c>
      <c r="I57" s="135">
        <v>128360</v>
      </c>
      <c r="J57" s="102">
        <v>484</v>
      </c>
      <c r="K57" s="104">
        <v>148832</v>
      </c>
      <c r="L57" s="102">
        <v>4849</v>
      </c>
      <c r="M57" s="104">
        <v>2399965</v>
      </c>
      <c r="N57" s="14" t="s">
        <v>66</v>
      </c>
    </row>
    <row r="58" spans="1:14" s="17" customFormat="1" ht="15.75" customHeight="1">
      <c r="A58" s="13" t="s">
        <v>67</v>
      </c>
      <c r="B58" s="102">
        <f>_xlfn.COMPOUNDVALUE(189)</f>
        <v>1373</v>
      </c>
      <c r="C58" s="133">
        <v>741428</v>
      </c>
      <c r="D58" s="102">
        <f>_xlfn.COMPOUNDVALUE(190)</f>
        <v>910</v>
      </c>
      <c r="E58" s="133">
        <v>416270</v>
      </c>
      <c r="F58" s="102">
        <f>_xlfn.COMPOUNDVALUE(191)</f>
        <v>2283</v>
      </c>
      <c r="G58" s="133">
        <v>1157698</v>
      </c>
      <c r="H58" s="102">
        <f>_xlfn.COMPOUNDVALUE(192)</f>
        <v>88</v>
      </c>
      <c r="I58" s="135">
        <v>32642</v>
      </c>
      <c r="J58" s="102">
        <v>261</v>
      </c>
      <c r="K58" s="104">
        <v>46673</v>
      </c>
      <c r="L58" s="102">
        <v>2462</v>
      </c>
      <c r="M58" s="104">
        <v>1171729</v>
      </c>
      <c r="N58" s="14" t="s">
        <v>67</v>
      </c>
    </row>
    <row r="59" spans="1:14" s="17" customFormat="1" ht="15.75" customHeight="1">
      <c r="A59" s="13" t="s">
        <v>68</v>
      </c>
      <c r="B59" s="102">
        <f>_xlfn.COMPOUNDVALUE(193)</f>
        <v>2402</v>
      </c>
      <c r="C59" s="133">
        <v>1556652</v>
      </c>
      <c r="D59" s="102">
        <f>_xlfn.COMPOUNDVALUE(194)</f>
        <v>1563</v>
      </c>
      <c r="E59" s="133">
        <v>718400</v>
      </c>
      <c r="F59" s="102">
        <f>_xlfn.COMPOUNDVALUE(195)</f>
        <v>3965</v>
      </c>
      <c r="G59" s="133">
        <v>2275051</v>
      </c>
      <c r="H59" s="102">
        <f>_xlfn.COMPOUNDVALUE(196)</f>
        <v>168</v>
      </c>
      <c r="I59" s="135">
        <v>71324</v>
      </c>
      <c r="J59" s="102">
        <v>342</v>
      </c>
      <c r="K59" s="104">
        <v>95513</v>
      </c>
      <c r="L59" s="102">
        <v>4309</v>
      </c>
      <c r="M59" s="104">
        <v>2299240</v>
      </c>
      <c r="N59" s="14" t="s">
        <v>68</v>
      </c>
    </row>
    <row r="60" spans="1:14" s="17" customFormat="1" ht="15.75" customHeight="1">
      <c r="A60" s="13" t="s">
        <v>69</v>
      </c>
      <c r="B60" s="102">
        <f>_xlfn.COMPOUNDVALUE(197)</f>
        <v>2353</v>
      </c>
      <c r="C60" s="133">
        <v>1236284</v>
      </c>
      <c r="D60" s="102">
        <f>_xlfn.COMPOUNDVALUE(198)</f>
        <v>1626</v>
      </c>
      <c r="E60" s="133">
        <v>823920</v>
      </c>
      <c r="F60" s="102">
        <f>_xlfn.COMPOUNDVALUE(199)</f>
        <v>3979</v>
      </c>
      <c r="G60" s="133">
        <v>2060204</v>
      </c>
      <c r="H60" s="102">
        <f>_xlfn.COMPOUNDVALUE(200)</f>
        <v>109</v>
      </c>
      <c r="I60" s="135">
        <v>68833</v>
      </c>
      <c r="J60" s="102">
        <v>544</v>
      </c>
      <c r="K60" s="104">
        <v>151244</v>
      </c>
      <c r="L60" s="102">
        <v>4351</v>
      </c>
      <c r="M60" s="104">
        <v>2142616</v>
      </c>
      <c r="N60" s="14" t="s">
        <v>69</v>
      </c>
    </row>
    <row r="61" spans="1:14" s="17" customFormat="1" ht="15.75" customHeight="1">
      <c r="A61" s="13" t="s">
        <v>70</v>
      </c>
      <c r="B61" s="102">
        <f>_xlfn.COMPOUNDVALUE(201)</f>
        <v>2818</v>
      </c>
      <c r="C61" s="133">
        <v>1962124</v>
      </c>
      <c r="D61" s="102">
        <f>_xlfn.COMPOUNDVALUE(202)</f>
        <v>2617</v>
      </c>
      <c r="E61" s="133">
        <v>1299134</v>
      </c>
      <c r="F61" s="102">
        <f>_xlfn.COMPOUNDVALUE(203)</f>
        <v>5435</v>
      </c>
      <c r="G61" s="133">
        <v>3261258</v>
      </c>
      <c r="H61" s="102">
        <f>_xlfn.COMPOUNDVALUE(204)</f>
        <v>159</v>
      </c>
      <c r="I61" s="135">
        <v>63089</v>
      </c>
      <c r="J61" s="102">
        <v>404</v>
      </c>
      <c r="K61" s="104">
        <v>107469</v>
      </c>
      <c r="L61" s="102">
        <v>5751</v>
      </c>
      <c r="M61" s="104">
        <v>3305638</v>
      </c>
      <c r="N61" s="14" t="s">
        <v>70</v>
      </c>
    </row>
    <row r="62" spans="1:14" s="17" customFormat="1" ht="15.75" customHeight="1">
      <c r="A62" s="15" t="s">
        <v>71</v>
      </c>
      <c r="B62" s="137">
        <v>45327</v>
      </c>
      <c r="C62" s="106">
        <v>29125067</v>
      </c>
      <c r="D62" s="137">
        <v>34875</v>
      </c>
      <c r="E62" s="106">
        <v>17809601</v>
      </c>
      <c r="F62" s="137">
        <v>80202</v>
      </c>
      <c r="G62" s="106">
        <v>46934667</v>
      </c>
      <c r="H62" s="137">
        <v>3266</v>
      </c>
      <c r="I62" s="107">
        <v>2371344</v>
      </c>
      <c r="J62" s="105">
        <v>7493</v>
      </c>
      <c r="K62" s="107">
        <v>2154310</v>
      </c>
      <c r="L62" s="105">
        <v>86899</v>
      </c>
      <c r="M62" s="107">
        <v>46717633</v>
      </c>
      <c r="N62" s="16" t="s">
        <v>122</v>
      </c>
    </row>
    <row r="63" spans="1:14" s="17" customFormat="1" ht="15.75" customHeight="1">
      <c r="A63" s="23"/>
      <c r="B63" s="108"/>
      <c r="C63" s="109"/>
      <c r="D63" s="108"/>
      <c r="E63" s="109"/>
      <c r="F63" s="110"/>
      <c r="G63" s="109"/>
      <c r="H63" s="110"/>
      <c r="I63" s="109"/>
      <c r="J63" s="110"/>
      <c r="K63" s="109"/>
      <c r="L63" s="110"/>
      <c r="M63" s="109"/>
      <c r="N63" s="24"/>
    </row>
    <row r="64" spans="1:14" s="17" customFormat="1" ht="15.75" customHeight="1">
      <c r="A64" s="11" t="s">
        <v>72</v>
      </c>
      <c r="B64" s="99">
        <f>_xlfn.COMPOUNDVALUE(205)</f>
        <v>590</v>
      </c>
      <c r="C64" s="132">
        <v>295150</v>
      </c>
      <c r="D64" s="99">
        <f>_xlfn.COMPOUNDVALUE(206)</f>
        <v>485</v>
      </c>
      <c r="E64" s="132">
        <v>248660</v>
      </c>
      <c r="F64" s="99">
        <f>_xlfn.COMPOUNDVALUE(207)</f>
        <v>1075</v>
      </c>
      <c r="G64" s="132">
        <v>543810</v>
      </c>
      <c r="H64" s="99">
        <f>_xlfn.COMPOUNDVALUE(208)</f>
        <v>57</v>
      </c>
      <c r="I64" s="134">
        <v>31317</v>
      </c>
      <c r="J64" s="99">
        <v>76</v>
      </c>
      <c r="K64" s="101">
        <v>14284</v>
      </c>
      <c r="L64" s="99">
        <v>1173</v>
      </c>
      <c r="M64" s="101">
        <v>526778</v>
      </c>
      <c r="N64" s="25" t="s">
        <v>72</v>
      </c>
    </row>
    <row r="65" spans="1:14" s="17" customFormat="1" ht="15.75" customHeight="1">
      <c r="A65" s="11" t="s">
        <v>73</v>
      </c>
      <c r="B65" s="99">
        <f>_xlfn.COMPOUNDVALUE(209)</f>
        <v>1487</v>
      </c>
      <c r="C65" s="132">
        <v>772904</v>
      </c>
      <c r="D65" s="99">
        <f>_xlfn.COMPOUNDVALUE(210)</f>
        <v>1155</v>
      </c>
      <c r="E65" s="132">
        <v>549873</v>
      </c>
      <c r="F65" s="99">
        <f>_xlfn.COMPOUNDVALUE(211)</f>
        <v>2642</v>
      </c>
      <c r="G65" s="132">
        <v>1322777</v>
      </c>
      <c r="H65" s="99">
        <f>_xlfn.COMPOUNDVALUE(212)</f>
        <v>167</v>
      </c>
      <c r="I65" s="134">
        <v>193341</v>
      </c>
      <c r="J65" s="99">
        <v>202</v>
      </c>
      <c r="K65" s="101">
        <v>74340</v>
      </c>
      <c r="L65" s="99">
        <v>2902</v>
      </c>
      <c r="M65" s="101">
        <v>1203775</v>
      </c>
      <c r="N65" s="12" t="s">
        <v>73</v>
      </c>
    </row>
    <row r="66" spans="1:14" s="17" customFormat="1" ht="15.75" customHeight="1">
      <c r="A66" s="11" t="s">
        <v>74</v>
      </c>
      <c r="B66" s="99">
        <f>_xlfn.COMPOUNDVALUE(213)</f>
        <v>584</v>
      </c>
      <c r="C66" s="132">
        <v>328317</v>
      </c>
      <c r="D66" s="99">
        <f>_xlfn.COMPOUNDVALUE(214)</f>
        <v>382</v>
      </c>
      <c r="E66" s="132">
        <v>166773</v>
      </c>
      <c r="F66" s="99">
        <f>_xlfn.COMPOUNDVALUE(215)</f>
        <v>966</v>
      </c>
      <c r="G66" s="132">
        <v>495089</v>
      </c>
      <c r="H66" s="99">
        <f>_xlfn.COMPOUNDVALUE(216)</f>
        <v>51</v>
      </c>
      <c r="I66" s="134">
        <v>17881</v>
      </c>
      <c r="J66" s="99">
        <v>110</v>
      </c>
      <c r="K66" s="101">
        <v>45649</v>
      </c>
      <c r="L66" s="99">
        <v>1061</v>
      </c>
      <c r="M66" s="101">
        <v>522857</v>
      </c>
      <c r="N66" s="12" t="s">
        <v>74</v>
      </c>
    </row>
    <row r="67" spans="1:14" s="17" customFormat="1" ht="15.75" customHeight="1">
      <c r="A67" s="11" t="s">
        <v>75</v>
      </c>
      <c r="B67" s="99">
        <f>_xlfn.COMPOUNDVALUE(217)</f>
        <v>1191</v>
      </c>
      <c r="C67" s="132">
        <v>535535</v>
      </c>
      <c r="D67" s="99">
        <f>_xlfn.COMPOUNDVALUE(218)</f>
        <v>898</v>
      </c>
      <c r="E67" s="132">
        <v>438994</v>
      </c>
      <c r="F67" s="99">
        <f>_xlfn.COMPOUNDVALUE(219)</f>
        <v>2089</v>
      </c>
      <c r="G67" s="132">
        <v>974529</v>
      </c>
      <c r="H67" s="99">
        <f>_xlfn.COMPOUNDVALUE(220)</f>
        <v>140</v>
      </c>
      <c r="I67" s="134">
        <v>87950</v>
      </c>
      <c r="J67" s="99">
        <v>264</v>
      </c>
      <c r="K67" s="101">
        <v>63551</v>
      </c>
      <c r="L67" s="99">
        <v>2421</v>
      </c>
      <c r="M67" s="101">
        <v>950131</v>
      </c>
      <c r="N67" s="12" t="s">
        <v>75</v>
      </c>
    </row>
    <row r="68" spans="1:14" s="17" customFormat="1" ht="15.75" customHeight="1">
      <c r="A68" s="11" t="s">
        <v>76</v>
      </c>
      <c r="B68" s="99">
        <f>_xlfn.COMPOUNDVALUE(221)</f>
        <v>1270</v>
      </c>
      <c r="C68" s="132">
        <v>1012835</v>
      </c>
      <c r="D68" s="99">
        <f>_xlfn.COMPOUNDVALUE(222)</f>
        <v>1027</v>
      </c>
      <c r="E68" s="132">
        <v>600733</v>
      </c>
      <c r="F68" s="99">
        <f>_xlfn.COMPOUNDVALUE(223)</f>
        <v>2297</v>
      </c>
      <c r="G68" s="132">
        <v>1613568</v>
      </c>
      <c r="H68" s="99">
        <f>_xlfn.COMPOUNDVALUE(224)</f>
        <v>381</v>
      </c>
      <c r="I68" s="134">
        <v>456317</v>
      </c>
      <c r="J68" s="99">
        <v>194</v>
      </c>
      <c r="K68" s="101">
        <v>56360</v>
      </c>
      <c r="L68" s="99">
        <v>2793</v>
      </c>
      <c r="M68" s="101">
        <v>1213611</v>
      </c>
      <c r="N68" s="12" t="s">
        <v>76</v>
      </c>
    </row>
    <row r="69" spans="1:14" s="17" customFormat="1" ht="15.75" customHeight="1">
      <c r="A69" s="11" t="s">
        <v>77</v>
      </c>
      <c r="B69" s="136">
        <f>_xlfn.COMPOUNDVALUE(225)</f>
        <v>3095</v>
      </c>
      <c r="C69" s="132">
        <v>2077026</v>
      </c>
      <c r="D69" s="99">
        <f>_xlfn.COMPOUNDVALUE(226)</f>
        <v>2347</v>
      </c>
      <c r="E69" s="132">
        <v>1133214</v>
      </c>
      <c r="F69" s="136">
        <f>_xlfn.COMPOUNDVALUE(227)</f>
        <v>5442</v>
      </c>
      <c r="G69" s="132">
        <v>3210240</v>
      </c>
      <c r="H69" s="136">
        <f>_xlfn.COMPOUNDVALUE(228)</f>
        <v>191</v>
      </c>
      <c r="I69" s="134">
        <v>146917</v>
      </c>
      <c r="J69" s="99">
        <v>541</v>
      </c>
      <c r="K69" s="101">
        <v>207807</v>
      </c>
      <c r="L69" s="99">
        <v>5864</v>
      </c>
      <c r="M69" s="101">
        <v>3271130</v>
      </c>
      <c r="N69" s="12" t="s">
        <v>77</v>
      </c>
    </row>
    <row r="70" spans="1:14" s="17" customFormat="1" ht="15.75" customHeight="1">
      <c r="A70" s="11" t="s">
        <v>78</v>
      </c>
      <c r="B70" s="99">
        <f>_xlfn.COMPOUNDVALUE(229)</f>
        <v>1959</v>
      </c>
      <c r="C70" s="132">
        <v>1172181</v>
      </c>
      <c r="D70" s="99">
        <f>_xlfn.COMPOUNDVALUE(230)</f>
        <v>1656</v>
      </c>
      <c r="E70" s="132">
        <v>811168</v>
      </c>
      <c r="F70" s="99">
        <f>_xlfn.COMPOUNDVALUE(231)</f>
        <v>3615</v>
      </c>
      <c r="G70" s="132">
        <v>1983349</v>
      </c>
      <c r="H70" s="99">
        <f>_xlfn.COMPOUNDVALUE(232)</f>
        <v>122</v>
      </c>
      <c r="I70" s="134">
        <v>146924</v>
      </c>
      <c r="J70" s="99">
        <v>303</v>
      </c>
      <c r="K70" s="101">
        <v>144901</v>
      </c>
      <c r="L70" s="99">
        <v>3873</v>
      </c>
      <c r="M70" s="101">
        <v>1981326</v>
      </c>
      <c r="N70" s="12" t="s">
        <v>78</v>
      </c>
    </row>
    <row r="71" spans="1:14" s="17" customFormat="1" ht="15.75" customHeight="1">
      <c r="A71" s="11" t="s">
        <v>79</v>
      </c>
      <c r="B71" s="99">
        <f>_xlfn.COMPOUNDVALUE(233)</f>
        <v>1740</v>
      </c>
      <c r="C71" s="132">
        <v>855634</v>
      </c>
      <c r="D71" s="99">
        <f>_xlfn.COMPOUNDVALUE(234)</f>
        <v>1941</v>
      </c>
      <c r="E71" s="132">
        <v>884201</v>
      </c>
      <c r="F71" s="99">
        <f>_xlfn.COMPOUNDVALUE(235)</f>
        <v>3681</v>
      </c>
      <c r="G71" s="132">
        <v>1739835</v>
      </c>
      <c r="H71" s="99">
        <f>_xlfn.COMPOUNDVALUE(236)</f>
        <v>144</v>
      </c>
      <c r="I71" s="134">
        <v>132521</v>
      </c>
      <c r="J71" s="99">
        <v>259</v>
      </c>
      <c r="K71" s="101">
        <v>66072</v>
      </c>
      <c r="L71" s="99">
        <v>3962</v>
      </c>
      <c r="M71" s="101">
        <v>1673386</v>
      </c>
      <c r="N71" s="12" t="s">
        <v>79</v>
      </c>
    </row>
    <row r="72" spans="1:14" s="17" customFormat="1" ht="15.75" customHeight="1">
      <c r="A72" s="11" t="s">
        <v>80</v>
      </c>
      <c r="B72" s="99">
        <f>_xlfn.COMPOUNDVALUE(237)</f>
        <v>2338</v>
      </c>
      <c r="C72" s="132">
        <v>1653987</v>
      </c>
      <c r="D72" s="99">
        <f>_xlfn.COMPOUNDVALUE(238)</f>
        <v>2465</v>
      </c>
      <c r="E72" s="132">
        <v>1391906</v>
      </c>
      <c r="F72" s="99">
        <f>_xlfn.COMPOUNDVALUE(239)</f>
        <v>4803</v>
      </c>
      <c r="G72" s="132">
        <v>3045893</v>
      </c>
      <c r="H72" s="99">
        <f>_xlfn.COMPOUNDVALUE(240)</f>
        <v>261</v>
      </c>
      <c r="I72" s="134">
        <v>188601</v>
      </c>
      <c r="J72" s="99">
        <v>338</v>
      </c>
      <c r="K72" s="101">
        <v>115159</v>
      </c>
      <c r="L72" s="99">
        <v>5255</v>
      </c>
      <c r="M72" s="101">
        <v>2972451</v>
      </c>
      <c r="N72" s="12" t="s">
        <v>80</v>
      </c>
    </row>
    <row r="73" spans="1:14" s="17" customFormat="1" ht="15.75" customHeight="1">
      <c r="A73" s="11" t="s">
        <v>81</v>
      </c>
      <c r="B73" s="99">
        <f>_xlfn.COMPOUNDVALUE(241)</f>
        <v>877</v>
      </c>
      <c r="C73" s="132">
        <v>564363</v>
      </c>
      <c r="D73" s="99">
        <f>_xlfn.COMPOUNDVALUE(242)</f>
        <v>1451</v>
      </c>
      <c r="E73" s="132">
        <v>501635</v>
      </c>
      <c r="F73" s="99">
        <f>_xlfn.COMPOUNDVALUE(243)</f>
        <v>2328</v>
      </c>
      <c r="G73" s="132">
        <v>1065998</v>
      </c>
      <c r="H73" s="99">
        <f>_xlfn.COMPOUNDVALUE(244)</f>
        <v>82</v>
      </c>
      <c r="I73" s="134">
        <v>42999</v>
      </c>
      <c r="J73" s="99">
        <v>155</v>
      </c>
      <c r="K73" s="101">
        <v>27540</v>
      </c>
      <c r="L73" s="99">
        <v>2481</v>
      </c>
      <c r="M73" s="101">
        <v>1050539</v>
      </c>
      <c r="N73" s="12" t="s">
        <v>81</v>
      </c>
    </row>
    <row r="74" spans="1:14" s="17" customFormat="1" ht="15.75" customHeight="1">
      <c r="A74" s="11" t="s">
        <v>82</v>
      </c>
      <c r="B74" s="99">
        <f>_xlfn.COMPOUNDVALUE(245)</f>
        <v>1168</v>
      </c>
      <c r="C74" s="132">
        <v>919520</v>
      </c>
      <c r="D74" s="99">
        <f>_xlfn.COMPOUNDVALUE(246)</f>
        <v>1086</v>
      </c>
      <c r="E74" s="132">
        <v>614809</v>
      </c>
      <c r="F74" s="99">
        <f>_xlfn.COMPOUNDVALUE(247)</f>
        <v>2254</v>
      </c>
      <c r="G74" s="132">
        <v>1534330</v>
      </c>
      <c r="H74" s="99">
        <f>_xlfn.COMPOUNDVALUE(248)</f>
        <v>162</v>
      </c>
      <c r="I74" s="134">
        <v>92657</v>
      </c>
      <c r="J74" s="99">
        <v>158</v>
      </c>
      <c r="K74" s="101">
        <v>40911</v>
      </c>
      <c r="L74" s="99">
        <v>2479</v>
      </c>
      <c r="M74" s="101">
        <v>1482584</v>
      </c>
      <c r="N74" s="12" t="s">
        <v>82</v>
      </c>
    </row>
    <row r="75" spans="1:14" s="17" customFormat="1" ht="15.75" customHeight="1">
      <c r="A75" s="11" t="s">
        <v>83</v>
      </c>
      <c r="B75" s="99">
        <f>_xlfn.COMPOUNDVALUE(249)</f>
        <v>1345</v>
      </c>
      <c r="C75" s="132">
        <v>676311</v>
      </c>
      <c r="D75" s="99">
        <f>_xlfn.COMPOUNDVALUE(250)</f>
        <v>1269</v>
      </c>
      <c r="E75" s="132">
        <v>605772</v>
      </c>
      <c r="F75" s="99">
        <f>_xlfn.COMPOUNDVALUE(251)</f>
        <v>2614</v>
      </c>
      <c r="G75" s="132">
        <v>1282082</v>
      </c>
      <c r="H75" s="99">
        <f>_xlfn.COMPOUNDVALUE(252)</f>
        <v>101</v>
      </c>
      <c r="I75" s="134">
        <v>61748</v>
      </c>
      <c r="J75" s="99">
        <v>204</v>
      </c>
      <c r="K75" s="101">
        <v>48179</v>
      </c>
      <c r="L75" s="99">
        <v>2801</v>
      </c>
      <c r="M75" s="101">
        <v>1268514</v>
      </c>
      <c r="N75" s="12" t="s">
        <v>83</v>
      </c>
    </row>
    <row r="76" spans="1:14" s="17" customFormat="1" ht="15.75" customHeight="1">
      <c r="A76" s="11" t="s">
        <v>84</v>
      </c>
      <c r="B76" s="99">
        <f>_xlfn.COMPOUNDVALUE(253)</f>
        <v>449</v>
      </c>
      <c r="C76" s="132">
        <v>269858</v>
      </c>
      <c r="D76" s="99">
        <f>_xlfn.COMPOUNDVALUE(254)</f>
        <v>408</v>
      </c>
      <c r="E76" s="132">
        <v>168571</v>
      </c>
      <c r="F76" s="99">
        <f>_xlfn.COMPOUNDVALUE(255)</f>
        <v>857</v>
      </c>
      <c r="G76" s="132">
        <v>438429</v>
      </c>
      <c r="H76" s="99">
        <f>_xlfn.COMPOUNDVALUE(256)</f>
        <v>33</v>
      </c>
      <c r="I76" s="134">
        <v>18721</v>
      </c>
      <c r="J76" s="99">
        <v>104</v>
      </c>
      <c r="K76" s="101">
        <v>64208</v>
      </c>
      <c r="L76" s="99">
        <v>928</v>
      </c>
      <c r="M76" s="101">
        <v>483916</v>
      </c>
      <c r="N76" s="12" t="s">
        <v>84</v>
      </c>
    </row>
    <row r="77" spans="1:14" s="17" customFormat="1" ht="15.75" customHeight="1">
      <c r="A77" s="11" t="s">
        <v>85</v>
      </c>
      <c r="B77" s="99">
        <f>_xlfn.COMPOUNDVALUE(257)</f>
        <v>768</v>
      </c>
      <c r="C77" s="132">
        <v>569662</v>
      </c>
      <c r="D77" s="99">
        <f>_xlfn.COMPOUNDVALUE(258)</f>
        <v>706</v>
      </c>
      <c r="E77" s="132">
        <v>303373</v>
      </c>
      <c r="F77" s="99">
        <f>_xlfn.COMPOUNDVALUE(259)</f>
        <v>1474</v>
      </c>
      <c r="G77" s="132">
        <v>873035</v>
      </c>
      <c r="H77" s="99">
        <f>_xlfn.COMPOUNDVALUE(260)</f>
        <v>43</v>
      </c>
      <c r="I77" s="134">
        <v>19822</v>
      </c>
      <c r="J77" s="99">
        <v>93</v>
      </c>
      <c r="K77" s="101">
        <v>27231</v>
      </c>
      <c r="L77" s="99">
        <v>1554</v>
      </c>
      <c r="M77" s="101">
        <v>880444</v>
      </c>
      <c r="N77" s="12" t="s">
        <v>85</v>
      </c>
    </row>
    <row r="78" spans="1:14" s="17" customFormat="1" ht="15.75" customHeight="1">
      <c r="A78" s="13" t="s">
        <v>86</v>
      </c>
      <c r="B78" s="102">
        <f>_xlfn.COMPOUNDVALUE(261)</f>
        <v>1709</v>
      </c>
      <c r="C78" s="133">
        <v>976855</v>
      </c>
      <c r="D78" s="102">
        <f>_xlfn.COMPOUNDVALUE(262)</f>
        <v>1124</v>
      </c>
      <c r="E78" s="133">
        <v>530228</v>
      </c>
      <c r="F78" s="102">
        <f>_xlfn.COMPOUNDVALUE(263)</f>
        <v>2833</v>
      </c>
      <c r="G78" s="133">
        <v>1507083</v>
      </c>
      <c r="H78" s="102">
        <f>_xlfn.COMPOUNDVALUE(264)</f>
        <v>104</v>
      </c>
      <c r="I78" s="135">
        <v>48174</v>
      </c>
      <c r="J78" s="102">
        <v>308</v>
      </c>
      <c r="K78" s="104">
        <v>91176</v>
      </c>
      <c r="L78" s="102">
        <v>3104</v>
      </c>
      <c r="M78" s="104">
        <v>1550085</v>
      </c>
      <c r="N78" s="14" t="s">
        <v>86</v>
      </c>
    </row>
    <row r="79" spans="1:14" s="17" customFormat="1" ht="15.75" customHeight="1">
      <c r="A79" s="13" t="s">
        <v>87</v>
      </c>
      <c r="B79" s="102">
        <f>_xlfn.COMPOUNDVALUE(265)</f>
        <v>877</v>
      </c>
      <c r="C79" s="133">
        <v>644601</v>
      </c>
      <c r="D79" s="102">
        <f>_xlfn.COMPOUNDVALUE(266)</f>
        <v>933</v>
      </c>
      <c r="E79" s="133">
        <v>450040</v>
      </c>
      <c r="F79" s="102">
        <f>_xlfn.COMPOUNDVALUE(267)</f>
        <v>1810</v>
      </c>
      <c r="G79" s="133">
        <v>1094641</v>
      </c>
      <c r="H79" s="102">
        <f>_xlfn.COMPOUNDVALUE(268)</f>
        <v>56</v>
      </c>
      <c r="I79" s="135">
        <v>20156</v>
      </c>
      <c r="J79" s="102">
        <v>172</v>
      </c>
      <c r="K79" s="104">
        <v>44101</v>
      </c>
      <c r="L79" s="102">
        <v>1916</v>
      </c>
      <c r="M79" s="104">
        <v>1118585</v>
      </c>
      <c r="N79" s="14" t="s">
        <v>87</v>
      </c>
    </row>
    <row r="80" spans="1:14" s="17" customFormat="1" ht="15.75" customHeight="1">
      <c r="A80" s="13" t="s">
        <v>88</v>
      </c>
      <c r="B80" s="102">
        <f>_xlfn.COMPOUNDVALUE(269)</f>
        <v>371</v>
      </c>
      <c r="C80" s="133">
        <v>223950</v>
      </c>
      <c r="D80" s="102">
        <f>_xlfn.COMPOUNDVALUE(270)</f>
        <v>356</v>
      </c>
      <c r="E80" s="133">
        <v>159460</v>
      </c>
      <c r="F80" s="102">
        <f>_xlfn.COMPOUNDVALUE(271)</f>
        <v>727</v>
      </c>
      <c r="G80" s="133">
        <v>383409</v>
      </c>
      <c r="H80" s="102">
        <f>_xlfn.COMPOUNDVALUE(272)</f>
        <v>34</v>
      </c>
      <c r="I80" s="135">
        <v>14098</v>
      </c>
      <c r="J80" s="102">
        <v>31</v>
      </c>
      <c r="K80" s="104">
        <v>7713</v>
      </c>
      <c r="L80" s="102">
        <v>773</v>
      </c>
      <c r="M80" s="104">
        <v>377024</v>
      </c>
      <c r="N80" s="14" t="s">
        <v>88</v>
      </c>
    </row>
    <row r="81" spans="1:14" s="17" customFormat="1" ht="15.75" customHeight="1">
      <c r="A81" s="13" t="s">
        <v>89</v>
      </c>
      <c r="B81" s="102">
        <f>_xlfn.COMPOUNDVALUE(273)</f>
        <v>393</v>
      </c>
      <c r="C81" s="133">
        <v>240472</v>
      </c>
      <c r="D81" s="102">
        <f>_xlfn.COMPOUNDVALUE(274)</f>
        <v>315</v>
      </c>
      <c r="E81" s="133">
        <v>133874</v>
      </c>
      <c r="F81" s="102">
        <f>_xlfn.COMPOUNDVALUE(275)</f>
        <v>708</v>
      </c>
      <c r="G81" s="133">
        <v>374346</v>
      </c>
      <c r="H81" s="102">
        <f>_xlfn.COMPOUNDVALUE(276)</f>
        <v>35</v>
      </c>
      <c r="I81" s="135">
        <v>39955</v>
      </c>
      <c r="J81" s="102">
        <v>45</v>
      </c>
      <c r="K81" s="104">
        <v>5435</v>
      </c>
      <c r="L81" s="102">
        <v>756</v>
      </c>
      <c r="M81" s="104">
        <v>339825</v>
      </c>
      <c r="N81" s="14" t="s">
        <v>89</v>
      </c>
    </row>
    <row r="82" spans="1:14" s="17" customFormat="1" ht="15.75" customHeight="1">
      <c r="A82" s="13" t="s">
        <v>90</v>
      </c>
      <c r="B82" s="102">
        <f>_xlfn.COMPOUNDVALUE(277)</f>
        <v>691</v>
      </c>
      <c r="C82" s="133">
        <v>415476</v>
      </c>
      <c r="D82" s="102">
        <f>_xlfn.COMPOUNDVALUE(278)</f>
        <v>589</v>
      </c>
      <c r="E82" s="133">
        <v>243182</v>
      </c>
      <c r="F82" s="102">
        <f>_xlfn.COMPOUNDVALUE(279)</f>
        <v>1280</v>
      </c>
      <c r="G82" s="133">
        <v>658659</v>
      </c>
      <c r="H82" s="102">
        <f>_xlfn.COMPOUNDVALUE(280)</f>
        <v>53</v>
      </c>
      <c r="I82" s="135">
        <v>27574</v>
      </c>
      <c r="J82" s="102">
        <v>76</v>
      </c>
      <c r="K82" s="104">
        <v>17718</v>
      </c>
      <c r="L82" s="102">
        <v>1364</v>
      </c>
      <c r="M82" s="104">
        <v>648803</v>
      </c>
      <c r="N82" s="14" t="s">
        <v>90</v>
      </c>
    </row>
    <row r="83" spans="1:14" s="17" customFormat="1" ht="15.75" customHeight="1">
      <c r="A83" s="13" t="s">
        <v>91</v>
      </c>
      <c r="B83" s="102">
        <f>_xlfn.COMPOUNDVALUE(281)</f>
        <v>257</v>
      </c>
      <c r="C83" s="133">
        <v>153844</v>
      </c>
      <c r="D83" s="102">
        <f>_xlfn.COMPOUNDVALUE(282)</f>
        <v>220</v>
      </c>
      <c r="E83" s="133">
        <v>96560</v>
      </c>
      <c r="F83" s="102">
        <f>_xlfn.COMPOUNDVALUE(283)</f>
        <v>477</v>
      </c>
      <c r="G83" s="133">
        <v>250404</v>
      </c>
      <c r="H83" s="102">
        <f>_xlfn.COMPOUNDVALUE(284)</f>
        <v>26</v>
      </c>
      <c r="I83" s="135">
        <v>12269</v>
      </c>
      <c r="J83" s="102">
        <v>66</v>
      </c>
      <c r="K83" s="104">
        <v>4379</v>
      </c>
      <c r="L83" s="102">
        <v>516</v>
      </c>
      <c r="M83" s="104">
        <v>242514</v>
      </c>
      <c r="N83" s="14" t="s">
        <v>91</v>
      </c>
    </row>
    <row r="84" spans="1:14" s="17" customFormat="1" ht="15.75" customHeight="1">
      <c r="A84" s="13" t="s">
        <v>92</v>
      </c>
      <c r="B84" s="102">
        <f>_xlfn.COMPOUNDVALUE(285)</f>
        <v>495</v>
      </c>
      <c r="C84" s="133">
        <v>287771</v>
      </c>
      <c r="D84" s="102">
        <f>_xlfn.COMPOUNDVALUE(286)</f>
        <v>521</v>
      </c>
      <c r="E84" s="133">
        <v>204758</v>
      </c>
      <c r="F84" s="102">
        <f>_xlfn.COMPOUNDVALUE(287)</f>
        <v>1016</v>
      </c>
      <c r="G84" s="133">
        <v>492529</v>
      </c>
      <c r="H84" s="102">
        <f>_xlfn.COMPOUNDVALUE(288)</f>
        <v>34</v>
      </c>
      <c r="I84" s="135">
        <v>22407</v>
      </c>
      <c r="J84" s="102">
        <v>109</v>
      </c>
      <c r="K84" s="104">
        <v>11416</v>
      </c>
      <c r="L84" s="102">
        <v>1075</v>
      </c>
      <c r="M84" s="104">
        <v>481539</v>
      </c>
      <c r="N84" s="14" t="s">
        <v>92</v>
      </c>
    </row>
    <row r="85" spans="1:14" s="17" customFormat="1" ht="15.75" customHeight="1">
      <c r="A85" s="15" t="s">
        <v>93</v>
      </c>
      <c r="B85" s="137">
        <v>23654</v>
      </c>
      <c r="C85" s="106">
        <v>14646251</v>
      </c>
      <c r="D85" s="105">
        <v>21334</v>
      </c>
      <c r="E85" s="106">
        <v>10237784</v>
      </c>
      <c r="F85" s="137">
        <v>44988</v>
      </c>
      <c r="G85" s="106">
        <v>24884035</v>
      </c>
      <c r="H85" s="137">
        <v>2277</v>
      </c>
      <c r="I85" s="107">
        <v>1822349</v>
      </c>
      <c r="J85" s="105">
        <v>3808</v>
      </c>
      <c r="K85" s="107">
        <v>1178130</v>
      </c>
      <c r="L85" s="105">
        <v>49051</v>
      </c>
      <c r="M85" s="107">
        <v>24239816</v>
      </c>
      <c r="N85" s="16" t="s">
        <v>123</v>
      </c>
    </row>
    <row r="86" spans="1:14" s="20" customFormat="1" ht="15.75" customHeight="1">
      <c r="A86" s="23"/>
      <c r="B86" s="108"/>
      <c r="C86" s="109"/>
      <c r="D86" s="108"/>
      <c r="E86" s="109"/>
      <c r="F86" s="110"/>
      <c r="G86" s="109"/>
      <c r="H86" s="110"/>
      <c r="I86" s="109"/>
      <c r="J86" s="110"/>
      <c r="K86" s="109"/>
      <c r="L86" s="110"/>
      <c r="M86" s="109"/>
      <c r="N86" s="24"/>
    </row>
    <row r="87" spans="1:14" ht="15.75" customHeight="1">
      <c r="A87" s="13" t="s">
        <v>94</v>
      </c>
      <c r="B87" s="102">
        <f>_xlfn.COMPOUNDVALUE(289)</f>
        <v>2920</v>
      </c>
      <c r="C87" s="133">
        <v>1723662</v>
      </c>
      <c r="D87" s="102">
        <f>_xlfn.COMPOUNDVALUE(290)</f>
        <v>2484</v>
      </c>
      <c r="E87" s="133">
        <v>1223087</v>
      </c>
      <c r="F87" s="102">
        <f>_xlfn.COMPOUNDVALUE(291)</f>
        <v>5404</v>
      </c>
      <c r="G87" s="133">
        <v>2946749</v>
      </c>
      <c r="H87" s="102">
        <f>_xlfn.COMPOUNDVALUE(292)</f>
        <v>244</v>
      </c>
      <c r="I87" s="135">
        <v>151917</v>
      </c>
      <c r="J87" s="102">
        <v>420</v>
      </c>
      <c r="K87" s="104">
        <v>94733</v>
      </c>
      <c r="L87" s="102">
        <v>5868</v>
      </c>
      <c r="M87" s="104">
        <v>2889565</v>
      </c>
      <c r="N87" s="14" t="s">
        <v>94</v>
      </c>
    </row>
    <row r="88" spans="1:14" ht="15.75" customHeight="1">
      <c r="A88" s="13" t="s">
        <v>95</v>
      </c>
      <c r="B88" s="102">
        <f>_xlfn.COMPOUNDVALUE(293)</f>
        <v>2593</v>
      </c>
      <c r="C88" s="133">
        <v>1492098</v>
      </c>
      <c r="D88" s="102">
        <f>_xlfn.COMPOUNDVALUE(294)</f>
        <v>1952</v>
      </c>
      <c r="E88" s="133">
        <v>836664</v>
      </c>
      <c r="F88" s="102">
        <f>_xlfn.COMPOUNDVALUE(295)</f>
        <v>4545</v>
      </c>
      <c r="G88" s="133">
        <v>2328761</v>
      </c>
      <c r="H88" s="102">
        <f>_xlfn.COMPOUNDVALUE(296)</f>
        <v>168</v>
      </c>
      <c r="I88" s="135">
        <v>97163</v>
      </c>
      <c r="J88" s="102">
        <v>390</v>
      </c>
      <c r="K88" s="104">
        <v>80425</v>
      </c>
      <c r="L88" s="102">
        <v>4861</v>
      </c>
      <c r="M88" s="104">
        <v>2312023</v>
      </c>
      <c r="N88" s="14" t="s">
        <v>95</v>
      </c>
    </row>
    <row r="89" spans="1:14" ht="15.75" customHeight="1">
      <c r="A89" s="13" t="s">
        <v>96</v>
      </c>
      <c r="B89" s="102">
        <f>_xlfn.COMPOUNDVALUE(297)</f>
        <v>942</v>
      </c>
      <c r="C89" s="133">
        <v>512773</v>
      </c>
      <c r="D89" s="102">
        <f>_xlfn.COMPOUNDVALUE(298)</f>
        <v>554</v>
      </c>
      <c r="E89" s="133">
        <v>224873</v>
      </c>
      <c r="F89" s="102">
        <f>_xlfn.COMPOUNDVALUE(299)</f>
        <v>1496</v>
      </c>
      <c r="G89" s="133">
        <v>737646</v>
      </c>
      <c r="H89" s="102">
        <f>_xlfn.COMPOUNDVALUE(300)</f>
        <v>55</v>
      </c>
      <c r="I89" s="135">
        <v>52139</v>
      </c>
      <c r="J89" s="102">
        <v>83</v>
      </c>
      <c r="K89" s="104">
        <v>24163</v>
      </c>
      <c r="L89" s="102">
        <v>1591</v>
      </c>
      <c r="M89" s="104">
        <v>709670</v>
      </c>
      <c r="N89" s="14" t="s">
        <v>96</v>
      </c>
    </row>
    <row r="90" spans="1:14" ht="15.75" customHeight="1">
      <c r="A90" s="13" t="s">
        <v>97</v>
      </c>
      <c r="B90" s="102">
        <f>_xlfn.COMPOUNDVALUE(301)</f>
        <v>311</v>
      </c>
      <c r="C90" s="133">
        <v>184265</v>
      </c>
      <c r="D90" s="102">
        <f>_xlfn.COMPOUNDVALUE(302)</f>
        <v>371</v>
      </c>
      <c r="E90" s="133">
        <v>146450</v>
      </c>
      <c r="F90" s="102">
        <f>_xlfn.COMPOUNDVALUE(303)</f>
        <v>682</v>
      </c>
      <c r="G90" s="133">
        <v>330715</v>
      </c>
      <c r="H90" s="102">
        <f>_xlfn.COMPOUNDVALUE(304)</f>
        <v>10</v>
      </c>
      <c r="I90" s="135">
        <v>4942</v>
      </c>
      <c r="J90" s="102">
        <v>33</v>
      </c>
      <c r="K90" s="104">
        <v>4375</v>
      </c>
      <c r="L90" s="102">
        <v>698</v>
      </c>
      <c r="M90" s="104">
        <v>330149</v>
      </c>
      <c r="N90" s="14" t="s">
        <v>97</v>
      </c>
    </row>
    <row r="91" spans="1:14" s="17" customFormat="1" ht="15.75" customHeight="1">
      <c r="A91" s="15" t="s">
        <v>98</v>
      </c>
      <c r="B91" s="105">
        <v>6766</v>
      </c>
      <c r="C91" s="106">
        <v>3912797</v>
      </c>
      <c r="D91" s="105">
        <v>5361</v>
      </c>
      <c r="E91" s="106">
        <v>2431074</v>
      </c>
      <c r="F91" s="105">
        <v>12127</v>
      </c>
      <c r="G91" s="106">
        <v>6343871</v>
      </c>
      <c r="H91" s="105">
        <v>477</v>
      </c>
      <c r="I91" s="107">
        <v>306160</v>
      </c>
      <c r="J91" s="105">
        <v>926</v>
      </c>
      <c r="K91" s="107">
        <v>203696</v>
      </c>
      <c r="L91" s="105">
        <v>13018</v>
      </c>
      <c r="M91" s="107">
        <v>6241407</v>
      </c>
      <c r="N91" s="16" t="s">
        <v>124</v>
      </c>
    </row>
    <row r="92" spans="1:14" s="17" customFormat="1" ht="15.75" customHeight="1">
      <c r="A92" s="23"/>
      <c r="B92" s="108"/>
      <c r="C92" s="109"/>
      <c r="D92" s="108"/>
      <c r="E92" s="109"/>
      <c r="F92" s="110"/>
      <c r="G92" s="109"/>
      <c r="H92" s="110"/>
      <c r="I92" s="109"/>
      <c r="J92" s="110"/>
      <c r="K92" s="109"/>
      <c r="L92" s="110"/>
      <c r="M92" s="109"/>
      <c r="N92" s="24"/>
    </row>
    <row r="93" spans="1:14" s="17" customFormat="1" ht="15.75" customHeight="1">
      <c r="A93" s="11" t="s">
        <v>99</v>
      </c>
      <c r="B93" s="136">
        <f>_xlfn.COMPOUNDVALUE(305)</f>
        <v>2042</v>
      </c>
      <c r="C93" s="132">
        <v>1297493</v>
      </c>
      <c r="D93" s="99">
        <f>_xlfn.COMPOUNDVALUE(306)</f>
        <v>1667</v>
      </c>
      <c r="E93" s="132">
        <v>786969</v>
      </c>
      <c r="F93" s="136">
        <f>_xlfn.COMPOUNDVALUE(307)</f>
        <v>3709</v>
      </c>
      <c r="G93" s="132">
        <v>2084462</v>
      </c>
      <c r="H93" s="136">
        <f>_xlfn.COMPOUNDVALUE(308)</f>
        <v>88</v>
      </c>
      <c r="I93" s="134">
        <v>37238</v>
      </c>
      <c r="J93" s="99">
        <v>313</v>
      </c>
      <c r="K93" s="101">
        <v>71049</v>
      </c>
      <c r="L93" s="99">
        <v>3889</v>
      </c>
      <c r="M93" s="101">
        <v>2118273</v>
      </c>
      <c r="N93" s="25" t="s">
        <v>99</v>
      </c>
    </row>
    <row r="94" spans="1:14" s="17" customFormat="1" ht="15.75" customHeight="1">
      <c r="A94" s="13" t="s">
        <v>100</v>
      </c>
      <c r="B94" s="102">
        <f>_xlfn.COMPOUNDVALUE(309)</f>
        <v>364</v>
      </c>
      <c r="C94" s="133">
        <v>249372</v>
      </c>
      <c r="D94" s="102">
        <f>_xlfn.COMPOUNDVALUE(310)</f>
        <v>435</v>
      </c>
      <c r="E94" s="133">
        <v>162825</v>
      </c>
      <c r="F94" s="102">
        <f>_xlfn.COMPOUNDVALUE(311)</f>
        <v>799</v>
      </c>
      <c r="G94" s="133">
        <v>412197</v>
      </c>
      <c r="H94" s="102">
        <f>_xlfn.COMPOUNDVALUE(312)</f>
        <v>15</v>
      </c>
      <c r="I94" s="135">
        <v>6336</v>
      </c>
      <c r="J94" s="102">
        <v>69</v>
      </c>
      <c r="K94" s="104">
        <v>7772</v>
      </c>
      <c r="L94" s="102">
        <v>835</v>
      </c>
      <c r="M94" s="104">
        <v>413633</v>
      </c>
      <c r="N94" s="14" t="s">
        <v>100</v>
      </c>
    </row>
    <row r="95" spans="1:14" s="17" customFormat="1" ht="15.75" customHeight="1">
      <c r="A95" s="13" t="s">
        <v>101</v>
      </c>
      <c r="B95" s="102">
        <f>_xlfn.COMPOUNDVALUE(313)</f>
        <v>562</v>
      </c>
      <c r="C95" s="133">
        <v>364395</v>
      </c>
      <c r="D95" s="102">
        <f>_xlfn.COMPOUNDVALUE(314)</f>
        <v>1018</v>
      </c>
      <c r="E95" s="133">
        <v>381571</v>
      </c>
      <c r="F95" s="102">
        <f>_xlfn.COMPOUNDVALUE(315)</f>
        <v>1580</v>
      </c>
      <c r="G95" s="133">
        <v>745966</v>
      </c>
      <c r="H95" s="102">
        <f>_xlfn.COMPOUNDVALUE(316)</f>
        <v>33</v>
      </c>
      <c r="I95" s="135">
        <v>59101</v>
      </c>
      <c r="J95" s="102">
        <v>58</v>
      </c>
      <c r="K95" s="104">
        <v>8648</v>
      </c>
      <c r="L95" s="102">
        <v>1624</v>
      </c>
      <c r="M95" s="104">
        <v>695513</v>
      </c>
      <c r="N95" s="14" t="s">
        <v>101</v>
      </c>
    </row>
    <row r="96" spans="1:14" s="17" customFormat="1" ht="15.75" customHeight="1">
      <c r="A96" s="13" t="s">
        <v>102</v>
      </c>
      <c r="B96" s="102">
        <f>_xlfn.COMPOUNDVALUE(317)</f>
        <v>781</v>
      </c>
      <c r="C96" s="133">
        <v>517543</v>
      </c>
      <c r="D96" s="102">
        <f>_xlfn.COMPOUNDVALUE(318)</f>
        <v>1097</v>
      </c>
      <c r="E96" s="133">
        <v>451391</v>
      </c>
      <c r="F96" s="102">
        <f>_xlfn.COMPOUNDVALUE(319)</f>
        <v>1878</v>
      </c>
      <c r="G96" s="133">
        <v>968934</v>
      </c>
      <c r="H96" s="102">
        <f>_xlfn.COMPOUNDVALUE(320)</f>
        <v>47</v>
      </c>
      <c r="I96" s="135">
        <v>22958</v>
      </c>
      <c r="J96" s="102">
        <v>85</v>
      </c>
      <c r="K96" s="104">
        <v>12731</v>
      </c>
      <c r="L96" s="102">
        <v>1964</v>
      </c>
      <c r="M96" s="104">
        <v>958707</v>
      </c>
      <c r="N96" s="14" t="s">
        <v>102</v>
      </c>
    </row>
    <row r="97" spans="1:14" s="17" customFormat="1" ht="15.75" customHeight="1">
      <c r="A97" s="13" t="s">
        <v>103</v>
      </c>
      <c r="B97" s="102">
        <f>_xlfn.COMPOUNDVALUE(321)</f>
        <v>530</v>
      </c>
      <c r="C97" s="133">
        <v>304557</v>
      </c>
      <c r="D97" s="102">
        <f>_xlfn.COMPOUNDVALUE(322)</f>
        <v>457</v>
      </c>
      <c r="E97" s="133">
        <v>183156</v>
      </c>
      <c r="F97" s="102">
        <f>_xlfn.COMPOUNDVALUE(323)</f>
        <v>987</v>
      </c>
      <c r="G97" s="133">
        <v>487712</v>
      </c>
      <c r="H97" s="102">
        <f>_xlfn.COMPOUNDVALUE(324)</f>
        <v>41</v>
      </c>
      <c r="I97" s="135">
        <v>19160</v>
      </c>
      <c r="J97" s="102">
        <v>84</v>
      </c>
      <c r="K97" s="104">
        <v>14388</v>
      </c>
      <c r="L97" s="102">
        <v>1064</v>
      </c>
      <c r="M97" s="104">
        <v>482940</v>
      </c>
      <c r="N97" s="14" t="s">
        <v>103</v>
      </c>
    </row>
    <row r="98" spans="1:14" s="17" customFormat="1" ht="15.75" customHeight="1">
      <c r="A98" s="13" t="s">
        <v>104</v>
      </c>
      <c r="B98" s="102">
        <f>_xlfn.COMPOUNDVALUE(325)</f>
        <v>1030</v>
      </c>
      <c r="C98" s="133">
        <v>574643</v>
      </c>
      <c r="D98" s="102">
        <f>_xlfn.COMPOUNDVALUE(326)</f>
        <v>957</v>
      </c>
      <c r="E98" s="133">
        <v>359303</v>
      </c>
      <c r="F98" s="102">
        <f>_xlfn.COMPOUNDVALUE(327)</f>
        <v>1987</v>
      </c>
      <c r="G98" s="133">
        <v>933946</v>
      </c>
      <c r="H98" s="102">
        <f>_xlfn.COMPOUNDVALUE(328)</f>
        <v>63</v>
      </c>
      <c r="I98" s="135">
        <v>47222</v>
      </c>
      <c r="J98" s="102">
        <v>104</v>
      </c>
      <c r="K98" s="104">
        <v>20947</v>
      </c>
      <c r="L98" s="102">
        <v>2093</v>
      </c>
      <c r="M98" s="104">
        <v>907672</v>
      </c>
      <c r="N98" s="14" t="s">
        <v>104</v>
      </c>
    </row>
    <row r="99" spans="1:14" s="17" customFormat="1" ht="15.75" customHeight="1">
      <c r="A99" s="13" t="s">
        <v>105</v>
      </c>
      <c r="B99" s="102">
        <f>_xlfn.COMPOUNDVALUE(329)</f>
        <v>604</v>
      </c>
      <c r="C99" s="133">
        <v>404646</v>
      </c>
      <c r="D99" s="102">
        <f>_xlfn.COMPOUNDVALUE(330)</f>
        <v>1190</v>
      </c>
      <c r="E99" s="133">
        <v>367302</v>
      </c>
      <c r="F99" s="102">
        <f>_xlfn.COMPOUNDVALUE(331)</f>
        <v>1794</v>
      </c>
      <c r="G99" s="133">
        <v>771948</v>
      </c>
      <c r="H99" s="102">
        <f>_xlfn.COMPOUNDVALUE(332)</f>
        <v>26</v>
      </c>
      <c r="I99" s="135">
        <v>7048</v>
      </c>
      <c r="J99" s="102">
        <v>86</v>
      </c>
      <c r="K99" s="104">
        <v>23239</v>
      </c>
      <c r="L99" s="102">
        <v>1842</v>
      </c>
      <c r="M99" s="104">
        <v>788139</v>
      </c>
      <c r="N99" s="14" t="s">
        <v>105</v>
      </c>
    </row>
    <row r="100" spans="1:14" s="17" customFormat="1" ht="15.75" customHeight="1">
      <c r="A100" s="15" t="s">
        <v>106</v>
      </c>
      <c r="B100" s="137">
        <v>5913</v>
      </c>
      <c r="C100" s="106">
        <v>3712649</v>
      </c>
      <c r="D100" s="105">
        <v>6821</v>
      </c>
      <c r="E100" s="106">
        <v>2692516</v>
      </c>
      <c r="F100" s="137">
        <v>12734</v>
      </c>
      <c r="G100" s="106">
        <v>6405165</v>
      </c>
      <c r="H100" s="137">
        <v>313</v>
      </c>
      <c r="I100" s="107">
        <v>199063</v>
      </c>
      <c r="J100" s="105">
        <v>799</v>
      </c>
      <c r="K100" s="107">
        <v>158774</v>
      </c>
      <c r="L100" s="105">
        <v>13311</v>
      </c>
      <c r="M100" s="107">
        <v>6364877</v>
      </c>
      <c r="N100" s="16" t="s">
        <v>125</v>
      </c>
    </row>
    <row r="101" spans="1:14" s="17" customFormat="1" ht="15.75" customHeight="1" thickBot="1">
      <c r="A101" s="18"/>
      <c r="B101" s="138"/>
      <c r="C101" s="112"/>
      <c r="D101" s="111"/>
      <c r="E101" s="112"/>
      <c r="F101" s="140"/>
      <c r="G101" s="112"/>
      <c r="H101" s="140"/>
      <c r="I101" s="112"/>
      <c r="J101" s="113"/>
      <c r="K101" s="112"/>
      <c r="L101" s="113"/>
      <c r="M101" s="112"/>
      <c r="N101" s="19"/>
    </row>
    <row r="102" spans="1:14" s="17" customFormat="1" ht="15.75" customHeight="1" thickBot="1" thickTop="1">
      <c r="A102" s="21" t="s">
        <v>17</v>
      </c>
      <c r="B102" s="139">
        <v>100216</v>
      </c>
      <c r="C102" s="115">
        <v>63794856</v>
      </c>
      <c r="D102" s="139">
        <v>85962</v>
      </c>
      <c r="E102" s="115">
        <v>41416790</v>
      </c>
      <c r="F102" s="139">
        <v>186178</v>
      </c>
      <c r="G102" s="115">
        <v>105211646</v>
      </c>
      <c r="H102" s="139">
        <v>7815</v>
      </c>
      <c r="I102" s="116">
        <v>5702106</v>
      </c>
      <c r="J102" s="114">
        <v>15909</v>
      </c>
      <c r="K102" s="116">
        <v>4439373</v>
      </c>
      <c r="L102" s="114">
        <v>201054</v>
      </c>
      <c r="M102" s="116">
        <v>103948913</v>
      </c>
      <c r="N102" s="22" t="s">
        <v>118</v>
      </c>
    </row>
    <row r="103" spans="1:14" ht="13.5">
      <c r="A103" s="194" t="s">
        <v>161</v>
      </c>
      <c r="B103" s="194"/>
      <c r="C103" s="194"/>
      <c r="D103" s="194"/>
      <c r="E103" s="194"/>
      <c r="F103" s="194"/>
      <c r="G103" s="194"/>
      <c r="H103" s="194"/>
      <c r="I103" s="194"/>
      <c r="J103" s="27"/>
      <c r="K103" s="27"/>
      <c r="L103" s="2"/>
      <c r="M103" s="2"/>
      <c r="N103" s="2"/>
    </row>
    <row r="104" spans="2:13" ht="13.5">
      <c r="B104" s="42"/>
      <c r="C104" s="42"/>
      <c r="D104" s="42"/>
      <c r="E104" s="42"/>
      <c r="F104" s="42"/>
      <c r="G104" s="42"/>
      <c r="H104" s="42"/>
      <c r="I104" s="42"/>
      <c r="J104" s="42"/>
      <c r="K104" s="42"/>
      <c r="L104" s="42"/>
      <c r="M104" s="42"/>
    </row>
    <row r="105" spans="2:10" ht="13.5">
      <c r="B105" s="28"/>
      <c r="C105" s="28"/>
      <c r="D105" s="28"/>
      <c r="E105" s="28"/>
      <c r="F105" s="28"/>
      <c r="G105" s="28"/>
      <c r="H105" s="28"/>
      <c r="J105" s="28"/>
    </row>
    <row r="106" spans="2:10" ht="13.5">
      <c r="B106" s="28"/>
      <c r="C106" s="28"/>
      <c r="D106" s="28"/>
      <c r="E106" s="28"/>
      <c r="F106" s="28"/>
      <c r="G106" s="28"/>
      <c r="H106" s="28"/>
      <c r="J106" s="28"/>
    </row>
    <row r="107" spans="2:10" ht="13.5">
      <c r="B107" s="28"/>
      <c r="C107" s="28"/>
      <c r="D107" s="28"/>
      <c r="E107" s="28"/>
      <c r="F107" s="28"/>
      <c r="G107" s="28"/>
      <c r="H107" s="28"/>
      <c r="J107" s="28"/>
    </row>
    <row r="108" spans="2:10" ht="13.5">
      <c r="B108" s="28"/>
      <c r="C108" s="28"/>
      <c r="D108" s="28"/>
      <c r="E108" s="28"/>
      <c r="F108" s="28"/>
      <c r="G108" s="28"/>
      <c r="H108" s="28"/>
      <c r="J108" s="28"/>
    </row>
    <row r="109" spans="2:10" ht="13.5">
      <c r="B109" s="28"/>
      <c r="C109" s="28"/>
      <c r="D109" s="28"/>
      <c r="E109" s="28"/>
      <c r="F109" s="28"/>
      <c r="G109" s="28"/>
      <c r="H109" s="28"/>
      <c r="J109" s="28"/>
    </row>
    <row r="110" spans="2:10" ht="13.5">
      <c r="B110" s="28"/>
      <c r="C110" s="28"/>
      <c r="D110" s="28"/>
      <c r="E110" s="28"/>
      <c r="F110" s="28"/>
      <c r="G110" s="28"/>
      <c r="H110" s="28"/>
      <c r="J110" s="28"/>
    </row>
    <row r="111" spans="2:10" ht="13.5">
      <c r="B111" s="28"/>
      <c r="C111" s="28"/>
      <c r="D111" s="28"/>
      <c r="E111" s="28"/>
      <c r="F111" s="28"/>
      <c r="G111" s="28"/>
      <c r="H111" s="28"/>
      <c r="J111" s="28"/>
    </row>
    <row r="112" spans="2:10" ht="13.5">
      <c r="B112" s="28"/>
      <c r="C112" s="28"/>
      <c r="D112" s="28"/>
      <c r="E112" s="28"/>
      <c r="F112" s="28"/>
      <c r="G112" s="28"/>
      <c r="H112" s="28"/>
      <c r="J112" s="28"/>
    </row>
    <row r="113" spans="2:10" ht="13.5">
      <c r="B113" s="28"/>
      <c r="C113" s="28"/>
      <c r="D113" s="28"/>
      <c r="E113" s="28"/>
      <c r="F113" s="28"/>
      <c r="G113" s="28"/>
      <c r="H113" s="28"/>
      <c r="J113" s="28"/>
    </row>
    <row r="114" spans="2:10" ht="13.5">
      <c r="B114" s="28"/>
      <c r="C114" s="28"/>
      <c r="D114" s="28"/>
      <c r="E114" s="28"/>
      <c r="F114" s="28"/>
      <c r="G114" s="28"/>
      <c r="H114" s="28"/>
      <c r="J114" s="28"/>
    </row>
    <row r="115" spans="2:10" ht="13.5">
      <c r="B115" s="28"/>
      <c r="C115" s="28"/>
      <c r="D115" s="28"/>
      <c r="E115" s="28"/>
      <c r="F115" s="28"/>
      <c r="G115" s="28"/>
      <c r="H115" s="28"/>
      <c r="J115" s="28"/>
    </row>
    <row r="116" spans="2:10" ht="13.5">
      <c r="B116" s="28"/>
      <c r="C116" s="28"/>
      <c r="D116" s="28"/>
      <c r="E116" s="28"/>
      <c r="F116" s="28"/>
      <c r="G116" s="28"/>
      <c r="H116" s="28"/>
      <c r="J116" s="28"/>
    </row>
    <row r="117" spans="2:10" ht="13.5">
      <c r="B117" s="28"/>
      <c r="C117" s="28"/>
      <c r="D117" s="28"/>
      <c r="E117" s="28"/>
      <c r="F117" s="28"/>
      <c r="G117" s="28"/>
      <c r="H117" s="28"/>
      <c r="J117" s="28"/>
    </row>
  </sheetData>
  <sheetProtection/>
  <mergeCells count="11">
    <mergeCell ref="L3:M4"/>
    <mergeCell ref="A103:I103"/>
    <mergeCell ref="A2:G2"/>
    <mergeCell ref="A3:A5"/>
    <mergeCell ref="B3:G3"/>
    <mergeCell ref="H3:I4"/>
    <mergeCell ref="N3:N5"/>
    <mergeCell ref="B4:C4"/>
    <mergeCell ref="D4:E4"/>
    <mergeCell ref="F4:G4"/>
    <mergeCell ref="J3:K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44" r:id="rId1"/>
  <headerFooter alignWithMargins="0">
    <oddFooter>&amp;R&amp;10大阪国税局
消費税
(R01)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03"/>
  <sheetViews>
    <sheetView showGridLines="0" zoomScale="112" zoomScaleNormal="112" zoomScaleSheetLayoutView="85" workbookViewId="0" topLeftCell="A1">
      <selection activeCell="I11" sqref="I11"/>
    </sheetView>
  </sheetViews>
  <sheetFormatPr defaultColWidth="9.140625" defaultRowHeight="15"/>
  <cols>
    <col min="1" max="1" width="11.14062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3" ht="13.5">
      <c r="A1" s="1" t="s">
        <v>166</v>
      </c>
      <c r="B1" s="1"/>
      <c r="C1" s="1"/>
      <c r="D1" s="1"/>
      <c r="E1" s="1"/>
      <c r="F1" s="1"/>
      <c r="G1" s="1"/>
      <c r="H1" s="1"/>
      <c r="I1" s="1"/>
      <c r="J1" s="1"/>
      <c r="K1" s="1"/>
      <c r="L1" s="2"/>
      <c r="M1" s="2"/>
    </row>
    <row r="2" spans="1:13" ht="14.25" thickBot="1">
      <c r="A2" s="210" t="s">
        <v>107</v>
      </c>
      <c r="B2" s="210"/>
      <c r="C2" s="210"/>
      <c r="D2" s="210"/>
      <c r="E2" s="210"/>
      <c r="F2" s="210"/>
      <c r="G2" s="210"/>
      <c r="H2" s="210"/>
      <c r="I2" s="210"/>
      <c r="J2" s="27"/>
      <c r="K2" s="27"/>
      <c r="L2" s="2"/>
      <c r="M2" s="2"/>
    </row>
    <row r="3" spans="1:14" ht="19.5" customHeight="1">
      <c r="A3" s="196" t="s">
        <v>1</v>
      </c>
      <c r="B3" s="199" t="s">
        <v>2</v>
      </c>
      <c r="C3" s="199"/>
      <c r="D3" s="199"/>
      <c r="E3" s="199"/>
      <c r="F3" s="199"/>
      <c r="G3" s="199"/>
      <c r="H3" s="200" t="s">
        <v>3</v>
      </c>
      <c r="I3" s="201"/>
      <c r="J3" s="209" t="s">
        <v>4</v>
      </c>
      <c r="K3" s="201"/>
      <c r="L3" s="200" t="s">
        <v>5</v>
      </c>
      <c r="M3" s="201"/>
      <c r="N3" s="204" t="s">
        <v>108</v>
      </c>
    </row>
    <row r="4" spans="1:14" ht="17.25" customHeight="1">
      <c r="A4" s="197"/>
      <c r="B4" s="202" t="s">
        <v>7</v>
      </c>
      <c r="C4" s="208"/>
      <c r="D4" s="202" t="s">
        <v>8</v>
      </c>
      <c r="E4" s="208"/>
      <c r="F4" s="202" t="s">
        <v>9</v>
      </c>
      <c r="G4" s="208"/>
      <c r="H4" s="202"/>
      <c r="I4" s="203"/>
      <c r="J4" s="202"/>
      <c r="K4" s="203"/>
      <c r="L4" s="202"/>
      <c r="M4" s="203"/>
      <c r="N4" s="205"/>
    </row>
    <row r="5" spans="1:14" ht="28.5" customHeight="1">
      <c r="A5" s="198"/>
      <c r="B5" s="37" t="s">
        <v>10</v>
      </c>
      <c r="C5" s="38" t="s">
        <v>11</v>
      </c>
      <c r="D5" s="37" t="s">
        <v>10</v>
      </c>
      <c r="E5" s="38" t="s">
        <v>11</v>
      </c>
      <c r="F5" s="37" t="s">
        <v>10</v>
      </c>
      <c r="G5" s="41" t="s">
        <v>12</v>
      </c>
      <c r="H5" s="37" t="s">
        <v>115</v>
      </c>
      <c r="I5" s="40" t="s">
        <v>13</v>
      </c>
      <c r="J5" s="37" t="s">
        <v>115</v>
      </c>
      <c r="K5" s="40" t="s">
        <v>14</v>
      </c>
      <c r="L5" s="37" t="s">
        <v>115</v>
      </c>
      <c r="M5" s="39" t="s">
        <v>116</v>
      </c>
      <c r="N5" s="206"/>
    </row>
    <row r="6" spans="1:14" s="29" customFormat="1" ht="10.5">
      <c r="A6" s="5"/>
      <c r="B6" s="6" t="s">
        <v>15</v>
      </c>
      <c r="C6" s="7" t="s">
        <v>16</v>
      </c>
      <c r="D6" s="6" t="s">
        <v>15</v>
      </c>
      <c r="E6" s="7" t="s">
        <v>16</v>
      </c>
      <c r="F6" s="6" t="s">
        <v>15</v>
      </c>
      <c r="G6" s="7" t="s">
        <v>16</v>
      </c>
      <c r="H6" s="6" t="s">
        <v>15</v>
      </c>
      <c r="I6" s="8" t="s">
        <v>16</v>
      </c>
      <c r="J6" s="6" t="s">
        <v>15</v>
      </c>
      <c r="K6" s="8" t="s">
        <v>16</v>
      </c>
      <c r="L6" s="6" t="s">
        <v>164</v>
      </c>
      <c r="M6" s="8" t="s">
        <v>16</v>
      </c>
      <c r="N6" s="9"/>
    </row>
    <row r="7" spans="1:14" ht="15.75" customHeight="1">
      <c r="A7" s="11" t="s">
        <v>18</v>
      </c>
      <c r="B7" s="99">
        <f>_xlfn.COMPOUNDVALUE(333)</f>
        <v>2401</v>
      </c>
      <c r="C7" s="100">
        <v>16511735</v>
      </c>
      <c r="D7" s="99">
        <f>_xlfn.COMPOUNDVALUE(334)</f>
        <v>832</v>
      </c>
      <c r="E7" s="100">
        <v>547073</v>
      </c>
      <c r="F7" s="99">
        <f>_xlfn.COMPOUNDVALUE(335)</f>
        <v>3233</v>
      </c>
      <c r="G7" s="100">
        <v>17058808</v>
      </c>
      <c r="H7" s="99">
        <f>_xlfn.COMPOUNDVALUE(336)</f>
        <v>202</v>
      </c>
      <c r="I7" s="101">
        <v>7039785</v>
      </c>
      <c r="J7" s="99">
        <v>142</v>
      </c>
      <c r="K7" s="101">
        <v>-31773</v>
      </c>
      <c r="L7" s="99">
        <v>3448</v>
      </c>
      <c r="M7" s="101">
        <v>9987250</v>
      </c>
      <c r="N7" s="12" t="s">
        <v>18</v>
      </c>
    </row>
    <row r="8" spans="1:14" ht="15.75" customHeight="1">
      <c r="A8" s="13" t="s">
        <v>19</v>
      </c>
      <c r="B8" s="102">
        <f>_xlfn.COMPOUNDVALUE(337)</f>
        <v>1322</v>
      </c>
      <c r="C8" s="103">
        <v>14710058</v>
      </c>
      <c r="D8" s="102">
        <f>_xlfn.COMPOUNDVALUE(338)</f>
        <v>410</v>
      </c>
      <c r="E8" s="103">
        <v>267514</v>
      </c>
      <c r="F8" s="102">
        <f>_xlfn.COMPOUNDVALUE(339)</f>
        <v>1732</v>
      </c>
      <c r="G8" s="103">
        <v>14977572</v>
      </c>
      <c r="H8" s="102">
        <f>_xlfn.COMPOUNDVALUE(340)</f>
        <v>134</v>
      </c>
      <c r="I8" s="104">
        <v>3556215</v>
      </c>
      <c r="J8" s="102">
        <v>98</v>
      </c>
      <c r="K8" s="104">
        <v>-14654</v>
      </c>
      <c r="L8" s="102">
        <v>1874</v>
      </c>
      <c r="M8" s="104">
        <v>11406703</v>
      </c>
      <c r="N8" s="14" t="s">
        <v>19</v>
      </c>
    </row>
    <row r="9" spans="1:14" ht="15.75" customHeight="1">
      <c r="A9" s="13" t="s">
        <v>20</v>
      </c>
      <c r="B9" s="102">
        <f>_xlfn.COMPOUNDVALUE(341)</f>
        <v>1416</v>
      </c>
      <c r="C9" s="103">
        <v>9676186</v>
      </c>
      <c r="D9" s="102">
        <f>_xlfn.COMPOUNDVALUE(342)</f>
        <v>459</v>
      </c>
      <c r="E9" s="103">
        <v>314600</v>
      </c>
      <c r="F9" s="102">
        <f>_xlfn.COMPOUNDVALUE(343)</f>
        <v>1875</v>
      </c>
      <c r="G9" s="103">
        <v>9990786</v>
      </c>
      <c r="H9" s="102">
        <f>_xlfn.COMPOUNDVALUE(344)</f>
        <v>91</v>
      </c>
      <c r="I9" s="104">
        <v>275937</v>
      </c>
      <c r="J9" s="102">
        <v>100</v>
      </c>
      <c r="K9" s="104">
        <v>18129</v>
      </c>
      <c r="L9" s="102">
        <v>1975</v>
      </c>
      <c r="M9" s="104">
        <v>9732978</v>
      </c>
      <c r="N9" s="14" t="s">
        <v>20</v>
      </c>
    </row>
    <row r="10" spans="1:14" ht="15.75" customHeight="1">
      <c r="A10" s="13" t="s">
        <v>21</v>
      </c>
      <c r="B10" s="102">
        <f>_xlfn.COMPOUNDVALUE(345)</f>
        <v>1711</v>
      </c>
      <c r="C10" s="103">
        <v>10781500</v>
      </c>
      <c r="D10" s="102">
        <f>_xlfn.COMPOUNDVALUE(346)</f>
        <v>497</v>
      </c>
      <c r="E10" s="103">
        <v>325254</v>
      </c>
      <c r="F10" s="102">
        <f>_xlfn.COMPOUNDVALUE(347)</f>
        <v>2208</v>
      </c>
      <c r="G10" s="103">
        <v>11106754</v>
      </c>
      <c r="H10" s="102">
        <f>_xlfn.COMPOUNDVALUE(348)</f>
        <v>296</v>
      </c>
      <c r="I10" s="104">
        <v>1346307</v>
      </c>
      <c r="J10" s="102">
        <v>104</v>
      </c>
      <c r="K10" s="104">
        <v>29367</v>
      </c>
      <c r="L10" s="102">
        <v>2519</v>
      </c>
      <c r="M10" s="104">
        <v>9789813</v>
      </c>
      <c r="N10" s="14" t="s">
        <v>21</v>
      </c>
    </row>
    <row r="11" spans="1:14" ht="15.75" customHeight="1">
      <c r="A11" s="13" t="s">
        <v>22</v>
      </c>
      <c r="B11" s="102">
        <f>_xlfn.COMPOUNDVALUE(349)</f>
        <v>2565</v>
      </c>
      <c r="C11" s="103">
        <v>18600758</v>
      </c>
      <c r="D11" s="102">
        <f>_xlfn.COMPOUNDVALUE(350)</f>
        <v>853</v>
      </c>
      <c r="E11" s="103">
        <v>570612</v>
      </c>
      <c r="F11" s="102">
        <f>_xlfn.COMPOUNDVALUE(351)</f>
        <v>3418</v>
      </c>
      <c r="G11" s="103">
        <v>19171370</v>
      </c>
      <c r="H11" s="102">
        <f>_xlfn.COMPOUNDVALUE(352)</f>
        <v>242</v>
      </c>
      <c r="I11" s="104">
        <v>1725011</v>
      </c>
      <c r="J11" s="102">
        <v>153</v>
      </c>
      <c r="K11" s="104">
        <v>19075</v>
      </c>
      <c r="L11" s="102">
        <v>3673</v>
      </c>
      <c r="M11" s="104">
        <v>17465434</v>
      </c>
      <c r="N11" s="14" t="s">
        <v>22</v>
      </c>
    </row>
    <row r="12" spans="1:14" ht="15.75" customHeight="1">
      <c r="A12" s="13" t="s">
        <v>23</v>
      </c>
      <c r="B12" s="102">
        <f>_xlfn.COMPOUNDVALUE(353)</f>
        <v>1214</v>
      </c>
      <c r="C12" s="103">
        <v>13971716</v>
      </c>
      <c r="D12" s="102">
        <f>_xlfn.COMPOUNDVALUE(354)</f>
        <v>319</v>
      </c>
      <c r="E12" s="103">
        <v>246732</v>
      </c>
      <c r="F12" s="102">
        <f>_xlfn.COMPOUNDVALUE(355)</f>
        <v>1533</v>
      </c>
      <c r="G12" s="103">
        <v>14218448</v>
      </c>
      <c r="H12" s="102">
        <f>_xlfn.COMPOUNDVALUE(356)</f>
        <v>115</v>
      </c>
      <c r="I12" s="104">
        <v>640735</v>
      </c>
      <c r="J12" s="102">
        <v>82</v>
      </c>
      <c r="K12" s="104">
        <v>14629</v>
      </c>
      <c r="L12" s="102">
        <v>1655</v>
      </c>
      <c r="M12" s="104">
        <v>13592342</v>
      </c>
      <c r="N12" s="14" t="s">
        <v>23</v>
      </c>
    </row>
    <row r="13" spans="1:14" ht="15.75" customHeight="1">
      <c r="A13" s="13" t="s">
        <v>24</v>
      </c>
      <c r="B13" s="102">
        <f>_xlfn.COMPOUNDVALUE(357)</f>
        <v>528</v>
      </c>
      <c r="C13" s="103">
        <v>2529219</v>
      </c>
      <c r="D13" s="102">
        <f>_xlfn.COMPOUNDVALUE(358)</f>
        <v>152</v>
      </c>
      <c r="E13" s="103">
        <v>85208</v>
      </c>
      <c r="F13" s="102">
        <f>_xlfn.COMPOUNDVALUE(359)</f>
        <v>680</v>
      </c>
      <c r="G13" s="103">
        <v>2614428</v>
      </c>
      <c r="H13" s="102">
        <f>_xlfn.COMPOUNDVALUE(360)</f>
        <v>35</v>
      </c>
      <c r="I13" s="104">
        <v>551031</v>
      </c>
      <c r="J13" s="102">
        <v>33</v>
      </c>
      <c r="K13" s="104">
        <v>5963</v>
      </c>
      <c r="L13" s="102">
        <v>717</v>
      </c>
      <c r="M13" s="104">
        <v>2069360</v>
      </c>
      <c r="N13" s="14" t="s">
        <v>24</v>
      </c>
    </row>
    <row r="14" spans="1:14" ht="15.75" customHeight="1">
      <c r="A14" s="15" t="s">
        <v>109</v>
      </c>
      <c r="B14" s="105">
        <v>11157</v>
      </c>
      <c r="C14" s="106">
        <v>86781172</v>
      </c>
      <c r="D14" s="105">
        <v>3522</v>
      </c>
      <c r="E14" s="106">
        <v>2356993</v>
      </c>
      <c r="F14" s="105">
        <v>14679</v>
      </c>
      <c r="G14" s="106">
        <v>89138165</v>
      </c>
      <c r="H14" s="105">
        <v>1115</v>
      </c>
      <c r="I14" s="107">
        <v>15135021</v>
      </c>
      <c r="J14" s="105">
        <v>712</v>
      </c>
      <c r="K14" s="107">
        <v>40737</v>
      </c>
      <c r="L14" s="105">
        <v>15861</v>
      </c>
      <c r="M14" s="107">
        <v>74043881</v>
      </c>
      <c r="N14" s="16" t="s">
        <v>120</v>
      </c>
    </row>
    <row r="15" spans="1:14" ht="15.75" customHeight="1">
      <c r="A15" s="26"/>
      <c r="B15" s="108"/>
      <c r="C15" s="109"/>
      <c r="D15" s="108"/>
      <c r="E15" s="109"/>
      <c r="F15" s="110"/>
      <c r="G15" s="109"/>
      <c r="H15" s="110"/>
      <c r="I15" s="109"/>
      <c r="J15" s="110"/>
      <c r="K15" s="109"/>
      <c r="L15" s="110"/>
      <c r="M15" s="109"/>
      <c r="N15" s="24"/>
    </row>
    <row r="16" spans="1:14" ht="15.75" customHeight="1">
      <c r="A16" s="11" t="s">
        <v>26</v>
      </c>
      <c r="B16" s="99">
        <f>_xlfn.COMPOUNDVALUE(361)</f>
        <v>2244</v>
      </c>
      <c r="C16" s="100">
        <v>9461518</v>
      </c>
      <c r="D16" s="99">
        <f>_xlfn.COMPOUNDVALUE(362)</f>
        <v>1002</v>
      </c>
      <c r="E16" s="100">
        <v>533918</v>
      </c>
      <c r="F16" s="99">
        <f>_xlfn.COMPOUNDVALUE(363)</f>
        <v>3246</v>
      </c>
      <c r="G16" s="100">
        <v>9995435</v>
      </c>
      <c r="H16" s="99">
        <f>_xlfn.COMPOUNDVALUE(364)</f>
        <v>264</v>
      </c>
      <c r="I16" s="101">
        <v>11868370</v>
      </c>
      <c r="J16" s="99">
        <v>240</v>
      </c>
      <c r="K16" s="101">
        <v>-62155</v>
      </c>
      <c r="L16" s="99">
        <v>3578</v>
      </c>
      <c r="M16" s="101">
        <v>-1935089</v>
      </c>
      <c r="N16" s="25" t="s">
        <v>26</v>
      </c>
    </row>
    <row r="17" spans="1:14" ht="15.75" customHeight="1">
      <c r="A17" s="11" t="s">
        <v>27</v>
      </c>
      <c r="B17" s="99">
        <f>_xlfn.COMPOUNDVALUE(365)</f>
        <v>1594</v>
      </c>
      <c r="C17" s="100">
        <v>8895997</v>
      </c>
      <c r="D17" s="99">
        <f>_xlfn.COMPOUNDVALUE(366)</f>
        <v>672</v>
      </c>
      <c r="E17" s="100">
        <v>419592</v>
      </c>
      <c r="F17" s="99">
        <f>_xlfn.COMPOUNDVALUE(367)</f>
        <v>2266</v>
      </c>
      <c r="G17" s="100">
        <v>9315589</v>
      </c>
      <c r="H17" s="99">
        <f>_xlfn.COMPOUNDVALUE(368)</f>
        <v>236</v>
      </c>
      <c r="I17" s="101">
        <v>1475008</v>
      </c>
      <c r="J17" s="99">
        <v>134</v>
      </c>
      <c r="K17" s="101">
        <v>22000</v>
      </c>
      <c r="L17" s="99">
        <v>2516</v>
      </c>
      <c r="M17" s="101">
        <v>7862581</v>
      </c>
      <c r="N17" s="12" t="s">
        <v>27</v>
      </c>
    </row>
    <row r="18" spans="1:14" ht="15.75" customHeight="1">
      <c r="A18" s="11" t="s">
        <v>28</v>
      </c>
      <c r="B18" s="99">
        <f>_xlfn.COMPOUNDVALUE(369)</f>
        <v>3016</v>
      </c>
      <c r="C18" s="100">
        <v>28849824</v>
      </c>
      <c r="D18" s="99">
        <f>_xlfn.COMPOUNDVALUE(370)</f>
        <v>984</v>
      </c>
      <c r="E18" s="100">
        <v>670541</v>
      </c>
      <c r="F18" s="99">
        <f>_xlfn.COMPOUNDVALUE(371)</f>
        <v>4000</v>
      </c>
      <c r="G18" s="100">
        <v>29520365</v>
      </c>
      <c r="H18" s="99">
        <f>_xlfn.COMPOUNDVALUE(372)</f>
        <v>364</v>
      </c>
      <c r="I18" s="101">
        <v>9079323</v>
      </c>
      <c r="J18" s="99">
        <v>219</v>
      </c>
      <c r="K18" s="101">
        <v>60214</v>
      </c>
      <c r="L18" s="99">
        <v>4392</v>
      </c>
      <c r="M18" s="101">
        <v>20501256</v>
      </c>
      <c r="N18" s="12" t="s">
        <v>28</v>
      </c>
    </row>
    <row r="19" spans="1:14" ht="15.75" customHeight="1">
      <c r="A19" s="11" t="s">
        <v>29</v>
      </c>
      <c r="B19" s="99">
        <f>_xlfn.COMPOUNDVALUE(373)</f>
        <v>2076</v>
      </c>
      <c r="C19" s="100">
        <v>14089495</v>
      </c>
      <c r="D19" s="99">
        <f>_xlfn.COMPOUNDVALUE(374)</f>
        <v>736</v>
      </c>
      <c r="E19" s="100">
        <v>442502</v>
      </c>
      <c r="F19" s="99">
        <f>_xlfn.COMPOUNDVALUE(375)</f>
        <v>2812</v>
      </c>
      <c r="G19" s="100">
        <v>14531996</v>
      </c>
      <c r="H19" s="99">
        <f>_xlfn.COMPOUNDVALUE(376)</f>
        <v>199</v>
      </c>
      <c r="I19" s="101">
        <v>430086</v>
      </c>
      <c r="J19" s="99">
        <v>107</v>
      </c>
      <c r="K19" s="101">
        <v>41351</v>
      </c>
      <c r="L19" s="99">
        <v>3025</v>
      </c>
      <c r="M19" s="101">
        <v>14143262</v>
      </c>
      <c r="N19" s="12" t="s">
        <v>29</v>
      </c>
    </row>
    <row r="20" spans="1:14" ht="15.75" customHeight="1">
      <c r="A20" s="11" t="s">
        <v>30</v>
      </c>
      <c r="B20" s="99">
        <f>_xlfn.COMPOUNDVALUE(377)</f>
        <v>4703</v>
      </c>
      <c r="C20" s="100">
        <v>88663265</v>
      </c>
      <c r="D20" s="99">
        <f>_xlfn.COMPOUNDVALUE(378)</f>
        <v>1225</v>
      </c>
      <c r="E20" s="100">
        <v>800029</v>
      </c>
      <c r="F20" s="99">
        <f>_xlfn.COMPOUNDVALUE(379)</f>
        <v>5928</v>
      </c>
      <c r="G20" s="100">
        <v>89463294</v>
      </c>
      <c r="H20" s="99">
        <f>_xlfn.COMPOUNDVALUE(380)</f>
        <v>578</v>
      </c>
      <c r="I20" s="101">
        <v>15046304</v>
      </c>
      <c r="J20" s="99">
        <v>456</v>
      </c>
      <c r="K20" s="101">
        <v>80675</v>
      </c>
      <c r="L20" s="99">
        <v>6547</v>
      </c>
      <c r="M20" s="101">
        <v>74497666</v>
      </c>
      <c r="N20" s="12" t="s">
        <v>30</v>
      </c>
    </row>
    <row r="21" spans="1:14" ht="15.75" customHeight="1">
      <c r="A21" s="11" t="s">
        <v>31</v>
      </c>
      <c r="B21" s="99">
        <f>_xlfn.COMPOUNDVALUE(381)</f>
        <v>3915</v>
      </c>
      <c r="C21" s="100">
        <v>25584130</v>
      </c>
      <c r="D21" s="99">
        <f>_xlfn.COMPOUNDVALUE(382)</f>
        <v>1302</v>
      </c>
      <c r="E21" s="100">
        <v>794183</v>
      </c>
      <c r="F21" s="99">
        <f>_xlfn.COMPOUNDVALUE(383)</f>
        <v>5217</v>
      </c>
      <c r="G21" s="100">
        <v>26378313</v>
      </c>
      <c r="H21" s="99">
        <f>_xlfn.COMPOUNDVALUE(384)</f>
        <v>372</v>
      </c>
      <c r="I21" s="101">
        <v>71294070</v>
      </c>
      <c r="J21" s="99">
        <v>300</v>
      </c>
      <c r="K21" s="101">
        <v>24284</v>
      </c>
      <c r="L21" s="99">
        <v>5632</v>
      </c>
      <c r="M21" s="101">
        <v>-44891473</v>
      </c>
      <c r="N21" s="12" t="s">
        <v>31</v>
      </c>
    </row>
    <row r="22" spans="1:14" ht="15.75" customHeight="1">
      <c r="A22" s="13" t="s">
        <v>32</v>
      </c>
      <c r="B22" s="102">
        <f>_xlfn.COMPOUNDVALUE(385)</f>
        <v>2668</v>
      </c>
      <c r="C22" s="103">
        <v>24393347</v>
      </c>
      <c r="D22" s="102">
        <f>_xlfn.COMPOUNDVALUE(386)</f>
        <v>778</v>
      </c>
      <c r="E22" s="103">
        <v>566882</v>
      </c>
      <c r="F22" s="102">
        <f>_xlfn.COMPOUNDVALUE(387)</f>
        <v>3446</v>
      </c>
      <c r="G22" s="103">
        <v>24960228</v>
      </c>
      <c r="H22" s="102">
        <f>_xlfn.COMPOUNDVALUE(388)</f>
        <v>264</v>
      </c>
      <c r="I22" s="104">
        <v>11012456</v>
      </c>
      <c r="J22" s="102">
        <v>146</v>
      </c>
      <c r="K22" s="104">
        <v>83117</v>
      </c>
      <c r="L22" s="102">
        <v>3735</v>
      </c>
      <c r="M22" s="104">
        <v>14030889</v>
      </c>
      <c r="N22" s="14" t="s">
        <v>32</v>
      </c>
    </row>
    <row r="23" spans="1:14" ht="15.75" customHeight="1">
      <c r="A23" s="13" t="s">
        <v>33</v>
      </c>
      <c r="B23" s="102">
        <f>_xlfn.COMPOUNDVALUE(389)</f>
        <v>961</v>
      </c>
      <c r="C23" s="103">
        <v>7926796</v>
      </c>
      <c r="D23" s="102">
        <f>_xlfn.COMPOUNDVALUE(390)</f>
        <v>347</v>
      </c>
      <c r="E23" s="103">
        <v>199913</v>
      </c>
      <c r="F23" s="102">
        <f>_xlfn.COMPOUNDVALUE(391)</f>
        <v>1308</v>
      </c>
      <c r="G23" s="103">
        <v>8126709</v>
      </c>
      <c r="H23" s="102">
        <f>_xlfn.COMPOUNDVALUE(392)</f>
        <v>37</v>
      </c>
      <c r="I23" s="104">
        <v>130348</v>
      </c>
      <c r="J23" s="102">
        <v>73</v>
      </c>
      <c r="K23" s="104">
        <v>11529</v>
      </c>
      <c r="L23" s="102">
        <v>1355</v>
      </c>
      <c r="M23" s="104">
        <v>8007890</v>
      </c>
      <c r="N23" s="14" t="s">
        <v>33</v>
      </c>
    </row>
    <row r="24" spans="1:14" ht="15.75" customHeight="1">
      <c r="A24" s="13" t="s">
        <v>34</v>
      </c>
      <c r="B24" s="102">
        <f>_xlfn.COMPOUNDVALUE(393)</f>
        <v>739</v>
      </c>
      <c r="C24" s="103">
        <v>3305697</v>
      </c>
      <c r="D24" s="102">
        <f>_xlfn.COMPOUNDVALUE(394)</f>
        <v>248</v>
      </c>
      <c r="E24" s="103">
        <v>148439</v>
      </c>
      <c r="F24" s="102">
        <f>_xlfn.COMPOUNDVALUE(395)</f>
        <v>987</v>
      </c>
      <c r="G24" s="103">
        <v>3454136</v>
      </c>
      <c r="H24" s="102">
        <f>_xlfn.COMPOUNDVALUE(396)</f>
        <v>52</v>
      </c>
      <c r="I24" s="104">
        <v>105319</v>
      </c>
      <c r="J24" s="102">
        <v>87</v>
      </c>
      <c r="K24" s="104">
        <v>8544</v>
      </c>
      <c r="L24" s="102">
        <v>1042</v>
      </c>
      <c r="M24" s="104">
        <v>3357361</v>
      </c>
      <c r="N24" s="14" t="s">
        <v>34</v>
      </c>
    </row>
    <row r="25" spans="1:14" ht="15.75" customHeight="1">
      <c r="A25" s="13" t="s">
        <v>35</v>
      </c>
      <c r="B25" s="102">
        <f>_xlfn.COMPOUNDVALUE(397)</f>
        <v>4287</v>
      </c>
      <c r="C25" s="103">
        <v>27168212</v>
      </c>
      <c r="D25" s="102">
        <f>_xlfn.COMPOUNDVALUE(398)</f>
        <v>1187</v>
      </c>
      <c r="E25" s="103">
        <v>762244</v>
      </c>
      <c r="F25" s="102">
        <f>_xlfn.COMPOUNDVALUE(399)</f>
        <v>5474</v>
      </c>
      <c r="G25" s="103">
        <v>27930456</v>
      </c>
      <c r="H25" s="102">
        <f>_xlfn.COMPOUNDVALUE(400)</f>
        <v>504</v>
      </c>
      <c r="I25" s="104">
        <v>1881403</v>
      </c>
      <c r="J25" s="102">
        <v>311</v>
      </c>
      <c r="K25" s="104">
        <v>47190</v>
      </c>
      <c r="L25" s="102">
        <v>6017</v>
      </c>
      <c r="M25" s="104">
        <v>26096243</v>
      </c>
      <c r="N25" s="14" t="s">
        <v>35</v>
      </c>
    </row>
    <row r="26" spans="1:14" ht="15.75" customHeight="1">
      <c r="A26" s="13" t="s">
        <v>36</v>
      </c>
      <c r="B26" s="102">
        <f>_xlfn.COMPOUNDVALUE(401)</f>
        <v>372</v>
      </c>
      <c r="C26" s="103">
        <v>1735750</v>
      </c>
      <c r="D26" s="102">
        <f>_xlfn.COMPOUNDVALUE(402)</f>
        <v>129</v>
      </c>
      <c r="E26" s="103">
        <v>70637</v>
      </c>
      <c r="F26" s="102">
        <f>_xlfn.COMPOUNDVALUE(403)</f>
        <v>501</v>
      </c>
      <c r="G26" s="103">
        <v>1806387</v>
      </c>
      <c r="H26" s="102">
        <f>_xlfn.COMPOUNDVALUE(404)</f>
        <v>12</v>
      </c>
      <c r="I26" s="104">
        <v>179399</v>
      </c>
      <c r="J26" s="102">
        <v>51</v>
      </c>
      <c r="K26" s="104">
        <v>10308</v>
      </c>
      <c r="L26" s="102">
        <v>518</v>
      </c>
      <c r="M26" s="104">
        <v>1637296</v>
      </c>
      <c r="N26" s="14" t="s">
        <v>36</v>
      </c>
    </row>
    <row r="27" spans="1:14" ht="15.75" customHeight="1">
      <c r="A27" s="13" t="s">
        <v>37</v>
      </c>
      <c r="B27" s="102">
        <f>_xlfn.COMPOUNDVALUE(405)</f>
        <v>1115</v>
      </c>
      <c r="C27" s="103">
        <v>5232700</v>
      </c>
      <c r="D27" s="102">
        <f>_xlfn.COMPOUNDVALUE(406)</f>
        <v>313</v>
      </c>
      <c r="E27" s="103">
        <v>188041</v>
      </c>
      <c r="F27" s="102">
        <f>_xlfn.COMPOUNDVALUE(407)</f>
        <v>1428</v>
      </c>
      <c r="G27" s="103">
        <v>5420741</v>
      </c>
      <c r="H27" s="102">
        <f>_xlfn.COMPOUNDVALUE(408)</f>
        <v>95</v>
      </c>
      <c r="I27" s="104">
        <v>363264</v>
      </c>
      <c r="J27" s="102">
        <v>83</v>
      </c>
      <c r="K27" s="104">
        <v>9804</v>
      </c>
      <c r="L27" s="102">
        <v>1530</v>
      </c>
      <c r="M27" s="104">
        <v>5067281</v>
      </c>
      <c r="N27" s="14" t="s">
        <v>37</v>
      </c>
    </row>
    <row r="28" spans="1:14" ht="15.75" customHeight="1">
      <c r="A28" s="13" t="s">
        <v>38</v>
      </c>
      <c r="B28" s="102">
        <f>_xlfn.COMPOUNDVALUE(409)</f>
        <v>490</v>
      </c>
      <c r="C28" s="103">
        <v>2192943</v>
      </c>
      <c r="D28" s="102">
        <f>_xlfn.COMPOUNDVALUE(410)</f>
        <v>144</v>
      </c>
      <c r="E28" s="103">
        <v>85017</v>
      </c>
      <c r="F28" s="102">
        <f>_xlfn.COMPOUNDVALUE(411)</f>
        <v>634</v>
      </c>
      <c r="G28" s="103">
        <v>2277960</v>
      </c>
      <c r="H28" s="102">
        <f>_xlfn.COMPOUNDVALUE(412)</f>
        <v>23</v>
      </c>
      <c r="I28" s="104">
        <v>433901</v>
      </c>
      <c r="J28" s="102">
        <v>34</v>
      </c>
      <c r="K28" s="104">
        <v>1741</v>
      </c>
      <c r="L28" s="102">
        <v>658</v>
      </c>
      <c r="M28" s="104">
        <v>1845800</v>
      </c>
      <c r="N28" s="14" t="s">
        <v>38</v>
      </c>
    </row>
    <row r="29" spans="1:14" ht="15.75" customHeight="1">
      <c r="A29" s="15" t="s">
        <v>155</v>
      </c>
      <c r="B29" s="105">
        <v>28180</v>
      </c>
      <c r="C29" s="106">
        <v>247499673</v>
      </c>
      <c r="D29" s="105">
        <v>9067</v>
      </c>
      <c r="E29" s="106">
        <v>5681937</v>
      </c>
      <c r="F29" s="105">
        <v>37247</v>
      </c>
      <c r="G29" s="106">
        <v>253181609</v>
      </c>
      <c r="H29" s="105">
        <v>3000</v>
      </c>
      <c r="I29" s="107">
        <v>123299250</v>
      </c>
      <c r="J29" s="105">
        <v>2241</v>
      </c>
      <c r="K29" s="107">
        <v>338603</v>
      </c>
      <c r="L29" s="105">
        <v>40545</v>
      </c>
      <c r="M29" s="107">
        <v>130220962</v>
      </c>
      <c r="N29" s="16" t="s">
        <v>121</v>
      </c>
    </row>
    <row r="30" spans="1:14" ht="15.75" customHeight="1">
      <c r="A30" s="23"/>
      <c r="B30" s="108"/>
      <c r="C30" s="109"/>
      <c r="D30" s="108"/>
      <c r="E30" s="109"/>
      <c r="F30" s="110"/>
      <c r="G30" s="109"/>
      <c r="H30" s="110"/>
      <c r="I30" s="109"/>
      <c r="J30" s="110"/>
      <c r="K30" s="109"/>
      <c r="L30" s="110"/>
      <c r="M30" s="109"/>
      <c r="N30" s="24"/>
    </row>
    <row r="31" spans="1:14" ht="15.75" customHeight="1">
      <c r="A31" s="11" t="s">
        <v>40</v>
      </c>
      <c r="B31" s="99">
        <f>_xlfn.COMPOUNDVALUE(413)</f>
        <v>2707</v>
      </c>
      <c r="C31" s="100">
        <v>38263909</v>
      </c>
      <c r="D31" s="99">
        <f>_xlfn.COMPOUNDVALUE(414)</f>
        <v>637</v>
      </c>
      <c r="E31" s="100">
        <v>385203</v>
      </c>
      <c r="F31" s="99">
        <f>_xlfn.COMPOUNDVALUE(415)</f>
        <v>3344</v>
      </c>
      <c r="G31" s="100">
        <v>38649112</v>
      </c>
      <c r="H31" s="99">
        <f>_xlfn.COMPOUNDVALUE(416)</f>
        <v>428</v>
      </c>
      <c r="I31" s="101">
        <v>2651420</v>
      </c>
      <c r="J31" s="99">
        <v>244</v>
      </c>
      <c r="K31" s="101">
        <v>66839</v>
      </c>
      <c r="L31" s="99">
        <v>3824</v>
      </c>
      <c r="M31" s="101">
        <v>36064531</v>
      </c>
      <c r="N31" s="25" t="s">
        <v>40</v>
      </c>
    </row>
    <row r="32" spans="1:14" ht="15.75" customHeight="1">
      <c r="A32" s="11" t="s">
        <v>41</v>
      </c>
      <c r="B32" s="99">
        <f>_xlfn.COMPOUNDVALUE(417)</f>
        <v>5794</v>
      </c>
      <c r="C32" s="100">
        <v>89287039</v>
      </c>
      <c r="D32" s="99">
        <f>_xlfn.COMPOUNDVALUE(418)</f>
        <v>1203</v>
      </c>
      <c r="E32" s="100">
        <v>890620</v>
      </c>
      <c r="F32" s="99">
        <f>_xlfn.COMPOUNDVALUE(419)</f>
        <v>6997</v>
      </c>
      <c r="G32" s="100">
        <v>90177659</v>
      </c>
      <c r="H32" s="99">
        <f>_xlfn.COMPOUNDVALUE(420)</f>
        <v>1225</v>
      </c>
      <c r="I32" s="101">
        <v>31307819</v>
      </c>
      <c r="J32" s="99">
        <v>539</v>
      </c>
      <c r="K32" s="101">
        <v>147217</v>
      </c>
      <c r="L32" s="99">
        <v>8313</v>
      </c>
      <c r="M32" s="101">
        <v>59017057</v>
      </c>
      <c r="N32" s="12" t="s">
        <v>41</v>
      </c>
    </row>
    <row r="33" spans="1:14" ht="15.75" customHeight="1">
      <c r="A33" s="11" t="s">
        <v>42</v>
      </c>
      <c r="B33" s="99">
        <f>_xlfn.COMPOUNDVALUE(421)</f>
        <v>2226</v>
      </c>
      <c r="C33" s="100">
        <v>23594926</v>
      </c>
      <c r="D33" s="99">
        <f>_xlfn.COMPOUNDVALUE(422)</f>
        <v>567</v>
      </c>
      <c r="E33" s="100">
        <v>382532</v>
      </c>
      <c r="F33" s="99">
        <f>_xlfn.COMPOUNDVALUE(423)</f>
        <v>2793</v>
      </c>
      <c r="G33" s="100">
        <v>23977458</v>
      </c>
      <c r="H33" s="99">
        <f>_xlfn.COMPOUNDVALUE(424)</f>
        <v>272</v>
      </c>
      <c r="I33" s="101">
        <v>2072626</v>
      </c>
      <c r="J33" s="99">
        <v>231</v>
      </c>
      <c r="K33" s="101">
        <v>67162</v>
      </c>
      <c r="L33" s="99">
        <v>3081</v>
      </c>
      <c r="M33" s="101">
        <v>21971994</v>
      </c>
      <c r="N33" s="12" t="s">
        <v>42</v>
      </c>
    </row>
    <row r="34" spans="1:14" ht="15.75" customHeight="1">
      <c r="A34" s="11" t="s">
        <v>43</v>
      </c>
      <c r="B34" s="99">
        <f>_xlfn.COMPOUNDVALUE(425)</f>
        <v>1943</v>
      </c>
      <c r="C34" s="100">
        <v>19388229</v>
      </c>
      <c r="D34" s="99">
        <f>_xlfn.COMPOUNDVALUE(426)</f>
        <v>600</v>
      </c>
      <c r="E34" s="100">
        <v>419848</v>
      </c>
      <c r="F34" s="99">
        <f>_xlfn.COMPOUNDVALUE(427)</f>
        <v>2543</v>
      </c>
      <c r="G34" s="100">
        <v>19808077</v>
      </c>
      <c r="H34" s="99">
        <f>_xlfn.COMPOUNDVALUE(428)</f>
        <v>349</v>
      </c>
      <c r="I34" s="101">
        <v>1454821</v>
      </c>
      <c r="J34" s="99">
        <v>135</v>
      </c>
      <c r="K34" s="101">
        <v>100960</v>
      </c>
      <c r="L34" s="99">
        <v>2913</v>
      </c>
      <c r="M34" s="101">
        <v>18454216</v>
      </c>
      <c r="N34" s="12" t="s">
        <v>43</v>
      </c>
    </row>
    <row r="35" spans="1:14" ht="15.75" customHeight="1">
      <c r="A35" s="11" t="s">
        <v>44</v>
      </c>
      <c r="B35" s="99">
        <f>_xlfn.COMPOUNDVALUE(429)</f>
        <v>2301</v>
      </c>
      <c r="C35" s="100">
        <v>29598243</v>
      </c>
      <c r="D35" s="99">
        <f>_xlfn.COMPOUNDVALUE(430)</f>
        <v>487</v>
      </c>
      <c r="E35" s="100">
        <v>349227</v>
      </c>
      <c r="F35" s="99">
        <f>_xlfn.COMPOUNDVALUE(431)</f>
        <v>2788</v>
      </c>
      <c r="G35" s="100">
        <v>29947470</v>
      </c>
      <c r="H35" s="99">
        <f>_xlfn.COMPOUNDVALUE(432)</f>
        <v>564</v>
      </c>
      <c r="I35" s="101">
        <v>29932140</v>
      </c>
      <c r="J35" s="99">
        <v>244</v>
      </c>
      <c r="K35" s="101">
        <v>206488</v>
      </c>
      <c r="L35" s="99">
        <v>3437</v>
      </c>
      <c r="M35" s="101">
        <v>221818</v>
      </c>
      <c r="N35" s="12" t="s">
        <v>44</v>
      </c>
    </row>
    <row r="36" spans="1:14" ht="15.75" customHeight="1">
      <c r="A36" s="11" t="s">
        <v>45</v>
      </c>
      <c r="B36" s="99">
        <f>_xlfn.COMPOUNDVALUE(433)</f>
        <v>1508</v>
      </c>
      <c r="C36" s="100">
        <v>19857073</v>
      </c>
      <c r="D36" s="99">
        <f>_xlfn.COMPOUNDVALUE(434)</f>
        <v>351</v>
      </c>
      <c r="E36" s="100">
        <v>230536</v>
      </c>
      <c r="F36" s="99">
        <f>_xlfn.COMPOUNDVALUE(435)</f>
        <v>1859</v>
      </c>
      <c r="G36" s="100">
        <v>20087609</v>
      </c>
      <c r="H36" s="99">
        <f>_xlfn.COMPOUNDVALUE(436)</f>
        <v>197</v>
      </c>
      <c r="I36" s="101">
        <v>4851596</v>
      </c>
      <c r="J36" s="99">
        <v>102</v>
      </c>
      <c r="K36" s="101">
        <v>89349</v>
      </c>
      <c r="L36" s="99">
        <v>2074</v>
      </c>
      <c r="M36" s="101">
        <v>15325362</v>
      </c>
      <c r="N36" s="12" t="s">
        <v>45</v>
      </c>
    </row>
    <row r="37" spans="1:14" ht="15.75" customHeight="1">
      <c r="A37" s="11" t="s">
        <v>46</v>
      </c>
      <c r="B37" s="99">
        <f>_xlfn.COMPOUNDVALUE(437)</f>
        <v>1603</v>
      </c>
      <c r="C37" s="100">
        <v>16112435</v>
      </c>
      <c r="D37" s="99">
        <f>_xlfn.COMPOUNDVALUE(438)</f>
        <v>511</v>
      </c>
      <c r="E37" s="100">
        <v>317060</v>
      </c>
      <c r="F37" s="99">
        <f>_xlfn.COMPOUNDVALUE(439)</f>
        <v>2114</v>
      </c>
      <c r="G37" s="100">
        <v>16429495</v>
      </c>
      <c r="H37" s="99">
        <f>_xlfn.COMPOUNDVALUE(440)</f>
        <v>213</v>
      </c>
      <c r="I37" s="101">
        <v>1215787</v>
      </c>
      <c r="J37" s="99">
        <v>122</v>
      </c>
      <c r="K37" s="101">
        <v>20504</v>
      </c>
      <c r="L37" s="99">
        <v>2335</v>
      </c>
      <c r="M37" s="101">
        <v>15234212</v>
      </c>
      <c r="N37" s="12" t="s">
        <v>46</v>
      </c>
    </row>
    <row r="38" spans="1:14" ht="15.75" customHeight="1">
      <c r="A38" s="11" t="s">
        <v>47</v>
      </c>
      <c r="B38" s="99">
        <f>_xlfn.COMPOUNDVALUE(441)</f>
        <v>1764</v>
      </c>
      <c r="C38" s="100">
        <v>14048496</v>
      </c>
      <c r="D38" s="99">
        <f>_xlfn.COMPOUNDVALUE(442)</f>
        <v>573</v>
      </c>
      <c r="E38" s="100">
        <v>354545</v>
      </c>
      <c r="F38" s="99">
        <f>_xlfn.COMPOUNDVALUE(443)</f>
        <v>2337</v>
      </c>
      <c r="G38" s="100">
        <v>14403041</v>
      </c>
      <c r="H38" s="99">
        <f>_xlfn.COMPOUNDVALUE(444)</f>
        <v>275</v>
      </c>
      <c r="I38" s="101">
        <v>888517</v>
      </c>
      <c r="J38" s="99">
        <v>150</v>
      </c>
      <c r="K38" s="101">
        <v>122804</v>
      </c>
      <c r="L38" s="99">
        <v>2651</v>
      </c>
      <c r="M38" s="101">
        <v>13637328</v>
      </c>
      <c r="N38" s="12" t="s">
        <v>47</v>
      </c>
    </row>
    <row r="39" spans="1:14" ht="15.75" customHeight="1">
      <c r="A39" s="11" t="s">
        <v>48</v>
      </c>
      <c r="B39" s="99">
        <f>_xlfn.COMPOUNDVALUE(445)</f>
        <v>2294</v>
      </c>
      <c r="C39" s="100">
        <v>30713639</v>
      </c>
      <c r="D39" s="99">
        <f>_xlfn.COMPOUNDVALUE(446)</f>
        <v>688</v>
      </c>
      <c r="E39" s="100">
        <v>495542</v>
      </c>
      <c r="F39" s="99">
        <f>_xlfn.COMPOUNDVALUE(447)</f>
        <v>2982</v>
      </c>
      <c r="G39" s="100">
        <v>31209181</v>
      </c>
      <c r="H39" s="99">
        <f>_xlfn.COMPOUNDVALUE(448)</f>
        <v>264</v>
      </c>
      <c r="I39" s="101">
        <v>1190687</v>
      </c>
      <c r="J39" s="99">
        <v>147</v>
      </c>
      <c r="K39" s="101">
        <v>5141</v>
      </c>
      <c r="L39" s="99">
        <v>3269</v>
      </c>
      <c r="M39" s="101">
        <v>30023635</v>
      </c>
      <c r="N39" s="12" t="s">
        <v>48</v>
      </c>
    </row>
    <row r="40" spans="1:14" ht="15.75" customHeight="1">
      <c r="A40" s="11" t="s">
        <v>49</v>
      </c>
      <c r="B40" s="99">
        <f>_xlfn.COMPOUNDVALUE(449)</f>
        <v>2739</v>
      </c>
      <c r="C40" s="100">
        <v>22413899</v>
      </c>
      <c r="D40" s="99">
        <f>_xlfn.COMPOUNDVALUE(450)</f>
        <v>853</v>
      </c>
      <c r="E40" s="100">
        <v>544643</v>
      </c>
      <c r="F40" s="99">
        <f>_xlfn.COMPOUNDVALUE(451)</f>
        <v>3592</v>
      </c>
      <c r="G40" s="100">
        <v>22958542</v>
      </c>
      <c r="H40" s="99">
        <f>_xlfn.COMPOUNDVALUE(452)</f>
        <v>244</v>
      </c>
      <c r="I40" s="101">
        <v>978783</v>
      </c>
      <c r="J40" s="99">
        <v>213</v>
      </c>
      <c r="K40" s="101">
        <v>21579</v>
      </c>
      <c r="L40" s="99">
        <v>3866</v>
      </c>
      <c r="M40" s="101">
        <v>22001338</v>
      </c>
      <c r="N40" s="12" t="s">
        <v>49</v>
      </c>
    </row>
    <row r="41" spans="1:14" ht="15.75" customHeight="1">
      <c r="A41" s="11" t="s">
        <v>50</v>
      </c>
      <c r="B41" s="99">
        <f>_xlfn.COMPOUNDVALUE(453)</f>
        <v>1280</v>
      </c>
      <c r="C41" s="100">
        <v>8215315</v>
      </c>
      <c r="D41" s="99">
        <f>_xlfn.COMPOUNDVALUE(454)</f>
        <v>435</v>
      </c>
      <c r="E41" s="100">
        <v>282670</v>
      </c>
      <c r="F41" s="99">
        <f>_xlfn.COMPOUNDVALUE(455)</f>
        <v>1715</v>
      </c>
      <c r="G41" s="100">
        <v>8497986</v>
      </c>
      <c r="H41" s="99">
        <f>_xlfn.COMPOUNDVALUE(456)</f>
        <v>180</v>
      </c>
      <c r="I41" s="101">
        <v>2996450</v>
      </c>
      <c r="J41" s="99">
        <v>120</v>
      </c>
      <c r="K41" s="101">
        <v>21346</v>
      </c>
      <c r="L41" s="99">
        <v>1915</v>
      </c>
      <c r="M41" s="101">
        <v>5522881</v>
      </c>
      <c r="N41" s="12" t="s">
        <v>50</v>
      </c>
    </row>
    <row r="42" spans="1:14" ht="15.75" customHeight="1">
      <c r="A42" s="11" t="s">
        <v>51</v>
      </c>
      <c r="B42" s="99">
        <f>_xlfn.COMPOUNDVALUE(457)</f>
        <v>2733</v>
      </c>
      <c r="C42" s="100">
        <v>25071010</v>
      </c>
      <c r="D42" s="99">
        <f>_xlfn.COMPOUNDVALUE(458)</f>
        <v>749</v>
      </c>
      <c r="E42" s="100">
        <v>507763</v>
      </c>
      <c r="F42" s="99">
        <f>_xlfn.COMPOUNDVALUE(459)</f>
        <v>3482</v>
      </c>
      <c r="G42" s="100">
        <v>25578773</v>
      </c>
      <c r="H42" s="99">
        <f>_xlfn.COMPOUNDVALUE(460)</f>
        <v>399</v>
      </c>
      <c r="I42" s="101">
        <v>2725622</v>
      </c>
      <c r="J42" s="99">
        <v>276</v>
      </c>
      <c r="K42" s="101">
        <v>110324</v>
      </c>
      <c r="L42" s="99">
        <v>3930</v>
      </c>
      <c r="M42" s="101">
        <v>22963474</v>
      </c>
      <c r="N42" s="12" t="s">
        <v>51</v>
      </c>
    </row>
    <row r="43" spans="1:14" ht="15.75" customHeight="1">
      <c r="A43" s="11" t="s">
        <v>52</v>
      </c>
      <c r="B43" s="99">
        <f>_xlfn.COMPOUNDVALUE(461)</f>
        <v>4136</v>
      </c>
      <c r="C43" s="100">
        <v>20450027</v>
      </c>
      <c r="D43" s="99">
        <f>_xlfn.COMPOUNDVALUE(462)</f>
        <v>1262</v>
      </c>
      <c r="E43" s="100">
        <v>833549</v>
      </c>
      <c r="F43" s="99">
        <f>_xlfn.COMPOUNDVALUE(463)</f>
        <v>5398</v>
      </c>
      <c r="G43" s="100">
        <v>21283576</v>
      </c>
      <c r="H43" s="99">
        <f>_xlfn.COMPOUNDVALUE(464)</f>
        <v>443</v>
      </c>
      <c r="I43" s="101">
        <v>2312044</v>
      </c>
      <c r="J43" s="99">
        <v>359</v>
      </c>
      <c r="K43" s="101">
        <v>27819</v>
      </c>
      <c r="L43" s="99">
        <v>5918</v>
      </c>
      <c r="M43" s="101">
        <v>18999351</v>
      </c>
      <c r="N43" s="12" t="s">
        <v>52</v>
      </c>
    </row>
    <row r="44" spans="1:14" ht="15.75" customHeight="1">
      <c r="A44" s="11" t="s">
        <v>53</v>
      </c>
      <c r="B44" s="99">
        <f>_xlfn.COMPOUNDVALUE(465)</f>
        <v>1198</v>
      </c>
      <c r="C44" s="100">
        <v>9217457</v>
      </c>
      <c r="D44" s="99">
        <f>_xlfn.COMPOUNDVALUE(466)</f>
        <v>339</v>
      </c>
      <c r="E44" s="100">
        <v>205369</v>
      </c>
      <c r="F44" s="99">
        <f>_xlfn.COMPOUNDVALUE(467)</f>
        <v>1537</v>
      </c>
      <c r="G44" s="100">
        <v>9422826</v>
      </c>
      <c r="H44" s="99">
        <f>_xlfn.COMPOUNDVALUE(468)</f>
        <v>202</v>
      </c>
      <c r="I44" s="101">
        <v>808114</v>
      </c>
      <c r="J44" s="99">
        <v>93</v>
      </c>
      <c r="K44" s="101">
        <v>-1967</v>
      </c>
      <c r="L44" s="99">
        <v>1755</v>
      </c>
      <c r="M44" s="101">
        <v>8612746</v>
      </c>
      <c r="N44" s="12" t="s">
        <v>53</v>
      </c>
    </row>
    <row r="45" spans="1:14" ht="15.75" customHeight="1">
      <c r="A45" s="11" t="s">
        <v>54</v>
      </c>
      <c r="B45" s="99">
        <f>_xlfn.COMPOUNDVALUE(469)</f>
        <v>5555</v>
      </c>
      <c r="C45" s="100">
        <v>81309846</v>
      </c>
      <c r="D45" s="99">
        <f>_xlfn.COMPOUNDVALUE(470)</f>
        <v>1522</v>
      </c>
      <c r="E45" s="100">
        <v>1120936</v>
      </c>
      <c r="F45" s="99">
        <f>_xlfn.COMPOUNDVALUE(471)</f>
        <v>7077</v>
      </c>
      <c r="G45" s="100">
        <v>82430783</v>
      </c>
      <c r="H45" s="99">
        <f>_xlfn.COMPOUNDVALUE(472)</f>
        <v>819</v>
      </c>
      <c r="I45" s="101">
        <v>4055982</v>
      </c>
      <c r="J45" s="99">
        <v>610</v>
      </c>
      <c r="K45" s="101">
        <v>180260</v>
      </c>
      <c r="L45" s="99">
        <v>7975</v>
      </c>
      <c r="M45" s="101">
        <v>78555061</v>
      </c>
      <c r="N45" s="12" t="s">
        <v>54</v>
      </c>
    </row>
    <row r="46" spans="1:14" ht="15.75" customHeight="1">
      <c r="A46" s="11" t="s">
        <v>55</v>
      </c>
      <c r="B46" s="99">
        <f>_xlfn.COMPOUNDVALUE(473)</f>
        <v>6103</v>
      </c>
      <c r="C46" s="100">
        <v>156601366</v>
      </c>
      <c r="D46" s="99">
        <f>_xlfn.COMPOUNDVALUE(474)</f>
        <v>1257</v>
      </c>
      <c r="E46" s="100">
        <v>990387</v>
      </c>
      <c r="F46" s="99">
        <f>_xlfn.COMPOUNDVALUE(475)</f>
        <v>7360</v>
      </c>
      <c r="G46" s="100">
        <v>157591752</v>
      </c>
      <c r="H46" s="99">
        <f>_xlfn.COMPOUNDVALUE(476)</f>
        <v>1107</v>
      </c>
      <c r="I46" s="101">
        <v>77344633</v>
      </c>
      <c r="J46" s="99">
        <v>540</v>
      </c>
      <c r="K46" s="101">
        <v>648538</v>
      </c>
      <c r="L46" s="99">
        <v>8562</v>
      </c>
      <c r="M46" s="101">
        <v>80895658</v>
      </c>
      <c r="N46" s="12" t="s">
        <v>55</v>
      </c>
    </row>
    <row r="47" spans="1:14" ht="15.75" customHeight="1">
      <c r="A47" s="11" t="s">
        <v>56</v>
      </c>
      <c r="B47" s="99">
        <f>_xlfn.COMPOUNDVALUE(477)</f>
        <v>2785</v>
      </c>
      <c r="C47" s="100">
        <v>98190289</v>
      </c>
      <c r="D47" s="99">
        <f>_xlfn.COMPOUNDVALUE(478)</f>
        <v>695</v>
      </c>
      <c r="E47" s="100">
        <v>496704</v>
      </c>
      <c r="F47" s="99">
        <f>_xlfn.COMPOUNDVALUE(479)</f>
        <v>3480</v>
      </c>
      <c r="G47" s="100">
        <v>98686993</v>
      </c>
      <c r="H47" s="99">
        <f>_xlfn.COMPOUNDVALUE(480)</f>
        <v>504</v>
      </c>
      <c r="I47" s="101">
        <v>19003673</v>
      </c>
      <c r="J47" s="99">
        <v>244</v>
      </c>
      <c r="K47" s="101">
        <v>66359</v>
      </c>
      <c r="L47" s="99">
        <v>4025</v>
      </c>
      <c r="M47" s="101">
        <v>79749678</v>
      </c>
      <c r="N47" s="12" t="s">
        <v>56</v>
      </c>
    </row>
    <row r="48" spans="1:14" ht="15.75" customHeight="1">
      <c r="A48" s="11" t="s">
        <v>57</v>
      </c>
      <c r="B48" s="99">
        <f>_xlfn.COMPOUNDVALUE(481)</f>
        <v>8397</v>
      </c>
      <c r="C48" s="100">
        <v>229553944</v>
      </c>
      <c r="D48" s="99">
        <f>_xlfn.COMPOUNDVALUE(482)</f>
        <v>1710</v>
      </c>
      <c r="E48" s="100">
        <v>1402425</v>
      </c>
      <c r="F48" s="99">
        <f>_xlfn.COMPOUNDVALUE(483)</f>
        <v>10107</v>
      </c>
      <c r="G48" s="100">
        <v>230956369</v>
      </c>
      <c r="H48" s="99">
        <f>_xlfn.COMPOUNDVALUE(484)</f>
        <v>2524</v>
      </c>
      <c r="I48" s="101">
        <v>58050945</v>
      </c>
      <c r="J48" s="99">
        <v>754</v>
      </c>
      <c r="K48" s="101">
        <v>-210990</v>
      </c>
      <c r="L48" s="99">
        <v>12749</v>
      </c>
      <c r="M48" s="101">
        <v>172694434</v>
      </c>
      <c r="N48" s="12" t="s">
        <v>57</v>
      </c>
    </row>
    <row r="49" spans="1:14" ht="15.75" customHeight="1">
      <c r="A49" s="11" t="s">
        <v>58</v>
      </c>
      <c r="B49" s="99">
        <f>_xlfn.COMPOUNDVALUE(485)</f>
        <v>4623</v>
      </c>
      <c r="C49" s="100">
        <v>59884991</v>
      </c>
      <c r="D49" s="99">
        <f>_xlfn.COMPOUNDVALUE(486)</f>
        <v>1031</v>
      </c>
      <c r="E49" s="100">
        <v>806846</v>
      </c>
      <c r="F49" s="99">
        <f>_xlfn.COMPOUNDVALUE(487)</f>
        <v>5654</v>
      </c>
      <c r="G49" s="100">
        <v>60691837</v>
      </c>
      <c r="H49" s="99">
        <f>_xlfn.COMPOUNDVALUE(488)</f>
        <v>1487</v>
      </c>
      <c r="I49" s="101">
        <v>18778574</v>
      </c>
      <c r="J49" s="99">
        <v>540</v>
      </c>
      <c r="K49" s="101">
        <v>282080</v>
      </c>
      <c r="L49" s="99">
        <v>7245</v>
      </c>
      <c r="M49" s="101">
        <v>42195343</v>
      </c>
      <c r="N49" s="12" t="s">
        <v>58</v>
      </c>
    </row>
    <row r="50" spans="1:14" ht="15.75" customHeight="1">
      <c r="A50" s="11" t="s">
        <v>59</v>
      </c>
      <c r="B50" s="99">
        <f>_xlfn.COMPOUNDVALUE(489)</f>
        <v>8121</v>
      </c>
      <c r="C50" s="100">
        <v>67227882</v>
      </c>
      <c r="D50" s="99">
        <f>_xlfn.COMPOUNDVALUE(490)</f>
        <v>2191</v>
      </c>
      <c r="E50" s="100">
        <v>1538035</v>
      </c>
      <c r="F50" s="99">
        <f>_xlfn.COMPOUNDVALUE(491)</f>
        <v>10312</v>
      </c>
      <c r="G50" s="100">
        <v>68765918</v>
      </c>
      <c r="H50" s="99">
        <f>_xlfn.COMPOUNDVALUE(492)</f>
        <v>1006</v>
      </c>
      <c r="I50" s="101">
        <v>29564463</v>
      </c>
      <c r="J50" s="99">
        <v>653</v>
      </c>
      <c r="K50" s="101">
        <v>1166203</v>
      </c>
      <c r="L50" s="99">
        <v>11363</v>
      </c>
      <c r="M50" s="101">
        <v>40367658</v>
      </c>
      <c r="N50" s="12" t="s">
        <v>59</v>
      </c>
    </row>
    <row r="51" spans="1:14" ht="15.75" customHeight="1">
      <c r="A51" s="11" t="s">
        <v>60</v>
      </c>
      <c r="B51" s="99">
        <f>_xlfn.COMPOUNDVALUE(493)</f>
        <v>2578</v>
      </c>
      <c r="C51" s="100">
        <v>16645597</v>
      </c>
      <c r="D51" s="99">
        <f>_xlfn.COMPOUNDVALUE(494)</f>
        <v>638</v>
      </c>
      <c r="E51" s="100">
        <v>418686</v>
      </c>
      <c r="F51" s="99">
        <f>_xlfn.COMPOUNDVALUE(495)</f>
        <v>3216</v>
      </c>
      <c r="G51" s="100">
        <v>17064283</v>
      </c>
      <c r="H51" s="99">
        <f>_xlfn.COMPOUNDVALUE(496)</f>
        <v>293</v>
      </c>
      <c r="I51" s="101">
        <v>1597622</v>
      </c>
      <c r="J51" s="99">
        <v>232</v>
      </c>
      <c r="K51" s="101">
        <v>32125</v>
      </c>
      <c r="L51" s="99">
        <v>3529</v>
      </c>
      <c r="M51" s="101">
        <v>15498786</v>
      </c>
      <c r="N51" s="12" t="s">
        <v>60</v>
      </c>
    </row>
    <row r="52" spans="1:14" ht="15.75" customHeight="1">
      <c r="A52" s="11" t="s">
        <v>61</v>
      </c>
      <c r="B52" s="99">
        <f>_xlfn.COMPOUNDVALUE(497)</f>
        <v>5463</v>
      </c>
      <c r="C52" s="100">
        <v>39586816</v>
      </c>
      <c r="D52" s="99">
        <f>_xlfn.COMPOUNDVALUE(498)</f>
        <v>2042</v>
      </c>
      <c r="E52" s="100">
        <v>1336914</v>
      </c>
      <c r="F52" s="99">
        <f>_xlfn.COMPOUNDVALUE(499)</f>
        <v>7505</v>
      </c>
      <c r="G52" s="100">
        <v>40923730</v>
      </c>
      <c r="H52" s="99">
        <f>_xlfn.COMPOUNDVALUE(500)</f>
        <v>733</v>
      </c>
      <c r="I52" s="101">
        <v>3430401</v>
      </c>
      <c r="J52" s="99">
        <v>361</v>
      </c>
      <c r="K52" s="101">
        <v>53302</v>
      </c>
      <c r="L52" s="99">
        <v>8301</v>
      </c>
      <c r="M52" s="101">
        <v>37546631</v>
      </c>
      <c r="N52" s="12" t="s">
        <v>61</v>
      </c>
    </row>
    <row r="53" spans="1:14" ht="15.75" customHeight="1">
      <c r="A53" s="11" t="s">
        <v>62</v>
      </c>
      <c r="B53" s="99">
        <f>_xlfn.COMPOUNDVALUE(501)</f>
        <v>4446</v>
      </c>
      <c r="C53" s="100">
        <v>46404583</v>
      </c>
      <c r="D53" s="99">
        <f>_xlfn.COMPOUNDVALUE(502)</f>
        <v>1525</v>
      </c>
      <c r="E53" s="100">
        <v>1093987</v>
      </c>
      <c r="F53" s="99">
        <f>_xlfn.COMPOUNDVALUE(503)</f>
        <v>5971</v>
      </c>
      <c r="G53" s="100">
        <v>47498570</v>
      </c>
      <c r="H53" s="99">
        <f>_xlfn.COMPOUNDVALUE(504)</f>
        <v>427</v>
      </c>
      <c r="I53" s="101">
        <v>4922654</v>
      </c>
      <c r="J53" s="99">
        <v>332</v>
      </c>
      <c r="K53" s="101">
        <v>98397</v>
      </c>
      <c r="L53" s="99">
        <v>6447</v>
      </c>
      <c r="M53" s="101">
        <v>42674312</v>
      </c>
      <c r="N53" s="12" t="s">
        <v>62</v>
      </c>
    </row>
    <row r="54" spans="1:14" ht="15.75" customHeight="1">
      <c r="A54" s="11" t="s">
        <v>63</v>
      </c>
      <c r="B54" s="99">
        <f>_xlfn.COMPOUNDVALUE(505)</f>
        <v>2774</v>
      </c>
      <c r="C54" s="100">
        <v>17541411</v>
      </c>
      <c r="D54" s="99">
        <f>_xlfn.COMPOUNDVALUE(506)</f>
        <v>704</v>
      </c>
      <c r="E54" s="100">
        <v>476579</v>
      </c>
      <c r="F54" s="99">
        <f>_xlfn.COMPOUNDVALUE(507)</f>
        <v>3478</v>
      </c>
      <c r="G54" s="100">
        <v>18017990</v>
      </c>
      <c r="H54" s="99">
        <f>_xlfn.COMPOUNDVALUE(508)</f>
        <v>384</v>
      </c>
      <c r="I54" s="101">
        <v>4024483</v>
      </c>
      <c r="J54" s="99">
        <v>195</v>
      </c>
      <c r="K54" s="101">
        <v>17022</v>
      </c>
      <c r="L54" s="99">
        <v>3890</v>
      </c>
      <c r="M54" s="101">
        <v>14010528</v>
      </c>
      <c r="N54" s="12" t="s">
        <v>63</v>
      </c>
    </row>
    <row r="55" spans="1:14" ht="15.75" customHeight="1">
      <c r="A55" s="13" t="s">
        <v>64</v>
      </c>
      <c r="B55" s="102">
        <f>_xlfn.COMPOUNDVALUE(509)</f>
        <v>4656</v>
      </c>
      <c r="C55" s="103">
        <v>30200485</v>
      </c>
      <c r="D55" s="102">
        <f>_xlfn.COMPOUNDVALUE(510)</f>
        <v>1364</v>
      </c>
      <c r="E55" s="103">
        <v>895687</v>
      </c>
      <c r="F55" s="102">
        <f>_xlfn.COMPOUNDVALUE(511)</f>
        <v>6020</v>
      </c>
      <c r="G55" s="103">
        <v>31096173</v>
      </c>
      <c r="H55" s="102">
        <f>_xlfn.COMPOUNDVALUE(512)</f>
        <v>458</v>
      </c>
      <c r="I55" s="104">
        <v>2156563</v>
      </c>
      <c r="J55" s="102">
        <v>348</v>
      </c>
      <c r="K55" s="104">
        <v>114252</v>
      </c>
      <c r="L55" s="102">
        <v>6523</v>
      </c>
      <c r="M55" s="104">
        <v>29053862</v>
      </c>
      <c r="N55" s="14" t="s">
        <v>64</v>
      </c>
    </row>
    <row r="56" spans="1:14" ht="15.75" customHeight="1">
      <c r="A56" s="13" t="s">
        <v>65</v>
      </c>
      <c r="B56" s="102">
        <f>_xlfn.COMPOUNDVALUE(513)</f>
        <v>4381</v>
      </c>
      <c r="C56" s="103">
        <v>38285205</v>
      </c>
      <c r="D56" s="102">
        <f>_xlfn.COMPOUNDVALUE(514)</f>
        <v>1474</v>
      </c>
      <c r="E56" s="103">
        <v>986648</v>
      </c>
      <c r="F56" s="102">
        <f>_xlfn.COMPOUNDVALUE(515)</f>
        <v>5855</v>
      </c>
      <c r="G56" s="103">
        <v>39271852</v>
      </c>
      <c r="H56" s="102">
        <f>_xlfn.COMPOUNDVALUE(516)</f>
        <v>408</v>
      </c>
      <c r="I56" s="104">
        <v>18891169</v>
      </c>
      <c r="J56" s="102">
        <v>250</v>
      </c>
      <c r="K56" s="104">
        <v>65644</v>
      </c>
      <c r="L56" s="102">
        <v>6311</v>
      </c>
      <c r="M56" s="104">
        <v>20446327</v>
      </c>
      <c r="N56" s="14" t="s">
        <v>65</v>
      </c>
    </row>
    <row r="57" spans="1:14" ht="15.75" customHeight="1">
      <c r="A57" s="13" t="s">
        <v>66</v>
      </c>
      <c r="B57" s="102">
        <f>_xlfn.COMPOUNDVALUE(517)</f>
        <v>5146</v>
      </c>
      <c r="C57" s="103">
        <v>33242968</v>
      </c>
      <c r="D57" s="102">
        <f>_xlfn.COMPOUNDVALUE(518)</f>
        <v>1625</v>
      </c>
      <c r="E57" s="103">
        <v>1054073</v>
      </c>
      <c r="F57" s="102">
        <f>_xlfn.COMPOUNDVALUE(519)</f>
        <v>6771</v>
      </c>
      <c r="G57" s="103">
        <v>34297041</v>
      </c>
      <c r="H57" s="102">
        <f>_xlfn.COMPOUNDVALUE(520)</f>
        <v>448</v>
      </c>
      <c r="I57" s="104">
        <v>3062963</v>
      </c>
      <c r="J57" s="102">
        <v>486</v>
      </c>
      <c r="K57" s="104">
        <v>86321</v>
      </c>
      <c r="L57" s="102">
        <v>7288</v>
      </c>
      <c r="M57" s="104">
        <v>31320399</v>
      </c>
      <c r="N57" s="14" t="s">
        <v>66</v>
      </c>
    </row>
    <row r="58" spans="1:14" ht="15.75" customHeight="1">
      <c r="A58" s="13" t="s">
        <v>67</v>
      </c>
      <c r="B58" s="102">
        <f>_xlfn.COMPOUNDVALUE(521)</f>
        <v>2162</v>
      </c>
      <c r="C58" s="103">
        <v>13993074</v>
      </c>
      <c r="D58" s="102">
        <f>_xlfn.COMPOUNDVALUE(522)</f>
        <v>528</v>
      </c>
      <c r="E58" s="103">
        <v>340707</v>
      </c>
      <c r="F58" s="102">
        <f>_xlfn.COMPOUNDVALUE(523)</f>
        <v>2690</v>
      </c>
      <c r="G58" s="103">
        <v>14333782</v>
      </c>
      <c r="H58" s="102">
        <f>_xlfn.COMPOUNDVALUE(524)</f>
        <v>273</v>
      </c>
      <c r="I58" s="104">
        <v>4244898</v>
      </c>
      <c r="J58" s="102">
        <v>166</v>
      </c>
      <c r="K58" s="104">
        <v>-15827</v>
      </c>
      <c r="L58" s="102">
        <v>3002</v>
      </c>
      <c r="M58" s="104">
        <v>10073057</v>
      </c>
      <c r="N58" s="14" t="s">
        <v>67</v>
      </c>
    </row>
    <row r="59" spans="1:14" ht="15.75" customHeight="1">
      <c r="A59" s="13" t="s">
        <v>68</v>
      </c>
      <c r="B59" s="102">
        <f>_xlfn.COMPOUNDVALUE(525)</f>
        <v>3590</v>
      </c>
      <c r="C59" s="103">
        <v>20094239</v>
      </c>
      <c r="D59" s="102">
        <f>_xlfn.COMPOUNDVALUE(526)</f>
        <v>1151</v>
      </c>
      <c r="E59" s="103">
        <v>749130</v>
      </c>
      <c r="F59" s="102">
        <f>_xlfn.COMPOUNDVALUE(527)</f>
        <v>4741</v>
      </c>
      <c r="G59" s="103">
        <v>20843368</v>
      </c>
      <c r="H59" s="102">
        <f>_xlfn.COMPOUNDVALUE(528)</f>
        <v>300</v>
      </c>
      <c r="I59" s="104">
        <v>615135</v>
      </c>
      <c r="J59" s="102">
        <v>321</v>
      </c>
      <c r="K59" s="104">
        <v>25796</v>
      </c>
      <c r="L59" s="102">
        <v>5078</v>
      </c>
      <c r="M59" s="104">
        <v>20254030</v>
      </c>
      <c r="N59" s="14" t="s">
        <v>68</v>
      </c>
    </row>
    <row r="60" spans="1:14" ht="15.75" customHeight="1">
      <c r="A60" s="13" t="s">
        <v>69</v>
      </c>
      <c r="B60" s="102">
        <f>_xlfn.COMPOUNDVALUE(529)</f>
        <v>4859</v>
      </c>
      <c r="C60" s="103">
        <v>39809480</v>
      </c>
      <c r="D60" s="102">
        <f>_xlfn.COMPOUNDVALUE(530)</f>
        <v>1620</v>
      </c>
      <c r="E60" s="103">
        <v>1098892</v>
      </c>
      <c r="F60" s="102">
        <f>_xlfn.COMPOUNDVALUE(531)</f>
        <v>6479</v>
      </c>
      <c r="G60" s="103">
        <v>40908372</v>
      </c>
      <c r="H60" s="102">
        <f>_xlfn.COMPOUNDVALUE(532)</f>
        <v>418</v>
      </c>
      <c r="I60" s="104">
        <v>44744599</v>
      </c>
      <c r="J60" s="102">
        <v>341</v>
      </c>
      <c r="K60" s="104">
        <v>88421</v>
      </c>
      <c r="L60" s="102">
        <v>6938</v>
      </c>
      <c r="M60" s="104">
        <v>-3747806</v>
      </c>
      <c r="N60" s="14" t="s">
        <v>69</v>
      </c>
    </row>
    <row r="61" spans="1:14" ht="15.75" customHeight="1">
      <c r="A61" s="13" t="s">
        <v>70</v>
      </c>
      <c r="B61" s="102">
        <f>_xlfn.COMPOUNDVALUE(533)</f>
        <v>7574</v>
      </c>
      <c r="C61" s="103">
        <v>52707450</v>
      </c>
      <c r="D61" s="102">
        <f>_xlfn.COMPOUNDVALUE(534)</f>
        <v>2188</v>
      </c>
      <c r="E61" s="103">
        <v>1471854</v>
      </c>
      <c r="F61" s="102">
        <f>_xlfn.COMPOUNDVALUE(535)</f>
        <v>9762</v>
      </c>
      <c r="G61" s="103">
        <v>54179304</v>
      </c>
      <c r="H61" s="102">
        <f>_xlfn.COMPOUNDVALUE(536)</f>
        <v>588</v>
      </c>
      <c r="I61" s="104">
        <v>3105825</v>
      </c>
      <c r="J61" s="102">
        <v>666</v>
      </c>
      <c r="K61" s="104">
        <v>154006</v>
      </c>
      <c r="L61" s="102">
        <v>10428</v>
      </c>
      <c r="M61" s="104">
        <v>51227485</v>
      </c>
      <c r="N61" s="14" t="s">
        <v>70</v>
      </c>
    </row>
    <row r="62" spans="1:14" ht="15.75" customHeight="1">
      <c r="A62" s="15" t="s">
        <v>156</v>
      </c>
      <c r="B62" s="105">
        <v>117439</v>
      </c>
      <c r="C62" s="106">
        <v>1407511322</v>
      </c>
      <c r="D62" s="105">
        <v>32520</v>
      </c>
      <c r="E62" s="106">
        <v>22477598</v>
      </c>
      <c r="F62" s="105">
        <v>149959</v>
      </c>
      <c r="G62" s="106">
        <v>1429988920</v>
      </c>
      <c r="H62" s="105">
        <v>17432</v>
      </c>
      <c r="I62" s="107">
        <v>382981010</v>
      </c>
      <c r="J62" s="105">
        <v>10014</v>
      </c>
      <c r="K62" s="107">
        <v>3857476</v>
      </c>
      <c r="L62" s="105">
        <v>168935</v>
      </c>
      <c r="M62" s="107">
        <v>1050865386</v>
      </c>
      <c r="N62" s="16" t="s">
        <v>122</v>
      </c>
    </row>
    <row r="63" spans="1:14" ht="15.75" customHeight="1">
      <c r="A63" s="23"/>
      <c r="B63" s="108"/>
      <c r="C63" s="109"/>
      <c r="D63" s="108"/>
      <c r="E63" s="109"/>
      <c r="F63" s="110"/>
      <c r="G63" s="109"/>
      <c r="H63" s="110"/>
      <c r="I63" s="109"/>
      <c r="J63" s="110"/>
      <c r="K63" s="109"/>
      <c r="L63" s="110"/>
      <c r="M63" s="109"/>
      <c r="N63" s="24"/>
    </row>
    <row r="64" spans="1:14" ht="15.75" customHeight="1">
      <c r="A64" s="11" t="s">
        <v>72</v>
      </c>
      <c r="B64" s="99">
        <f>_xlfn.COMPOUNDVALUE(537)</f>
        <v>1144</v>
      </c>
      <c r="C64" s="100">
        <v>11802415</v>
      </c>
      <c r="D64" s="99">
        <f>_xlfn.COMPOUNDVALUE(538)</f>
        <v>426</v>
      </c>
      <c r="E64" s="100">
        <v>278271</v>
      </c>
      <c r="F64" s="99">
        <f>_xlfn.COMPOUNDVALUE(539)</f>
        <v>1570</v>
      </c>
      <c r="G64" s="100">
        <v>12080685</v>
      </c>
      <c r="H64" s="99">
        <f>_xlfn.COMPOUNDVALUE(540)</f>
        <v>244</v>
      </c>
      <c r="I64" s="101">
        <v>1579211</v>
      </c>
      <c r="J64" s="99">
        <v>86</v>
      </c>
      <c r="K64" s="101">
        <v>10453</v>
      </c>
      <c r="L64" s="99">
        <v>1827</v>
      </c>
      <c r="M64" s="101">
        <v>10511927</v>
      </c>
      <c r="N64" s="25" t="s">
        <v>72</v>
      </c>
    </row>
    <row r="65" spans="1:14" ht="15.75" customHeight="1">
      <c r="A65" s="11" t="s">
        <v>73</v>
      </c>
      <c r="B65" s="99">
        <f>_xlfn.COMPOUNDVALUE(541)</f>
        <v>3413</v>
      </c>
      <c r="C65" s="100">
        <v>26405023</v>
      </c>
      <c r="D65" s="99">
        <f>_xlfn.COMPOUNDVALUE(542)</f>
        <v>1013</v>
      </c>
      <c r="E65" s="100">
        <v>626074</v>
      </c>
      <c r="F65" s="99">
        <f>_xlfn.COMPOUNDVALUE(543)</f>
        <v>4426</v>
      </c>
      <c r="G65" s="100">
        <v>27031097</v>
      </c>
      <c r="H65" s="99">
        <f>_xlfn.COMPOUNDVALUE(544)</f>
        <v>450</v>
      </c>
      <c r="I65" s="101">
        <v>3787830</v>
      </c>
      <c r="J65" s="99">
        <v>284</v>
      </c>
      <c r="K65" s="101">
        <v>62454</v>
      </c>
      <c r="L65" s="99">
        <v>4917</v>
      </c>
      <c r="M65" s="101">
        <v>23305721</v>
      </c>
      <c r="N65" s="12" t="s">
        <v>73</v>
      </c>
    </row>
    <row r="66" spans="1:14" ht="15.75" customHeight="1">
      <c r="A66" s="11" t="s">
        <v>74</v>
      </c>
      <c r="B66" s="99">
        <f>_xlfn.COMPOUNDVALUE(545)</f>
        <v>1337</v>
      </c>
      <c r="C66" s="100">
        <v>8960767</v>
      </c>
      <c r="D66" s="99">
        <f>_xlfn.COMPOUNDVALUE(546)</f>
        <v>376</v>
      </c>
      <c r="E66" s="100">
        <v>228286</v>
      </c>
      <c r="F66" s="99">
        <f>_xlfn.COMPOUNDVALUE(547)</f>
        <v>1713</v>
      </c>
      <c r="G66" s="100">
        <v>9189054</v>
      </c>
      <c r="H66" s="99">
        <f>_xlfn.COMPOUNDVALUE(548)</f>
        <v>131</v>
      </c>
      <c r="I66" s="101">
        <v>452497</v>
      </c>
      <c r="J66" s="99">
        <v>142</v>
      </c>
      <c r="K66" s="101">
        <v>42591</v>
      </c>
      <c r="L66" s="99">
        <v>1863</v>
      </c>
      <c r="M66" s="101">
        <v>8779148</v>
      </c>
      <c r="N66" s="12" t="s">
        <v>74</v>
      </c>
    </row>
    <row r="67" spans="1:14" ht="15.75" customHeight="1">
      <c r="A67" s="11" t="s">
        <v>75</v>
      </c>
      <c r="B67" s="99">
        <f>_xlfn.COMPOUNDVALUE(549)</f>
        <v>1734</v>
      </c>
      <c r="C67" s="100">
        <v>8067728</v>
      </c>
      <c r="D67" s="99">
        <f>_xlfn.COMPOUNDVALUE(550)</f>
        <v>683</v>
      </c>
      <c r="E67" s="100">
        <v>436703</v>
      </c>
      <c r="F67" s="99">
        <f>_xlfn.COMPOUNDVALUE(551)</f>
        <v>2417</v>
      </c>
      <c r="G67" s="100">
        <v>8504431</v>
      </c>
      <c r="H67" s="99">
        <f>_xlfn.COMPOUNDVALUE(552)</f>
        <v>228</v>
      </c>
      <c r="I67" s="101">
        <v>634188</v>
      </c>
      <c r="J67" s="99">
        <v>129</v>
      </c>
      <c r="K67" s="101">
        <v>44986</v>
      </c>
      <c r="L67" s="99">
        <v>2666</v>
      </c>
      <c r="M67" s="101">
        <v>7915229</v>
      </c>
      <c r="N67" s="12" t="s">
        <v>75</v>
      </c>
    </row>
    <row r="68" spans="1:14" ht="15.75" customHeight="1">
      <c r="A68" s="11" t="s">
        <v>76</v>
      </c>
      <c r="B68" s="99">
        <f>_xlfn.COMPOUNDVALUE(553)</f>
        <v>5119</v>
      </c>
      <c r="C68" s="100">
        <v>81592232</v>
      </c>
      <c r="D68" s="99">
        <f>_xlfn.COMPOUNDVALUE(554)</f>
        <v>1402</v>
      </c>
      <c r="E68" s="100">
        <v>952568</v>
      </c>
      <c r="F68" s="99">
        <f>_xlfn.COMPOUNDVALUE(555)</f>
        <v>6521</v>
      </c>
      <c r="G68" s="100">
        <v>82544799</v>
      </c>
      <c r="H68" s="99">
        <f>_xlfn.COMPOUNDVALUE(556)</f>
        <v>1953</v>
      </c>
      <c r="I68" s="101">
        <v>54652037</v>
      </c>
      <c r="J68" s="99">
        <v>599</v>
      </c>
      <c r="K68" s="101">
        <v>222925</v>
      </c>
      <c r="L68" s="99">
        <v>8564</v>
      </c>
      <c r="M68" s="101">
        <v>28115687</v>
      </c>
      <c r="N68" s="12" t="s">
        <v>76</v>
      </c>
    </row>
    <row r="69" spans="1:14" ht="15.75" customHeight="1">
      <c r="A69" s="11" t="s">
        <v>77</v>
      </c>
      <c r="B69" s="99">
        <f>_xlfn.COMPOUNDVALUE(557)</f>
        <v>6119</v>
      </c>
      <c r="C69" s="100">
        <v>51478831</v>
      </c>
      <c r="D69" s="99">
        <f>_xlfn.COMPOUNDVALUE(558)</f>
        <v>1691</v>
      </c>
      <c r="E69" s="100">
        <v>1089806</v>
      </c>
      <c r="F69" s="99">
        <f>_xlfn.COMPOUNDVALUE(559)</f>
        <v>7810</v>
      </c>
      <c r="G69" s="100">
        <v>52568637</v>
      </c>
      <c r="H69" s="99">
        <f>_xlfn.COMPOUNDVALUE(560)</f>
        <v>470</v>
      </c>
      <c r="I69" s="101">
        <v>3944864</v>
      </c>
      <c r="J69" s="99">
        <v>487</v>
      </c>
      <c r="K69" s="101">
        <v>106728</v>
      </c>
      <c r="L69" s="99">
        <v>8323</v>
      </c>
      <c r="M69" s="101">
        <v>48730501</v>
      </c>
      <c r="N69" s="12" t="s">
        <v>77</v>
      </c>
    </row>
    <row r="70" spans="1:14" ht="15.75" customHeight="1">
      <c r="A70" s="11" t="s">
        <v>78</v>
      </c>
      <c r="B70" s="99">
        <f>_xlfn.COMPOUNDVALUE(561)</f>
        <v>4634</v>
      </c>
      <c r="C70" s="100">
        <v>39588143</v>
      </c>
      <c r="D70" s="99">
        <f>_xlfn.COMPOUNDVALUE(562)</f>
        <v>1280</v>
      </c>
      <c r="E70" s="100">
        <v>905466</v>
      </c>
      <c r="F70" s="99">
        <f>_xlfn.COMPOUNDVALUE(563)</f>
        <v>5914</v>
      </c>
      <c r="G70" s="100">
        <v>40493609</v>
      </c>
      <c r="H70" s="99">
        <f>_xlfn.COMPOUNDVALUE(564)</f>
        <v>442</v>
      </c>
      <c r="I70" s="101">
        <v>2653550</v>
      </c>
      <c r="J70" s="99">
        <v>370</v>
      </c>
      <c r="K70" s="101">
        <v>268181</v>
      </c>
      <c r="L70" s="99">
        <v>6401</v>
      </c>
      <c r="M70" s="101">
        <v>38108240</v>
      </c>
      <c r="N70" s="12" t="s">
        <v>78</v>
      </c>
    </row>
    <row r="71" spans="1:14" ht="15.75" customHeight="1">
      <c r="A71" s="11" t="s">
        <v>79</v>
      </c>
      <c r="B71" s="99">
        <f>_xlfn.COMPOUNDVALUE(565)</f>
        <v>3509</v>
      </c>
      <c r="C71" s="100">
        <v>23791688</v>
      </c>
      <c r="D71" s="99">
        <f>_xlfn.COMPOUNDVALUE(566)</f>
        <v>1109</v>
      </c>
      <c r="E71" s="100">
        <v>744106</v>
      </c>
      <c r="F71" s="99">
        <f>_xlfn.COMPOUNDVALUE(567)</f>
        <v>4618</v>
      </c>
      <c r="G71" s="100">
        <v>24535794</v>
      </c>
      <c r="H71" s="99">
        <f>_xlfn.COMPOUNDVALUE(568)</f>
        <v>392</v>
      </c>
      <c r="I71" s="101">
        <v>1969640</v>
      </c>
      <c r="J71" s="99">
        <v>288</v>
      </c>
      <c r="K71" s="101">
        <v>-1195</v>
      </c>
      <c r="L71" s="99">
        <v>5043</v>
      </c>
      <c r="M71" s="101">
        <v>22564960</v>
      </c>
      <c r="N71" s="12" t="s">
        <v>79</v>
      </c>
    </row>
    <row r="72" spans="1:14" ht="15.75" customHeight="1">
      <c r="A72" s="11" t="s">
        <v>80</v>
      </c>
      <c r="B72" s="99">
        <f>_xlfn.COMPOUNDVALUE(569)</f>
        <v>4509</v>
      </c>
      <c r="C72" s="100">
        <v>33298640</v>
      </c>
      <c r="D72" s="99">
        <f>_xlfn.COMPOUNDVALUE(570)</f>
        <v>1703</v>
      </c>
      <c r="E72" s="100">
        <v>1153405</v>
      </c>
      <c r="F72" s="99">
        <f>_xlfn.COMPOUNDVALUE(571)</f>
        <v>6212</v>
      </c>
      <c r="G72" s="100">
        <v>34452045</v>
      </c>
      <c r="H72" s="99">
        <f>_xlfn.COMPOUNDVALUE(572)</f>
        <v>643</v>
      </c>
      <c r="I72" s="101">
        <v>4331128</v>
      </c>
      <c r="J72" s="99">
        <v>332</v>
      </c>
      <c r="K72" s="101">
        <v>113453</v>
      </c>
      <c r="L72" s="99">
        <v>6913</v>
      </c>
      <c r="M72" s="101">
        <v>30234370</v>
      </c>
      <c r="N72" s="12" t="s">
        <v>80</v>
      </c>
    </row>
    <row r="73" spans="1:14" ht="15.75" customHeight="1">
      <c r="A73" s="11" t="s">
        <v>81</v>
      </c>
      <c r="B73" s="99">
        <f>_xlfn.COMPOUNDVALUE(573)</f>
        <v>1320</v>
      </c>
      <c r="C73" s="100">
        <v>7895986</v>
      </c>
      <c r="D73" s="99">
        <f>_xlfn.COMPOUNDVALUE(574)</f>
        <v>412</v>
      </c>
      <c r="E73" s="100">
        <v>244365</v>
      </c>
      <c r="F73" s="99">
        <f>_xlfn.COMPOUNDVALUE(575)</f>
        <v>1732</v>
      </c>
      <c r="G73" s="100">
        <v>8140352</v>
      </c>
      <c r="H73" s="99">
        <f>_xlfn.COMPOUNDVALUE(576)</f>
        <v>107</v>
      </c>
      <c r="I73" s="101">
        <v>570999</v>
      </c>
      <c r="J73" s="99">
        <v>86</v>
      </c>
      <c r="K73" s="101">
        <v>-29475</v>
      </c>
      <c r="L73" s="99">
        <v>1852</v>
      </c>
      <c r="M73" s="101">
        <v>7539878</v>
      </c>
      <c r="N73" s="12" t="s">
        <v>81</v>
      </c>
    </row>
    <row r="74" spans="1:14" ht="15.75" customHeight="1">
      <c r="A74" s="11" t="s">
        <v>82</v>
      </c>
      <c r="B74" s="99">
        <f>_xlfn.COMPOUNDVALUE(577)</f>
        <v>2686</v>
      </c>
      <c r="C74" s="100">
        <v>23804127</v>
      </c>
      <c r="D74" s="99">
        <f>_xlfn.COMPOUNDVALUE(578)</f>
        <v>931</v>
      </c>
      <c r="E74" s="100">
        <v>588263</v>
      </c>
      <c r="F74" s="99">
        <f>_xlfn.COMPOUNDVALUE(579)</f>
        <v>3617</v>
      </c>
      <c r="G74" s="100">
        <v>24392390</v>
      </c>
      <c r="H74" s="99">
        <f>_xlfn.COMPOUNDVALUE(580)</f>
        <v>574</v>
      </c>
      <c r="I74" s="101">
        <v>6713834</v>
      </c>
      <c r="J74" s="99">
        <v>247</v>
      </c>
      <c r="K74" s="101">
        <v>22340</v>
      </c>
      <c r="L74" s="99">
        <v>4231</v>
      </c>
      <c r="M74" s="101">
        <v>17700896</v>
      </c>
      <c r="N74" s="12" t="s">
        <v>82</v>
      </c>
    </row>
    <row r="75" spans="1:14" ht="15.75" customHeight="1">
      <c r="A75" s="11" t="s">
        <v>83</v>
      </c>
      <c r="B75" s="99">
        <f>_xlfn.COMPOUNDVALUE(581)</f>
        <v>2469</v>
      </c>
      <c r="C75" s="100">
        <v>18342035</v>
      </c>
      <c r="D75" s="99">
        <f>_xlfn.COMPOUNDVALUE(582)</f>
        <v>878</v>
      </c>
      <c r="E75" s="100">
        <v>599750</v>
      </c>
      <c r="F75" s="99">
        <f>_xlfn.COMPOUNDVALUE(583)</f>
        <v>3347</v>
      </c>
      <c r="G75" s="100">
        <v>18941785</v>
      </c>
      <c r="H75" s="99">
        <f>_xlfn.COMPOUNDVALUE(584)</f>
        <v>266</v>
      </c>
      <c r="I75" s="101">
        <v>4478523</v>
      </c>
      <c r="J75" s="99">
        <v>210</v>
      </c>
      <c r="K75" s="101">
        <v>-25473</v>
      </c>
      <c r="L75" s="99">
        <v>3645</v>
      </c>
      <c r="M75" s="101">
        <v>14437789</v>
      </c>
      <c r="N75" s="12" t="s">
        <v>83</v>
      </c>
    </row>
    <row r="76" spans="1:14" ht="15.75" customHeight="1">
      <c r="A76" s="11" t="s">
        <v>84</v>
      </c>
      <c r="B76" s="99">
        <f>_xlfn.COMPOUNDVALUE(585)</f>
        <v>808</v>
      </c>
      <c r="C76" s="100">
        <v>5077493</v>
      </c>
      <c r="D76" s="99">
        <f>_xlfn.COMPOUNDVALUE(586)</f>
        <v>268</v>
      </c>
      <c r="E76" s="100">
        <v>158331</v>
      </c>
      <c r="F76" s="99">
        <f>_xlfn.COMPOUNDVALUE(587)</f>
        <v>1076</v>
      </c>
      <c r="G76" s="100">
        <v>5235824</v>
      </c>
      <c r="H76" s="99">
        <f>_xlfn.COMPOUNDVALUE(588)</f>
        <v>48</v>
      </c>
      <c r="I76" s="101">
        <v>968090</v>
      </c>
      <c r="J76" s="99">
        <v>48</v>
      </c>
      <c r="K76" s="101">
        <v>20912</v>
      </c>
      <c r="L76" s="99">
        <v>1129</v>
      </c>
      <c r="M76" s="101">
        <v>4288646</v>
      </c>
      <c r="N76" s="12" t="s">
        <v>84</v>
      </c>
    </row>
    <row r="77" spans="1:14" ht="15.75" customHeight="1">
      <c r="A77" s="11" t="s">
        <v>85</v>
      </c>
      <c r="B77" s="99">
        <f>_xlfn.COMPOUNDVALUE(589)</f>
        <v>1196</v>
      </c>
      <c r="C77" s="100">
        <v>6276645</v>
      </c>
      <c r="D77" s="99">
        <f>_xlfn.COMPOUNDVALUE(590)</f>
        <v>288</v>
      </c>
      <c r="E77" s="100">
        <v>174025</v>
      </c>
      <c r="F77" s="99">
        <f>_xlfn.COMPOUNDVALUE(591)</f>
        <v>1484</v>
      </c>
      <c r="G77" s="100">
        <v>6450670</v>
      </c>
      <c r="H77" s="99">
        <f>_xlfn.COMPOUNDVALUE(592)</f>
        <v>60</v>
      </c>
      <c r="I77" s="101">
        <v>170738</v>
      </c>
      <c r="J77" s="99">
        <v>80</v>
      </c>
      <c r="K77" s="101">
        <v>12740</v>
      </c>
      <c r="L77" s="99">
        <v>1558</v>
      </c>
      <c r="M77" s="101">
        <v>6292672</v>
      </c>
      <c r="N77" s="12" t="s">
        <v>85</v>
      </c>
    </row>
    <row r="78" spans="1:14" ht="15.75" customHeight="1">
      <c r="A78" s="13" t="s">
        <v>86</v>
      </c>
      <c r="B78" s="102">
        <f>_xlfn.COMPOUNDVALUE(593)</f>
        <v>2941</v>
      </c>
      <c r="C78" s="103">
        <v>21059654</v>
      </c>
      <c r="D78" s="102">
        <f>_xlfn.COMPOUNDVALUE(594)</f>
        <v>878</v>
      </c>
      <c r="E78" s="103">
        <v>571004</v>
      </c>
      <c r="F78" s="102">
        <f>_xlfn.COMPOUNDVALUE(595)</f>
        <v>3819</v>
      </c>
      <c r="G78" s="103">
        <v>21630659</v>
      </c>
      <c r="H78" s="102">
        <f>_xlfn.COMPOUNDVALUE(596)</f>
        <v>254</v>
      </c>
      <c r="I78" s="104">
        <v>3511154</v>
      </c>
      <c r="J78" s="102">
        <v>211</v>
      </c>
      <c r="K78" s="104">
        <v>52654</v>
      </c>
      <c r="L78" s="102">
        <v>4089</v>
      </c>
      <c r="M78" s="104">
        <v>18172158</v>
      </c>
      <c r="N78" s="14" t="s">
        <v>86</v>
      </c>
    </row>
    <row r="79" spans="1:14" ht="15.75" customHeight="1">
      <c r="A79" s="13" t="s">
        <v>87</v>
      </c>
      <c r="B79" s="102">
        <f>_xlfn.COMPOUNDVALUE(597)</f>
        <v>1341</v>
      </c>
      <c r="C79" s="103">
        <v>7672646</v>
      </c>
      <c r="D79" s="102">
        <f>_xlfn.COMPOUNDVALUE(598)</f>
        <v>437</v>
      </c>
      <c r="E79" s="103">
        <v>268130</v>
      </c>
      <c r="F79" s="102">
        <f>_xlfn.COMPOUNDVALUE(599)</f>
        <v>1778</v>
      </c>
      <c r="G79" s="103">
        <v>7940777</v>
      </c>
      <c r="H79" s="102">
        <f>_xlfn.COMPOUNDVALUE(600)</f>
        <v>114</v>
      </c>
      <c r="I79" s="104">
        <v>1080963</v>
      </c>
      <c r="J79" s="102">
        <v>112</v>
      </c>
      <c r="K79" s="104">
        <v>4364</v>
      </c>
      <c r="L79" s="102">
        <v>1907</v>
      </c>
      <c r="M79" s="104">
        <v>6864178</v>
      </c>
      <c r="N79" s="14" t="s">
        <v>87</v>
      </c>
    </row>
    <row r="80" spans="1:14" ht="15.75" customHeight="1">
      <c r="A80" s="13" t="s">
        <v>88</v>
      </c>
      <c r="B80" s="102">
        <f>_xlfn.COMPOUNDVALUE(601)</f>
        <v>633</v>
      </c>
      <c r="C80" s="103">
        <v>2868130</v>
      </c>
      <c r="D80" s="102">
        <f>_xlfn.COMPOUNDVALUE(602)</f>
        <v>247</v>
      </c>
      <c r="E80" s="103">
        <v>138963</v>
      </c>
      <c r="F80" s="102">
        <f>_xlfn.COMPOUNDVALUE(603)</f>
        <v>880</v>
      </c>
      <c r="G80" s="103">
        <v>3007093</v>
      </c>
      <c r="H80" s="102">
        <f>_xlfn.COMPOUNDVALUE(604)</f>
        <v>38</v>
      </c>
      <c r="I80" s="104">
        <v>168006</v>
      </c>
      <c r="J80" s="102">
        <v>45</v>
      </c>
      <c r="K80" s="104">
        <v>2806</v>
      </c>
      <c r="L80" s="102">
        <v>922</v>
      </c>
      <c r="M80" s="104">
        <v>2841894</v>
      </c>
      <c r="N80" s="14" t="s">
        <v>88</v>
      </c>
    </row>
    <row r="81" spans="1:14" ht="15.75" customHeight="1">
      <c r="A81" s="13" t="s">
        <v>89</v>
      </c>
      <c r="B81" s="102">
        <f>_xlfn.COMPOUNDVALUE(605)</f>
        <v>750</v>
      </c>
      <c r="C81" s="103">
        <v>4319558</v>
      </c>
      <c r="D81" s="102">
        <f>_xlfn.COMPOUNDVALUE(606)</f>
        <v>203</v>
      </c>
      <c r="E81" s="103">
        <v>117565</v>
      </c>
      <c r="F81" s="102">
        <f>_xlfn.COMPOUNDVALUE(607)</f>
        <v>953</v>
      </c>
      <c r="G81" s="103">
        <v>4437123</v>
      </c>
      <c r="H81" s="102">
        <f>_xlfn.COMPOUNDVALUE(608)</f>
        <v>141</v>
      </c>
      <c r="I81" s="104">
        <v>550394</v>
      </c>
      <c r="J81" s="102">
        <v>64</v>
      </c>
      <c r="K81" s="104">
        <v>20630</v>
      </c>
      <c r="L81" s="102">
        <v>1096</v>
      </c>
      <c r="M81" s="104">
        <v>3907359</v>
      </c>
      <c r="N81" s="14" t="s">
        <v>89</v>
      </c>
    </row>
    <row r="82" spans="1:14" ht="15.75" customHeight="1">
      <c r="A82" s="13" t="s">
        <v>90</v>
      </c>
      <c r="B82" s="102">
        <f>_xlfn.COMPOUNDVALUE(609)</f>
        <v>1379</v>
      </c>
      <c r="C82" s="103">
        <v>8328766</v>
      </c>
      <c r="D82" s="102">
        <f>_xlfn.COMPOUNDVALUE(610)</f>
        <v>401</v>
      </c>
      <c r="E82" s="103">
        <v>258728</v>
      </c>
      <c r="F82" s="102">
        <f>_xlfn.COMPOUNDVALUE(611)</f>
        <v>1780</v>
      </c>
      <c r="G82" s="103">
        <v>8587494</v>
      </c>
      <c r="H82" s="102">
        <f>_xlfn.COMPOUNDVALUE(612)</f>
        <v>115</v>
      </c>
      <c r="I82" s="104">
        <v>774359</v>
      </c>
      <c r="J82" s="102">
        <v>93</v>
      </c>
      <c r="K82" s="104">
        <v>28511</v>
      </c>
      <c r="L82" s="102">
        <v>1900</v>
      </c>
      <c r="M82" s="104">
        <v>7841645</v>
      </c>
      <c r="N82" s="14" t="s">
        <v>90</v>
      </c>
    </row>
    <row r="83" spans="1:14" ht="15.75" customHeight="1">
      <c r="A83" s="13" t="s">
        <v>91</v>
      </c>
      <c r="B83" s="102">
        <f>_xlfn.COMPOUNDVALUE(613)</f>
        <v>499</v>
      </c>
      <c r="C83" s="103">
        <v>2755266</v>
      </c>
      <c r="D83" s="102">
        <f>_xlfn.COMPOUNDVALUE(614)</f>
        <v>147</v>
      </c>
      <c r="E83" s="103">
        <v>95864</v>
      </c>
      <c r="F83" s="102">
        <f>_xlfn.COMPOUNDVALUE(615)</f>
        <v>646</v>
      </c>
      <c r="G83" s="103">
        <v>2851129</v>
      </c>
      <c r="H83" s="102">
        <f>_xlfn.COMPOUNDVALUE(616)</f>
        <v>31</v>
      </c>
      <c r="I83" s="104">
        <v>20178</v>
      </c>
      <c r="J83" s="102">
        <v>34</v>
      </c>
      <c r="K83" s="104">
        <v>9674</v>
      </c>
      <c r="L83" s="102">
        <v>677</v>
      </c>
      <c r="M83" s="104">
        <v>2840625</v>
      </c>
      <c r="N83" s="14" t="s">
        <v>91</v>
      </c>
    </row>
    <row r="84" spans="1:14" ht="15.75" customHeight="1">
      <c r="A84" s="13" t="s">
        <v>92</v>
      </c>
      <c r="B84" s="102">
        <f>_xlfn.COMPOUNDVALUE(617)</f>
        <v>928</v>
      </c>
      <c r="C84" s="103">
        <v>5205869</v>
      </c>
      <c r="D84" s="102">
        <f>_xlfn.COMPOUNDVALUE(618)</f>
        <v>308</v>
      </c>
      <c r="E84" s="103">
        <v>174696</v>
      </c>
      <c r="F84" s="102">
        <f>_xlfn.COMPOUNDVALUE(619)</f>
        <v>1236</v>
      </c>
      <c r="G84" s="103">
        <v>5380565</v>
      </c>
      <c r="H84" s="102">
        <f>_xlfn.COMPOUNDVALUE(620)</f>
        <v>52</v>
      </c>
      <c r="I84" s="104">
        <v>73832</v>
      </c>
      <c r="J84" s="102">
        <v>35</v>
      </c>
      <c r="K84" s="104">
        <v>996</v>
      </c>
      <c r="L84" s="102">
        <v>1295</v>
      </c>
      <c r="M84" s="104">
        <v>5307730</v>
      </c>
      <c r="N84" s="14" t="s">
        <v>92</v>
      </c>
    </row>
    <row r="85" spans="1:14" ht="15.75" customHeight="1">
      <c r="A85" s="15" t="s">
        <v>157</v>
      </c>
      <c r="B85" s="105">
        <v>48468</v>
      </c>
      <c r="C85" s="106">
        <v>398591642</v>
      </c>
      <c r="D85" s="105">
        <v>15081</v>
      </c>
      <c r="E85" s="106">
        <v>9804370</v>
      </c>
      <c r="F85" s="105">
        <v>63549</v>
      </c>
      <c r="G85" s="106">
        <v>408396011</v>
      </c>
      <c r="H85" s="105">
        <v>6753</v>
      </c>
      <c r="I85" s="107">
        <v>93086015</v>
      </c>
      <c r="J85" s="105">
        <v>3982</v>
      </c>
      <c r="K85" s="107">
        <v>991255</v>
      </c>
      <c r="L85" s="105">
        <v>70818</v>
      </c>
      <c r="M85" s="107">
        <v>316301252</v>
      </c>
      <c r="N85" s="16" t="s">
        <v>123</v>
      </c>
    </row>
    <row r="86" spans="1:14" ht="15.75" customHeight="1">
      <c r="A86" s="23"/>
      <c r="B86" s="108"/>
      <c r="C86" s="109"/>
      <c r="D86" s="108"/>
      <c r="E86" s="109"/>
      <c r="F86" s="110"/>
      <c r="G86" s="109"/>
      <c r="H86" s="110"/>
      <c r="I86" s="109"/>
      <c r="J86" s="110"/>
      <c r="K86" s="109"/>
      <c r="L86" s="110"/>
      <c r="M86" s="109"/>
      <c r="N86" s="24"/>
    </row>
    <row r="87" spans="1:14" ht="15.75" customHeight="1">
      <c r="A87" s="13" t="s">
        <v>94</v>
      </c>
      <c r="B87" s="102">
        <f>_xlfn.COMPOUNDVALUE(621)</f>
        <v>4497</v>
      </c>
      <c r="C87" s="103">
        <v>30305463</v>
      </c>
      <c r="D87" s="102">
        <f>_xlfn.COMPOUNDVALUE(622)</f>
        <v>1646</v>
      </c>
      <c r="E87" s="103">
        <v>1055960</v>
      </c>
      <c r="F87" s="102">
        <f>_xlfn.COMPOUNDVALUE(623)</f>
        <v>6143</v>
      </c>
      <c r="G87" s="103">
        <v>31361424</v>
      </c>
      <c r="H87" s="102">
        <f>_xlfn.COMPOUNDVALUE(624)</f>
        <v>547</v>
      </c>
      <c r="I87" s="104">
        <v>3993958</v>
      </c>
      <c r="J87" s="102">
        <v>384</v>
      </c>
      <c r="K87" s="104">
        <v>40232</v>
      </c>
      <c r="L87" s="102">
        <v>6725</v>
      </c>
      <c r="M87" s="104">
        <v>27407697</v>
      </c>
      <c r="N87" s="14" t="s">
        <v>94</v>
      </c>
    </row>
    <row r="88" spans="1:14" ht="15.75" customHeight="1">
      <c r="A88" s="13" t="s">
        <v>95</v>
      </c>
      <c r="B88" s="102">
        <f>_xlfn.COMPOUNDVALUE(625)</f>
        <v>3411</v>
      </c>
      <c r="C88" s="103">
        <v>18307459</v>
      </c>
      <c r="D88" s="102">
        <f>_xlfn.COMPOUNDVALUE(626)</f>
        <v>964</v>
      </c>
      <c r="E88" s="103">
        <v>616208</v>
      </c>
      <c r="F88" s="102">
        <f>_xlfn.COMPOUNDVALUE(627)</f>
        <v>4375</v>
      </c>
      <c r="G88" s="103">
        <v>18923667</v>
      </c>
      <c r="H88" s="102">
        <f>_xlfn.COMPOUNDVALUE(628)</f>
        <v>317</v>
      </c>
      <c r="I88" s="104">
        <v>2252558</v>
      </c>
      <c r="J88" s="102">
        <v>338</v>
      </c>
      <c r="K88" s="104">
        <v>3305</v>
      </c>
      <c r="L88" s="102">
        <v>4730</v>
      </c>
      <c r="M88" s="104">
        <v>16674413</v>
      </c>
      <c r="N88" s="14" t="s">
        <v>95</v>
      </c>
    </row>
    <row r="89" spans="1:14" ht="15.75" customHeight="1">
      <c r="A89" s="13" t="s">
        <v>96</v>
      </c>
      <c r="B89" s="102">
        <f>_xlfn.COMPOUNDVALUE(629)</f>
        <v>1120</v>
      </c>
      <c r="C89" s="103">
        <v>6044915</v>
      </c>
      <c r="D89" s="102">
        <f>_xlfn.COMPOUNDVALUE(630)</f>
        <v>261</v>
      </c>
      <c r="E89" s="103">
        <v>164855</v>
      </c>
      <c r="F89" s="102">
        <f>_xlfn.COMPOUNDVALUE(631)</f>
        <v>1381</v>
      </c>
      <c r="G89" s="103">
        <v>6209770</v>
      </c>
      <c r="H89" s="102">
        <f>_xlfn.COMPOUNDVALUE(632)</f>
        <v>70</v>
      </c>
      <c r="I89" s="104">
        <v>319904</v>
      </c>
      <c r="J89" s="102">
        <v>87</v>
      </c>
      <c r="K89" s="104">
        <v>19965</v>
      </c>
      <c r="L89" s="102">
        <v>1467</v>
      </c>
      <c r="M89" s="104">
        <v>5909832</v>
      </c>
      <c r="N89" s="14" t="s">
        <v>96</v>
      </c>
    </row>
    <row r="90" spans="1:14" ht="15.75" customHeight="1">
      <c r="A90" s="13" t="s">
        <v>97</v>
      </c>
      <c r="B90" s="102">
        <f>_xlfn.COMPOUNDVALUE(633)</f>
        <v>465</v>
      </c>
      <c r="C90" s="103">
        <v>2205077</v>
      </c>
      <c r="D90" s="102">
        <f>_xlfn.COMPOUNDVALUE(634)</f>
        <v>111</v>
      </c>
      <c r="E90" s="103">
        <v>70207</v>
      </c>
      <c r="F90" s="102">
        <f>_xlfn.COMPOUNDVALUE(635)</f>
        <v>576</v>
      </c>
      <c r="G90" s="103">
        <v>2275284</v>
      </c>
      <c r="H90" s="102">
        <f>_xlfn.COMPOUNDVALUE(636)</f>
        <v>30</v>
      </c>
      <c r="I90" s="104">
        <v>53658</v>
      </c>
      <c r="J90" s="102">
        <v>39</v>
      </c>
      <c r="K90" s="104">
        <v>8981</v>
      </c>
      <c r="L90" s="102">
        <v>611</v>
      </c>
      <c r="M90" s="104">
        <v>2230606</v>
      </c>
      <c r="N90" s="14" t="s">
        <v>97</v>
      </c>
    </row>
    <row r="91" spans="1:14" ht="15.75" customHeight="1">
      <c r="A91" s="15" t="s">
        <v>158</v>
      </c>
      <c r="B91" s="105">
        <v>9493</v>
      </c>
      <c r="C91" s="106">
        <v>56862914</v>
      </c>
      <c r="D91" s="105">
        <v>2982</v>
      </c>
      <c r="E91" s="106">
        <v>1907230</v>
      </c>
      <c r="F91" s="105">
        <v>12475</v>
      </c>
      <c r="G91" s="106">
        <v>58770144</v>
      </c>
      <c r="H91" s="105">
        <v>964</v>
      </c>
      <c r="I91" s="107">
        <v>6620078</v>
      </c>
      <c r="J91" s="105">
        <v>848</v>
      </c>
      <c r="K91" s="107">
        <v>72483</v>
      </c>
      <c r="L91" s="105">
        <v>13533</v>
      </c>
      <c r="M91" s="107">
        <v>52222548</v>
      </c>
      <c r="N91" s="16" t="s">
        <v>124</v>
      </c>
    </row>
    <row r="92" spans="1:14" ht="15.75" customHeight="1">
      <c r="A92" s="23"/>
      <c r="B92" s="108"/>
      <c r="C92" s="109"/>
      <c r="D92" s="108"/>
      <c r="E92" s="109"/>
      <c r="F92" s="110"/>
      <c r="G92" s="109"/>
      <c r="H92" s="110"/>
      <c r="I92" s="109"/>
      <c r="J92" s="110"/>
      <c r="K92" s="109"/>
      <c r="L92" s="110"/>
      <c r="M92" s="109"/>
      <c r="N92" s="24"/>
    </row>
    <row r="93" spans="1:14" ht="15.75" customHeight="1">
      <c r="A93" s="11" t="s">
        <v>99</v>
      </c>
      <c r="B93" s="99">
        <f>_xlfn.COMPOUNDVALUE(637)</f>
        <v>3532</v>
      </c>
      <c r="C93" s="100">
        <v>28076371</v>
      </c>
      <c r="D93" s="99">
        <f>_xlfn.COMPOUNDVALUE(638)</f>
        <v>1200</v>
      </c>
      <c r="E93" s="100">
        <v>776884</v>
      </c>
      <c r="F93" s="99">
        <f>_xlfn.COMPOUNDVALUE(639)</f>
        <v>4732</v>
      </c>
      <c r="G93" s="100">
        <v>28853256</v>
      </c>
      <c r="H93" s="99">
        <f>_xlfn.COMPOUNDVALUE(640)</f>
        <v>226</v>
      </c>
      <c r="I93" s="101">
        <v>2434504</v>
      </c>
      <c r="J93" s="99">
        <v>313</v>
      </c>
      <c r="K93" s="101">
        <v>113176</v>
      </c>
      <c r="L93" s="99">
        <v>4987</v>
      </c>
      <c r="M93" s="101">
        <v>26531928</v>
      </c>
      <c r="N93" s="25" t="s">
        <v>99</v>
      </c>
    </row>
    <row r="94" spans="1:14" ht="15.75" customHeight="1">
      <c r="A94" s="13" t="s">
        <v>100</v>
      </c>
      <c r="B94" s="102">
        <f>_xlfn.COMPOUNDVALUE(641)</f>
        <v>614</v>
      </c>
      <c r="C94" s="103">
        <v>3773191</v>
      </c>
      <c r="D94" s="102">
        <f>_xlfn.COMPOUNDVALUE(642)</f>
        <v>179</v>
      </c>
      <c r="E94" s="103">
        <v>93059</v>
      </c>
      <c r="F94" s="102">
        <f>_xlfn.COMPOUNDVALUE(643)</f>
        <v>793</v>
      </c>
      <c r="G94" s="103">
        <v>3866250</v>
      </c>
      <c r="H94" s="102">
        <f>_xlfn.COMPOUNDVALUE(644)</f>
        <v>43</v>
      </c>
      <c r="I94" s="104">
        <v>126257</v>
      </c>
      <c r="J94" s="102">
        <v>26</v>
      </c>
      <c r="K94" s="104">
        <v>-6745</v>
      </c>
      <c r="L94" s="102">
        <v>841</v>
      </c>
      <c r="M94" s="104">
        <v>3733247</v>
      </c>
      <c r="N94" s="14" t="s">
        <v>100</v>
      </c>
    </row>
    <row r="95" spans="1:14" ht="15.75" customHeight="1">
      <c r="A95" s="13" t="s">
        <v>101</v>
      </c>
      <c r="B95" s="102">
        <f>_xlfn.COMPOUNDVALUE(645)</f>
        <v>672</v>
      </c>
      <c r="C95" s="103">
        <v>3061649</v>
      </c>
      <c r="D95" s="102">
        <f>_xlfn.COMPOUNDVALUE(646)</f>
        <v>174</v>
      </c>
      <c r="E95" s="103">
        <v>111081</v>
      </c>
      <c r="F95" s="102">
        <f>_xlfn.COMPOUNDVALUE(647)</f>
        <v>846</v>
      </c>
      <c r="G95" s="103">
        <v>3172730</v>
      </c>
      <c r="H95" s="102">
        <f>_xlfn.COMPOUNDVALUE(648)</f>
        <v>54</v>
      </c>
      <c r="I95" s="104">
        <v>140590</v>
      </c>
      <c r="J95" s="102">
        <v>93</v>
      </c>
      <c r="K95" s="104">
        <v>3229</v>
      </c>
      <c r="L95" s="102">
        <v>904</v>
      </c>
      <c r="M95" s="104">
        <v>3035369</v>
      </c>
      <c r="N95" s="14" t="s">
        <v>101</v>
      </c>
    </row>
    <row r="96" spans="1:14" ht="15.75" customHeight="1">
      <c r="A96" s="13" t="s">
        <v>102</v>
      </c>
      <c r="B96" s="102">
        <f>_xlfn.COMPOUNDVALUE(649)</f>
        <v>1025</v>
      </c>
      <c r="C96" s="103">
        <v>5411556</v>
      </c>
      <c r="D96" s="102">
        <f>_xlfn.COMPOUNDVALUE(650)</f>
        <v>385</v>
      </c>
      <c r="E96" s="103">
        <v>285415</v>
      </c>
      <c r="F96" s="102">
        <f>_xlfn.COMPOUNDVALUE(651)</f>
        <v>1410</v>
      </c>
      <c r="G96" s="103">
        <v>5696972</v>
      </c>
      <c r="H96" s="102">
        <f>_xlfn.COMPOUNDVALUE(652)</f>
        <v>71</v>
      </c>
      <c r="I96" s="104">
        <v>289253</v>
      </c>
      <c r="J96" s="102">
        <v>98</v>
      </c>
      <c r="K96" s="104">
        <v>19800</v>
      </c>
      <c r="L96" s="102">
        <v>1488</v>
      </c>
      <c r="M96" s="104">
        <v>5427518</v>
      </c>
      <c r="N96" s="14" t="s">
        <v>102</v>
      </c>
    </row>
    <row r="97" spans="1:14" ht="15.75" customHeight="1">
      <c r="A97" s="13" t="s">
        <v>103</v>
      </c>
      <c r="B97" s="102">
        <f>_xlfn.COMPOUNDVALUE(653)</f>
        <v>555</v>
      </c>
      <c r="C97" s="103">
        <v>2216964</v>
      </c>
      <c r="D97" s="102">
        <f>_xlfn.COMPOUNDVALUE(654)</f>
        <v>157</v>
      </c>
      <c r="E97" s="103">
        <v>108672</v>
      </c>
      <c r="F97" s="102">
        <f>_xlfn.COMPOUNDVALUE(655)</f>
        <v>712</v>
      </c>
      <c r="G97" s="103">
        <v>2325636</v>
      </c>
      <c r="H97" s="102">
        <f>_xlfn.COMPOUNDVALUE(656)</f>
        <v>37</v>
      </c>
      <c r="I97" s="104">
        <v>73316</v>
      </c>
      <c r="J97" s="102">
        <v>32</v>
      </c>
      <c r="K97" s="104">
        <v>207</v>
      </c>
      <c r="L97" s="102">
        <v>750</v>
      </c>
      <c r="M97" s="104">
        <v>2252528</v>
      </c>
      <c r="N97" s="14" t="s">
        <v>103</v>
      </c>
    </row>
    <row r="98" spans="1:14" ht="15.75" customHeight="1">
      <c r="A98" s="13" t="s">
        <v>104</v>
      </c>
      <c r="B98" s="102">
        <f>_xlfn.COMPOUNDVALUE(657)</f>
        <v>1258</v>
      </c>
      <c r="C98" s="103">
        <v>6419709</v>
      </c>
      <c r="D98" s="102">
        <f>_xlfn.COMPOUNDVALUE(658)</f>
        <v>369</v>
      </c>
      <c r="E98" s="103">
        <v>265458</v>
      </c>
      <c r="F98" s="102">
        <f>_xlfn.COMPOUNDVALUE(659)</f>
        <v>1627</v>
      </c>
      <c r="G98" s="103">
        <v>6685167</v>
      </c>
      <c r="H98" s="102">
        <f>_xlfn.COMPOUNDVALUE(660)</f>
        <v>74</v>
      </c>
      <c r="I98" s="104">
        <v>377852</v>
      </c>
      <c r="J98" s="102">
        <v>101</v>
      </c>
      <c r="K98" s="104">
        <v>1946</v>
      </c>
      <c r="L98" s="102">
        <v>1708</v>
      </c>
      <c r="M98" s="104">
        <v>6309261</v>
      </c>
      <c r="N98" s="14" t="s">
        <v>104</v>
      </c>
    </row>
    <row r="99" spans="1:14" ht="15.75" customHeight="1">
      <c r="A99" s="13" t="s">
        <v>105</v>
      </c>
      <c r="B99" s="102">
        <f>_xlfn.COMPOUNDVALUE(661)</f>
        <v>590</v>
      </c>
      <c r="C99" s="103">
        <v>4414768</v>
      </c>
      <c r="D99" s="102">
        <f>_xlfn.COMPOUNDVALUE(662)</f>
        <v>175</v>
      </c>
      <c r="E99" s="103">
        <v>119268</v>
      </c>
      <c r="F99" s="102">
        <f>_xlfn.COMPOUNDVALUE(663)</f>
        <v>765</v>
      </c>
      <c r="G99" s="103">
        <v>4534036</v>
      </c>
      <c r="H99" s="102">
        <f>_xlfn.COMPOUNDVALUE(664)</f>
        <v>24</v>
      </c>
      <c r="I99" s="104">
        <v>137479</v>
      </c>
      <c r="J99" s="102">
        <v>59</v>
      </c>
      <c r="K99" s="104">
        <v>23522</v>
      </c>
      <c r="L99" s="102">
        <v>790</v>
      </c>
      <c r="M99" s="104">
        <v>4420079</v>
      </c>
      <c r="N99" s="14" t="s">
        <v>105</v>
      </c>
    </row>
    <row r="100" spans="1:14" ht="15.75" customHeight="1">
      <c r="A100" s="15" t="s">
        <v>159</v>
      </c>
      <c r="B100" s="105">
        <v>8246</v>
      </c>
      <c r="C100" s="106">
        <v>53374208</v>
      </c>
      <c r="D100" s="105">
        <v>2639</v>
      </c>
      <c r="E100" s="106">
        <v>1759838</v>
      </c>
      <c r="F100" s="105">
        <v>10885</v>
      </c>
      <c r="G100" s="106">
        <v>55134046</v>
      </c>
      <c r="H100" s="105">
        <v>529</v>
      </c>
      <c r="I100" s="107">
        <v>3579250</v>
      </c>
      <c r="J100" s="105">
        <v>722</v>
      </c>
      <c r="K100" s="107">
        <v>155134</v>
      </c>
      <c r="L100" s="105">
        <v>11468</v>
      </c>
      <c r="M100" s="107">
        <v>51709930</v>
      </c>
      <c r="N100" s="16" t="s">
        <v>125</v>
      </c>
    </row>
    <row r="101" spans="1:14" ht="15.75" customHeight="1" thickBot="1">
      <c r="A101" s="18"/>
      <c r="B101" s="111"/>
      <c r="C101" s="112"/>
      <c r="D101" s="111"/>
      <c r="E101" s="112"/>
      <c r="F101" s="113"/>
      <c r="G101" s="112"/>
      <c r="H101" s="113"/>
      <c r="I101" s="112"/>
      <c r="J101" s="113"/>
      <c r="K101" s="112"/>
      <c r="L101" s="113"/>
      <c r="M101" s="112"/>
      <c r="N101" s="19"/>
    </row>
    <row r="102" spans="1:14" ht="15.75" customHeight="1" thickBot="1" thickTop="1">
      <c r="A102" s="21" t="s">
        <v>160</v>
      </c>
      <c r="B102" s="114">
        <v>222983</v>
      </c>
      <c r="C102" s="115">
        <v>2250620930</v>
      </c>
      <c r="D102" s="114">
        <v>65811</v>
      </c>
      <c r="E102" s="115">
        <v>43987965</v>
      </c>
      <c r="F102" s="114">
        <v>288794</v>
      </c>
      <c r="G102" s="115">
        <v>2294608895</v>
      </c>
      <c r="H102" s="114">
        <v>29793</v>
      </c>
      <c r="I102" s="116">
        <v>624700624</v>
      </c>
      <c r="J102" s="114">
        <v>18519</v>
      </c>
      <c r="K102" s="116">
        <v>5455687</v>
      </c>
      <c r="L102" s="114">
        <v>321160</v>
      </c>
      <c r="M102" s="116">
        <v>1675363958</v>
      </c>
      <c r="N102" s="22" t="s">
        <v>118</v>
      </c>
    </row>
    <row r="103" spans="1:14" ht="13.5">
      <c r="A103" s="194" t="s">
        <v>161</v>
      </c>
      <c r="B103" s="194"/>
      <c r="C103" s="194"/>
      <c r="D103" s="194"/>
      <c r="E103" s="194"/>
      <c r="F103" s="194"/>
      <c r="G103" s="194"/>
      <c r="H103" s="194"/>
      <c r="I103" s="194"/>
      <c r="J103" s="27"/>
      <c r="K103" s="27"/>
      <c r="L103" s="2"/>
      <c r="M103" s="2"/>
      <c r="N103" s="2"/>
    </row>
  </sheetData>
  <sheetProtection/>
  <mergeCells count="11">
    <mergeCell ref="L3:M4"/>
    <mergeCell ref="A103:I103"/>
    <mergeCell ref="A2:I2"/>
    <mergeCell ref="A3:A5"/>
    <mergeCell ref="B3:G3"/>
    <mergeCell ref="H3:I4"/>
    <mergeCell ref="N3:N5"/>
    <mergeCell ref="B4:C4"/>
    <mergeCell ref="D4:E4"/>
    <mergeCell ref="F4:G4"/>
    <mergeCell ref="J3:K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44" r:id="rId1"/>
  <headerFooter alignWithMargins="0">
    <oddFooter>&amp;R&amp;10大阪国税局
消費税
(R01)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103"/>
  <sheetViews>
    <sheetView showGridLines="0" zoomScaleSheetLayoutView="80" workbookViewId="0" topLeftCell="A1">
      <selection activeCell="I11" sqref="I11"/>
    </sheetView>
  </sheetViews>
  <sheetFormatPr defaultColWidth="9.140625" defaultRowHeight="15"/>
  <cols>
    <col min="1" max="1" width="10.421875" style="3" customWidth="1"/>
    <col min="2" max="2" width="9.57421875" style="3" customWidth="1"/>
    <col min="3" max="3" width="12.57421875" style="3" customWidth="1"/>
    <col min="4" max="4" width="9.57421875" style="3" customWidth="1"/>
    <col min="5" max="5" width="12.57421875" style="3" customWidth="1"/>
    <col min="6" max="6" width="9.57421875" style="3" customWidth="1"/>
    <col min="7" max="7" width="12.57421875" style="3" customWidth="1"/>
    <col min="8" max="8" width="9.57421875" style="3" customWidth="1"/>
    <col min="9" max="9" width="12.57421875" style="3" customWidth="1"/>
    <col min="10" max="10" width="9.57421875" style="3" customWidth="1"/>
    <col min="11" max="11" width="12.57421875" style="3" customWidth="1"/>
    <col min="12" max="12" width="9.57421875" style="3" customWidth="1"/>
    <col min="13" max="13" width="12.57421875" style="3" customWidth="1"/>
    <col min="14" max="17" width="9.57421875" style="3" customWidth="1"/>
    <col min="18" max="18" width="10.421875" style="3" customWidth="1"/>
    <col min="19" max="16384" width="9.00390625" style="3" customWidth="1"/>
  </cols>
  <sheetData>
    <row r="1" spans="1:16" ht="13.5">
      <c r="A1" s="1" t="s">
        <v>166</v>
      </c>
      <c r="B1" s="1"/>
      <c r="C1" s="1"/>
      <c r="D1" s="1"/>
      <c r="E1" s="1"/>
      <c r="F1" s="1"/>
      <c r="G1" s="1"/>
      <c r="H1" s="1"/>
      <c r="I1" s="1"/>
      <c r="J1" s="1"/>
      <c r="K1" s="1"/>
      <c r="L1" s="2"/>
      <c r="M1" s="2"/>
      <c r="N1" s="2"/>
      <c r="O1" s="2"/>
      <c r="P1" s="2"/>
    </row>
    <row r="2" spans="1:16" ht="14.25" thickBot="1">
      <c r="A2" s="210" t="s">
        <v>168</v>
      </c>
      <c r="B2" s="210"/>
      <c r="C2" s="210"/>
      <c r="D2" s="210"/>
      <c r="E2" s="210"/>
      <c r="F2" s="210"/>
      <c r="G2" s="210"/>
      <c r="H2" s="210"/>
      <c r="I2" s="210"/>
      <c r="J2" s="27"/>
      <c r="K2" s="27"/>
      <c r="L2" s="2"/>
      <c r="M2" s="2"/>
      <c r="N2" s="2"/>
      <c r="O2" s="2"/>
      <c r="P2" s="2"/>
    </row>
    <row r="3" spans="1:18" ht="19.5" customHeight="1">
      <c r="A3" s="196" t="s">
        <v>1</v>
      </c>
      <c r="B3" s="199" t="s">
        <v>2</v>
      </c>
      <c r="C3" s="199"/>
      <c r="D3" s="199"/>
      <c r="E3" s="199"/>
      <c r="F3" s="199"/>
      <c r="G3" s="199"/>
      <c r="H3" s="199" t="s">
        <v>3</v>
      </c>
      <c r="I3" s="199"/>
      <c r="J3" s="218" t="s">
        <v>4</v>
      </c>
      <c r="K3" s="199"/>
      <c r="L3" s="199" t="s">
        <v>5</v>
      </c>
      <c r="M3" s="199"/>
      <c r="N3" s="219" t="s">
        <v>110</v>
      </c>
      <c r="O3" s="220"/>
      <c r="P3" s="220"/>
      <c r="Q3" s="220"/>
      <c r="R3" s="204" t="s">
        <v>108</v>
      </c>
    </row>
    <row r="4" spans="1:18" ht="17.25" customHeight="1">
      <c r="A4" s="197"/>
      <c r="B4" s="207" t="s">
        <v>7</v>
      </c>
      <c r="C4" s="207"/>
      <c r="D4" s="207" t="s">
        <v>8</v>
      </c>
      <c r="E4" s="207"/>
      <c r="F4" s="207" t="s">
        <v>9</v>
      </c>
      <c r="G4" s="207"/>
      <c r="H4" s="207"/>
      <c r="I4" s="207"/>
      <c r="J4" s="207"/>
      <c r="K4" s="207"/>
      <c r="L4" s="207"/>
      <c r="M4" s="207"/>
      <c r="N4" s="211" t="s">
        <v>111</v>
      </c>
      <c r="O4" s="213" t="s">
        <v>112</v>
      </c>
      <c r="P4" s="215" t="s">
        <v>113</v>
      </c>
      <c r="Q4" s="203" t="s">
        <v>114</v>
      </c>
      <c r="R4" s="205"/>
    </row>
    <row r="5" spans="1:18" ht="28.5" customHeight="1">
      <c r="A5" s="198"/>
      <c r="B5" s="37" t="s">
        <v>10</v>
      </c>
      <c r="C5" s="38" t="s">
        <v>11</v>
      </c>
      <c r="D5" s="37" t="s">
        <v>10</v>
      </c>
      <c r="E5" s="38" t="s">
        <v>11</v>
      </c>
      <c r="F5" s="37" t="s">
        <v>10</v>
      </c>
      <c r="G5" s="38" t="s">
        <v>12</v>
      </c>
      <c r="H5" s="37" t="s">
        <v>10</v>
      </c>
      <c r="I5" s="38" t="s">
        <v>13</v>
      </c>
      <c r="J5" s="37" t="s">
        <v>10</v>
      </c>
      <c r="K5" s="38" t="s">
        <v>14</v>
      </c>
      <c r="L5" s="37" t="s">
        <v>10</v>
      </c>
      <c r="M5" s="31" t="s">
        <v>117</v>
      </c>
      <c r="N5" s="212"/>
      <c r="O5" s="214"/>
      <c r="P5" s="216"/>
      <c r="Q5" s="217"/>
      <c r="R5" s="206"/>
    </row>
    <row r="6" spans="1:18" s="29" customFormat="1" ht="12" customHeight="1">
      <c r="A6" s="5"/>
      <c r="B6" s="6" t="s">
        <v>15</v>
      </c>
      <c r="C6" s="7" t="s">
        <v>16</v>
      </c>
      <c r="D6" s="6" t="s">
        <v>15</v>
      </c>
      <c r="E6" s="7" t="s">
        <v>16</v>
      </c>
      <c r="F6" s="6" t="s">
        <v>15</v>
      </c>
      <c r="G6" s="7" t="s">
        <v>16</v>
      </c>
      <c r="H6" s="6" t="s">
        <v>15</v>
      </c>
      <c r="I6" s="7" t="s">
        <v>16</v>
      </c>
      <c r="J6" s="6" t="s">
        <v>15</v>
      </c>
      <c r="K6" s="7" t="s">
        <v>16</v>
      </c>
      <c r="L6" s="6" t="s">
        <v>164</v>
      </c>
      <c r="M6" s="7" t="s">
        <v>16</v>
      </c>
      <c r="N6" s="6" t="s">
        <v>15</v>
      </c>
      <c r="O6" s="32" t="s">
        <v>15</v>
      </c>
      <c r="P6" s="32" t="s">
        <v>15</v>
      </c>
      <c r="Q6" s="33" t="s">
        <v>15</v>
      </c>
      <c r="R6" s="9"/>
    </row>
    <row r="7" spans="1:18" ht="18.75" customHeight="1">
      <c r="A7" s="11" t="s">
        <v>18</v>
      </c>
      <c r="B7" s="99">
        <f>_xlfn.COMPOUNDVALUE(665)</f>
        <v>3667</v>
      </c>
      <c r="C7" s="100">
        <v>17296471</v>
      </c>
      <c r="D7" s="99">
        <f>_xlfn.COMPOUNDVALUE(666)</f>
        <v>1985</v>
      </c>
      <c r="E7" s="100">
        <v>1098290</v>
      </c>
      <c r="F7" s="99">
        <f>_xlfn.COMPOUNDVALUE(667)</f>
        <v>5652</v>
      </c>
      <c r="G7" s="100">
        <v>18394761</v>
      </c>
      <c r="H7" s="99">
        <f>_xlfn.COMPOUNDVALUE(668)</f>
        <v>312</v>
      </c>
      <c r="I7" s="101">
        <v>7087770</v>
      </c>
      <c r="J7" s="99">
        <v>426</v>
      </c>
      <c r="K7" s="101">
        <v>44475</v>
      </c>
      <c r="L7" s="99">
        <v>6106</v>
      </c>
      <c r="M7" s="101">
        <v>11351466</v>
      </c>
      <c r="N7" s="141">
        <v>6405</v>
      </c>
      <c r="O7" s="142">
        <v>198</v>
      </c>
      <c r="P7" s="142">
        <v>16</v>
      </c>
      <c r="Q7" s="143">
        <v>6619</v>
      </c>
      <c r="R7" s="12" t="s">
        <v>18</v>
      </c>
    </row>
    <row r="8" spans="1:18" ht="18.75" customHeight="1">
      <c r="A8" s="13" t="s">
        <v>19</v>
      </c>
      <c r="B8" s="102">
        <f>_xlfn.COMPOUNDVALUE(669)</f>
        <v>1970</v>
      </c>
      <c r="C8" s="103">
        <v>15087110</v>
      </c>
      <c r="D8" s="102">
        <f>_xlfn.COMPOUNDVALUE(670)</f>
        <v>1072</v>
      </c>
      <c r="E8" s="103">
        <v>563396</v>
      </c>
      <c r="F8" s="102">
        <f>_xlfn.COMPOUNDVALUE(671)</f>
        <v>3042</v>
      </c>
      <c r="G8" s="103">
        <v>15650506</v>
      </c>
      <c r="H8" s="102">
        <f>_xlfn.COMPOUNDVALUE(672)</f>
        <v>176</v>
      </c>
      <c r="I8" s="104">
        <v>3578065</v>
      </c>
      <c r="J8" s="102">
        <v>195</v>
      </c>
      <c r="K8" s="104">
        <v>25596</v>
      </c>
      <c r="L8" s="102">
        <v>3256</v>
      </c>
      <c r="M8" s="104">
        <v>12098037</v>
      </c>
      <c r="N8" s="144">
        <v>3501</v>
      </c>
      <c r="O8" s="145">
        <v>120</v>
      </c>
      <c r="P8" s="145">
        <v>10</v>
      </c>
      <c r="Q8" s="146">
        <v>3631</v>
      </c>
      <c r="R8" s="14" t="s">
        <v>19</v>
      </c>
    </row>
    <row r="9" spans="1:18" ht="18.75" customHeight="1">
      <c r="A9" s="13" t="s">
        <v>20</v>
      </c>
      <c r="B9" s="102">
        <f>_xlfn.COMPOUNDVALUE(673)</f>
        <v>2132</v>
      </c>
      <c r="C9" s="103">
        <v>10073344</v>
      </c>
      <c r="D9" s="102">
        <f>_xlfn.COMPOUNDVALUE(674)</f>
        <v>1138</v>
      </c>
      <c r="E9" s="103">
        <v>603086</v>
      </c>
      <c r="F9" s="102">
        <f>_xlfn.COMPOUNDVALUE(675)</f>
        <v>3270</v>
      </c>
      <c r="G9" s="103">
        <v>10676430</v>
      </c>
      <c r="H9" s="102">
        <f>_xlfn.COMPOUNDVALUE(676)</f>
        <v>137</v>
      </c>
      <c r="I9" s="104">
        <v>292654</v>
      </c>
      <c r="J9" s="102">
        <v>167</v>
      </c>
      <c r="K9" s="104">
        <v>28655</v>
      </c>
      <c r="L9" s="102">
        <v>3440</v>
      </c>
      <c r="M9" s="104">
        <v>10412431</v>
      </c>
      <c r="N9" s="144">
        <v>3770</v>
      </c>
      <c r="O9" s="145">
        <v>100</v>
      </c>
      <c r="P9" s="145">
        <v>14</v>
      </c>
      <c r="Q9" s="146">
        <v>3884</v>
      </c>
      <c r="R9" s="14" t="s">
        <v>20</v>
      </c>
    </row>
    <row r="10" spans="1:18" ht="18.75" customHeight="1">
      <c r="A10" s="13" t="s">
        <v>21</v>
      </c>
      <c r="B10" s="102">
        <f>_xlfn.COMPOUNDVALUE(677)</f>
        <v>2750</v>
      </c>
      <c r="C10" s="103">
        <v>11430847</v>
      </c>
      <c r="D10" s="102">
        <f>_xlfn.COMPOUNDVALUE(678)</f>
        <v>1586</v>
      </c>
      <c r="E10" s="103">
        <v>778410</v>
      </c>
      <c r="F10" s="102">
        <f>_xlfn.COMPOUNDVALUE(679)</f>
        <v>4336</v>
      </c>
      <c r="G10" s="103">
        <v>12209256</v>
      </c>
      <c r="H10" s="102">
        <f>_xlfn.COMPOUNDVALUE(680)</f>
        <v>404</v>
      </c>
      <c r="I10" s="104">
        <v>1417143</v>
      </c>
      <c r="J10" s="102">
        <v>281</v>
      </c>
      <c r="K10" s="104">
        <v>68374</v>
      </c>
      <c r="L10" s="102">
        <v>4806</v>
      </c>
      <c r="M10" s="104">
        <v>10860487</v>
      </c>
      <c r="N10" s="144">
        <v>4708</v>
      </c>
      <c r="O10" s="145">
        <v>276</v>
      </c>
      <c r="P10" s="145">
        <v>18</v>
      </c>
      <c r="Q10" s="146">
        <v>5002</v>
      </c>
      <c r="R10" s="14" t="s">
        <v>21</v>
      </c>
    </row>
    <row r="11" spans="1:18" ht="18.75" customHeight="1">
      <c r="A11" s="13" t="s">
        <v>22</v>
      </c>
      <c r="B11" s="102">
        <f>_xlfn.COMPOUNDVALUE(681)</f>
        <v>3826</v>
      </c>
      <c r="C11" s="103">
        <v>19978517</v>
      </c>
      <c r="D11" s="102">
        <f>_xlfn.COMPOUNDVALUE(682)</f>
        <v>2046</v>
      </c>
      <c r="E11" s="103">
        <v>1164249</v>
      </c>
      <c r="F11" s="102">
        <f>_xlfn.COMPOUNDVALUE(683)</f>
        <v>5872</v>
      </c>
      <c r="G11" s="103">
        <v>21142766</v>
      </c>
      <c r="H11" s="102">
        <f>_xlfn.COMPOUNDVALUE(684)</f>
        <v>346</v>
      </c>
      <c r="I11" s="104">
        <v>1778272</v>
      </c>
      <c r="J11" s="102">
        <v>388</v>
      </c>
      <c r="K11" s="104">
        <v>49758</v>
      </c>
      <c r="L11" s="102">
        <v>6308</v>
      </c>
      <c r="M11" s="104">
        <v>19414252</v>
      </c>
      <c r="N11" s="144">
        <v>6615</v>
      </c>
      <c r="O11" s="145">
        <v>218</v>
      </c>
      <c r="P11" s="145">
        <v>18</v>
      </c>
      <c r="Q11" s="146">
        <v>6851</v>
      </c>
      <c r="R11" s="14" t="s">
        <v>22</v>
      </c>
    </row>
    <row r="12" spans="1:18" ht="18.75" customHeight="1">
      <c r="A12" s="13" t="s">
        <v>23</v>
      </c>
      <c r="B12" s="102">
        <f>_xlfn.COMPOUNDVALUE(685)</f>
        <v>1777</v>
      </c>
      <c r="C12" s="103">
        <v>14357325</v>
      </c>
      <c r="D12" s="102">
        <f>_xlfn.COMPOUNDVALUE(686)</f>
        <v>902</v>
      </c>
      <c r="E12" s="103">
        <v>502325</v>
      </c>
      <c r="F12" s="102">
        <f>_xlfn.COMPOUNDVALUE(687)</f>
        <v>2679</v>
      </c>
      <c r="G12" s="103">
        <v>14859651</v>
      </c>
      <c r="H12" s="102">
        <f>_xlfn.COMPOUNDVALUE(688)</f>
        <v>161</v>
      </c>
      <c r="I12" s="104">
        <v>697104</v>
      </c>
      <c r="J12" s="102">
        <v>190</v>
      </c>
      <c r="K12" s="104">
        <v>44786</v>
      </c>
      <c r="L12" s="102">
        <v>2901</v>
      </c>
      <c r="M12" s="104">
        <v>14207333</v>
      </c>
      <c r="N12" s="144">
        <v>2839</v>
      </c>
      <c r="O12" s="145">
        <v>103</v>
      </c>
      <c r="P12" s="145">
        <v>7</v>
      </c>
      <c r="Q12" s="146">
        <v>2949</v>
      </c>
      <c r="R12" s="14" t="s">
        <v>23</v>
      </c>
    </row>
    <row r="13" spans="1:18" ht="18.75" customHeight="1">
      <c r="A13" s="13" t="s">
        <v>24</v>
      </c>
      <c r="B13" s="102">
        <f>_xlfn.COMPOUNDVALUE(689)</f>
        <v>825</v>
      </c>
      <c r="C13" s="103">
        <v>2685005</v>
      </c>
      <c r="D13" s="102">
        <f>_xlfn.COMPOUNDVALUE(690)</f>
        <v>464</v>
      </c>
      <c r="E13" s="103">
        <v>208554</v>
      </c>
      <c r="F13" s="102">
        <f>_xlfn.COMPOUNDVALUE(691)</f>
        <v>1289</v>
      </c>
      <c r="G13" s="103">
        <v>2893560</v>
      </c>
      <c r="H13" s="102">
        <f>_xlfn.COMPOUNDVALUE(692)</f>
        <v>56</v>
      </c>
      <c r="I13" s="104">
        <v>558940</v>
      </c>
      <c r="J13" s="102">
        <v>77</v>
      </c>
      <c r="K13" s="104">
        <v>14752</v>
      </c>
      <c r="L13" s="102">
        <v>1372</v>
      </c>
      <c r="M13" s="104">
        <v>2349372</v>
      </c>
      <c r="N13" s="144">
        <v>1350</v>
      </c>
      <c r="O13" s="145">
        <v>32</v>
      </c>
      <c r="P13" s="145">
        <v>3</v>
      </c>
      <c r="Q13" s="146">
        <v>1385</v>
      </c>
      <c r="R13" s="14" t="s">
        <v>24</v>
      </c>
    </row>
    <row r="14" spans="1:18" ht="18.75" customHeight="1">
      <c r="A14" s="15" t="s">
        <v>25</v>
      </c>
      <c r="B14" s="105">
        <v>16947</v>
      </c>
      <c r="C14" s="106">
        <v>90908618</v>
      </c>
      <c r="D14" s="105">
        <v>9193</v>
      </c>
      <c r="E14" s="106">
        <v>4918311</v>
      </c>
      <c r="F14" s="105">
        <v>26140</v>
      </c>
      <c r="G14" s="106">
        <v>95826929</v>
      </c>
      <c r="H14" s="105">
        <v>1592</v>
      </c>
      <c r="I14" s="107">
        <v>15409949</v>
      </c>
      <c r="J14" s="105">
        <v>1724</v>
      </c>
      <c r="K14" s="107">
        <v>276397</v>
      </c>
      <c r="L14" s="105">
        <v>28189</v>
      </c>
      <c r="M14" s="107">
        <v>80693378</v>
      </c>
      <c r="N14" s="147">
        <v>29188</v>
      </c>
      <c r="O14" s="148">
        <v>1047</v>
      </c>
      <c r="P14" s="148">
        <v>86</v>
      </c>
      <c r="Q14" s="149">
        <v>30321</v>
      </c>
      <c r="R14" s="16" t="s">
        <v>120</v>
      </c>
    </row>
    <row r="15" spans="1:18" ht="18.75" customHeight="1">
      <c r="A15" s="26"/>
      <c r="B15" s="108"/>
      <c r="C15" s="109"/>
      <c r="D15" s="108"/>
      <c r="E15" s="109"/>
      <c r="F15" s="110"/>
      <c r="G15" s="109"/>
      <c r="H15" s="110"/>
      <c r="I15" s="109"/>
      <c r="J15" s="110"/>
      <c r="K15" s="109"/>
      <c r="L15" s="110"/>
      <c r="M15" s="109"/>
      <c r="N15" s="150"/>
      <c r="O15" s="151"/>
      <c r="P15" s="151"/>
      <c r="Q15" s="152"/>
      <c r="R15" s="36" t="s">
        <v>119</v>
      </c>
    </row>
    <row r="16" spans="1:18" ht="18.75" customHeight="1">
      <c r="A16" s="11" t="s">
        <v>26</v>
      </c>
      <c r="B16" s="99">
        <f>_xlfn.COMPOUNDVALUE(693)</f>
        <v>3361</v>
      </c>
      <c r="C16" s="100">
        <v>10282153</v>
      </c>
      <c r="D16" s="99">
        <f>_xlfn.COMPOUNDVALUE(694)</f>
        <v>2143</v>
      </c>
      <c r="E16" s="100">
        <v>1069551</v>
      </c>
      <c r="F16" s="99">
        <f>_xlfn.COMPOUNDVALUE(695)</f>
        <v>5504</v>
      </c>
      <c r="G16" s="100">
        <v>11351704</v>
      </c>
      <c r="H16" s="99">
        <f>_xlfn.COMPOUNDVALUE(696)</f>
        <v>356</v>
      </c>
      <c r="I16" s="101">
        <v>11922455</v>
      </c>
      <c r="J16" s="99">
        <v>416</v>
      </c>
      <c r="K16" s="101">
        <v>-31664</v>
      </c>
      <c r="L16" s="99">
        <v>5993</v>
      </c>
      <c r="M16" s="101">
        <v>-602415</v>
      </c>
      <c r="N16" s="141">
        <v>6467</v>
      </c>
      <c r="O16" s="142">
        <v>197</v>
      </c>
      <c r="P16" s="142">
        <v>10</v>
      </c>
      <c r="Q16" s="153">
        <v>6674</v>
      </c>
      <c r="R16" s="14" t="s">
        <v>26</v>
      </c>
    </row>
    <row r="17" spans="1:18" ht="18.75" customHeight="1">
      <c r="A17" s="11" t="s">
        <v>27</v>
      </c>
      <c r="B17" s="99">
        <f>_xlfn.COMPOUNDVALUE(697)</f>
        <v>2395</v>
      </c>
      <c r="C17" s="100">
        <v>9591217</v>
      </c>
      <c r="D17" s="99">
        <f>_xlfn.COMPOUNDVALUE(698)</f>
        <v>1493</v>
      </c>
      <c r="E17" s="100">
        <v>866422</v>
      </c>
      <c r="F17" s="99">
        <f>_xlfn.COMPOUNDVALUE(699)</f>
        <v>3888</v>
      </c>
      <c r="G17" s="100">
        <v>10457639</v>
      </c>
      <c r="H17" s="99">
        <f>_xlfn.COMPOUNDVALUE(700)</f>
        <v>314</v>
      </c>
      <c r="I17" s="101">
        <v>1567799</v>
      </c>
      <c r="J17" s="99">
        <v>248</v>
      </c>
      <c r="K17" s="101">
        <v>31470</v>
      </c>
      <c r="L17" s="99">
        <v>4256</v>
      </c>
      <c r="M17" s="101">
        <v>8921309</v>
      </c>
      <c r="N17" s="144">
        <v>4585</v>
      </c>
      <c r="O17" s="145">
        <v>178</v>
      </c>
      <c r="P17" s="145">
        <v>12</v>
      </c>
      <c r="Q17" s="146">
        <v>4775</v>
      </c>
      <c r="R17" s="14" t="s">
        <v>27</v>
      </c>
    </row>
    <row r="18" spans="1:18" ht="18.75" customHeight="1">
      <c r="A18" s="11" t="s">
        <v>28</v>
      </c>
      <c r="B18" s="99">
        <f>_xlfn.COMPOUNDVALUE(701)</f>
        <v>3976</v>
      </c>
      <c r="C18" s="100">
        <v>29656502</v>
      </c>
      <c r="D18" s="99">
        <f>_xlfn.COMPOUNDVALUE(702)</f>
        <v>2065</v>
      </c>
      <c r="E18" s="100">
        <v>1279475</v>
      </c>
      <c r="F18" s="99">
        <f>_xlfn.COMPOUNDVALUE(703)</f>
        <v>6041</v>
      </c>
      <c r="G18" s="100">
        <v>30935977</v>
      </c>
      <c r="H18" s="99">
        <f>_xlfn.COMPOUNDVALUE(704)</f>
        <v>438</v>
      </c>
      <c r="I18" s="101">
        <v>9165271</v>
      </c>
      <c r="J18" s="99">
        <v>337</v>
      </c>
      <c r="K18" s="101">
        <v>176260</v>
      </c>
      <c r="L18" s="99">
        <v>6534</v>
      </c>
      <c r="M18" s="101">
        <v>21946966</v>
      </c>
      <c r="N18" s="144">
        <v>6901</v>
      </c>
      <c r="O18" s="145">
        <v>222</v>
      </c>
      <c r="P18" s="145">
        <v>43</v>
      </c>
      <c r="Q18" s="146">
        <v>7166</v>
      </c>
      <c r="R18" s="14" t="s">
        <v>28</v>
      </c>
    </row>
    <row r="19" spans="1:18" ht="18.75" customHeight="1">
      <c r="A19" s="11" t="s">
        <v>29</v>
      </c>
      <c r="B19" s="99">
        <f>_xlfn.COMPOUNDVALUE(705)</f>
        <v>3146</v>
      </c>
      <c r="C19" s="100">
        <v>14786743</v>
      </c>
      <c r="D19" s="99">
        <f>_xlfn.COMPOUNDVALUE(706)</f>
        <v>1671</v>
      </c>
      <c r="E19" s="100">
        <v>877137</v>
      </c>
      <c r="F19" s="99">
        <f>_xlfn.COMPOUNDVALUE(707)</f>
        <v>4817</v>
      </c>
      <c r="G19" s="100">
        <v>15663879</v>
      </c>
      <c r="H19" s="99">
        <f>_xlfn.COMPOUNDVALUE(708)</f>
        <v>277</v>
      </c>
      <c r="I19" s="101">
        <v>491829</v>
      </c>
      <c r="J19" s="99">
        <v>314</v>
      </c>
      <c r="K19" s="101">
        <v>96508</v>
      </c>
      <c r="L19" s="99">
        <v>5209</v>
      </c>
      <c r="M19" s="101">
        <v>15268558</v>
      </c>
      <c r="N19" s="144">
        <v>5772</v>
      </c>
      <c r="O19" s="145">
        <v>131</v>
      </c>
      <c r="P19" s="145">
        <v>15</v>
      </c>
      <c r="Q19" s="146">
        <v>5918</v>
      </c>
      <c r="R19" s="14" t="s">
        <v>29</v>
      </c>
    </row>
    <row r="20" spans="1:18" ht="18.75" customHeight="1">
      <c r="A20" s="11" t="s">
        <v>30</v>
      </c>
      <c r="B20" s="99">
        <f>_xlfn.COMPOUNDVALUE(709)</f>
        <v>5733</v>
      </c>
      <c r="C20" s="100">
        <v>89475341</v>
      </c>
      <c r="D20" s="99">
        <f>_xlfn.COMPOUNDVALUE(710)</f>
        <v>2271</v>
      </c>
      <c r="E20" s="100">
        <v>1328263</v>
      </c>
      <c r="F20" s="99">
        <f>_xlfn.COMPOUNDVALUE(711)</f>
        <v>8004</v>
      </c>
      <c r="G20" s="100">
        <v>90803604</v>
      </c>
      <c r="H20" s="99">
        <f>_xlfn.COMPOUNDVALUE(712)</f>
        <v>672</v>
      </c>
      <c r="I20" s="101">
        <v>15105680</v>
      </c>
      <c r="J20" s="99">
        <v>574</v>
      </c>
      <c r="K20" s="101">
        <v>114866</v>
      </c>
      <c r="L20" s="99">
        <v>8770</v>
      </c>
      <c r="M20" s="101">
        <v>75812789</v>
      </c>
      <c r="N20" s="144">
        <v>9203</v>
      </c>
      <c r="O20" s="145">
        <v>294</v>
      </c>
      <c r="P20" s="145">
        <v>60</v>
      </c>
      <c r="Q20" s="146">
        <v>9557</v>
      </c>
      <c r="R20" s="14" t="s">
        <v>30</v>
      </c>
    </row>
    <row r="21" spans="1:18" ht="18.75" customHeight="1">
      <c r="A21" s="11" t="s">
        <v>31</v>
      </c>
      <c r="B21" s="99">
        <f>_xlfn.COMPOUNDVALUE(713)</f>
        <v>6025</v>
      </c>
      <c r="C21" s="100">
        <v>26807346</v>
      </c>
      <c r="D21" s="99">
        <f>_xlfn.COMPOUNDVALUE(714)</f>
        <v>3194</v>
      </c>
      <c r="E21" s="100">
        <v>1719379</v>
      </c>
      <c r="F21" s="99">
        <f>_xlfn.COMPOUNDVALUE(715)</f>
        <v>9219</v>
      </c>
      <c r="G21" s="100">
        <v>28526725</v>
      </c>
      <c r="H21" s="99">
        <f>_xlfn.COMPOUNDVALUE(716)</f>
        <v>534</v>
      </c>
      <c r="I21" s="101">
        <v>71425511</v>
      </c>
      <c r="J21" s="99">
        <v>615</v>
      </c>
      <c r="K21" s="101">
        <v>90394</v>
      </c>
      <c r="L21" s="99">
        <v>9946</v>
      </c>
      <c r="M21" s="101">
        <v>-42808392</v>
      </c>
      <c r="N21" s="144">
        <v>10378</v>
      </c>
      <c r="O21" s="145">
        <v>255</v>
      </c>
      <c r="P21" s="145">
        <v>29</v>
      </c>
      <c r="Q21" s="146">
        <v>10662</v>
      </c>
      <c r="R21" s="14" t="s">
        <v>31</v>
      </c>
    </row>
    <row r="22" spans="1:18" ht="18.75" customHeight="1">
      <c r="A22" s="13" t="s">
        <v>32</v>
      </c>
      <c r="B22" s="102">
        <f>_xlfn.COMPOUNDVALUE(717)</f>
        <v>3872</v>
      </c>
      <c r="C22" s="103">
        <v>25077289</v>
      </c>
      <c r="D22" s="102">
        <f>_xlfn.COMPOUNDVALUE(718)</f>
        <v>1807</v>
      </c>
      <c r="E22" s="103">
        <v>1070830</v>
      </c>
      <c r="F22" s="102">
        <f>_xlfn.COMPOUNDVALUE(719)</f>
        <v>5679</v>
      </c>
      <c r="G22" s="103">
        <v>26148119</v>
      </c>
      <c r="H22" s="102">
        <f>_xlfn.COMPOUNDVALUE(720)</f>
        <v>340</v>
      </c>
      <c r="I22" s="104">
        <v>11057106</v>
      </c>
      <c r="J22" s="102">
        <v>335</v>
      </c>
      <c r="K22" s="104">
        <v>106134</v>
      </c>
      <c r="L22" s="102">
        <v>6131</v>
      </c>
      <c r="M22" s="104">
        <v>15197147</v>
      </c>
      <c r="N22" s="144">
        <v>7208</v>
      </c>
      <c r="O22" s="145">
        <v>216</v>
      </c>
      <c r="P22" s="145">
        <v>23</v>
      </c>
      <c r="Q22" s="146">
        <v>7447</v>
      </c>
      <c r="R22" s="14" t="s">
        <v>32</v>
      </c>
    </row>
    <row r="23" spans="1:18" ht="18.75" customHeight="1">
      <c r="A23" s="13" t="s">
        <v>33</v>
      </c>
      <c r="B23" s="102">
        <f>_xlfn.COMPOUNDVALUE(721)</f>
        <v>1417</v>
      </c>
      <c r="C23" s="103">
        <v>8193399</v>
      </c>
      <c r="D23" s="102">
        <f>_xlfn.COMPOUNDVALUE(722)</f>
        <v>789</v>
      </c>
      <c r="E23" s="103">
        <v>377476</v>
      </c>
      <c r="F23" s="102">
        <f>_xlfn.COMPOUNDVALUE(723)</f>
        <v>2206</v>
      </c>
      <c r="G23" s="103">
        <v>8570875</v>
      </c>
      <c r="H23" s="102">
        <f>_xlfn.COMPOUNDVALUE(724)</f>
        <v>56</v>
      </c>
      <c r="I23" s="104">
        <v>132783</v>
      </c>
      <c r="J23" s="102">
        <v>188</v>
      </c>
      <c r="K23" s="104">
        <v>39036</v>
      </c>
      <c r="L23" s="102">
        <v>2314</v>
      </c>
      <c r="M23" s="104">
        <v>8477129</v>
      </c>
      <c r="N23" s="144">
        <v>2277</v>
      </c>
      <c r="O23" s="145">
        <v>60</v>
      </c>
      <c r="P23" s="145">
        <v>3</v>
      </c>
      <c r="Q23" s="146">
        <v>2340</v>
      </c>
      <c r="R23" s="14" t="s">
        <v>33</v>
      </c>
    </row>
    <row r="24" spans="1:18" ht="18.75" customHeight="1">
      <c r="A24" s="13" t="s">
        <v>34</v>
      </c>
      <c r="B24" s="102">
        <f>_xlfn.COMPOUNDVALUE(725)</f>
        <v>1078</v>
      </c>
      <c r="C24" s="103">
        <v>3503860</v>
      </c>
      <c r="D24" s="102">
        <f>_xlfn.COMPOUNDVALUE(726)</f>
        <v>547</v>
      </c>
      <c r="E24" s="103">
        <v>282620</v>
      </c>
      <c r="F24" s="102">
        <f>_xlfn.COMPOUNDVALUE(727)</f>
        <v>1625</v>
      </c>
      <c r="G24" s="103">
        <v>3786481</v>
      </c>
      <c r="H24" s="102">
        <f>_xlfn.COMPOUNDVALUE(728)</f>
        <v>66</v>
      </c>
      <c r="I24" s="104">
        <v>117255</v>
      </c>
      <c r="J24" s="102">
        <v>147</v>
      </c>
      <c r="K24" s="104">
        <v>22286</v>
      </c>
      <c r="L24" s="102">
        <v>1713</v>
      </c>
      <c r="M24" s="104">
        <v>3691511</v>
      </c>
      <c r="N24" s="144">
        <v>1878</v>
      </c>
      <c r="O24" s="145">
        <v>49</v>
      </c>
      <c r="P24" s="145">
        <v>4</v>
      </c>
      <c r="Q24" s="146">
        <v>1931</v>
      </c>
      <c r="R24" s="14" t="s">
        <v>34</v>
      </c>
    </row>
    <row r="25" spans="1:18" ht="18.75" customHeight="1">
      <c r="A25" s="13" t="s">
        <v>35</v>
      </c>
      <c r="B25" s="102">
        <f>_xlfn.COMPOUNDVALUE(729)</f>
        <v>6575</v>
      </c>
      <c r="C25" s="103">
        <v>28460385</v>
      </c>
      <c r="D25" s="102">
        <f>_xlfn.COMPOUNDVALUE(730)</f>
        <v>3278</v>
      </c>
      <c r="E25" s="103">
        <v>1683137</v>
      </c>
      <c r="F25" s="102">
        <f>_xlfn.COMPOUNDVALUE(731)</f>
        <v>9853</v>
      </c>
      <c r="G25" s="103">
        <v>30143522</v>
      </c>
      <c r="H25" s="102">
        <f>_xlfn.COMPOUNDVALUE(732)</f>
        <v>744</v>
      </c>
      <c r="I25" s="104">
        <v>2044139</v>
      </c>
      <c r="J25" s="102">
        <v>591</v>
      </c>
      <c r="K25" s="104">
        <v>142129</v>
      </c>
      <c r="L25" s="102">
        <v>10771</v>
      </c>
      <c r="M25" s="104">
        <v>28241513</v>
      </c>
      <c r="N25" s="144">
        <v>11113</v>
      </c>
      <c r="O25" s="145">
        <v>384</v>
      </c>
      <c r="P25" s="145">
        <v>32</v>
      </c>
      <c r="Q25" s="146">
        <v>11529</v>
      </c>
      <c r="R25" s="14" t="s">
        <v>35</v>
      </c>
    </row>
    <row r="26" spans="1:18" ht="18.75" customHeight="1">
      <c r="A26" s="13" t="s">
        <v>36</v>
      </c>
      <c r="B26" s="102">
        <f>_xlfn.COMPOUNDVALUE(733)</f>
        <v>664</v>
      </c>
      <c r="C26" s="103">
        <v>1897261</v>
      </c>
      <c r="D26" s="102">
        <f>_xlfn.COMPOUNDVALUE(734)</f>
        <v>376</v>
      </c>
      <c r="E26" s="103">
        <v>165078</v>
      </c>
      <c r="F26" s="102">
        <f>_xlfn.COMPOUNDVALUE(735)</f>
        <v>1040</v>
      </c>
      <c r="G26" s="103">
        <v>2062339</v>
      </c>
      <c r="H26" s="102">
        <f>_xlfn.COMPOUNDVALUE(736)</f>
        <v>25</v>
      </c>
      <c r="I26" s="104">
        <v>182981</v>
      </c>
      <c r="J26" s="102">
        <v>99</v>
      </c>
      <c r="K26" s="104">
        <v>22180</v>
      </c>
      <c r="L26" s="102">
        <v>1079</v>
      </c>
      <c r="M26" s="104">
        <v>1901538</v>
      </c>
      <c r="N26" s="144">
        <v>1025</v>
      </c>
      <c r="O26" s="145">
        <v>26</v>
      </c>
      <c r="P26" s="145">
        <v>2</v>
      </c>
      <c r="Q26" s="146">
        <v>1053</v>
      </c>
      <c r="R26" s="14" t="s">
        <v>36</v>
      </c>
    </row>
    <row r="27" spans="1:18" ht="18.75" customHeight="1">
      <c r="A27" s="13" t="s">
        <v>37</v>
      </c>
      <c r="B27" s="102">
        <f>_xlfn.COMPOUNDVALUE(737)</f>
        <v>1764</v>
      </c>
      <c r="C27" s="103">
        <v>5567691</v>
      </c>
      <c r="D27" s="102">
        <f>_xlfn.COMPOUNDVALUE(738)</f>
        <v>864</v>
      </c>
      <c r="E27" s="103">
        <v>419657</v>
      </c>
      <c r="F27" s="102">
        <f>_xlfn.COMPOUNDVALUE(739)</f>
        <v>2628</v>
      </c>
      <c r="G27" s="103">
        <v>5987348</v>
      </c>
      <c r="H27" s="102">
        <f>_xlfn.COMPOUNDVALUE(740)</f>
        <v>133</v>
      </c>
      <c r="I27" s="104">
        <v>374800</v>
      </c>
      <c r="J27" s="102">
        <v>158</v>
      </c>
      <c r="K27" s="104">
        <v>30685</v>
      </c>
      <c r="L27" s="102">
        <v>2805</v>
      </c>
      <c r="M27" s="104">
        <v>5643233</v>
      </c>
      <c r="N27" s="144">
        <v>2993</v>
      </c>
      <c r="O27" s="145">
        <v>82</v>
      </c>
      <c r="P27" s="145">
        <v>6</v>
      </c>
      <c r="Q27" s="146">
        <v>3081</v>
      </c>
      <c r="R27" s="14" t="s">
        <v>37</v>
      </c>
    </row>
    <row r="28" spans="1:18" ht="18.75" customHeight="1">
      <c r="A28" s="13" t="s">
        <v>38</v>
      </c>
      <c r="B28" s="102">
        <f>_xlfn.COMPOUNDVALUE(741)</f>
        <v>940</v>
      </c>
      <c r="C28" s="103">
        <v>2471131</v>
      </c>
      <c r="D28" s="102">
        <f>_xlfn.COMPOUNDVALUE(742)</f>
        <v>469</v>
      </c>
      <c r="E28" s="103">
        <v>227409</v>
      </c>
      <c r="F28" s="102">
        <f>_xlfn.COMPOUNDVALUE(743)</f>
        <v>1409</v>
      </c>
      <c r="G28" s="103">
        <v>2698540</v>
      </c>
      <c r="H28" s="102">
        <f>_xlfn.COMPOUNDVALUE(744)</f>
        <v>50</v>
      </c>
      <c r="I28" s="104">
        <v>439902</v>
      </c>
      <c r="J28" s="102">
        <v>90</v>
      </c>
      <c r="K28" s="104">
        <v>7121</v>
      </c>
      <c r="L28" s="102">
        <v>1471</v>
      </c>
      <c r="M28" s="104">
        <v>2265759</v>
      </c>
      <c r="N28" s="144">
        <v>1430</v>
      </c>
      <c r="O28" s="145">
        <v>53</v>
      </c>
      <c r="P28" s="145">
        <v>1</v>
      </c>
      <c r="Q28" s="146">
        <v>1484</v>
      </c>
      <c r="R28" s="14" t="s">
        <v>38</v>
      </c>
    </row>
    <row r="29" spans="1:18" ht="18.75" customHeight="1">
      <c r="A29" s="15" t="s">
        <v>39</v>
      </c>
      <c r="B29" s="105">
        <v>40946</v>
      </c>
      <c r="C29" s="106">
        <v>255770318</v>
      </c>
      <c r="D29" s="105">
        <v>20967</v>
      </c>
      <c r="E29" s="106">
        <v>11366433</v>
      </c>
      <c r="F29" s="105">
        <v>61913</v>
      </c>
      <c r="G29" s="106">
        <v>267136752</v>
      </c>
      <c r="H29" s="105">
        <v>4005</v>
      </c>
      <c r="I29" s="107">
        <v>124027512</v>
      </c>
      <c r="J29" s="105">
        <v>4112</v>
      </c>
      <c r="K29" s="107">
        <v>847406</v>
      </c>
      <c r="L29" s="105">
        <v>66992</v>
      </c>
      <c r="M29" s="107">
        <v>143956645</v>
      </c>
      <c r="N29" s="147">
        <v>71230</v>
      </c>
      <c r="O29" s="148">
        <v>2147</v>
      </c>
      <c r="P29" s="148">
        <v>240</v>
      </c>
      <c r="Q29" s="149">
        <v>73617</v>
      </c>
      <c r="R29" s="16" t="s">
        <v>121</v>
      </c>
    </row>
    <row r="30" spans="1:18" ht="18.75" customHeight="1">
      <c r="A30" s="23"/>
      <c r="B30" s="108"/>
      <c r="C30" s="109"/>
      <c r="D30" s="108"/>
      <c r="E30" s="109"/>
      <c r="F30" s="110"/>
      <c r="G30" s="109"/>
      <c r="H30" s="110"/>
      <c r="I30" s="109"/>
      <c r="J30" s="110"/>
      <c r="K30" s="109"/>
      <c r="L30" s="110"/>
      <c r="M30" s="109"/>
      <c r="N30" s="150"/>
      <c r="O30" s="151"/>
      <c r="P30" s="151"/>
      <c r="Q30" s="152"/>
      <c r="R30" s="36" t="s">
        <v>119</v>
      </c>
    </row>
    <row r="31" spans="1:18" ht="18.75" customHeight="1">
      <c r="A31" s="11" t="s">
        <v>40</v>
      </c>
      <c r="B31" s="99">
        <f>_xlfn.COMPOUNDVALUE(745)</f>
        <v>3486</v>
      </c>
      <c r="C31" s="100">
        <v>38732501</v>
      </c>
      <c r="D31" s="99">
        <f>_xlfn.COMPOUNDVALUE(746)</f>
        <v>1211</v>
      </c>
      <c r="E31" s="100">
        <v>684051</v>
      </c>
      <c r="F31" s="99">
        <f>_xlfn.COMPOUNDVALUE(747)</f>
        <v>4697</v>
      </c>
      <c r="G31" s="100">
        <v>39416552</v>
      </c>
      <c r="H31" s="99">
        <f>_xlfn.COMPOUNDVALUE(748)</f>
        <v>480</v>
      </c>
      <c r="I31" s="101">
        <v>2670165</v>
      </c>
      <c r="J31" s="99">
        <v>349</v>
      </c>
      <c r="K31" s="101">
        <v>100509</v>
      </c>
      <c r="L31" s="99">
        <v>5269</v>
      </c>
      <c r="M31" s="101">
        <v>36846896</v>
      </c>
      <c r="N31" s="141">
        <v>5370</v>
      </c>
      <c r="O31" s="142">
        <v>235</v>
      </c>
      <c r="P31" s="142">
        <v>30</v>
      </c>
      <c r="Q31" s="153">
        <v>5635</v>
      </c>
      <c r="R31" s="14" t="s">
        <v>40</v>
      </c>
    </row>
    <row r="32" spans="1:18" ht="18.75" customHeight="1">
      <c r="A32" s="11" t="s">
        <v>41</v>
      </c>
      <c r="B32" s="99">
        <f>_xlfn.COMPOUNDVALUE(749)</f>
        <v>6815</v>
      </c>
      <c r="C32" s="100">
        <v>90050082</v>
      </c>
      <c r="D32" s="99">
        <f>_xlfn.COMPOUNDVALUE(750)</f>
        <v>1874</v>
      </c>
      <c r="E32" s="100">
        <v>1245770</v>
      </c>
      <c r="F32" s="99">
        <f>_xlfn.COMPOUNDVALUE(751)</f>
        <v>8689</v>
      </c>
      <c r="G32" s="100">
        <v>91295852</v>
      </c>
      <c r="H32" s="99">
        <f>_xlfn.COMPOUNDVALUE(752)</f>
        <v>1325</v>
      </c>
      <c r="I32" s="101">
        <v>31358661</v>
      </c>
      <c r="J32" s="99">
        <v>647</v>
      </c>
      <c r="K32" s="101">
        <v>183482</v>
      </c>
      <c r="L32" s="99">
        <v>10149</v>
      </c>
      <c r="M32" s="101">
        <v>60120673</v>
      </c>
      <c r="N32" s="144">
        <v>10353</v>
      </c>
      <c r="O32" s="145">
        <v>435</v>
      </c>
      <c r="P32" s="145">
        <v>109</v>
      </c>
      <c r="Q32" s="146">
        <v>10897</v>
      </c>
      <c r="R32" s="14" t="s">
        <v>41</v>
      </c>
    </row>
    <row r="33" spans="1:18" ht="18.75" customHeight="1">
      <c r="A33" s="11" t="s">
        <v>42</v>
      </c>
      <c r="B33" s="99">
        <f>_xlfn.COMPOUNDVALUE(753)</f>
        <v>3014</v>
      </c>
      <c r="C33" s="100">
        <v>24211629</v>
      </c>
      <c r="D33" s="99">
        <f>_xlfn.COMPOUNDVALUE(754)</f>
        <v>1144</v>
      </c>
      <c r="E33" s="100">
        <v>639579</v>
      </c>
      <c r="F33" s="99">
        <f>_xlfn.COMPOUNDVALUE(755)</f>
        <v>4158</v>
      </c>
      <c r="G33" s="100">
        <v>24851208</v>
      </c>
      <c r="H33" s="99">
        <f>_xlfn.COMPOUNDVALUE(756)</f>
        <v>314</v>
      </c>
      <c r="I33" s="101">
        <v>2085694</v>
      </c>
      <c r="J33" s="99">
        <v>349</v>
      </c>
      <c r="K33" s="101">
        <v>85483</v>
      </c>
      <c r="L33" s="99">
        <v>4518</v>
      </c>
      <c r="M33" s="101">
        <v>22850997</v>
      </c>
      <c r="N33" s="144">
        <v>4774</v>
      </c>
      <c r="O33" s="145">
        <v>131</v>
      </c>
      <c r="P33" s="145">
        <v>21</v>
      </c>
      <c r="Q33" s="146">
        <v>4926</v>
      </c>
      <c r="R33" s="14" t="s">
        <v>42</v>
      </c>
    </row>
    <row r="34" spans="1:18" ht="18.75" customHeight="1">
      <c r="A34" s="11" t="s">
        <v>43</v>
      </c>
      <c r="B34" s="99">
        <f>_xlfn.COMPOUNDVALUE(757)</f>
        <v>2465</v>
      </c>
      <c r="C34" s="100">
        <v>19791286</v>
      </c>
      <c r="D34" s="99">
        <f>_xlfn.COMPOUNDVALUE(758)</f>
        <v>1112</v>
      </c>
      <c r="E34" s="100">
        <v>716279</v>
      </c>
      <c r="F34" s="99">
        <f>_xlfn.COMPOUNDVALUE(759)</f>
        <v>3577</v>
      </c>
      <c r="G34" s="100">
        <v>20507564</v>
      </c>
      <c r="H34" s="99">
        <f>_xlfn.COMPOUNDVALUE(760)</f>
        <v>408</v>
      </c>
      <c r="I34" s="101">
        <v>1495439</v>
      </c>
      <c r="J34" s="99">
        <v>191</v>
      </c>
      <c r="K34" s="101">
        <v>128404</v>
      </c>
      <c r="L34" s="99">
        <v>4027</v>
      </c>
      <c r="M34" s="101">
        <v>19140529</v>
      </c>
      <c r="N34" s="144">
        <v>4407</v>
      </c>
      <c r="O34" s="145">
        <v>229</v>
      </c>
      <c r="P34" s="145">
        <v>25</v>
      </c>
      <c r="Q34" s="146">
        <v>4661</v>
      </c>
      <c r="R34" s="14" t="s">
        <v>43</v>
      </c>
    </row>
    <row r="35" spans="1:18" ht="18.75" customHeight="1">
      <c r="A35" s="11" t="s">
        <v>44</v>
      </c>
      <c r="B35" s="99">
        <f>_xlfn.COMPOUNDVALUE(761)</f>
        <v>2859</v>
      </c>
      <c r="C35" s="100">
        <v>30013416</v>
      </c>
      <c r="D35" s="99">
        <f>_xlfn.COMPOUNDVALUE(762)</f>
        <v>771</v>
      </c>
      <c r="E35" s="100">
        <v>501413</v>
      </c>
      <c r="F35" s="99">
        <f>_xlfn.COMPOUNDVALUE(763)</f>
        <v>3630</v>
      </c>
      <c r="G35" s="100">
        <v>30514829</v>
      </c>
      <c r="H35" s="99">
        <f>_xlfn.COMPOUNDVALUE(764)</f>
        <v>616</v>
      </c>
      <c r="I35" s="101">
        <v>29968277</v>
      </c>
      <c r="J35" s="99">
        <v>316</v>
      </c>
      <c r="K35" s="101">
        <v>252834</v>
      </c>
      <c r="L35" s="99">
        <v>4360</v>
      </c>
      <c r="M35" s="101">
        <v>799386</v>
      </c>
      <c r="N35" s="144">
        <v>4535</v>
      </c>
      <c r="O35" s="145">
        <v>277</v>
      </c>
      <c r="P35" s="145">
        <v>40</v>
      </c>
      <c r="Q35" s="146">
        <v>4852</v>
      </c>
      <c r="R35" s="14" t="s">
        <v>44</v>
      </c>
    </row>
    <row r="36" spans="1:18" ht="18.75" customHeight="1">
      <c r="A36" s="11" t="s">
        <v>45</v>
      </c>
      <c r="B36" s="99">
        <f>_xlfn.COMPOUNDVALUE(765)</f>
        <v>1937</v>
      </c>
      <c r="C36" s="100">
        <v>20142613</v>
      </c>
      <c r="D36" s="99">
        <f>_xlfn.COMPOUNDVALUE(766)</f>
        <v>686</v>
      </c>
      <c r="E36" s="100">
        <v>371462</v>
      </c>
      <c r="F36" s="99">
        <f>_xlfn.COMPOUNDVALUE(767)</f>
        <v>2623</v>
      </c>
      <c r="G36" s="100">
        <v>20514075</v>
      </c>
      <c r="H36" s="99">
        <f>_xlfn.COMPOUNDVALUE(768)</f>
        <v>222</v>
      </c>
      <c r="I36" s="101">
        <v>4863722</v>
      </c>
      <c r="J36" s="99">
        <v>186</v>
      </c>
      <c r="K36" s="101">
        <v>108334</v>
      </c>
      <c r="L36" s="99">
        <v>2892</v>
      </c>
      <c r="M36" s="101">
        <v>15758687</v>
      </c>
      <c r="N36" s="144">
        <v>2952</v>
      </c>
      <c r="O36" s="145">
        <v>99</v>
      </c>
      <c r="P36" s="145">
        <v>13</v>
      </c>
      <c r="Q36" s="146">
        <v>3064</v>
      </c>
      <c r="R36" s="14" t="s">
        <v>45</v>
      </c>
    </row>
    <row r="37" spans="1:18" ht="18.75" customHeight="1">
      <c r="A37" s="11" t="s">
        <v>46</v>
      </c>
      <c r="B37" s="99">
        <f>_xlfn.COMPOUNDVALUE(769)</f>
        <v>2077</v>
      </c>
      <c r="C37" s="100">
        <v>16419661</v>
      </c>
      <c r="D37" s="99">
        <f>_xlfn.COMPOUNDVALUE(770)</f>
        <v>949</v>
      </c>
      <c r="E37" s="100">
        <v>509101</v>
      </c>
      <c r="F37" s="99">
        <f>_xlfn.COMPOUNDVALUE(771)</f>
        <v>3026</v>
      </c>
      <c r="G37" s="100">
        <v>16928762</v>
      </c>
      <c r="H37" s="99">
        <f>_xlfn.COMPOUNDVALUE(772)</f>
        <v>250</v>
      </c>
      <c r="I37" s="101">
        <v>1239043</v>
      </c>
      <c r="J37" s="99">
        <v>183</v>
      </c>
      <c r="K37" s="101">
        <v>35101</v>
      </c>
      <c r="L37" s="99">
        <v>3310</v>
      </c>
      <c r="M37" s="101">
        <v>15724820</v>
      </c>
      <c r="N37" s="144">
        <v>3566</v>
      </c>
      <c r="O37" s="145">
        <v>123</v>
      </c>
      <c r="P37" s="145">
        <v>18</v>
      </c>
      <c r="Q37" s="146">
        <v>3707</v>
      </c>
      <c r="R37" s="14" t="s">
        <v>46</v>
      </c>
    </row>
    <row r="38" spans="1:18" ht="18.75" customHeight="1">
      <c r="A38" s="11" t="s">
        <v>47</v>
      </c>
      <c r="B38" s="99">
        <f>_xlfn.COMPOUNDVALUE(773)</f>
        <v>2657</v>
      </c>
      <c r="C38" s="100">
        <v>14660044</v>
      </c>
      <c r="D38" s="99">
        <f>_xlfn.COMPOUNDVALUE(774)</f>
        <v>1361</v>
      </c>
      <c r="E38" s="100">
        <v>710366</v>
      </c>
      <c r="F38" s="99">
        <f>_xlfn.COMPOUNDVALUE(775)</f>
        <v>4018</v>
      </c>
      <c r="G38" s="100">
        <v>15370410</v>
      </c>
      <c r="H38" s="99">
        <f>_xlfn.COMPOUNDVALUE(776)</f>
        <v>343</v>
      </c>
      <c r="I38" s="101">
        <v>918876</v>
      </c>
      <c r="J38" s="99">
        <v>326</v>
      </c>
      <c r="K38" s="101">
        <v>171758</v>
      </c>
      <c r="L38" s="99">
        <v>4457</v>
      </c>
      <c r="M38" s="101">
        <v>14623291</v>
      </c>
      <c r="N38" s="144">
        <v>4823</v>
      </c>
      <c r="O38" s="145">
        <v>164</v>
      </c>
      <c r="P38" s="145">
        <v>9</v>
      </c>
      <c r="Q38" s="146">
        <v>4996</v>
      </c>
      <c r="R38" s="14" t="s">
        <v>47</v>
      </c>
    </row>
    <row r="39" spans="1:18" ht="18.75" customHeight="1">
      <c r="A39" s="11" t="s">
        <v>48</v>
      </c>
      <c r="B39" s="99">
        <f>_xlfn.COMPOUNDVALUE(777)</f>
        <v>3179</v>
      </c>
      <c r="C39" s="100">
        <v>31208314</v>
      </c>
      <c r="D39" s="99">
        <f>_xlfn.COMPOUNDVALUE(778)</f>
        <v>1435</v>
      </c>
      <c r="E39" s="100">
        <v>843444</v>
      </c>
      <c r="F39" s="99">
        <f>_xlfn.COMPOUNDVALUE(779)</f>
        <v>4614</v>
      </c>
      <c r="G39" s="100">
        <v>32051758</v>
      </c>
      <c r="H39" s="99">
        <f>_xlfn.COMPOUNDVALUE(780)</f>
        <v>346</v>
      </c>
      <c r="I39" s="101">
        <v>1222494</v>
      </c>
      <c r="J39" s="99">
        <v>297</v>
      </c>
      <c r="K39" s="101">
        <v>38829</v>
      </c>
      <c r="L39" s="99">
        <v>5067</v>
      </c>
      <c r="M39" s="101">
        <v>30868092</v>
      </c>
      <c r="N39" s="141">
        <v>5881</v>
      </c>
      <c r="O39" s="142">
        <v>189</v>
      </c>
      <c r="P39" s="142">
        <v>21</v>
      </c>
      <c r="Q39" s="153">
        <v>6091</v>
      </c>
      <c r="R39" s="12" t="s">
        <v>48</v>
      </c>
    </row>
    <row r="40" spans="1:18" ht="18.75" customHeight="1">
      <c r="A40" s="11" t="s">
        <v>49</v>
      </c>
      <c r="B40" s="99">
        <f>_xlfn.COMPOUNDVALUE(781)</f>
        <v>3914</v>
      </c>
      <c r="C40" s="100">
        <v>23057477</v>
      </c>
      <c r="D40" s="99">
        <f>_xlfn.COMPOUNDVALUE(782)</f>
        <v>1730</v>
      </c>
      <c r="E40" s="100">
        <v>984217</v>
      </c>
      <c r="F40" s="99">
        <f>_xlfn.COMPOUNDVALUE(783)</f>
        <v>5644</v>
      </c>
      <c r="G40" s="100">
        <v>24041694</v>
      </c>
      <c r="H40" s="99">
        <f>_xlfn.COMPOUNDVALUE(784)</f>
        <v>339</v>
      </c>
      <c r="I40" s="101">
        <v>1064349</v>
      </c>
      <c r="J40" s="99">
        <v>433</v>
      </c>
      <c r="K40" s="101">
        <v>64756</v>
      </c>
      <c r="L40" s="99">
        <v>6103</v>
      </c>
      <c r="M40" s="101">
        <v>23042101</v>
      </c>
      <c r="N40" s="141">
        <v>6750</v>
      </c>
      <c r="O40" s="154">
        <v>196</v>
      </c>
      <c r="P40" s="154">
        <v>13</v>
      </c>
      <c r="Q40" s="155">
        <v>6959</v>
      </c>
      <c r="R40" s="12" t="s">
        <v>49</v>
      </c>
    </row>
    <row r="41" spans="1:18" ht="18.75" customHeight="1">
      <c r="A41" s="11" t="s">
        <v>50</v>
      </c>
      <c r="B41" s="99">
        <f>_xlfn.COMPOUNDVALUE(785)</f>
        <v>1806</v>
      </c>
      <c r="C41" s="100">
        <v>8583132</v>
      </c>
      <c r="D41" s="99">
        <f>_xlfn.COMPOUNDVALUE(786)</f>
        <v>931</v>
      </c>
      <c r="E41" s="100">
        <v>563672</v>
      </c>
      <c r="F41" s="99">
        <f>_xlfn.COMPOUNDVALUE(787)</f>
        <v>2737</v>
      </c>
      <c r="G41" s="100">
        <v>9146804</v>
      </c>
      <c r="H41" s="99">
        <f>_xlfn.COMPOUNDVALUE(788)</f>
        <v>216</v>
      </c>
      <c r="I41" s="101">
        <v>3010289</v>
      </c>
      <c r="J41" s="99">
        <v>171</v>
      </c>
      <c r="K41" s="101">
        <v>29328</v>
      </c>
      <c r="L41" s="99">
        <v>2994</v>
      </c>
      <c r="M41" s="101">
        <v>6165843</v>
      </c>
      <c r="N41" s="144">
        <v>3262</v>
      </c>
      <c r="O41" s="145">
        <v>127</v>
      </c>
      <c r="P41" s="145">
        <v>17</v>
      </c>
      <c r="Q41" s="146">
        <v>3406</v>
      </c>
      <c r="R41" s="14" t="s">
        <v>50</v>
      </c>
    </row>
    <row r="42" spans="1:18" ht="18.75" customHeight="1">
      <c r="A42" s="11" t="s">
        <v>51</v>
      </c>
      <c r="B42" s="99">
        <f>_xlfn.COMPOUNDVALUE(789)</f>
        <v>3922</v>
      </c>
      <c r="C42" s="100">
        <v>25668937</v>
      </c>
      <c r="D42" s="99">
        <f>_xlfn.COMPOUNDVALUE(790)</f>
        <v>1626</v>
      </c>
      <c r="E42" s="100">
        <v>949052</v>
      </c>
      <c r="F42" s="99">
        <f>_xlfn.COMPOUNDVALUE(791)</f>
        <v>5548</v>
      </c>
      <c r="G42" s="100">
        <v>26617989</v>
      </c>
      <c r="H42" s="99">
        <f>_xlfn.COMPOUNDVALUE(792)</f>
        <v>489</v>
      </c>
      <c r="I42" s="101">
        <v>2776089</v>
      </c>
      <c r="J42" s="99">
        <v>488</v>
      </c>
      <c r="K42" s="101">
        <v>164291</v>
      </c>
      <c r="L42" s="99">
        <v>6182</v>
      </c>
      <c r="M42" s="101">
        <v>24006190</v>
      </c>
      <c r="N42" s="144">
        <v>6624</v>
      </c>
      <c r="O42" s="145">
        <v>274</v>
      </c>
      <c r="P42" s="145">
        <v>30</v>
      </c>
      <c r="Q42" s="146">
        <v>6928</v>
      </c>
      <c r="R42" s="14" t="s">
        <v>51</v>
      </c>
    </row>
    <row r="43" spans="1:18" ht="18.75" customHeight="1">
      <c r="A43" s="11" t="s">
        <v>52</v>
      </c>
      <c r="B43" s="99">
        <f>_xlfn.COMPOUNDVALUE(793)</f>
        <v>5972</v>
      </c>
      <c r="C43" s="100">
        <v>21471617</v>
      </c>
      <c r="D43" s="99">
        <f>_xlfn.COMPOUNDVALUE(794)</f>
        <v>2720</v>
      </c>
      <c r="E43" s="100">
        <v>1516060</v>
      </c>
      <c r="F43" s="99">
        <f>_xlfn.COMPOUNDVALUE(795)</f>
        <v>8692</v>
      </c>
      <c r="G43" s="100">
        <v>22987677</v>
      </c>
      <c r="H43" s="99">
        <f>_xlfn.COMPOUNDVALUE(796)</f>
        <v>555</v>
      </c>
      <c r="I43" s="101">
        <v>2401155</v>
      </c>
      <c r="J43" s="99">
        <v>738</v>
      </c>
      <c r="K43" s="101">
        <v>114992</v>
      </c>
      <c r="L43" s="99">
        <v>9507</v>
      </c>
      <c r="M43" s="101">
        <v>20701514</v>
      </c>
      <c r="N43" s="144">
        <v>10268</v>
      </c>
      <c r="O43" s="145">
        <v>278</v>
      </c>
      <c r="P43" s="145">
        <v>24</v>
      </c>
      <c r="Q43" s="146">
        <v>10570</v>
      </c>
      <c r="R43" s="14" t="s">
        <v>52</v>
      </c>
    </row>
    <row r="44" spans="1:18" ht="18.75" customHeight="1">
      <c r="A44" s="11" t="s">
        <v>53</v>
      </c>
      <c r="B44" s="99">
        <f>_xlfn.COMPOUNDVALUE(797)</f>
        <v>1730</v>
      </c>
      <c r="C44" s="100">
        <v>9512177</v>
      </c>
      <c r="D44" s="99">
        <f>_xlfn.COMPOUNDVALUE(798)</f>
        <v>697</v>
      </c>
      <c r="E44" s="100">
        <v>408113</v>
      </c>
      <c r="F44" s="99">
        <f>_xlfn.COMPOUNDVALUE(799)</f>
        <v>2427</v>
      </c>
      <c r="G44" s="100">
        <v>9920291</v>
      </c>
      <c r="H44" s="99">
        <f>_xlfn.COMPOUNDVALUE(800)</f>
        <v>232</v>
      </c>
      <c r="I44" s="101">
        <v>816170</v>
      </c>
      <c r="J44" s="99">
        <v>208</v>
      </c>
      <c r="K44" s="101">
        <v>81381</v>
      </c>
      <c r="L44" s="99">
        <v>2732</v>
      </c>
      <c r="M44" s="101">
        <v>9185502</v>
      </c>
      <c r="N44" s="144">
        <v>2811</v>
      </c>
      <c r="O44" s="145">
        <v>113</v>
      </c>
      <c r="P44" s="145">
        <v>10</v>
      </c>
      <c r="Q44" s="146">
        <v>2934</v>
      </c>
      <c r="R44" s="14" t="s">
        <v>53</v>
      </c>
    </row>
    <row r="45" spans="1:18" ht="18.75" customHeight="1">
      <c r="A45" s="11" t="s">
        <v>54</v>
      </c>
      <c r="B45" s="99">
        <f>_xlfn.COMPOUNDVALUE(801)</f>
        <v>7219</v>
      </c>
      <c r="C45" s="100">
        <v>82362722</v>
      </c>
      <c r="D45" s="99">
        <f>_xlfn.COMPOUNDVALUE(802)</f>
        <v>2630</v>
      </c>
      <c r="E45" s="100">
        <v>1691794</v>
      </c>
      <c r="F45" s="99">
        <f>_xlfn.COMPOUNDVALUE(803)</f>
        <v>9849</v>
      </c>
      <c r="G45" s="100">
        <v>84054515</v>
      </c>
      <c r="H45" s="99">
        <f>_xlfn.COMPOUNDVALUE(804)</f>
        <v>917</v>
      </c>
      <c r="I45" s="101">
        <v>4112152</v>
      </c>
      <c r="J45" s="99">
        <v>1054</v>
      </c>
      <c r="K45" s="101">
        <v>310515</v>
      </c>
      <c r="L45" s="99">
        <v>11061</v>
      </c>
      <c r="M45" s="101">
        <v>80252878</v>
      </c>
      <c r="N45" s="144">
        <v>11714</v>
      </c>
      <c r="O45" s="145">
        <v>476</v>
      </c>
      <c r="P45" s="145">
        <v>67</v>
      </c>
      <c r="Q45" s="146">
        <v>12257</v>
      </c>
      <c r="R45" s="14" t="s">
        <v>54</v>
      </c>
    </row>
    <row r="46" spans="1:18" ht="18.75" customHeight="1">
      <c r="A46" s="11" t="s">
        <v>55</v>
      </c>
      <c r="B46" s="99">
        <f>_xlfn.COMPOUNDVALUE(805)</f>
        <v>7495</v>
      </c>
      <c r="C46" s="100">
        <v>158224776</v>
      </c>
      <c r="D46" s="99">
        <f>_xlfn.COMPOUNDVALUE(806)</f>
        <v>2582</v>
      </c>
      <c r="E46" s="100">
        <v>1896938</v>
      </c>
      <c r="F46" s="99">
        <f>_xlfn.COMPOUNDVALUE(807)</f>
        <v>10077</v>
      </c>
      <c r="G46" s="100">
        <v>160121714</v>
      </c>
      <c r="H46" s="99">
        <f>_xlfn.COMPOUNDVALUE(808)</f>
        <v>1192</v>
      </c>
      <c r="I46" s="101">
        <v>77459350</v>
      </c>
      <c r="J46" s="99">
        <v>717</v>
      </c>
      <c r="K46" s="101">
        <v>680980</v>
      </c>
      <c r="L46" s="99">
        <v>11419</v>
      </c>
      <c r="M46" s="101">
        <v>83343344</v>
      </c>
      <c r="N46" s="144">
        <v>11828</v>
      </c>
      <c r="O46" s="145">
        <v>650</v>
      </c>
      <c r="P46" s="145">
        <v>142</v>
      </c>
      <c r="Q46" s="146">
        <v>12620</v>
      </c>
      <c r="R46" s="14" t="s">
        <v>55</v>
      </c>
    </row>
    <row r="47" spans="1:18" ht="18.75" customHeight="1">
      <c r="A47" s="11" t="s">
        <v>56</v>
      </c>
      <c r="B47" s="99">
        <f>_xlfn.COMPOUNDVALUE(809)</f>
        <v>3439</v>
      </c>
      <c r="C47" s="100">
        <v>98840222</v>
      </c>
      <c r="D47" s="99">
        <f>_xlfn.COMPOUNDVALUE(810)</f>
        <v>1234</v>
      </c>
      <c r="E47" s="100">
        <v>788982</v>
      </c>
      <c r="F47" s="99">
        <f>_xlfn.COMPOUNDVALUE(811)</f>
        <v>4673</v>
      </c>
      <c r="G47" s="100">
        <v>99629203</v>
      </c>
      <c r="H47" s="99">
        <f>_xlfn.COMPOUNDVALUE(812)</f>
        <v>585</v>
      </c>
      <c r="I47" s="101">
        <v>19075559</v>
      </c>
      <c r="J47" s="99">
        <v>305</v>
      </c>
      <c r="K47" s="101">
        <v>79462</v>
      </c>
      <c r="L47" s="99">
        <v>5325</v>
      </c>
      <c r="M47" s="101">
        <v>80633106</v>
      </c>
      <c r="N47" s="144">
        <v>5599</v>
      </c>
      <c r="O47" s="145">
        <v>234</v>
      </c>
      <c r="P47" s="145">
        <v>48</v>
      </c>
      <c r="Q47" s="146">
        <v>5881</v>
      </c>
      <c r="R47" s="14" t="s">
        <v>56</v>
      </c>
    </row>
    <row r="48" spans="1:18" ht="18.75" customHeight="1">
      <c r="A48" s="11" t="s">
        <v>57</v>
      </c>
      <c r="B48" s="99">
        <f>_xlfn.COMPOUNDVALUE(813)</f>
        <v>9461</v>
      </c>
      <c r="C48" s="100">
        <v>230771575</v>
      </c>
      <c r="D48" s="99">
        <f>_xlfn.COMPOUNDVALUE(814)</f>
        <v>2716</v>
      </c>
      <c r="E48" s="100">
        <v>2082344</v>
      </c>
      <c r="F48" s="99">
        <f>_xlfn.COMPOUNDVALUE(815)</f>
        <v>12177</v>
      </c>
      <c r="G48" s="100">
        <v>232853919</v>
      </c>
      <c r="H48" s="99">
        <f>_xlfn.COMPOUNDVALUE(816)</f>
        <v>2613</v>
      </c>
      <c r="I48" s="101">
        <v>58245134</v>
      </c>
      <c r="J48" s="99">
        <v>889</v>
      </c>
      <c r="K48" s="101">
        <v>-182482</v>
      </c>
      <c r="L48" s="99">
        <v>14957</v>
      </c>
      <c r="M48" s="101">
        <v>174426303</v>
      </c>
      <c r="N48" s="144">
        <v>14081</v>
      </c>
      <c r="O48" s="145">
        <v>933</v>
      </c>
      <c r="P48" s="145">
        <v>209</v>
      </c>
      <c r="Q48" s="146">
        <v>15223</v>
      </c>
      <c r="R48" s="14" t="s">
        <v>57</v>
      </c>
    </row>
    <row r="49" spans="1:18" ht="18.75" customHeight="1">
      <c r="A49" s="11" t="s">
        <v>58</v>
      </c>
      <c r="B49" s="99">
        <f>_xlfn.COMPOUNDVALUE(817)</f>
        <v>5669</v>
      </c>
      <c r="C49" s="100">
        <v>60762335</v>
      </c>
      <c r="D49" s="99">
        <f>_xlfn.COMPOUNDVALUE(818)</f>
        <v>1701</v>
      </c>
      <c r="E49" s="100">
        <v>1200634</v>
      </c>
      <c r="F49" s="99">
        <f>_xlfn.COMPOUNDVALUE(819)</f>
        <v>7370</v>
      </c>
      <c r="G49" s="100">
        <v>61962969</v>
      </c>
      <c r="H49" s="99">
        <f>_xlfn.COMPOUNDVALUE(820)</f>
        <v>1579</v>
      </c>
      <c r="I49" s="101">
        <v>18811163</v>
      </c>
      <c r="J49" s="99">
        <v>697</v>
      </c>
      <c r="K49" s="101">
        <v>439346</v>
      </c>
      <c r="L49" s="99">
        <v>9115</v>
      </c>
      <c r="M49" s="101">
        <v>43591152</v>
      </c>
      <c r="N49" s="144">
        <v>8729</v>
      </c>
      <c r="O49" s="145">
        <v>572</v>
      </c>
      <c r="P49" s="145">
        <v>109</v>
      </c>
      <c r="Q49" s="146">
        <v>9410</v>
      </c>
      <c r="R49" s="14" t="s">
        <v>58</v>
      </c>
    </row>
    <row r="50" spans="1:18" ht="18.75" customHeight="1">
      <c r="A50" s="11" t="s">
        <v>59</v>
      </c>
      <c r="B50" s="99">
        <f>_xlfn.COMPOUNDVALUE(821)</f>
        <v>12016</v>
      </c>
      <c r="C50" s="100">
        <v>69516468</v>
      </c>
      <c r="D50" s="99">
        <f>_xlfn.COMPOUNDVALUE(822)</f>
        <v>4856</v>
      </c>
      <c r="E50" s="100">
        <v>2875095</v>
      </c>
      <c r="F50" s="99">
        <f>_xlfn.COMPOUNDVALUE(823)</f>
        <v>16872</v>
      </c>
      <c r="G50" s="100">
        <v>72391562</v>
      </c>
      <c r="H50" s="99">
        <f>_xlfn.COMPOUNDVALUE(824)</f>
        <v>1280</v>
      </c>
      <c r="I50" s="101">
        <v>29833829</v>
      </c>
      <c r="J50" s="99">
        <v>1234</v>
      </c>
      <c r="K50" s="101">
        <v>1373184</v>
      </c>
      <c r="L50" s="99">
        <v>18509</v>
      </c>
      <c r="M50" s="101">
        <v>43930918</v>
      </c>
      <c r="N50" s="144">
        <v>19201</v>
      </c>
      <c r="O50" s="145">
        <v>648</v>
      </c>
      <c r="P50" s="145">
        <v>55</v>
      </c>
      <c r="Q50" s="146">
        <v>19904</v>
      </c>
      <c r="R50" s="14" t="s">
        <v>59</v>
      </c>
    </row>
    <row r="51" spans="1:18" ht="18.75" customHeight="1">
      <c r="A51" s="11" t="s">
        <v>60</v>
      </c>
      <c r="B51" s="99">
        <f>_xlfn.COMPOUNDVALUE(825)</f>
        <v>4168</v>
      </c>
      <c r="C51" s="100">
        <v>17545916</v>
      </c>
      <c r="D51" s="99">
        <f>_xlfn.COMPOUNDVALUE(826)</f>
        <v>1637</v>
      </c>
      <c r="E51" s="100">
        <v>874640</v>
      </c>
      <c r="F51" s="99">
        <f>_xlfn.COMPOUNDVALUE(827)</f>
        <v>5805</v>
      </c>
      <c r="G51" s="100">
        <v>18420556</v>
      </c>
      <c r="H51" s="99">
        <f>_xlfn.COMPOUNDVALUE(828)</f>
        <v>398</v>
      </c>
      <c r="I51" s="101">
        <v>1662439</v>
      </c>
      <c r="J51" s="99">
        <v>473</v>
      </c>
      <c r="K51" s="101">
        <v>85552</v>
      </c>
      <c r="L51" s="99">
        <v>6374</v>
      </c>
      <c r="M51" s="101">
        <v>16843668</v>
      </c>
      <c r="N51" s="144">
        <v>6648</v>
      </c>
      <c r="O51" s="145">
        <v>191</v>
      </c>
      <c r="P51" s="145">
        <v>16</v>
      </c>
      <c r="Q51" s="146">
        <v>6855</v>
      </c>
      <c r="R51" s="14" t="s">
        <v>60</v>
      </c>
    </row>
    <row r="52" spans="1:18" ht="18.75" customHeight="1">
      <c r="A52" s="11" t="s">
        <v>61</v>
      </c>
      <c r="B52" s="99">
        <f>_xlfn.COMPOUNDVALUE(829)</f>
        <v>8128</v>
      </c>
      <c r="C52" s="100">
        <v>41257656</v>
      </c>
      <c r="D52" s="99">
        <f>_xlfn.COMPOUNDVALUE(830)</f>
        <v>4537</v>
      </c>
      <c r="E52" s="100">
        <v>2623013</v>
      </c>
      <c r="F52" s="99">
        <f>_xlfn.COMPOUNDVALUE(831)</f>
        <v>12665</v>
      </c>
      <c r="G52" s="100">
        <v>43880668</v>
      </c>
      <c r="H52" s="99">
        <f>_xlfn.COMPOUNDVALUE(832)</f>
        <v>976</v>
      </c>
      <c r="I52" s="101">
        <v>3561185</v>
      </c>
      <c r="J52" s="99">
        <v>824</v>
      </c>
      <c r="K52" s="101">
        <v>187044</v>
      </c>
      <c r="L52" s="99">
        <v>13924</v>
      </c>
      <c r="M52" s="101">
        <v>40506528</v>
      </c>
      <c r="N52" s="144">
        <v>14938</v>
      </c>
      <c r="O52" s="145">
        <v>530</v>
      </c>
      <c r="P52" s="145">
        <v>41</v>
      </c>
      <c r="Q52" s="146">
        <v>15509</v>
      </c>
      <c r="R52" s="14" t="s">
        <v>61</v>
      </c>
    </row>
    <row r="53" spans="1:18" ht="18.75" customHeight="1">
      <c r="A53" s="11" t="s">
        <v>62</v>
      </c>
      <c r="B53" s="99">
        <f>_xlfn.COMPOUNDVALUE(833)</f>
        <v>6145</v>
      </c>
      <c r="C53" s="100">
        <v>47388036</v>
      </c>
      <c r="D53" s="99">
        <f>_xlfn.COMPOUNDVALUE(834)</f>
        <v>3002</v>
      </c>
      <c r="E53" s="100">
        <v>1903585</v>
      </c>
      <c r="F53" s="99">
        <f>_xlfn.COMPOUNDVALUE(835)</f>
        <v>9147</v>
      </c>
      <c r="G53" s="100">
        <v>49291621</v>
      </c>
      <c r="H53" s="99">
        <f>_xlfn.COMPOUNDVALUE(836)</f>
        <v>586</v>
      </c>
      <c r="I53" s="101">
        <v>5040480</v>
      </c>
      <c r="J53" s="99">
        <v>617</v>
      </c>
      <c r="K53" s="101">
        <v>143943</v>
      </c>
      <c r="L53" s="99">
        <v>9889</v>
      </c>
      <c r="M53" s="101">
        <v>44395084</v>
      </c>
      <c r="N53" s="144">
        <v>10965</v>
      </c>
      <c r="O53" s="145">
        <v>415</v>
      </c>
      <c r="P53" s="145">
        <v>23</v>
      </c>
      <c r="Q53" s="146">
        <v>11403</v>
      </c>
      <c r="R53" s="14" t="s">
        <v>62</v>
      </c>
    </row>
    <row r="54" spans="1:18" ht="18.75" customHeight="1">
      <c r="A54" s="11" t="s">
        <v>63</v>
      </c>
      <c r="B54" s="99">
        <f>_xlfn.COMPOUNDVALUE(837)</f>
        <v>4361</v>
      </c>
      <c r="C54" s="100">
        <v>18342918</v>
      </c>
      <c r="D54" s="99">
        <f>_xlfn.COMPOUNDVALUE(838)</f>
        <v>1736</v>
      </c>
      <c r="E54" s="100">
        <v>951522</v>
      </c>
      <c r="F54" s="99">
        <f>_xlfn.COMPOUNDVALUE(839)</f>
        <v>6097</v>
      </c>
      <c r="G54" s="100">
        <v>19294440</v>
      </c>
      <c r="H54" s="99">
        <f>_xlfn.COMPOUNDVALUE(840)</f>
        <v>499</v>
      </c>
      <c r="I54" s="101">
        <v>4097629</v>
      </c>
      <c r="J54" s="99">
        <v>468</v>
      </c>
      <c r="K54" s="101">
        <v>76486</v>
      </c>
      <c r="L54" s="99">
        <v>6729</v>
      </c>
      <c r="M54" s="101">
        <v>15273296</v>
      </c>
      <c r="N54" s="144">
        <v>7195</v>
      </c>
      <c r="O54" s="145">
        <v>237</v>
      </c>
      <c r="P54" s="145">
        <v>14</v>
      </c>
      <c r="Q54" s="146">
        <v>7446</v>
      </c>
      <c r="R54" s="14" t="s">
        <v>63</v>
      </c>
    </row>
    <row r="55" spans="1:18" ht="18.75" customHeight="1">
      <c r="A55" s="13" t="s">
        <v>64</v>
      </c>
      <c r="B55" s="102">
        <f>_xlfn.COMPOUNDVALUE(841)</f>
        <v>7508</v>
      </c>
      <c r="C55" s="103">
        <v>31746809</v>
      </c>
      <c r="D55" s="102">
        <f>_xlfn.COMPOUNDVALUE(842)</f>
        <v>3468</v>
      </c>
      <c r="E55" s="103">
        <v>1950926</v>
      </c>
      <c r="F55" s="102">
        <f>_xlfn.COMPOUNDVALUE(843)</f>
        <v>10976</v>
      </c>
      <c r="G55" s="103">
        <v>33697735</v>
      </c>
      <c r="H55" s="102">
        <f>_xlfn.COMPOUNDVALUE(844)</f>
        <v>673</v>
      </c>
      <c r="I55" s="104">
        <v>2317835</v>
      </c>
      <c r="J55" s="102">
        <v>745</v>
      </c>
      <c r="K55" s="104">
        <v>207094</v>
      </c>
      <c r="L55" s="102">
        <v>11906</v>
      </c>
      <c r="M55" s="104">
        <v>31586993</v>
      </c>
      <c r="N55" s="144">
        <v>12982</v>
      </c>
      <c r="O55" s="145">
        <v>396</v>
      </c>
      <c r="P55" s="145">
        <v>39</v>
      </c>
      <c r="Q55" s="146">
        <v>13417</v>
      </c>
      <c r="R55" s="14" t="s">
        <v>64</v>
      </c>
    </row>
    <row r="56" spans="1:18" ht="18.75" customHeight="1">
      <c r="A56" s="13" t="s">
        <v>65</v>
      </c>
      <c r="B56" s="102">
        <f>_xlfn.COMPOUNDVALUE(845)</f>
        <v>6561</v>
      </c>
      <c r="C56" s="103">
        <v>39537954</v>
      </c>
      <c r="D56" s="102">
        <f>_xlfn.COMPOUNDVALUE(846)</f>
        <v>3260</v>
      </c>
      <c r="E56" s="103">
        <v>1925696</v>
      </c>
      <c r="F56" s="102">
        <f>_xlfn.COMPOUNDVALUE(847)</f>
        <v>9821</v>
      </c>
      <c r="G56" s="103">
        <v>41463650</v>
      </c>
      <c r="H56" s="102">
        <f>_xlfn.COMPOUNDVALUE(848)</f>
        <v>558</v>
      </c>
      <c r="I56" s="104">
        <v>19107508</v>
      </c>
      <c r="J56" s="102">
        <v>587</v>
      </c>
      <c r="K56" s="104">
        <v>162731</v>
      </c>
      <c r="L56" s="102">
        <v>10603</v>
      </c>
      <c r="M56" s="104">
        <v>22518874</v>
      </c>
      <c r="N56" s="144">
        <v>11657</v>
      </c>
      <c r="O56" s="145">
        <v>380</v>
      </c>
      <c r="P56" s="145">
        <v>38</v>
      </c>
      <c r="Q56" s="146">
        <v>12075</v>
      </c>
      <c r="R56" s="14" t="s">
        <v>65</v>
      </c>
    </row>
    <row r="57" spans="1:18" ht="18.75" customHeight="1">
      <c r="A57" s="13" t="s">
        <v>66</v>
      </c>
      <c r="B57" s="102">
        <f>_xlfn.COMPOUNDVALUE(849)</f>
        <v>7632</v>
      </c>
      <c r="C57" s="103">
        <v>34715388</v>
      </c>
      <c r="D57" s="102">
        <f>_xlfn.COMPOUNDVALUE(850)</f>
        <v>3586</v>
      </c>
      <c r="E57" s="103">
        <v>1961146</v>
      </c>
      <c r="F57" s="102">
        <f>_xlfn.COMPOUNDVALUE(851)</f>
        <v>11218</v>
      </c>
      <c r="G57" s="103">
        <v>36676534</v>
      </c>
      <c r="H57" s="102">
        <f>_xlfn.COMPOUNDVALUE(852)</f>
        <v>604</v>
      </c>
      <c r="I57" s="104">
        <v>3191323</v>
      </c>
      <c r="J57" s="102">
        <v>970</v>
      </c>
      <c r="K57" s="104">
        <v>235154</v>
      </c>
      <c r="L57" s="102">
        <v>12137</v>
      </c>
      <c r="M57" s="104">
        <v>33720365</v>
      </c>
      <c r="N57" s="144">
        <v>12790</v>
      </c>
      <c r="O57" s="145">
        <v>303</v>
      </c>
      <c r="P57" s="145">
        <v>20</v>
      </c>
      <c r="Q57" s="146">
        <v>13113</v>
      </c>
      <c r="R57" s="14" t="s">
        <v>66</v>
      </c>
    </row>
    <row r="58" spans="1:18" ht="18.75" customHeight="1">
      <c r="A58" s="13" t="s">
        <v>67</v>
      </c>
      <c r="B58" s="102">
        <f>_xlfn.COMPOUNDVALUE(853)</f>
        <v>3535</v>
      </c>
      <c r="C58" s="103">
        <v>14734502</v>
      </c>
      <c r="D58" s="102">
        <f>_xlfn.COMPOUNDVALUE(854)</f>
        <v>1438</v>
      </c>
      <c r="E58" s="103">
        <v>756978</v>
      </c>
      <c r="F58" s="102">
        <f>_xlfn.COMPOUNDVALUE(855)</f>
        <v>4973</v>
      </c>
      <c r="G58" s="103">
        <v>15491480</v>
      </c>
      <c r="H58" s="102">
        <f>_xlfn.COMPOUNDVALUE(856)</f>
        <v>361</v>
      </c>
      <c r="I58" s="104">
        <v>4277540</v>
      </c>
      <c r="J58" s="102">
        <v>427</v>
      </c>
      <c r="K58" s="104">
        <v>30846</v>
      </c>
      <c r="L58" s="102">
        <v>5464</v>
      </c>
      <c r="M58" s="104">
        <v>11244786</v>
      </c>
      <c r="N58" s="144">
        <v>5700</v>
      </c>
      <c r="O58" s="145">
        <v>182</v>
      </c>
      <c r="P58" s="145">
        <v>19</v>
      </c>
      <c r="Q58" s="146">
        <v>5901</v>
      </c>
      <c r="R58" s="14" t="s">
        <v>67</v>
      </c>
    </row>
    <row r="59" spans="1:18" ht="18.75" customHeight="1">
      <c r="A59" s="13" t="s">
        <v>68</v>
      </c>
      <c r="B59" s="102">
        <f>_xlfn.COMPOUNDVALUE(857)</f>
        <v>5992</v>
      </c>
      <c r="C59" s="103">
        <v>21650890</v>
      </c>
      <c r="D59" s="102">
        <f>_xlfn.COMPOUNDVALUE(858)</f>
        <v>2714</v>
      </c>
      <c r="E59" s="103">
        <v>1467529</v>
      </c>
      <c r="F59" s="102">
        <f>_xlfn.COMPOUNDVALUE(859)</f>
        <v>8706</v>
      </c>
      <c r="G59" s="103">
        <v>23118419</v>
      </c>
      <c r="H59" s="102">
        <f>_xlfn.COMPOUNDVALUE(860)</f>
        <v>468</v>
      </c>
      <c r="I59" s="104">
        <v>686459</v>
      </c>
      <c r="J59" s="102">
        <v>663</v>
      </c>
      <c r="K59" s="104">
        <v>121309</v>
      </c>
      <c r="L59" s="102">
        <v>9387</v>
      </c>
      <c r="M59" s="104">
        <v>22553269</v>
      </c>
      <c r="N59" s="144">
        <v>9873</v>
      </c>
      <c r="O59" s="145">
        <v>246</v>
      </c>
      <c r="P59" s="145">
        <v>20</v>
      </c>
      <c r="Q59" s="146">
        <v>10139</v>
      </c>
      <c r="R59" s="14" t="s">
        <v>68</v>
      </c>
    </row>
    <row r="60" spans="1:18" ht="18.75" customHeight="1">
      <c r="A60" s="13" t="s">
        <v>69</v>
      </c>
      <c r="B60" s="102">
        <f>_xlfn.COMPOUNDVALUE(861)</f>
        <v>7212</v>
      </c>
      <c r="C60" s="103">
        <v>41045764</v>
      </c>
      <c r="D60" s="102">
        <f>_xlfn.COMPOUNDVALUE(862)</f>
        <v>3246</v>
      </c>
      <c r="E60" s="103">
        <v>1922813</v>
      </c>
      <c r="F60" s="102">
        <f>_xlfn.COMPOUNDVALUE(863)</f>
        <v>10458</v>
      </c>
      <c r="G60" s="103">
        <v>42968576</v>
      </c>
      <c r="H60" s="102">
        <f>_xlfn.COMPOUNDVALUE(864)</f>
        <v>527</v>
      </c>
      <c r="I60" s="104">
        <v>44813432</v>
      </c>
      <c r="J60" s="102">
        <v>885</v>
      </c>
      <c r="K60" s="104">
        <v>239666</v>
      </c>
      <c r="L60" s="102">
        <v>11289</v>
      </c>
      <c r="M60" s="104">
        <v>-1605190</v>
      </c>
      <c r="N60" s="144">
        <v>12029</v>
      </c>
      <c r="O60" s="145">
        <v>319</v>
      </c>
      <c r="P60" s="145">
        <v>40</v>
      </c>
      <c r="Q60" s="146">
        <v>12388</v>
      </c>
      <c r="R60" s="14" t="s">
        <v>69</v>
      </c>
    </row>
    <row r="61" spans="1:18" ht="18.75" customHeight="1">
      <c r="A61" s="13" t="s">
        <v>70</v>
      </c>
      <c r="B61" s="102">
        <f>_xlfn.COMPOUNDVALUE(865)</f>
        <v>10392</v>
      </c>
      <c r="C61" s="103">
        <v>54669573</v>
      </c>
      <c r="D61" s="102">
        <f>_xlfn.COMPOUNDVALUE(866)</f>
        <v>4805</v>
      </c>
      <c r="E61" s="103">
        <v>2770988</v>
      </c>
      <c r="F61" s="102">
        <f>_xlfn.COMPOUNDVALUE(867)</f>
        <v>15197</v>
      </c>
      <c r="G61" s="103">
        <v>57440561</v>
      </c>
      <c r="H61" s="102">
        <f>_xlfn.COMPOUNDVALUE(868)</f>
        <v>747</v>
      </c>
      <c r="I61" s="104">
        <v>3168914</v>
      </c>
      <c r="J61" s="102">
        <v>1070</v>
      </c>
      <c r="K61" s="104">
        <v>261475</v>
      </c>
      <c r="L61" s="102">
        <v>16179</v>
      </c>
      <c r="M61" s="104">
        <v>54533123</v>
      </c>
      <c r="N61" s="144">
        <v>16820</v>
      </c>
      <c r="O61" s="145">
        <v>388</v>
      </c>
      <c r="P61" s="145">
        <v>35</v>
      </c>
      <c r="Q61" s="146">
        <v>17243</v>
      </c>
      <c r="R61" s="14" t="s">
        <v>70</v>
      </c>
    </row>
    <row r="62" spans="1:18" ht="18.75" customHeight="1">
      <c r="A62" s="15" t="s">
        <v>71</v>
      </c>
      <c r="B62" s="105">
        <v>162766</v>
      </c>
      <c r="C62" s="106">
        <v>1436636389</v>
      </c>
      <c r="D62" s="105">
        <v>67395</v>
      </c>
      <c r="E62" s="106">
        <v>40287198</v>
      </c>
      <c r="F62" s="105">
        <v>230161</v>
      </c>
      <c r="G62" s="106">
        <v>1476923587</v>
      </c>
      <c r="H62" s="105">
        <v>20698</v>
      </c>
      <c r="I62" s="107">
        <v>385352353</v>
      </c>
      <c r="J62" s="105">
        <v>17507</v>
      </c>
      <c r="K62" s="107">
        <v>6011785</v>
      </c>
      <c r="L62" s="105">
        <v>255834</v>
      </c>
      <c r="M62" s="107">
        <v>1097583019</v>
      </c>
      <c r="N62" s="147">
        <v>269125</v>
      </c>
      <c r="O62" s="148">
        <v>9970</v>
      </c>
      <c r="P62" s="148">
        <v>1315</v>
      </c>
      <c r="Q62" s="149">
        <v>280410</v>
      </c>
      <c r="R62" s="16" t="s">
        <v>122</v>
      </c>
    </row>
    <row r="63" spans="1:18" ht="18.75" customHeight="1">
      <c r="A63" s="23"/>
      <c r="B63" s="108"/>
      <c r="C63" s="109"/>
      <c r="D63" s="108"/>
      <c r="E63" s="109"/>
      <c r="F63" s="110"/>
      <c r="G63" s="109"/>
      <c r="H63" s="110"/>
      <c r="I63" s="109"/>
      <c r="J63" s="110"/>
      <c r="K63" s="109"/>
      <c r="L63" s="110"/>
      <c r="M63" s="109"/>
      <c r="N63" s="150"/>
      <c r="O63" s="151"/>
      <c r="P63" s="151"/>
      <c r="Q63" s="152"/>
      <c r="R63" s="36" t="s">
        <v>119</v>
      </c>
    </row>
    <row r="64" spans="1:18" ht="18.75" customHeight="1">
      <c r="A64" s="11" t="s">
        <v>72</v>
      </c>
      <c r="B64" s="99">
        <f>_xlfn.COMPOUNDVALUE(869)</f>
        <v>1734</v>
      </c>
      <c r="C64" s="100">
        <v>12097565</v>
      </c>
      <c r="D64" s="99">
        <f>_xlfn.COMPOUNDVALUE(870)</f>
        <v>911</v>
      </c>
      <c r="E64" s="100">
        <v>526931</v>
      </c>
      <c r="F64" s="99">
        <f>_xlfn.COMPOUNDVALUE(871)</f>
        <v>2645</v>
      </c>
      <c r="G64" s="100">
        <v>12624496</v>
      </c>
      <c r="H64" s="99">
        <f>_xlfn.COMPOUNDVALUE(872)</f>
        <v>301</v>
      </c>
      <c r="I64" s="101">
        <v>1610528</v>
      </c>
      <c r="J64" s="99">
        <v>162</v>
      </c>
      <c r="K64" s="101">
        <v>24737</v>
      </c>
      <c r="L64" s="99">
        <v>3000</v>
      </c>
      <c r="M64" s="101">
        <v>11038705</v>
      </c>
      <c r="N64" s="144">
        <v>3231</v>
      </c>
      <c r="O64" s="145">
        <v>163</v>
      </c>
      <c r="P64" s="145">
        <v>7</v>
      </c>
      <c r="Q64" s="146">
        <v>3401</v>
      </c>
      <c r="R64" s="14" t="s">
        <v>72</v>
      </c>
    </row>
    <row r="65" spans="1:18" ht="18.75" customHeight="1">
      <c r="A65" s="11" t="s">
        <v>73</v>
      </c>
      <c r="B65" s="99">
        <f>_xlfn.COMPOUNDVALUE(873)</f>
        <v>4900</v>
      </c>
      <c r="C65" s="100">
        <v>27177926</v>
      </c>
      <c r="D65" s="99">
        <f>_xlfn.COMPOUNDVALUE(874)</f>
        <v>2168</v>
      </c>
      <c r="E65" s="100">
        <v>1175947</v>
      </c>
      <c r="F65" s="99">
        <f>_xlfn.COMPOUNDVALUE(875)</f>
        <v>7068</v>
      </c>
      <c r="G65" s="100">
        <v>28353873</v>
      </c>
      <c r="H65" s="99">
        <f>_xlfn.COMPOUNDVALUE(876)</f>
        <v>617</v>
      </c>
      <c r="I65" s="101">
        <v>3981171</v>
      </c>
      <c r="J65" s="99">
        <v>486</v>
      </c>
      <c r="K65" s="101">
        <v>136794</v>
      </c>
      <c r="L65" s="99">
        <v>7819</v>
      </c>
      <c r="M65" s="101">
        <v>24509496</v>
      </c>
      <c r="N65" s="144">
        <v>8323</v>
      </c>
      <c r="O65" s="145">
        <v>360</v>
      </c>
      <c r="P65" s="145">
        <v>25</v>
      </c>
      <c r="Q65" s="146">
        <v>8708</v>
      </c>
      <c r="R65" s="14" t="s">
        <v>73</v>
      </c>
    </row>
    <row r="66" spans="1:18" ht="18.75" customHeight="1">
      <c r="A66" s="11" t="s">
        <v>74</v>
      </c>
      <c r="B66" s="99">
        <f>_xlfn.COMPOUNDVALUE(877)</f>
        <v>1921</v>
      </c>
      <c r="C66" s="100">
        <v>9289084</v>
      </c>
      <c r="D66" s="99">
        <f>_xlfn.COMPOUNDVALUE(878)</f>
        <v>758</v>
      </c>
      <c r="E66" s="100">
        <v>395059</v>
      </c>
      <c r="F66" s="99">
        <f>_xlfn.COMPOUNDVALUE(879)</f>
        <v>2679</v>
      </c>
      <c r="G66" s="100">
        <v>9684143</v>
      </c>
      <c r="H66" s="99">
        <f>_xlfn.COMPOUNDVALUE(880)</f>
        <v>182</v>
      </c>
      <c r="I66" s="101">
        <v>470378</v>
      </c>
      <c r="J66" s="99">
        <v>252</v>
      </c>
      <c r="K66" s="101">
        <v>88240</v>
      </c>
      <c r="L66" s="99">
        <v>2924</v>
      </c>
      <c r="M66" s="101">
        <v>9302005</v>
      </c>
      <c r="N66" s="144">
        <v>3092</v>
      </c>
      <c r="O66" s="145">
        <v>104</v>
      </c>
      <c r="P66" s="145">
        <v>9</v>
      </c>
      <c r="Q66" s="146">
        <v>3205</v>
      </c>
      <c r="R66" s="14" t="s">
        <v>74</v>
      </c>
    </row>
    <row r="67" spans="1:18" ht="18.75" customHeight="1">
      <c r="A67" s="11" t="s">
        <v>75</v>
      </c>
      <c r="B67" s="99">
        <f>_xlfn.COMPOUNDVALUE(881)</f>
        <v>2925</v>
      </c>
      <c r="C67" s="100">
        <v>8603264</v>
      </c>
      <c r="D67" s="99">
        <f>_xlfn.COMPOUNDVALUE(882)</f>
        <v>1581</v>
      </c>
      <c r="E67" s="100">
        <v>875697</v>
      </c>
      <c r="F67" s="99">
        <f>_xlfn.COMPOUNDVALUE(883)</f>
        <v>4506</v>
      </c>
      <c r="G67" s="100">
        <v>9478961</v>
      </c>
      <c r="H67" s="99">
        <f>_xlfn.COMPOUNDVALUE(884)</f>
        <v>368</v>
      </c>
      <c r="I67" s="101">
        <v>722138</v>
      </c>
      <c r="J67" s="99">
        <v>393</v>
      </c>
      <c r="K67" s="101">
        <v>108537</v>
      </c>
      <c r="L67" s="99">
        <v>5087</v>
      </c>
      <c r="M67" s="101">
        <v>8865360</v>
      </c>
      <c r="N67" s="144">
        <v>5682</v>
      </c>
      <c r="O67" s="145">
        <v>208</v>
      </c>
      <c r="P67" s="145">
        <v>7</v>
      </c>
      <c r="Q67" s="146">
        <v>5897</v>
      </c>
      <c r="R67" s="14" t="s">
        <v>75</v>
      </c>
    </row>
    <row r="68" spans="1:18" ht="18.75" customHeight="1">
      <c r="A68" s="11" t="s">
        <v>76</v>
      </c>
      <c r="B68" s="99">
        <f>_xlfn.COMPOUNDVALUE(885)</f>
        <v>6389</v>
      </c>
      <c r="C68" s="100">
        <v>82605067</v>
      </c>
      <c r="D68" s="99">
        <f>_xlfn.COMPOUNDVALUE(886)</f>
        <v>2429</v>
      </c>
      <c r="E68" s="100">
        <v>1553300</v>
      </c>
      <c r="F68" s="99">
        <f>_xlfn.COMPOUNDVALUE(887)</f>
        <v>8818</v>
      </c>
      <c r="G68" s="100">
        <v>84158367</v>
      </c>
      <c r="H68" s="99">
        <f>_xlfn.COMPOUNDVALUE(888)</f>
        <v>2334</v>
      </c>
      <c r="I68" s="101">
        <v>55108355</v>
      </c>
      <c r="J68" s="99">
        <v>793</v>
      </c>
      <c r="K68" s="101">
        <v>279285</v>
      </c>
      <c r="L68" s="99">
        <v>11357</v>
      </c>
      <c r="M68" s="101">
        <v>29329298</v>
      </c>
      <c r="N68" s="144">
        <v>10200</v>
      </c>
      <c r="O68" s="145">
        <v>991</v>
      </c>
      <c r="P68" s="145">
        <v>113</v>
      </c>
      <c r="Q68" s="146">
        <v>11304</v>
      </c>
      <c r="R68" s="14" t="s">
        <v>76</v>
      </c>
    </row>
    <row r="69" spans="1:18" ht="18.75" customHeight="1">
      <c r="A69" s="11" t="s">
        <v>77</v>
      </c>
      <c r="B69" s="99">
        <f>_xlfn.COMPOUNDVALUE(889)</f>
        <v>9214</v>
      </c>
      <c r="C69" s="100">
        <v>53555857</v>
      </c>
      <c r="D69" s="99">
        <f>_xlfn.COMPOUNDVALUE(890)</f>
        <v>4038</v>
      </c>
      <c r="E69" s="100">
        <v>2223019</v>
      </c>
      <c r="F69" s="99">
        <f>_xlfn.COMPOUNDVALUE(891)</f>
        <v>13252</v>
      </c>
      <c r="G69" s="100">
        <v>55778877</v>
      </c>
      <c r="H69" s="99">
        <f>_xlfn.COMPOUNDVALUE(892)</f>
        <v>661</v>
      </c>
      <c r="I69" s="101">
        <v>4091781</v>
      </c>
      <c r="J69" s="99">
        <v>1028</v>
      </c>
      <c r="K69" s="101">
        <v>314535</v>
      </c>
      <c r="L69" s="99">
        <v>14187</v>
      </c>
      <c r="M69" s="101">
        <v>52001631</v>
      </c>
      <c r="N69" s="144">
        <v>14606</v>
      </c>
      <c r="O69" s="145">
        <v>416</v>
      </c>
      <c r="P69" s="145">
        <v>56</v>
      </c>
      <c r="Q69" s="146">
        <v>15078</v>
      </c>
      <c r="R69" s="14" t="s">
        <v>77</v>
      </c>
    </row>
    <row r="70" spans="1:18" ht="18.75" customHeight="1">
      <c r="A70" s="11" t="s">
        <v>78</v>
      </c>
      <c r="B70" s="99">
        <f>_xlfn.COMPOUNDVALUE(893)</f>
        <v>6593</v>
      </c>
      <c r="C70" s="100">
        <v>40760325</v>
      </c>
      <c r="D70" s="99">
        <f>_xlfn.COMPOUNDVALUE(894)</f>
        <v>2936</v>
      </c>
      <c r="E70" s="100">
        <v>1716633</v>
      </c>
      <c r="F70" s="99">
        <f>_xlfn.COMPOUNDVALUE(895)</f>
        <v>9529</v>
      </c>
      <c r="G70" s="100">
        <v>42476958</v>
      </c>
      <c r="H70" s="99">
        <f>_xlfn.COMPOUNDVALUE(896)</f>
        <v>564</v>
      </c>
      <c r="I70" s="101">
        <v>2800474</v>
      </c>
      <c r="J70" s="99">
        <v>673</v>
      </c>
      <c r="K70" s="101">
        <v>413082</v>
      </c>
      <c r="L70" s="99">
        <v>10274</v>
      </c>
      <c r="M70" s="101">
        <v>40089567</v>
      </c>
      <c r="N70" s="144">
        <v>11168</v>
      </c>
      <c r="O70" s="145">
        <v>315</v>
      </c>
      <c r="P70" s="145">
        <v>23</v>
      </c>
      <c r="Q70" s="146">
        <v>11506</v>
      </c>
      <c r="R70" s="14" t="s">
        <v>78</v>
      </c>
    </row>
    <row r="71" spans="1:18" ht="18.75" customHeight="1">
      <c r="A71" s="11" t="s">
        <v>79</v>
      </c>
      <c r="B71" s="99">
        <f>_xlfn.COMPOUNDVALUE(897)</f>
        <v>5249</v>
      </c>
      <c r="C71" s="100">
        <v>24647323</v>
      </c>
      <c r="D71" s="99">
        <f>_xlfn.COMPOUNDVALUE(898)</f>
        <v>3050</v>
      </c>
      <c r="E71" s="100">
        <v>1628307</v>
      </c>
      <c r="F71" s="99">
        <f>_xlfn.COMPOUNDVALUE(899)</f>
        <v>8299</v>
      </c>
      <c r="G71" s="100">
        <v>26275629</v>
      </c>
      <c r="H71" s="99">
        <f>_xlfn.COMPOUNDVALUE(900)</f>
        <v>536</v>
      </c>
      <c r="I71" s="101">
        <v>2102161</v>
      </c>
      <c r="J71" s="99">
        <v>547</v>
      </c>
      <c r="K71" s="101">
        <v>64877</v>
      </c>
      <c r="L71" s="99">
        <v>9005</v>
      </c>
      <c r="M71" s="101">
        <v>24238346</v>
      </c>
      <c r="N71" s="144">
        <v>9455</v>
      </c>
      <c r="O71" s="145">
        <v>359</v>
      </c>
      <c r="P71" s="145">
        <v>27</v>
      </c>
      <c r="Q71" s="146">
        <v>9841</v>
      </c>
      <c r="R71" s="14" t="s">
        <v>79</v>
      </c>
    </row>
    <row r="72" spans="1:18" ht="18.75" customHeight="1">
      <c r="A72" s="11" t="s">
        <v>80</v>
      </c>
      <c r="B72" s="99">
        <f>_xlfn.COMPOUNDVALUE(901)</f>
        <v>6847</v>
      </c>
      <c r="C72" s="100">
        <v>34952627</v>
      </c>
      <c r="D72" s="99">
        <f>_xlfn.COMPOUNDVALUE(902)</f>
        <v>4168</v>
      </c>
      <c r="E72" s="100">
        <v>2545312</v>
      </c>
      <c r="F72" s="99">
        <f>_xlfn.COMPOUNDVALUE(903)</f>
        <v>11015</v>
      </c>
      <c r="G72" s="100">
        <v>37497938</v>
      </c>
      <c r="H72" s="99">
        <f>_xlfn.COMPOUNDVALUE(904)</f>
        <v>904</v>
      </c>
      <c r="I72" s="101">
        <v>4519729</v>
      </c>
      <c r="J72" s="99">
        <v>670</v>
      </c>
      <c r="K72" s="101">
        <v>228612</v>
      </c>
      <c r="L72" s="99">
        <v>12168</v>
      </c>
      <c r="M72" s="101">
        <v>33206821</v>
      </c>
      <c r="N72" s="144">
        <v>14076</v>
      </c>
      <c r="O72" s="145">
        <v>688</v>
      </c>
      <c r="P72" s="145">
        <v>45</v>
      </c>
      <c r="Q72" s="146">
        <v>14809</v>
      </c>
      <c r="R72" s="14" t="s">
        <v>80</v>
      </c>
    </row>
    <row r="73" spans="1:18" ht="18.75" customHeight="1">
      <c r="A73" s="11" t="s">
        <v>81</v>
      </c>
      <c r="B73" s="99">
        <f>_xlfn.COMPOUNDVALUE(905)</f>
        <v>2197</v>
      </c>
      <c r="C73" s="100">
        <v>8460350</v>
      </c>
      <c r="D73" s="99">
        <f>_xlfn.COMPOUNDVALUE(906)</f>
        <v>1863</v>
      </c>
      <c r="E73" s="100">
        <v>746000</v>
      </c>
      <c r="F73" s="99">
        <f>_xlfn.COMPOUNDVALUE(907)</f>
        <v>4060</v>
      </c>
      <c r="G73" s="100">
        <v>9206350</v>
      </c>
      <c r="H73" s="99">
        <f>_xlfn.COMPOUNDVALUE(908)</f>
        <v>189</v>
      </c>
      <c r="I73" s="101">
        <v>613998</v>
      </c>
      <c r="J73" s="99">
        <v>241</v>
      </c>
      <c r="K73" s="101">
        <v>-1935</v>
      </c>
      <c r="L73" s="99">
        <v>4333</v>
      </c>
      <c r="M73" s="101">
        <v>8590416</v>
      </c>
      <c r="N73" s="141">
        <v>4515</v>
      </c>
      <c r="O73" s="142">
        <v>123</v>
      </c>
      <c r="P73" s="142">
        <v>16</v>
      </c>
      <c r="Q73" s="143">
        <v>4654</v>
      </c>
      <c r="R73" s="12" t="s">
        <v>81</v>
      </c>
    </row>
    <row r="74" spans="1:18" ht="18.75" customHeight="1">
      <c r="A74" s="11" t="s">
        <v>82</v>
      </c>
      <c r="B74" s="99">
        <f>_xlfn.COMPOUNDVALUE(909)</f>
        <v>3854</v>
      </c>
      <c r="C74" s="100">
        <v>24723647</v>
      </c>
      <c r="D74" s="99">
        <f>_xlfn.COMPOUNDVALUE(910)</f>
        <v>2017</v>
      </c>
      <c r="E74" s="100">
        <v>1203073</v>
      </c>
      <c r="F74" s="99">
        <f>_xlfn.COMPOUNDVALUE(911)</f>
        <v>5871</v>
      </c>
      <c r="G74" s="100">
        <v>25926720</v>
      </c>
      <c r="H74" s="99">
        <f>_xlfn.COMPOUNDVALUE(912)</f>
        <v>736</v>
      </c>
      <c r="I74" s="101">
        <v>6806491</v>
      </c>
      <c r="J74" s="99">
        <v>405</v>
      </c>
      <c r="K74" s="101">
        <v>63251</v>
      </c>
      <c r="L74" s="99">
        <v>6710</v>
      </c>
      <c r="M74" s="101">
        <v>19183480</v>
      </c>
      <c r="N74" s="144">
        <v>7240</v>
      </c>
      <c r="O74" s="145">
        <v>429</v>
      </c>
      <c r="P74" s="145">
        <v>31</v>
      </c>
      <c r="Q74" s="146">
        <v>7700</v>
      </c>
      <c r="R74" s="14" t="s">
        <v>82</v>
      </c>
    </row>
    <row r="75" spans="1:18" ht="18.75" customHeight="1">
      <c r="A75" s="11" t="s">
        <v>83</v>
      </c>
      <c r="B75" s="99">
        <f>_xlfn.COMPOUNDVALUE(913)</f>
        <v>3814</v>
      </c>
      <c r="C75" s="100">
        <v>19018346</v>
      </c>
      <c r="D75" s="99">
        <f>_xlfn.COMPOUNDVALUE(914)</f>
        <v>2147</v>
      </c>
      <c r="E75" s="100">
        <v>1205522</v>
      </c>
      <c r="F75" s="99">
        <f>_xlfn.COMPOUNDVALUE(915)</f>
        <v>5961</v>
      </c>
      <c r="G75" s="100">
        <v>20223867</v>
      </c>
      <c r="H75" s="99">
        <f>_xlfn.COMPOUNDVALUE(916)</f>
        <v>367</v>
      </c>
      <c r="I75" s="101">
        <v>4540271</v>
      </c>
      <c r="J75" s="99">
        <v>414</v>
      </c>
      <c r="K75" s="101">
        <v>22706</v>
      </c>
      <c r="L75" s="99">
        <v>6446</v>
      </c>
      <c r="M75" s="101">
        <v>15706303</v>
      </c>
      <c r="N75" s="141">
        <v>7256</v>
      </c>
      <c r="O75" s="154">
        <v>239</v>
      </c>
      <c r="P75" s="154">
        <v>18</v>
      </c>
      <c r="Q75" s="155">
        <v>7513</v>
      </c>
      <c r="R75" s="12" t="s">
        <v>83</v>
      </c>
    </row>
    <row r="76" spans="1:18" ht="18.75" customHeight="1">
      <c r="A76" s="11" t="s">
        <v>84</v>
      </c>
      <c r="B76" s="99">
        <f>_xlfn.COMPOUNDVALUE(917)</f>
        <v>1257</v>
      </c>
      <c r="C76" s="100">
        <v>5347350</v>
      </c>
      <c r="D76" s="99">
        <f>_xlfn.COMPOUNDVALUE(918)</f>
        <v>676</v>
      </c>
      <c r="E76" s="100">
        <v>326903</v>
      </c>
      <c r="F76" s="99">
        <f>_xlfn.COMPOUNDVALUE(919)</f>
        <v>1933</v>
      </c>
      <c r="G76" s="100">
        <v>5674253</v>
      </c>
      <c r="H76" s="99">
        <f>_xlfn.COMPOUNDVALUE(920)</f>
        <v>81</v>
      </c>
      <c r="I76" s="101">
        <v>986810</v>
      </c>
      <c r="J76" s="99">
        <v>152</v>
      </c>
      <c r="K76" s="101">
        <v>85119</v>
      </c>
      <c r="L76" s="99">
        <v>2057</v>
      </c>
      <c r="M76" s="101">
        <v>4772562</v>
      </c>
      <c r="N76" s="144">
        <v>2120</v>
      </c>
      <c r="O76" s="145">
        <v>70</v>
      </c>
      <c r="P76" s="145">
        <v>3</v>
      </c>
      <c r="Q76" s="146">
        <v>2193</v>
      </c>
      <c r="R76" s="14" t="s">
        <v>84</v>
      </c>
    </row>
    <row r="77" spans="1:18" ht="18.75" customHeight="1">
      <c r="A77" s="11" t="s">
        <v>85</v>
      </c>
      <c r="B77" s="99">
        <f>_xlfn.COMPOUNDVALUE(921)</f>
        <v>1964</v>
      </c>
      <c r="C77" s="100">
        <v>6846307</v>
      </c>
      <c r="D77" s="99">
        <f>_xlfn.COMPOUNDVALUE(922)</f>
        <v>994</v>
      </c>
      <c r="E77" s="100">
        <v>477398</v>
      </c>
      <c r="F77" s="99">
        <f>_xlfn.COMPOUNDVALUE(923)</f>
        <v>2958</v>
      </c>
      <c r="G77" s="100">
        <v>7323705</v>
      </c>
      <c r="H77" s="99">
        <f>_xlfn.COMPOUNDVALUE(924)</f>
        <v>103</v>
      </c>
      <c r="I77" s="101">
        <v>190560</v>
      </c>
      <c r="J77" s="99">
        <v>173</v>
      </c>
      <c r="K77" s="101">
        <v>39972</v>
      </c>
      <c r="L77" s="99">
        <v>3112</v>
      </c>
      <c r="M77" s="101">
        <v>7173116</v>
      </c>
      <c r="N77" s="144">
        <v>3023</v>
      </c>
      <c r="O77" s="145">
        <v>97</v>
      </c>
      <c r="P77" s="145">
        <v>4</v>
      </c>
      <c r="Q77" s="146">
        <v>3124</v>
      </c>
      <c r="R77" s="14" t="s">
        <v>85</v>
      </c>
    </row>
    <row r="78" spans="1:18" ht="18.75" customHeight="1">
      <c r="A78" s="13" t="s">
        <v>86</v>
      </c>
      <c r="B78" s="102">
        <f>_xlfn.COMPOUNDVALUE(925)</f>
        <v>4650</v>
      </c>
      <c r="C78" s="103">
        <v>22036509</v>
      </c>
      <c r="D78" s="102">
        <f>_xlfn.COMPOUNDVALUE(926)</f>
        <v>2002</v>
      </c>
      <c r="E78" s="103">
        <v>1101233</v>
      </c>
      <c r="F78" s="102">
        <f>_xlfn.COMPOUNDVALUE(927)</f>
        <v>6652</v>
      </c>
      <c r="G78" s="103">
        <v>23137742</v>
      </c>
      <c r="H78" s="102">
        <f>_xlfn.COMPOUNDVALUE(928)</f>
        <v>358</v>
      </c>
      <c r="I78" s="104">
        <v>3559328</v>
      </c>
      <c r="J78" s="102">
        <v>519</v>
      </c>
      <c r="K78" s="104">
        <v>143830</v>
      </c>
      <c r="L78" s="102">
        <v>7193</v>
      </c>
      <c r="M78" s="104">
        <v>19722243</v>
      </c>
      <c r="N78" s="144">
        <v>7483</v>
      </c>
      <c r="O78" s="145">
        <v>219</v>
      </c>
      <c r="P78" s="145">
        <v>14</v>
      </c>
      <c r="Q78" s="146">
        <v>7716</v>
      </c>
      <c r="R78" s="14" t="s">
        <v>86</v>
      </c>
    </row>
    <row r="79" spans="1:18" ht="18.75" customHeight="1">
      <c r="A79" s="13" t="s">
        <v>87</v>
      </c>
      <c r="B79" s="102">
        <f>_xlfn.COMPOUNDVALUE(929)</f>
        <v>2218</v>
      </c>
      <c r="C79" s="103">
        <v>8317247</v>
      </c>
      <c r="D79" s="102">
        <f>_xlfn.COMPOUNDVALUE(930)</f>
        <v>1370</v>
      </c>
      <c r="E79" s="103">
        <v>718171</v>
      </c>
      <c r="F79" s="102">
        <f>_xlfn.COMPOUNDVALUE(931)</f>
        <v>3588</v>
      </c>
      <c r="G79" s="103">
        <v>9035418</v>
      </c>
      <c r="H79" s="102">
        <f>_xlfn.COMPOUNDVALUE(932)</f>
        <v>170</v>
      </c>
      <c r="I79" s="104">
        <v>1101119</v>
      </c>
      <c r="J79" s="102">
        <v>284</v>
      </c>
      <c r="K79" s="104">
        <v>48465</v>
      </c>
      <c r="L79" s="102">
        <v>3823</v>
      </c>
      <c r="M79" s="104">
        <v>7982763</v>
      </c>
      <c r="N79" s="144">
        <v>4015</v>
      </c>
      <c r="O79" s="145">
        <v>83</v>
      </c>
      <c r="P79" s="145">
        <v>9</v>
      </c>
      <c r="Q79" s="146">
        <v>4107</v>
      </c>
      <c r="R79" s="14" t="s">
        <v>87</v>
      </c>
    </row>
    <row r="80" spans="1:18" ht="18.75" customHeight="1">
      <c r="A80" s="13" t="s">
        <v>88</v>
      </c>
      <c r="B80" s="102">
        <f>_xlfn.COMPOUNDVALUE(933)</f>
        <v>1004</v>
      </c>
      <c r="C80" s="103">
        <v>3092080</v>
      </c>
      <c r="D80" s="102">
        <f>_xlfn.COMPOUNDVALUE(934)</f>
        <v>603</v>
      </c>
      <c r="E80" s="103">
        <v>298423</v>
      </c>
      <c r="F80" s="102">
        <f>_xlfn.COMPOUNDVALUE(935)</f>
        <v>1607</v>
      </c>
      <c r="G80" s="103">
        <v>3390503</v>
      </c>
      <c r="H80" s="102">
        <f>_xlfn.COMPOUNDVALUE(936)</f>
        <v>72</v>
      </c>
      <c r="I80" s="104">
        <v>182104</v>
      </c>
      <c r="J80" s="102">
        <v>76</v>
      </c>
      <c r="K80" s="104">
        <v>10519</v>
      </c>
      <c r="L80" s="102">
        <v>1695</v>
      </c>
      <c r="M80" s="104">
        <v>3218918</v>
      </c>
      <c r="N80" s="144">
        <v>1773</v>
      </c>
      <c r="O80" s="145">
        <v>30</v>
      </c>
      <c r="P80" s="145">
        <v>2</v>
      </c>
      <c r="Q80" s="146">
        <v>1805</v>
      </c>
      <c r="R80" s="14" t="s">
        <v>88</v>
      </c>
    </row>
    <row r="81" spans="1:18" ht="18.75" customHeight="1">
      <c r="A81" s="13" t="s">
        <v>89</v>
      </c>
      <c r="B81" s="102">
        <f>_xlfn.COMPOUNDVALUE(937)</f>
        <v>1143</v>
      </c>
      <c r="C81" s="103">
        <v>4560030</v>
      </c>
      <c r="D81" s="102">
        <f>_xlfn.COMPOUNDVALUE(938)</f>
        <v>518</v>
      </c>
      <c r="E81" s="103">
        <v>251439</v>
      </c>
      <c r="F81" s="102">
        <f>_xlfn.COMPOUNDVALUE(939)</f>
        <v>1661</v>
      </c>
      <c r="G81" s="103">
        <v>4811469</v>
      </c>
      <c r="H81" s="102">
        <f>_xlfn.COMPOUNDVALUE(940)</f>
        <v>176</v>
      </c>
      <c r="I81" s="104">
        <v>590349</v>
      </c>
      <c r="J81" s="102">
        <v>109</v>
      </c>
      <c r="K81" s="104">
        <v>26064</v>
      </c>
      <c r="L81" s="102">
        <v>1852</v>
      </c>
      <c r="M81" s="104">
        <v>4247184</v>
      </c>
      <c r="N81" s="144">
        <v>1848</v>
      </c>
      <c r="O81" s="145">
        <v>80</v>
      </c>
      <c r="P81" s="145">
        <v>9</v>
      </c>
      <c r="Q81" s="146">
        <v>1937</v>
      </c>
      <c r="R81" s="14" t="s">
        <v>89</v>
      </c>
    </row>
    <row r="82" spans="1:18" ht="18.75" customHeight="1">
      <c r="A82" s="13" t="s">
        <v>90</v>
      </c>
      <c r="B82" s="102">
        <f>_xlfn.COMPOUNDVALUE(941)</f>
        <v>2070</v>
      </c>
      <c r="C82" s="103">
        <v>8744242</v>
      </c>
      <c r="D82" s="102">
        <f>_xlfn.COMPOUNDVALUE(942)</f>
        <v>990</v>
      </c>
      <c r="E82" s="103">
        <v>501910</v>
      </c>
      <c r="F82" s="102">
        <f>_xlfn.COMPOUNDVALUE(943)</f>
        <v>3060</v>
      </c>
      <c r="G82" s="103">
        <v>9246152</v>
      </c>
      <c r="H82" s="102">
        <f>_xlfn.COMPOUNDVALUE(944)</f>
        <v>168</v>
      </c>
      <c r="I82" s="104">
        <v>801933</v>
      </c>
      <c r="J82" s="102">
        <v>169</v>
      </c>
      <c r="K82" s="104">
        <v>46229</v>
      </c>
      <c r="L82" s="102">
        <v>3264</v>
      </c>
      <c r="M82" s="104">
        <v>8490448</v>
      </c>
      <c r="N82" s="144">
        <v>3083</v>
      </c>
      <c r="O82" s="145">
        <v>113</v>
      </c>
      <c r="P82" s="145">
        <v>9</v>
      </c>
      <c r="Q82" s="146">
        <v>3205</v>
      </c>
      <c r="R82" s="14" t="s">
        <v>90</v>
      </c>
    </row>
    <row r="83" spans="1:18" ht="18.75" customHeight="1">
      <c r="A83" s="13" t="s">
        <v>91</v>
      </c>
      <c r="B83" s="102">
        <f>_xlfn.COMPOUNDVALUE(945)</f>
        <v>756</v>
      </c>
      <c r="C83" s="103">
        <v>2909110</v>
      </c>
      <c r="D83" s="102">
        <f>_xlfn.COMPOUNDVALUE(946)</f>
        <v>367</v>
      </c>
      <c r="E83" s="103">
        <v>192424</v>
      </c>
      <c r="F83" s="102">
        <f>_xlfn.COMPOUNDVALUE(947)</f>
        <v>1123</v>
      </c>
      <c r="G83" s="103">
        <v>3101533</v>
      </c>
      <c r="H83" s="102">
        <f>_xlfn.COMPOUNDVALUE(948)</f>
        <v>57</v>
      </c>
      <c r="I83" s="104">
        <v>32448</v>
      </c>
      <c r="J83" s="102">
        <v>100</v>
      </c>
      <c r="K83" s="104">
        <v>14053</v>
      </c>
      <c r="L83" s="102">
        <v>1193</v>
      </c>
      <c r="M83" s="104">
        <v>3083139</v>
      </c>
      <c r="N83" s="144">
        <v>1250</v>
      </c>
      <c r="O83" s="145">
        <v>37</v>
      </c>
      <c r="P83" s="145">
        <v>3</v>
      </c>
      <c r="Q83" s="146">
        <v>1290</v>
      </c>
      <c r="R83" s="14" t="s">
        <v>91</v>
      </c>
    </row>
    <row r="84" spans="1:18" ht="18.75" customHeight="1">
      <c r="A84" s="13" t="s">
        <v>92</v>
      </c>
      <c r="B84" s="102">
        <f>_xlfn.COMPOUNDVALUE(949)</f>
        <v>1423</v>
      </c>
      <c r="C84" s="103">
        <v>5493640</v>
      </c>
      <c r="D84" s="102">
        <f>_xlfn.COMPOUNDVALUE(950)</f>
        <v>829</v>
      </c>
      <c r="E84" s="103">
        <v>379454</v>
      </c>
      <c r="F84" s="102">
        <f>_xlfn.COMPOUNDVALUE(951)</f>
        <v>2252</v>
      </c>
      <c r="G84" s="103">
        <v>5873094</v>
      </c>
      <c r="H84" s="102">
        <f>_xlfn.COMPOUNDVALUE(952)</f>
        <v>86</v>
      </c>
      <c r="I84" s="104">
        <v>96238</v>
      </c>
      <c r="J84" s="102">
        <v>144</v>
      </c>
      <c r="K84" s="104">
        <v>12413</v>
      </c>
      <c r="L84" s="102">
        <v>2370</v>
      </c>
      <c r="M84" s="104">
        <v>5789269</v>
      </c>
      <c r="N84" s="144">
        <v>2392</v>
      </c>
      <c r="O84" s="145">
        <v>59</v>
      </c>
      <c r="P84" s="145">
        <v>8</v>
      </c>
      <c r="Q84" s="146">
        <v>2459</v>
      </c>
      <c r="R84" s="14" t="s">
        <v>92</v>
      </c>
    </row>
    <row r="85" spans="1:18" s="17" customFormat="1" ht="18.75" customHeight="1">
      <c r="A85" s="15" t="s">
        <v>93</v>
      </c>
      <c r="B85" s="105">
        <v>72122</v>
      </c>
      <c r="C85" s="106">
        <v>413237892</v>
      </c>
      <c r="D85" s="105">
        <v>36415</v>
      </c>
      <c r="E85" s="106">
        <v>20042154</v>
      </c>
      <c r="F85" s="105">
        <v>108537</v>
      </c>
      <c r="G85" s="106">
        <v>433280046</v>
      </c>
      <c r="H85" s="105">
        <v>9030</v>
      </c>
      <c r="I85" s="107">
        <v>94908364</v>
      </c>
      <c r="J85" s="105">
        <v>7790</v>
      </c>
      <c r="K85" s="107">
        <v>2169385</v>
      </c>
      <c r="L85" s="105">
        <v>119869</v>
      </c>
      <c r="M85" s="107">
        <v>340541067</v>
      </c>
      <c r="N85" s="147">
        <v>125831</v>
      </c>
      <c r="O85" s="148">
        <v>5183</v>
      </c>
      <c r="P85" s="148">
        <v>438</v>
      </c>
      <c r="Q85" s="149">
        <v>131452</v>
      </c>
      <c r="R85" s="16" t="s">
        <v>123</v>
      </c>
    </row>
    <row r="86" spans="1:18" s="30" customFormat="1" ht="18.75" customHeight="1">
      <c r="A86" s="23"/>
      <c r="B86" s="108"/>
      <c r="C86" s="109"/>
      <c r="D86" s="108"/>
      <c r="E86" s="109"/>
      <c r="F86" s="110"/>
      <c r="G86" s="109"/>
      <c r="H86" s="110"/>
      <c r="I86" s="109"/>
      <c r="J86" s="110"/>
      <c r="K86" s="109"/>
      <c r="L86" s="110"/>
      <c r="M86" s="109"/>
      <c r="N86" s="150"/>
      <c r="O86" s="151"/>
      <c r="P86" s="151"/>
      <c r="Q86" s="152"/>
      <c r="R86" s="36" t="s">
        <v>119</v>
      </c>
    </row>
    <row r="87" spans="1:18" ht="18.75" customHeight="1">
      <c r="A87" s="13" t="s">
        <v>94</v>
      </c>
      <c r="B87" s="102">
        <f>_xlfn.COMPOUNDVALUE(953)</f>
        <v>7417</v>
      </c>
      <c r="C87" s="103">
        <v>32029125</v>
      </c>
      <c r="D87" s="102">
        <f>_xlfn.COMPOUNDVALUE(954)</f>
        <v>4130</v>
      </c>
      <c r="E87" s="103">
        <v>2279047</v>
      </c>
      <c r="F87" s="102">
        <f>_xlfn.COMPOUNDVALUE(955)</f>
        <v>11547</v>
      </c>
      <c r="G87" s="103">
        <v>34308173</v>
      </c>
      <c r="H87" s="102">
        <f>_xlfn.COMPOUNDVALUE(956)</f>
        <v>791</v>
      </c>
      <c r="I87" s="104">
        <v>4145875</v>
      </c>
      <c r="J87" s="102">
        <v>804</v>
      </c>
      <c r="K87" s="104">
        <v>134964</v>
      </c>
      <c r="L87" s="102">
        <v>12593</v>
      </c>
      <c r="M87" s="104">
        <v>30297262</v>
      </c>
      <c r="N87" s="156">
        <v>13374</v>
      </c>
      <c r="O87" s="157">
        <v>504</v>
      </c>
      <c r="P87" s="157">
        <v>47</v>
      </c>
      <c r="Q87" s="158">
        <v>13925</v>
      </c>
      <c r="R87" s="25" t="s">
        <v>94</v>
      </c>
    </row>
    <row r="88" spans="1:18" ht="18.75" customHeight="1">
      <c r="A88" s="13" t="s">
        <v>95</v>
      </c>
      <c r="B88" s="102">
        <f>_xlfn.COMPOUNDVALUE(957)</f>
        <v>6004</v>
      </c>
      <c r="C88" s="103">
        <v>19799557</v>
      </c>
      <c r="D88" s="102">
        <f>_xlfn.COMPOUNDVALUE(958)</f>
        <v>2916</v>
      </c>
      <c r="E88" s="103">
        <v>1452871</v>
      </c>
      <c r="F88" s="102">
        <f>_xlfn.COMPOUNDVALUE(959)</f>
        <v>8920</v>
      </c>
      <c r="G88" s="103">
        <v>21252428</v>
      </c>
      <c r="H88" s="102">
        <f>_xlfn.COMPOUNDVALUE(960)</f>
        <v>485</v>
      </c>
      <c r="I88" s="104">
        <v>2349721</v>
      </c>
      <c r="J88" s="102">
        <v>728</v>
      </c>
      <c r="K88" s="104">
        <v>83730</v>
      </c>
      <c r="L88" s="102">
        <v>9591</v>
      </c>
      <c r="M88" s="104">
        <v>18986437</v>
      </c>
      <c r="N88" s="144">
        <v>9766</v>
      </c>
      <c r="O88" s="145">
        <v>292</v>
      </c>
      <c r="P88" s="145">
        <v>20</v>
      </c>
      <c r="Q88" s="146">
        <v>10078</v>
      </c>
      <c r="R88" s="14" t="s">
        <v>95</v>
      </c>
    </row>
    <row r="89" spans="1:18" ht="18.75" customHeight="1">
      <c r="A89" s="13" t="s">
        <v>96</v>
      </c>
      <c r="B89" s="102">
        <f>_xlfn.COMPOUNDVALUE(961)</f>
        <v>2062</v>
      </c>
      <c r="C89" s="103">
        <v>6557688</v>
      </c>
      <c r="D89" s="102">
        <f>_xlfn.COMPOUNDVALUE(962)</f>
        <v>815</v>
      </c>
      <c r="E89" s="103">
        <v>389729</v>
      </c>
      <c r="F89" s="102">
        <f>_xlfn.COMPOUNDVALUE(963)</f>
        <v>2877</v>
      </c>
      <c r="G89" s="103">
        <v>6947417</v>
      </c>
      <c r="H89" s="102">
        <f>_xlfn.COMPOUNDVALUE(964)</f>
        <v>125</v>
      </c>
      <c r="I89" s="104">
        <v>372043</v>
      </c>
      <c r="J89" s="102">
        <v>170</v>
      </c>
      <c r="K89" s="104">
        <v>44128</v>
      </c>
      <c r="L89" s="102">
        <v>3058</v>
      </c>
      <c r="M89" s="104">
        <v>6619502</v>
      </c>
      <c r="N89" s="144">
        <v>3349</v>
      </c>
      <c r="O89" s="145">
        <v>82</v>
      </c>
      <c r="P89" s="145">
        <v>7</v>
      </c>
      <c r="Q89" s="146">
        <v>3438</v>
      </c>
      <c r="R89" s="14" t="s">
        <v>96</v>
      </c>
    </row>
    <row r="90" spans="1:18" ht="18.75" customHeight="1">
      <c r="A90" s="13" t="s">
        <v>97</v>
      </c>
      <c r="B90" s="102">
        <f>_xlfn.COMPOUNDVALUE(965)</f>
        <v>776</v>
      </c>
      <c r="C90" s="103">
        <v>2389341</v>
      </c>
      <c r="D90" s="102">
        <f>_xlfn.COMPOUNDVALUE(966)</f>
        <v>482</v>
      </c>
      <c r="E90" s="103">
        <v>216657</v>
      </c>
      <c r="F90" s="102">
        <f>_xlfn.COMPOUNDVALUE(967)</f>
        <v>1258</v>
      </c>
      <c r="G90" s="103">
        <v>2605998</v>
      </c>
      <c r="H90" s="102">
        <f>_xlfn.COMPOUNDVALUE(968)</f>
        <v>40</v>
      </c>
      <c r="I90" s="104">
        <v>58600</v>
      </c>
      <c r="J90" s="102">
        <v>72</v>
      </c>
      <c r="K90" s="104">
        <v>13356</v>
      </c>
      <c r="L90" s="102">
        <v>1309</v>
      </c>
      <c r="M90" s="104">
        <v>2560755</v>
      </c>
      <c r="N90" s="144">
        <v>1564</v>
      </c>
      <c r="O90" s="145">
        <v>32</v>
      </c>
      <c r="P90" s="145">
        <v>3</v>
      </c>
      <c r="Q90" s="146">
        <v>1599</v>
      </c>
      <c r="R90" s="14" t="s">
        <v>97</v>
      </c>
    </row>
    <row r="91" spans="1:18" s="17" customFormat="1" ht="18.75" customHeight="1">
      <c r="A91" s="15" t="s">
        <v>98</v>
      </c>
      <c r="B91" s="105">
        <v>16259</v>
      </c>
      <c r="C91" s="106">
        <v>60775711</v>
      </c>
      <c r="D91" s="105">
        <v>8343</v>
      </c>
      <c r="E91" s="106">
        <v>4338304</v>
      </c>
      <c r="F91" s="105">
        <v>24602</v>
      </c>
      <c r="G91" s="106">
        <v>65114016</v>
      </c>
      <c r="H91" s="105">
        <v>1441</v>
      </c>
      <c r="I91" s="107">
        <v>6926238</v>
      </c>
      <c r="J91" s="105">
        <v>1774</v>
      </c>
      <c r="K91" s="107">
        <v>276178</v>
      </c>
      <c r="L91" s="105">
        <v>26551</v>
      </c>
      <c r="M91" s="107">
        <v>58463955</v>
      </c>
      <c r="N91" s="147">
        <v>28053</v>
      </c>
      <c r="O91" s="148">
        <v>910</v>
      </c>
      <c r="P91" s="148">
        <v>77</v>
      </c>
      <c r="Q91" s="149">
        <v>29040</v>
      </c>
      <c r="R91" s="16" t="s">
        <v>124</v>
      </c>
    </row>
    <row r="92" spans="1:18" s="30" customFormat="1" ht="18.75" customHeight="1">
      <c r="A92" s="23"/>
      <c r="B92" s="108"/>
      <c r="C92" s="109"/>
      <c r="D92" s="108"/>
      <c r="E92" s="109"/>
      <c r="F92" s="110"/>
      <c r="G92" s="109"/>
      <c r="H92" s="110"/>
      <c r="I92" s="109"/>
      <c r="J92" s="110"/>
      <c r="K92" s="109"/>
      <c r="L92" s="110"/>
      <c r="M92" s="109"/>
      <c r="N92" s="159"/>
      <c r="O92" s="160"/>
      <c r="P92" s="160"/>
      <c r="Q92" s="161"/>
      <c r="R92" s="34" t="s">
        <v>119</v>
      </c>
    </row>
    <row r="93" spans="1:18" ht="18.75" customHeight="1">
      <c r="A93" s="11" t="s">
        <v>99</v>
      </c>
      <c r="B93" s="99">
        <f>_xlfn.COMPOUNDVALUE(969)</f>
        <v>5574</v>
      </c>
      <c r="C93" s="100">
        <v>29373865</v>
      </c>
      <c r="D93" s="99">
        <f>_xlfn.COMPOUNDVALUE(970)</f>
        <v>2867</v>
      </c>
      <c r="E93" s="100">
        <v>1563853</v>
      </c>
      <c r="F93" s="99">
        <f>_xlfn.COMPOUNDVALUE(971)</f>
        <v>8441</v>
      </c>
      <c r="G93" s="100">
        <v>30937718</v>
      </c>
      <c r="H93" s="99">
        <f>_xlfn.COMPOUNDVALUE(972)</f>
        <v>314</v>
      </c>
      <c r="I93" s="101">
        <v>2471741</v>
      </c>
      <c r="J93" s="99">
        <v>626</v>
      </c>
      <c r="K93" s="101">
        <v>184224</v>
      </c>
      <c r="L93" s="99">
        <v>8876</v>
      </c>
      <c r="M93" s="101">
        <v>28650201</v>
      </c>
      <c r="N93" s="156">
        <v>8969</v>
      </c>
      <c r="O93" s="157">
        <v>190</v>
      </c>
      <c r="P93" s="157">
        <v>23</v>
      </c>
      <c r="Q93" s="158">
        <v>9182</v>
      </c>
      <c r="R93" s="25" t="s">
        <v>99</v>
      </c>
    </row>
    <row r="94" spans="1:18" ht="18.75" customHeight="1">
      <c r="A94" s="13" t="s">
        <v>100</v>
      </c>
      <c r="B94" s="102">
        <f>_xlfn.COMPOUNDVALUE(973)</f>
        <v>978</v>
      </c>
      <c r="C94" s="103">
        <v>4022563</v>
      </c>
      <c r="D94" s="102">
        <f>_xlfn.COMPOUNDVALUE(974)</f>
        <v>614</v>
      </c>
      <c r="E94" s="103">
        <v>255884</v>
      </c>
      <c r="F94" s="102">
        <f>_xlfn.COMPOUNDVALUE(975)</f>
        <v>1592</v>
      </c>
      <c r="G94" s="103">
        <v>4278446</v>
      </c>
      <c r="H94" s="102">
        <f>_xlfn.COMPOUNDVALUE(976)</f>
        <v>58</v>
      </c>
      <c r="I94" s="104">
        <v>132593</v>
      </c>
      <c r="J94" s="102">
        <v>95</v>
      </c>
      <c r="K94" s="104">
        <v>1027</v>
      </c>
      <c r="L94" s="102">
        <v>1676</v>
      </c>
      <c r="M94" s="104">
        <v>4146880</v>
      </c>
      <c r="N94" s="141">
        <v>1591</v>
      </c>
      <c r="O94" s="142">
        <v>30</v>
      </c>
      <c r="P94" s="142">
        <v>2</v>
      </c>
      <c r="Q94" s="153">
        <v>1623</v>
      </c>
      <c r="R94" s="12" t="s">
        <v>100</v>
      </c>
    </row>
    <row r="95" spans="1:18" ht="18.75" customHeight="1">
      <c r="A95" s="13" t="s">
        <v>101</v>
      </c>
      <c r="B95" s="102">
        <f>_xlfn.COMPOUNDVALUE(977)</f>
        <v>1234</v>
      </c>
      <c r="C95" s="103">
        <v>3426044</v>
      </c>
      <c r="D95" s="102">
        <f>_xlfn.COMPOUNDVALUE(978)</f>
        <v>1192</v>
      </c>
      <c r="E95" s="103">
        <v>492653</v>
      </c>
      <c r="F95" s="102">
        <f>_xlfn.COMPOUNDVALUE(979)</f>
        <v>2426</v>
      </c>
      <c r="G95" s="103">
        <v>3918697</v>
      </c>
      <c r="H95" s="102">
        <f>_xlfn.COMPOUNDVALUE(980)</f>
        <v>87</v>
      </c>
      <c r="I95" s="104">
        <v>199691</v>
      </c>
      <c r="J95" s="102">
        <v>151</v>
      </c>
      <c r="K95" s="104">
        <v>11877</v>
      </c>
      <c r="L95" s="102">
        <v>2528</v>
      </c>
      <c r="M95" s="104">
        <v>3730882</v>
      </c>
      <c r="N95" s="141">
        <v>2647</v>
      </c>
      <c r="O95" s="142">
        <v>58</v>
      </c>
      <c r="P95" s="142">
        <v>2</v>
      </c>
      <c r="Q95" s="153">
        <v>2707</v>
      </c>
      <c r="R95" s="12" t="s">
        <v>101</v>
      </c>
    </row>
    <row r="96" spans="1:18" ht="18.75" customHeight="1">
      <c r="A96" s="13" t="s">
        <v>102</v>
      </c>
      <c r="B96" s="102">
        <f>_xlfn.COMPOUNDVALUE(981)</f>
        <v>1806</v>
      </c>
      <c r="C96" s="103">
        <v>5929100</v>
      </c>
      <c r="D96" s="102">
        <f>_xlfn.COMPOUNDVALUE(982)</f>
        <v>1482</v>
      </c>
      <c r="E96" s="103">
        <v>736806</v>
      </c>
      <c r="F96" s="102">
        <f>_xlfn.COMPOUNDVALUE(983)</f>
        <v>3288</v>
      </c>
      <c r="G96" s="103">
        <v>6665906</v>
      </c>
      <c r="H96" s="102">
        <f>_xlfn.COMPOUNDVALUE(984)</f>
        <v>118</v>
      </c>
      <c r="I96" s="104">
        <v>312211</v>
      </c>
      <c r="J96" s="102">
        <v>183</v>
      </c>
      <c r="K96" s="104">
        <v>32531</v>
      </c>
      <c r="L96" s="102">
        <v>3452</v>
      </c>
      <c r="M96" s="104">
        <v>6386225</v>
      </c>
      <c r="N96" s="141">
        <v>3761</v>
      </c>
      <c r="O96" s="142">
        <v>96</v>
      </c>
      <c r="P96" s="142">
        <v>9</v>
      </c>
      <c r="Q96" s="153">
        <v>3866</v>
      </c>
      <c r="R96" s="12" t="s">
        <v>102</v>
      </c>
    </row>
    <row r="97" spans="1:18" ht="18.75" customHeight="1">
      <c r="A97" s="13" t="s">
        <v>103</v>
      </c>
      <c r="B97" s="102">
        <f>_xlfn.COMPOUNDVALUE(985)</f>
        <v>1085</v>
      </c>
      <c r="C97" s="103">
        <v>2521521</v>
      </c>
      <c r="D97" s="102">
        <f>_xlfn.COMPOUNDVALUE(986)</f>
        <v>614</v>
      </c>
      <c r="E97" s="103">
        <v>291828</v>
      </c>
      <c r="F97" s="102">
        <f>_xlfn.COMPOUNDVALUE(987)</f>
        <v>1699</v>
      </c>
      <c r="G97" s="103">
        <v>2813348</v>
      </c>
      <c r="H97" s="102">
        <f>_xlfn.COMPOUNDVALUE(988)</f>
        <v>78</v>
      </c>
      <c r="I97" s="104">
        <v>92476</v>
      </c>
      <c r="J97" s="102">
        <v>116</v>
      </c>
      <c r="K97" s="104">
        <v>14595</v>
      </c>
      <c r="L97" s="102">
        <v>1814</v>
      </c>
      <c r="M97" s="104">
        <v>2735467</v>
      </c>
      <c r="N97" s="141">
        <v>1853</v>
      </c>
      <c r="O97" s="142">
        <v>42</v>
      </c>
      <c r="P97" s="142">
        <v>3</v>
      </c>
      <c r="Q97" s="153">
        <v>1898</v>
      </c>
      <c r="R97" s="12" t="s">
        <v>103</v>
      </c>
    </row>
    <row r="98" spans="1:18" ht="18.75" customHeight="1">
      <c r="A98" s="13" t="s">
        <v>104</v>
      </c>
      <c r="B98" s="102">
        <f>_xlfn.COMPOUNDVALUE(989)</f>
        <v>2288</v>
      </c>
      <c r="C98" s="103">
        <v>6994352</v>
      </c>
      <c r="D98" s="102">
        <f>_xlfn.COMPOUNDVALUE(990)</f>
        <v>1326</v>
      </c>
      <c r="E98" s="103">
        <v>624761</v>
      </c>
      <c r="F98" s="102">
        <f>_xlfn.COMPOUNDVALUE(991)</f>
        <v>3614</v>
      </c>
      <c r="G98" s="103">
        <v>7619113</v>
      </c>
      <c r="H98" s="102">
        <f>_xlfn.COMPOUNDVALUE(992)</f>
        <v>137</v>
      </c>
      <c r="I98" s="104">
        <v>425073</v>
      </c>
      <c r="J98" s="102">
        <v>205</v>
      </c>
      <c r="K98" s="104">
        <v>22893</v>
      </c>
      <c r="L98" s="102">
        <v>3801</v>
      </c>
      <c r="M98" s="104">
        <v>7216932</v>
      </c>
      <c r="N98" s="141">
        <v>3940</v>
      </c>
      <c r="O98" s="142">
        <v>91</v>
      </c>
      <c r="P98" s="142">
        <v>5</v>
      </c>
      <c r="Q98" s="153">
        <v>4036</v>
      </c>
      <c r="R98" s="12" t="s">
        <v>104</v>
      </c>
    </row>
    <row r="99" spans="1:18" ht="18.75" customHeight="1">
      <c r="A99" s="13" t="s">
        <v>105</v>
      </c>
      <c r="B99" s="102">
        <f>_xlfn.COMPOUNDVALUE(993)</f>
        <v>1194</v>
      </c>
      <c r="C99" s="103">
        <v>4819413</v>
      </c>
      <c r="D99" s="102">
        <f>_xlfn.COMPOUNDVALUE(994)</f>
        <v>1365</v>
      </c>
      <c r="E99" s="103">
        <v>486570</v>
      </c>
      <c r="F99" s="102">
        <f>_xlfn.COMPOUNDVALUE(995)</f>
        <v>2559</v>
      </c>
      <c r="G99" s="103">
        <v>5305983</v>
      </c>
      <c r="H99" s="102">
        <f>_xlfn.COMPOUNDVALUE(996)</f>
        <v>50</v>
      </c>
      <c r="I99" s="104">
        <v>144527</v>
      </c>
      <c r="J99" s="102">
        <v>145</v>
      </c>
      <c r="K99" s="104">
        <v>46762</v>
      </c>
      <c r="L99" s="102">
        <v>2632</v>
      </c>
      <c r="M99" s="104">
        <v>5208218</v>
      </c>
      <c r="N99" s="141">
        <v>2807</v>
      </c>
      <c r="O99" s="142">
        <v>34</v>
      </c>
      <c r="P99" s="142">
        <v>6</v>
      </c>
      <c r="Q99" s="153">
        <v>2847</v>
      </c>
      <c r="R99" s="12" t="s">
        <v>105</v>
      </c>
    </row>
    <row r="100" spans="1:18" ht="18.75" customHeight="1">
      <c r="A100" s="15" t="s">
        <v>106</v>
      </c>
      <c r="B100" s="105">
        <v>14159</v>
      </c>
      <c r="C100" s="106">
        <v>57086857</v>
      </c>
      <c r="D100" s="105">
        <v>9460</v>
      </c>
      <c r="E100" s="106">
        <v>4452354</v>
      </c>
      <c r="F100" s="105">
        <v>23619</v>
      </c>
      <c r="G100" s="106">
        <v>61539211</v>
      </c>
      <c r="H100" s="105">
        <v>842</v>
      </c>
      <c r="I100" s="107">
        <v>3778313</v>
      </c>
      <c r="J100" s="105">
        <v>1521</v>
      </c>
      <c r="K100" s="107">
        <v>313909</v>
      </c>
      <c r="L100" s="105">
        <v>24779</v>
      </c>
      <c r="M100" s="107">
        <v>58074807</v>
      </c>
      <c r="N100" s="147">
        <v>25568</v>
      </c>
      <c r="O100" s="148">
        <v>541</v>
      </c>
      <c r="P100" s="148">
        <v>50</v>
      </c>
      <c r="Q100" s="149">
        <v>26159</v>
      </c>
      <c r="R100" s="16" t="s">
        <v>125</v>
      </c>
    </row>
    <row r="101" spans="1:18" ht="18.75" customHeight="1" thickBot="1">
      <c r="A101" s="18"/>
      <c r="B101" s="111"/>
      <c r="C101" s="112"/>
      <c r="D101" s="111"/>
      <c r="E101" s="112"/>
      <c r="F101" s="113"/>
      <c r="G101" s="112"/>
      <c r="H101" s="113"/>
      <c r="I101" s="112"/>
      <c r="J101" s="113"/>
      <c r="K101" s="112"/>
      <c r="L101" s="113"/>
      <c r="M101" s="112"/>
      <c r="N101" s="159"/>
      <c r="O101" s="160"/>
      <c r="P101" s="160"/>
      <c r="Q101" s="161"/>
      <c r="R101" s="34" t="s">
        <v>119</v>
      </c>
    </row>
    <row r="102" spans="1:18" ht="18.75" customHeight="1" thickBot="1" thickTop="1">
      <c r="A102" s="21" t="s">
        <v>118</v>
      </c>
      <c r="B102" s="114">
        <v>323199</v>
      </c>
      <c r="C102" s="115">
        <v>2314415786</v>
      </c>
      <c r="D102" s="114">
        <v>151773</v>
      </c>
      <c r="E102" s="115">
        <v>85404755</v>
      </c>
      <c r="F102" s="114">
        <v>474972</v>
      </c>
      <c r="G102" s="115">
        <v>2399820541</v>
      </c>
      <c r="H102" s="114">
        <v>37608</v>
      </c>
      <c r="I102" s="116">
        <v>630402729</v>
      </c>
      <c r="J102" s="114">
        <v>34428</v>
      </c>
      <c r="K102" s="116">
        <v>9895060</v>
      </c>
      <c r="L102" s="114">
        <v>522214</v>
      </c>
      <c r="M102" s="116">
        <v>1779312871</v>
      </c>
      <c r="N102" s="162">
        <v>548995</v>
      </c>
      <c r="O102" s="163">
        <v>19798</v>
      </c>
      <c r="P102" s="163">
        <v>2206</v>
      </c>
      <c r="Q102" s="164">
        <v>570999</v>
      </c>
      <c r="R102" s="35" t="s">
        <v>118</v>
      </c>
    </row>
    <row r="103" spans="1:11" ht="13.5">
      <c r="A103" s="194" t="s">
        <v>162</v>
      </c>
      <c r="B103" s="194"/>
      <c r="C103" s="194"/>
      <c r="D103" s="194"/>
      <c r="E103" s="194"/>
      <c r="F103" s="194"/>
      <c r="G103" s="194"/>
      <c r="H103" s="194"/>
      <c r="I103" s="194"/>
      <c r="J103" s="194"/>
      <c r="K103" s="194"/>
    </row>
  </sheetData>
  <sheetProtection/>
  <mergeCells count="16">
    <mergeCell ref="A103:K103"/>
    <mergeCell ref="O4:O5"/>
    <mergeCell ref="P4:P5"/>
    <mergeCell ref="Q4:Q5"/>
    <mergeCell ref="J3:K4"/>
    <mergeCell ref="L3:M4"/>
    <mergeCell ref="N3:Q3"/>
    <mergeCell ref="A2:I2"/>
    <mergeCell ref="A3:A5"/>
    <mergeCell ref="B3:G3"/>
    <mergeCell ref="H3:I4"/>
    <mergeCell ref="R3:R5"/>
    <mergeCell ref="B4:C4"/>
    <mergeCell ref="D4:E4"/>
    <mergeCell ref="F4:G4"/>
    <mergeCell ref="N4:N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38" r:id="rId1"/>
  <headerFooter alignWithMargins="0">
    <oddFooter>&amp;R&amp;10大阪国税局
消費税
(R01)</oddFooter>
  </headerFooter>
  <rowBreaks count="2" manualBreakCount="2">
    <brk id="38" max="255" man="1"/>
    <brk id="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行政情報化プロジェクト</dc:creator>
  <cp:keywords/>
  <dc:description/>
  <cp:lastModifiedBy>企画課</cp:lastModifiedBy>
  <cp:lastPrinted>2021-06-04T00:50:47Z</cp:lastPrinted>
  <dcterms:created xsi:type="dcterms:W3CDTF">2011-12-09T10:59:54Z</dcterms:created>
  <dcterms:modified xsi:type="dcterms:W3CDTF">2021-06-04T00:53:32Z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y fmtid="{D5CDD505-2E9C-101B-9397-08002B2CF9AE}" pid="3" name="説明">
    <vt:lpwstr/>
  </property>
  <property fmtid="{D5CDD505-2E9C-101B-9397-08002B2CF9AE}" pid="4" name="ContentType">
    <vt:lpwstr>ドキュメント</vt:lpwstr>
  </property>
</Properties>
</file>