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82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'(4)税務署別(個人事業者）'!$A$1:$N$103</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<sst xmlns="http://schemas.openxmlformats.org/spreadsheetml/2006/main" count="742" uniqueCount="183">
  <si>
    <t>　イ　個人事業者</t>
  </si>
  <si>
    <t>税務署名</t>
  </si>
  <si>
    <t>納　　　税　　　申　　　告　　　及　　　び　　　処　　　理</t>
  </si>
  <si>
    <t>還付申告及び処理</t>
  </si>
  <si>
    <t>既往年分の
申告及び処理</t>
  </si>
  <si>
    <t>合　　　　　　計</t>
  </si>
  <si>
    <t>税務署名</t>
  </si>
  <si>
    <t>一般申告及び処理</t>
  </si>
  <si>
    <t>簡易申告及び処理</t>
  </si>
  <si>
    <t>小　　　　　　計</t>
  </si>
  <si>
    <t>件数</t>
  </si>
  <si>
    <t>税額</t>
  </si>
  <si>
    <t>税　額　①</t>
  </si>
  <si>
    <t>税　額　②</t>
  </si>
  <si>
    <t>税　額　③</t>
  </si>
  <si>
    <t>件</t>
  </si>
  <si>
    <t>千円</t>
  </si>
  <si>
    <t>総　計</t>
  </si>
  <si>
    <t>大津</t>
  </si>
  <si>
    <t>彦根</t>
  </si>
  <si>
    <t>長浜</t>
  </si>
  <si>
    <t>近江八幡</t>
  </si>
  <si>
    <t>草津</t>
  </si>
  <si>
    <t>水口</t>
  </si>
  <si>
    <t>今津</t>
  </si>
  <si>
    <t>滋賀県計</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</si>
  <si>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</si>
  <si>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</si>
  <si>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</si>
  <si>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</si>
  <si>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</si>
  <si>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</si>
  <si>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</si>
  <si>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</si>
  <si>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</si>
  <si>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</si>
  <si>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</si>
  <si>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</si>
  <si>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</si>
  <si>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</si>
  <si>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</si>
  <si>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</si>
  <si>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</si>
  <si>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</si>
  <si>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</si>
  <si>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</si>
  <si>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</si>
  <si>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</si>
  <si>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</si>
  <si>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</si>
  <si>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</si>
  <si>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</si>
  <si>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</si>
  <si>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</si>
  <si>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</si>
  <si>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</si>
  <si>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</si>
  <si>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</si>
  <si>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</si>
  <si>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</si>
  <si>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</si>
  <si>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</si>
  <si>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</si>
  <si>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</si>
  <si>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</si>
  <si>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</si>
  <si>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</si>
  <si>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</si>
  <si>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</si>
  <si>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</si>
  <si>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</si>
  <si>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</si>
  <si>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</si>
  <si>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</si>
  <si>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</si>
  <si>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</si>
  <si>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</si>
  <si>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</si>
  <si>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</si>
  <si>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</si>
  <si>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</si>
  <si>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</si>
  <si>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</si>
  <si>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</si>
  <si>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</si>
  <si>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</si>
  <si>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</si>
  <si>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</si>
  <si>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</si>
  <si>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</si>
  <si>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</si>
  <si>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</si>
  <si>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</si>
  <si>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</si>
  <si>
    <t>奈良</t>
  </si>
  <si>
    <t>葛城</t>
  </si>
  <si>
    <t>桜井</t>
  </si>
  <si>
    <t>吉野</t>
  </si>
  <si>
    <t>奈良県計</t>
  </si>
  <si>
    <t>和歌山</t>
  </si>
  <si>
    <t>海南</t>
  </si>
  <si>
    <t>御坊</t>
  </si>
  <si>
    <t>田辺</t>
  </si>
  <si>
    <t>新宮</t>
  </si>
  <si>
    <t>粉河</t>
  </si>
  <si>
    <t>湯浅</t>
  </si>
  <si>
    <t>和歌山県計</t>
  </si>
  <si>
    <t>　ロ　法　　　人</t>
  </si>
  <si>
    <t>税務署名</t>
  </si>
  <si>
    <t>滋賀県計</t>
  </si>
  <si>
    <t>課　税　事　業　者　等　届　出　件　数</t>
  </si>
  <si>
    <t>課税事業者
届出</t>
  </si>
  <si>
    <t>課税事業者
選択届出</t>
  </si>
  <si>
    <t>新設法人に
該当する旨
の届出</t>
  </si>
  <si>
    <t>合　　　計</t>
  </si>
  <si>
    <t>件数</t>
  </si>
  <si>
    <t>税　　　額
(①－②＋③)</t>
  </si>
  <si>
    <t>税　　額
(①－②＋③)</t>
  </si>
  <si>
    <t>総　計</t>
  </si>
  <si>
    <t/>
  </si>
  <si>
    <t>滋賀県計</t>
  </si>
  <si>
    <t>京都府計</t>
  </si>
  <si>
    <t>大阪府計</t>
  </si>
  <si>
    <t>兵庫県計</t>
  </si>
  <si>
    <t>奈良県計</t>
  </si>
  <si>
    <t>和歌山県計</t>
  </si>
  <si>
    <t>７　消　費　税</t>
  </si>
  <si>
    <t>区　　　分</t>
  </si>
  <si>
    <t>個　人　事　業　者</t>
  </si>
  <si>
    <t>件　　　数</t>
  </si>
  <si>
    <t>税　　　額</t>
  </si>
  <si>
    <t>件</t>
  </si>
  <si>
    <t>千円</t>
  </si>
  <si>
    <t>差引計</t>
  </si>
  <si>
    <t>実</t>
  </si>
  <si>
    <t>加算税</t>
  </si>
  <si>
    <t>(2)　課税状況の累年比較</t>
  </si>
  <si>
    <t>法　　　　　　　人</t>
  </si>
  <si>
    <t>合　　　　　　　計</t>
  </si>
  <si>
    <t>件　　数</t>
  </si>
  <si>
    <t>税　　額</t>
  </si>
  <si>
    <t>納税申告計</t>
  </si>
  <si>
    <t>(3)　課税事業者等届出件数</t>
  </si>
  <si>
    <t>課税事業者届出書</t>
  </si>
  <si>
    <t>課税事業者選択届出書</t>
  </si>
  <si>
    <t>新設法人に該当する旨の届出書</t>
  </si>
  <si>
    <t>合計</t>
  </si>
  <si>
    <t>（注）納税義務者でなくなった旨の届出書又は課税事業者選択不適用届出書を提出した者は含まない。</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</si>
  <si>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</si>
  <si>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</si>
  <si>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</si>
  <si>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</si>
  <si>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</si>
  <si>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</si>
  <si>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</si>
  <si>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</si>
  <si>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</si>
  <si>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</si>
  <si>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</si>
  <si>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</si>
  <si>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京都府計</t>
  </si>
  <si>
    <t>大阪府計</t>
  </si>
  <si>
    <t>兵庫県計</t>
  </si>
  <si>
    <t>奈良県計</t>
  </si>
  <si>
    <t>和歌山県計</t>
  </si>
  <si>
    <t>総　計</t>
  </si>
  <si>
    <t>（注）１  税関分は含まない。</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</si>
  <si>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</si>
  <si>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</si>
  <si>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平成27年度</t>
  </si>
  <si>
    <t>実件</t>
  </si>
  <si>
    <t>(4)　税務署別課税状況等</t>
  </si>
  <si>
    <t>(4)　税務署別課税状況等（続）</t>
  </si>
  <si>
    <t>　　　２  「件数」欄の「実」は、実件数を示す。</t>
  </si>
  <si>
    <t>平成28年度</t>
  </si>
  <si>
    <t>　ハ　個人事業者と法人の合計</t>
  </si>
  <si>
    <t>調査対象等：</t>
  </si>
  <si>
    <t>　「現年分」は、平成30年４月１日から平成31年３月31日までに終了した課税期間について、令和元年６月30日現在の申告（国・地方公共団体等については令和元年９月30日までの申告を含む。）及び処理（更正、決定等）による課税事績を「申告書及び決議書」に基づいて作成した。</t>
  </si>
  <si>
    <t>　「既往年分」は、平成30年３月31日以前に終了した課税期間について、平成30年７月１日から令和元年６月30日までの間の申告（平成30年７月１日から同年９月30日までの間の国・地方公共団体等に係る申告を除く。）及び処理（更正、決定等）による課税事績を「申告書及び決議書」に基づいて作成した。</t>
  </si>
  <si>
    <t>調査対象等：平成30年度末（平成31年３月31日現在）の届出件数を示している。</t>
  </si>
  <si>
    <t>平成26年度</t>
  </si>
  <si>
    <t>平成29年度</t>
  </si>
  <si>
    <t>平成30年度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</si>
</sst>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9">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b/>
      <sz val="9"/>
      <name val="ＭＳ 明朝"/>
      <family val="1"/>
    </font>
    <font>
      <b/>
      <sz val="11"/>
      <name val="ＭＳ Ｐ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bottom style="double"/>
    </border>
    <border>
      <left style="thin"/>
      <right style="medium"/>
      <top/>
      <bottom style="double"/>
    </border>
    <border>
      <left style="medium"/>
      <right/>
      <top/>
      <bottom style="medium"/>
    </border>
    <border>
      <left style="thin"/>
      <right style="medium"/>
      <top/>
      <bottom style="medium"/>
    </border>
    <border>
      <left style="medium"/>
      <right/>
      <top style="thin">
        <color indexed="55"/>
      </top>
      <bottom style="thin">
        <color indexed="55"/>
      </bottom>
    </border>
    <border>
      <left style="thin"/>
      <right style="medium"/>
      <top style="thin">
        <color indexed="55"/>
      </top>
      <bottom style="thin">
        <color indexed="55"/>
      </bottom>
    </border>
    <border>
      <left style="thin"/>
      <right style="medium"/>
      <top style="thin">
        <color indexed="55"/>
      </top>
      <bottom style="hair">
        <color indexed="55"/>
      </bottom>
    </border>
    <border>
      <left style="hair"/>
      <right style="thin"/>
      <top style="hair"/>
      <bottom style="thin"/>
    </border>
    <border>
      <left style="hair"/>
      <right style="hair"/>
      <top style="thin"/>
      <bottom/>
    </border>
    <border>
      <left style="thin"/>
      <right style="medium"/>
      <top style="thin">
        <color indexed="23"/>
      </top>
      <bottom/>
    </border>
    <border>
      <left style="thin"/>
      <right style="medium"/>
      <top style="double"/>
      <bottom style="medium"/>
    </border>
    <border>
      <left style="thin"/>
      <right style="medium"/>
      <top style="thin">
        <color indexed="23"/>
      </top>
      <bottom style="thin">
        <color indexed="23"/>
      </bottom>
    </border>
    <border>
      <left style="thin"/>
      <right style="hair"/>
      <top style="hair"/>
      <bottom style="thin"/>
    </border>
    <border>
      <left style="hair"/>
      <right/>
      <top style="hair"/>
      <bottom style="thin"/>
    </border>
    <border>
      <left style="hair"/>
      <right style="medium"/>
      <top style="thin"/>
      <bottom/>
    </border>
    <border>
      <left style="hair"/>
      <right style="thin"/>
      <top/>
      <bottom style="hair">
        <color indexed="55"/>
      </bottom>
    </border>
    <border>
      <left style="thin"/>
      <right style="hair"/>
      <top/>
      <bottom/>
    </border>
    <border>
      <left style="hair"/>
      <right style="medium"/>
      <top/>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hair"/>
      <right style="thin"/>
      <top style="thin"/>
      <bottom style="hair">
        <color indexed="55"/>
      </bottom>
    </border>
    <border>
      <left style="hair"/>
      <right style="medium"/>
      <top style="thin"/>
      <bottom style="hair">
        <color indexed="55"/>
      </bottom>
    </border>
    <border>
      <left style="thin"/>
      <right style="hair"/>
      <top style="thin"/>
      <bottom style="thin"/>
    </border>
    <border>
      <left style="thin"/>
      <right style="hair"/>
      <top/>
      <bottom style="medium"/>
    </border>
    <border>
      <left/>
      <right style="thin"/>
      <top style="thin"/>
      <bottom/>
    </border>
    <border>
      <left/>
      <right style="medium"/>
      <top style="thin"/>
      <bottom/>
    </border>
    <border>
      <left style="thin"/>
      <right style="hair"/>
      <top/>
      <bottom style="hair">
        <color indexed="55"/>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hair"/>
      <right style="thin"/>
      <top style="hair">
        <color indexed="55"/>
      </top>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bottom style="medium"/>
    </border>
    <border>
      <left style="hair"/>
      <right style="thin"/>
      <top/>
      <bottom style="medium"/>
    </border>
    <border>
      <left style="hair"/>
      <right style="medium"/>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hair"/>
      <right style="hair"/>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color indexed="63"/>
      </left>
      <right style="hair"/>
      <top/>
      <bottom style="hair">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top style="thin">
        <color indexed="55"/>
      </top>
      <bottom style="hair">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thin"/>
      <right style="hair"/>
      <top style="hair">
        <color indexed="55"/>
      </top>
      <bottom style="medium"/>
    </border>
    <border>
      <left style="hair"/>
      <right style="medium"/>
      <top style="hair">
        <color indexed="55"/>
      </top>
      <bottom style="medium"/>
    </border>
    <border>
      <left style="medium"/>
      <right style="thin"/>
      <top/>
      <bottom style="medium"/>
    </border>
    <border>
      <left style="thin"/>
      <right style="thin"/>
      <top/>
      <bottom style="medium"/>
    </border>
    <border>
      <left style="thin"/>
      <right/>
      <top/>
      <bottom style="medium"/>
    </border>
    <border>
      <left/>
      <right/>
      <top style="medium"/>
      <bottom/>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medium"/>
      <right/>
      <top style="medium"/>
      <bottom/>
    </border>
    <border>
      <left/>
      <right style="thin"/>
      <top style="medium"/>
      <bottom/>
    </border>
    <border>
      <left style="medium"/>
      <right/>
      <top/>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bottom style="hair"/>
    </border>
    <border>
      <left style="medium"/>
      <right style="hair"/>
      <top style="hair"/>
      <bottom style="thin"/>
    </border>
    <border>
      <left style="medium"/>
      <right style="hair"/>
      <top style="hair"/>
      <bottom style="medium"/>
    </border>
    <border>
      <left style="thin"/>
      <right style="thin"/>
      <top style="medium"/>
      <bottom style="thin"/>
    </border>
    <border>
      <left/>
      <right style="medium"/>
      <top style="medium"/>
      <bottom/>
    </border>
    <border>
      <left style="thin"/>
      <right style="medium"/>
      <top/>
      <botto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top style="medium"/>
      <bottom style="hair"/>
    </border>
    <border>
      <left style="hair"/>
      <right/>
      <top style="hair"/>
      <bottom style="hair"/>
    </border>
    <border>
      <left style="medium"/>
      <right/>
      <top/>
      <bottom style="thin"/>
    </border>
    <border>
      <left style="thin"/>
      <right style="thin"/>
      <top style="medium"/>
      <bottom style="hair"/>
    </border>
    <border>
      <left/>
      <right/>
      <top/>
      <bottom style="medium"/>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
      <left style="thin"/>
      <right style="hair"/>
      <top style="hair"/>
      <bottom/>
    </border>
    <border>
      <left style="thin"/>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46" fillId="32" borderId="0" applyNumberFormat="0" applyBorder="0" applyAlignment="0" applyProtection="0"/>
  </cellStyleXfs>
  <cellXfs count="236">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8" fillId="36" borderId="19" xfId="60" applyFont="1" applyFill="1" applyBorder="1" applyAlignment="1">
      <alignment horizontal="distributed" vertical="center"/>
      <protection/>
    </xf>
    <xf numFmtId="0" fontId="8" fillId="36" borderId="20" xfId="60" applyFont="1" applyFill="1" applyBorder="1" applyAlignment="1">
      <alignment horizontal="distributed" vertical="center"/>
      <protection/>
    </xf>
    <xf numFmtId="0" fontId="9" fillId="0" borderId="0" xfId="60" applyFont="1">
      <alignment/>
      <protection/>
    </xf>
    <xf numFmtId="0" fontId="10" fillId="0" borderId="21" xfId="60" applyFont="1" applyFill="1" applyBorder="1" applyAlignment="1">
      <alignment horizontal="distributed" vertical="center"/>
      <protection/>
    </xf>
    <xf numFmtId="0" fontId="10" fillId="0" borderId="22" xfId="60" applyFont="1" applyFill="1" applyBorder="1" applyAlignment="1">
      <alignment horizontal="center" vertical="center"/>
      <protection/>
    </xf>
    <xf numFmtId="0" fontId="11" fillId="0" borderId="0" xfId="60" applyFont="1" applyFill="1">
      <alignment/>
      <protection/>
    </xf>
    <xf numFmtId="0" fontId="8" fillId="0" borderId="23" xfId="60" applyFont="1" applyBorder="1" applyAlignment="1">
      <alignment horizontal="center" vertical="center"/>
      <protection/>
    </xf>
    <xf numFmtId="0" fontId="8" fillId="0" borderId="24" xfId="60" applyFont="1" applyBorder="1" applyAlignment="1">
      <alignment horizontal="center" vertical="center"/>
      <protection/>
    </xf>
    <xf numFmtId="0" fontId="10" fillId="0" borderId="25" xfId="60" applyFont="1" applyFill="1" applyBorder="1" applyAlignment="1">
      <alignment horizontal="distributed" vertical="center"/>
      <protection/>
    </xf>
    <xf numFmtId="0" fontId="10" fillId="0" borderId="26" xfId="60" applyFont="1" applyFill="1" applyBorder="1" applyAlignment="1">
      <alignment horizontal="center" vertical="center"/>
      <protection/>
    </xf>
    <xf numFmtId="0" fontId="3" fillId="36" borderId="27" xfId="60" applyFont="1" applyFill="1" applyBorder="1" applyAlignment="1">
      <alignment horizontal="distributed" vertical="center"/>
      <protection/>
    </xf>
    <xf numFmtId="176" fontId="10" fillId="0" borderId="25" xfId="60" applyNumberFormat="1" applyFont="1" applyFill="1" applyBorder="1" applyAlignment="1">
      <alignment horizontal="distributed"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8" xfId="60" applyFont="1" applyBorder="1" applyAlignment="1">
      <alignment horizontal="center" vertical="center" wrapText="1"/>
      <protection/>
    </xf>
    <xf numFmtId="0" fontId="5" fillId="34" borderId="29"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10" fillId="0" borderId="30" xfId="60" applyFont="1" applyFill="1" applyBorder="1" applyAlignment="1">
      <alignment horizontal="center" vertical="center"/>
      <protection/>
    </xf>
    <xf numFmtId="0" fontId="8" fillId="0" borderId="31" xfId="60" applyFont="1" applyBorder="1" applyAlignment="1">
      <alignment horizontal="center" vertical="center"/>
      <protection/>
    </xf>
    <xf numFmtId="0" fontId="10" fillId="0" borderId="32" xfId="60" applyFont="1" applyFill="1" applyBorder="1" applyAlignment="1">
      <alignment horizontal="center" vertical="center"/>
      <protection/>
    </xf>
    <xf numFmtId="0" fontId="3" fillId="0" borderId="33" xfId="60" applyFont="1" applyBorder="1" applyAlignment="1">
      <alignment horizontal="distributed" vertical="center" indent="1"/>
      <protection/>
    </xf>
    <xf numFmtId="0" fontId="3" fillId="0" borderId="28" xfId="60" applyFont="1" applyBorder="1" applyAlignment="1">
      <alignment horizontal="distributed" vertical="center" indent="1"/>
      <protection/>
    </xf>
    <xf numFmtId="0" fontId="3" fillId="0" borderId="34" xfId="60" applyFont="1" applyBorder="1" applyAlignment="1">
      <alignment horizontal="centerContinuous" vertical="center" wrapText="1"/>
      <protection/>
    </xf>
    <xf numFmtId="0" fontId="3" fillId="0" borderId="34" xfId="60" applyFont="1" applyBorder="1" applyAlignment="1">
      <alignment horizontal="center" vertical="center"/>
      <protection/>
    </xf>
    <xf numFmtId="0" fontId="3" fillId="0" borderId="28" xfId="60" applyFont="1" applyBorder="1" applyAlignment="1">
      <alignment horizontal="center" vertical="center"/>
      <protection/>
    </xf>
    <xf numFmtId="176" fontId="2" fillId="0" borderId="0" xfId="60" applyNumberFormat="1" applyFont="1">
      <alignment/>
      <protection/>
    </xf>
    <xf numFmtId="0" fontId="12" fillId="0" borderId="0" xfId="60" applyFont="1" applyAlignment="1">
      <alignment horizontal="center" vertical="top"/>
      <protection/>
    </xf>
    <xf numFmtId="0" fontId="3" fillId="0" borderId="12" xfId="60" applyFont="1" applyBorder="1" applyAlignment="1">
      <alignment horizontal="center" vertical="center"/>
      <protection/>
    </xf>
    <xf numFmtId="0" fontId="3" fillId="0" borderId="35" xfId="60" applyFont="1" applyBorder="1" applyAlignment="1">
      <alignment horizontal="center" vertical="center"/>
      <protection/>
    </xf>
    <xf numFmtId="0" fontId="5" fillId="0" borderId="10"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5" fillId="0" borderId="11" xfId="60" applyFont="1" applyFill="1" applyBorder="1" applyAlignment="1">
      <alignment horizontal="right" vertical="top"/>
      <protection/>
    </xf>
    <xf numFmtId="0" fontId="5" fillId="35" borderId="35" xfId="60" applyFont="1" applyFill="1" applyBorder="1" applyAlignment="1">
      <alignment horizontal="right" vertical="top"/>
      <protection/>
    </xf>
    <xf numFmtId="0" fontId="3" fillId="0" borderId="36" xfId="60" applyFont="1" applyBorder="1" applyAlignment="1">
      <alignment horizontal="distributed" vertical="center"/>
      <protection/>
    </xf>
    <xf numFmtId="0" fontId="3" fillId="0" borderId="37" xfId="60" applyFont="1" applyBorder="1" applyAlignment="1">
      <alignment horizontal="right" vertical="center"/>
      <protection/>
    </xf>
    <xf numFmtId="3" fontId="3" fillId="35" borderId="36" xfId="60" applyNumberFormat="1" applyFont="1" applyFill="1" applyBorder="1" applyAlignment="1">
      <alignment horizontal="right" vertical="center"/>
      <protection/>
    </xf>
    <xf numFmtId="3" fontId="3" fillId="0" borderId="37" xfId="60" applyNumberFormat="1" applyFont="1" applyBorder="1" applyAlignment="1">
      <alignment horizontal="right" vertical="center"/>
      <protection/>
    </xf>
    <xf numFmtId="3" fontId="3" fillId="35" borderId="38" xfId="60" applyNumberFormat="1" applyFont="1" applyFill="1" applyBorder="1" applyAlignment="1">
      <alignment horizontal="right" vertical="center"/>
      <protection/>
    </xf>
    <xf numFmtId="0" fontId="3" fillId="0" borderId="39" xfId="60" applyFont="1" applyBorder="1" applyAlignment="1">
      <alignment horizontal="distributed" vertical="center"/>
      <protection/>
    </xf>
    <xf numFmtId="0" fontId="8" fillId="0" borderId="39" xfId="60" applyFont="1" applyBorder="1" applyAlignment="1">
      <alignment horizontal="distributed" vertical="center"/>
      <protection/>
    </xf>
    <xf numFmtId="0" fontId="8" fillId="0" borderId="37" xfId="60" applyFont="1" applyBorder="1" applyAlignment="1">
      <alignment horizontal="right" vertical="center"/>
      <protection/>
    </xf>
    <xf numFmtId="0" fontId="8" fillId="0" borderId="0" xfId="60" applyFont="1" applyAlignment="1">
      <alignment horizontal="left" vertical="top"/>
      <protection/>
    </xf>
    <xf numFmtId="0" fontId="3" fillId="0" borderId="40" xfId="60" applyFont="1" applyBorder="1" applyAlignment="1">
      <alignment horizontal="distributed" vertical="center"/>
      <protection/>
    </xf>
    <xf numFmtId="0" fontId="3" fillId="0" borderId="41" xfId="60" applyFont="1" applyBorder="1" applyAlignment="1">
      <alignment horizontal="distributed" vertical="center" wrapText="1"/>
      <protection/>
    </xf>
    <xf numFmtId="0" fontId="3" fillId="0" borderId="11" xfId="60" applyFont="1" applyBorder="1" applyAlignment="1">
      <alignment horizontal="center" vertical="center"/>
      <protection/>
    </xf>
    <xf numFmtId="3" fontId="3" fillId="35" borderId="41" xfId="60" applyNumberFormat="1" applyFont="1" applyFill="1" applyBorder="1" applyAlignment="1">
      <alignment horizontal="right" vertical="center"/>
      <protection/>
    </xf>
    <xf numFmtId="3" fontId="3" fillId="0" borderId="11" xfId="60" applyNumberFormat="1" applyFont="1" applyBorder="1" applyAlignment="1">
      <alignment horizontal="center" vertical="center"/>
      <protection/>
    </xf>
    <xf numFmtId="3" fontId="3" fillId="35" borderId="42" xfId="60" applyNumberFormat="1" applyFont="1" applyFill="1" applyBorder="1" applyAlignment="1">
      <alignment horizontal="right" vertical="center"/>
      <protection/>
    </xf>
    <xf numFmtId="0" fontId="3" fillId="0" borderId="39" xfId="60" applyFont="1" applyBorder="1" applyAlignment="1">
      <alignment horizontal="distributed" vertical="center" wrapText="1"/>
      <protection/>
    </xf>
    <xf numFmtId="0" fontId="3" fillId="0" borderId="37" xfId="60" applyFont="1" applyBorder="1" applyAlignment="1">
      <alignment horizontal="center" vertical="center"/>
      <protection/>
    </xf>
    <xf numFmtId="3" fontId="3" fillId="0" borderId="37" xfId="60" applyNumberFormat="1" applyFont="1" applyBorder="1" applyAlignment="1">
      <alignment horizontal="center" vertical="center"/>
      <protection/>
    </xf>
    <xf numFmtId="0" fontId="8" fillId="0" borderId="43" xfId="60" applyFont="1" applyBorder="1" applyAlignment="1">
      <alignment horizontal="right" vertical="center"/>
      <protection/>
    </xf>
    <xf numFmtId="0" fontId="3" fillId="0" borderId="44" xfId="60" applyFont="1" applyBorder="1" applyAlignment="1">
      <alignment horizontal="right" vertical="center"/>
      <protection/>
    </xf>
    <xf numFmtId="3" fontId="3" fillId="0" borderId="44" xfId="60" applyNumberFormat="1" applyFont="1" applyBorder="1" applyAlignment="1">
      <alignment horizontal="right" vertical="center"/>
      <protection/>
    </xf>
    <xf numFmtId="0" fontId="3" fillId="0" borderId="0" xfId="60" applyFont="1" applyAlignment="1" quotePrefix="1">
      <alignment horizontal="left" vertical="top"/>
      <protection/>
    </xf>
    <xf numFmtId="0" fontId="3" fillId="0" borderId="45" xfId="60" applyFont="1" applyBorder="1" applyAlignment="1">
      <alignment horizontal="center" vertical="center"/>
      <protection/>
    </xf>
    <xf numFmtId="0" fontId="3" fillId="0" borderId="46" xfId="60" applyFont="1" applyBorder="1" applyAlignment="1">
      <alignment horizontal="center" vertical="center"/>
      <protection/>
    </xf>
    <xf numFmtId="0" fontId="3" fillId="0" borderId="10" xfId="60" applyFont="1" applyBorder="1" applyAlignment="1">
      <alignment horizontal="center" vertical="center"/>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5" fillId="35" borderId="35" xfId="60" applyFont="1" applyFill="1" applyBorder="1" applyAlignment="1">
      <alignment horizontal="right"/>
      <protection/>
    </xf>
    <xf numFmtId="0" fontId="3" fillId="0" borderId="0" xfId="60" applyFont="1" applyAlignment="1">
      <alignment horizontal="left"/>
      <protection/>
    </xf>
    <xf numFmtId="3" fontId="3" fillId="34" borderId="47" xfId="60" applyNumberFormat="1" applyFont="1" applyFill="1" applyBorder="1" applyAlignment="1">
      <alignment horizontal="right" vertical="center"/>
      <protection/>
    </xf>
    <xf numFmtId="0" fontId="3" fillId="0" borderId="0" xfId="60" applyFont="1" applyBorder="1" applyAlignment="1">
      <alignment horizontal="left" vertical="top"/>
      <protection/>
    </xf>
    <xf numFmtId="3" fontId="3" fillId="34" borderId="48" xfId="60" applyNumberFormat="1" applyFont="1" applyFill="1" applyBorder="1" applyAlignment="1">
      <alignment horizontal="right" vertical="center"/>
      <protection/>
    </xf>
    <xf numFmtId="3" fontId="3" fillId="35" borderId="40" xfId="60" applyNumberFormat="1" applyFont="1" applyFill="1" applyBorder="1" applyAlignment="1">
      <alignment horizontal="right" vertical="center"/>
      <protection/>
    </xf>
    <xf numFmtId="3" fontId="3" fillId="35" borderId="49" xfId="60" applyNumberFormat="1" applyFont="1" applyFill="1" applyBorder="1" applyAlignment="1">
      <alignment horizontal="right" vertical="center"/>
      <protection/>
    </xf>
    <xf numFmtId="0" fontId="3" fillId="0" borderId="41" xfId="60" applyFont="1" applyBorder="1" applyAlignment="1">
      <alignment horizontal="distributed" vertical="center"/>
      <protection/>
    </xf>
    <xf numFmtId="3" fontId="3" fillId="34" borderId="50" xfId="60" applyNumberFormat="1" applyFont="1" applyFill="1" applyBorder="1" applyAlignment="1">
      <alignment horizontal="right" vertical="center"/>
      <protection/>
    </xf>
    <xf numFmtId="0" fontId="3" fillId="0" borderId="51" xfId="60" applyFont="1" applyBorder="1" applyAlignment="1">
      <alignment horizontal="distributed" vertical="center"/>
      <protection/>
    </xf>
    <xf numFmtId="3" fontId="3" fillId="0" borderId="0" xfId="60" applyNumberFormat="1" applyFont="1" applyAlignment="1">
      <alignment horizontal="left" vertical="top"/>
      <protection/>
    </xf>
    <xf numFmtId="0" fontId="3" fillId="0" borderId="52" xfId="60" applyFont="1" applyBorder="1" applyAlignment="1">
      <alignment horizontal="distributed" vertical="center"/>
      <protection/>
    </xf>
    <xf numFmtId="0" fontId="3" fillId="0" borderId="53" xfId="60" applyFont="1" applyBorder="1" applyAlignment="1">
      <alignment horizontal="distributed" vertical="center"/>
      <protection/>
    </xf>
    <xf numFmtId="0" fontId="3" fillId="0" borderId="54" xfId="60" applyFont="1" applyBorder="1" applyAlignment="1">
      <alignment horizontal="center" vertical="center"/>
      <protection/>
    </xf>
    <xf numFmtId="0" fontId="3" fillId="0" borderId="55" xfId="60" applyFont="1" applyBorder="1" applyAlignment="1">
      <alignment horizontal="distributed" vertical="center" indent="1"/>
      <protection/>
    </xf>
    <xf numFmtId="0" fontId="5" fillId="34" borderId="56" xfId="60" applyFont="1" applyFill="1" applyBorder="1" applyAlignment="1">
      <alignment horizontal="right"/>
      <protection/>
    </xf>
    <xf numFmtId="0" fontId="5" fillId="34" borderId="57" xfId="60" applyFont="1" applyFill="1" applyBorder="1" applyAlignment="1">
      <alignment horizontal="right"/>
      <protection/>
    </xf>
    <xf numFmtId="0" fontId="5" fillId="34" borderId="58"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3" fontId="3" fillId="34" borderId="59" xfId="60" applyNumberFormat="1" applyFont="1" applyFill="1" applyBorder="1" applyAlignment="1">
      <alignment horizontal="right" vertical="center"/>
      <protection/>
    </xf>
    <xf numFmtId="3" fontId="3" fillId="34" borderId="60" xfId="60" applyNumberFormat="1" applyFont="1" applyFill="1" applyBorder="1" applyAlignment="1">
      <alignment horizontal="right" vertical="center"/>
      <protection/>
    </xf>
    <xf numFmtId="3" fontId="3" fillId="35" borderId="39" xfId="60" applyNumberFormat="1" applyFont="1" applyFill="1" applyBorder="1" applyAlignment="1">
      <alignment horizontal="right" vertical="center"/>
      <protection/>
    </xf>
    <xf numFmtId="3" fontId="3" fillId="35" borderId="61" xfId="60" applyNumberFormat="1" applyFont="1" applyFill="1" applyBorder="1" applyAlignment="1">
      <alignment horizontal="right" vertical="center"/>
      <protection/>
    </xf>
    <xf numFmtId="3" fontId="8" fillId="34" borderId="60" xfId="60" applyNumberFormat="1" applyFont="1" applyFill="1" applyBorder="1" applyAlignment="1">
      <alignment horizontal="right" vertical="center"/>
      <protection/>
    </xf>
    <xf numFmtId="3" fontId="8" fillId="35" borderId="39" xfId="60" applyNumberFormat="1" applyFont="1" applyFill="1" applyBorder="1" applyAlignment="1">
      <alignment horizontal="right" vertical="center"/>
      <protection/>
    </xf>
    <xf numFmtId="3" fontId="3" fillId="34" borderId="62" xfId="60" applyNumberFormat="1" applyFont="1" applyFill="1" applyBorder="1" applyAlignment="1">
      <alignment horizontal="right" vertical="center"/>
      <protection/>
    </xf>
    <xf numFmtId="3" fontId="3" fillId="35" borderId="63" xfId="60" applyNumberFormat="1" applyFont="1" applyFill="1" applyBorder="1" applyAlignment="1">
      <alignment horizontal="right" vertical="center"/>
      <protection/>
    </xf>
    <xf numFmtId="3" fontId="3" fillId="34" borderId="64" xfId="60" applyNumberFormat="1" applyFont="1" applyFill="1" applyBorder="1" applyAlignment="1">
      <alignment horizontal="right" vertical="center"/>
      <protection/>
    </xf>
    <xf numFmtId="3" fontId="3" fillId="34" borderId="64" xfId="60" applyNumberFormat="1" applyFont="1" applyFill="1" applyBorder="1" applyAlignment="1">
      <alignment vertical="center"/>
      <protection/>
    </xf>
    <xf numFmtId="3" fontId="3" fillId="34" borderId="60" xfId="60" applyNumberFormat="1" applyFont="1" applyFill="1" applyBorder="1" applyAlignment="1">
      <alignment vertical="center"/>
      <protection/>
    </xf>
    <xf numFmtId="3" fontId="8" fillId="34" borderId="65" xfId="60" applyNumberFormat="1" applyFont="1" applyFill="1" applyBorder="1" applyAlignment="1">
      <alignment horizontal="right" vertical="center"/>
      <protection/>
    </xf>
    <xf numFmtId="3" fontId="8" fillId="35" borderId="66" xfId="60" applyNumberFormat="1" applyFont="1" applyFill="1" applyBorder="1" applyAlignment="1">
      <alignment horizontal="right" vertical="center"/>
      <protection/>
    </xf>
    <xf numFmtId="3" fontId="8" fillId="35" borderId="67" xfId="60" applyNumberFormat="1" applyFont="1" applyFill="1" applyBorder="1" applyAlignment="1">
      <alignment horizontal="right" vertical="center"/>
      <protection/>
    </xf>
    <xf numFmtId="3" fontId="3" fillId="34" borderId="68" xfId="60" applyNumberFormat="1" applyFont="1" applyFill="1" applyBorder="1" applyAlignment="1">
      <alignment horizontal="right" vertical="center"/>
      <protection/>
    </xf>
    <xf numFmtId="3" fontId="3" fillId="35" borderId="69" xfId="60" applyNumberFormat="1" applyFont="1" applyFill="1" applyBorder="1" applyAlignment="1">
      <alignment horizontal="right" vertical="center"/>
      <protection/>
    </xf>
    <xf numFmtId="3" fontId="3" fillId="35" borderId="70" xfId="60" applyNumberFormat="1" applyFont="1" applyFill="1" applyBorder="1" applyAlignment="1">
      <alignment horizontal="right" vertical="center"/>
      <protection/>
    </xf>
    <xf numFmtId="176" fontId="3" fillId="34" borderId="47" xfId="60" applyNumberFormat="1" applyFont="1" applyFill="1" applyBorder="1" applyAlignment="1">
      <alignment horizontal="right" vertical="center"/>
      <protection/>
    </xf>
    <xf numFmtId="176" fontId="3" fillId="35" borderId="36" xfId="60" applyNumberFormat="1" applyFont="1" applyFill="1" applyBorder="1" applyAlignment="1">
      <alignment horizontal="right" vertical="center"/>
      <protection/>
    </xf>
    <xf numFmtId="176" fontId="3" fillId="35" borderId="71" xfId="60" applyNumberFormat="1" applyFont="1" applyFill="1" applyBorder="1" applyAlignment="1">
      <alignment horizontal="right" vertical="center"/>
      <protection/>
    </xf>
    <xf numFmtId="176" fontId="3" fillId="34" borderId="59" xfId="60" applyNumberFormat="1" applyFont="1" applyFill="1" applyBorder="1" applyAlignment="1">
      <alignment horizontal="right" vertical="center"/>
      <protection/>
    </xf>
    <xf numFmtId="176" fontId="3" fillId="34" borderId="36" xfId="60" applyNumberFormat="1" applyFont="1" applyFill="1" applyBorder="1" applyAlignment="1">
      <alignment horizontal="right" vertical="center"/>
      <protection/>
    </xf>
    <xf numFmtId="176" fontId="3" fillId="34" borderId="72" xfId="60" applyNumberFormat="1" applyFont="1" applyFill="1" applyBorder="1" applyAlignment="1">
      <alignment horizontal="right" vertical="center"/>
      <protection/>
    </xf>
    <xf numFmtId="176" fontId="3" fillId="35" borderId="39" xfId="60" applyNumberFormat="1" applyFont="1" applyFill="1" applyBorder="1" applyAlignment="1">
      <alignment horizontal="right" vertical="center"/>
      <protection/>
    </xf>
    <xf numFmtId="176" fontId="3" fillId="35" borderId="73" xfId="60" applyNumberFormat="1" applyFont="1" applyFill="1" applyBorder="1" applyAlignment="1">
      <alignment horizontal="right" vertical="center"/>
      <protection/>
    </xf>
    <xf numFmtId="176" fontId="3" fillId="34" borderId="60" xfId="60" applyNumberFormat="1" applyFont="1" applyFill="1" applyBorder="1" applyAlignment="1">
      <alignment horizontal="right" vertical="center"/>
      <protection/>
    </xf>
    <xf numFmtId="176" fontId="3" fillId="34" borderId="73" xfId="60" applyNumberFormat="1" applyFont="1" applyFill="1" applyBorder="1" applyAlignment="1">
      <alignment horizontal="right" vertical="center"/>
      <protection/>
    </xf>
    <xf numFmtId="176" fontId="8" fillId="34" borderId="74" xfId="60" applyNumberFormat="1" applyFont="1" applyFill="1" applyBorder="1" applyAlignment="1">
      <alignment horizontal="right" vertical="center"/>
      <protection/>
    </xf>
    <xf numFmtId="176" fontId="8" fillId="35" borderId="75" xfId="60" applyNumberFormat="1" applyFont="1" applyFill="1" applyBorder="1" applyAlignment="1">
      <alignment horizontal="right" vertical="center"/>
      <protection/>
    </xf>
    <xf numFmtId="176" fontId="8" fillId="35" borderId="76" xfId="60" applyNumberFormat="1" applyFont="1" applyFill="1" applyBorder="1" applyAlignment="1">
      <alignment horizontal="right" vertical="center"/>
      <protection/>
    </xf>
    <xf numFmtId="176" fontId="8" fillId="34" borderId="77" xfId="60" applyNumberFormat="1" applyFont="1" applyFill="1" applyBorder="1" applyAlignment="1">
      <alignment horizontal="right" vertical="center"/>
      <protection/>
    </xf>
    <xf numFmtId="176" fontId="8" fillId="34" borderId="76" xfId="60" applyNumberFormat="1" applyFont="1" applyFill="1" applyBorder="1" applyAlignment="1">
      <alignment horizontal="right" vertical="center"/>
      <protection/>
    </xf>
    <xf numFmtId="176" fontId="10" fillId="0" borderId="78" xfId="60" applyNumberFormat="1" applyFont="1" applyFill="1" applyBorder="1" applyAlignment="1">
      <alignment horizontal="right" vertical="center"/>
      <protection/>
    </xf>
    <xf numFmtId="176" fontId="10" fillId="0" borderId="79" xfId="60" applyNumberFormat="1" applyFont="1" applyFill="1" applyBorder="1" applyAlignment="1">
      <alignment horizontal="right" vertical="center"/>
      <protection/>
    </xf>
    <xf numFmtId="176" fontId="10" fillId="0" borderId="80" xfId="60" applyNumberFormat="1" applyFont="1" applyFill="1" applyBorder="1" applyAlignment="1">
      <alignment horizontal="right" vertical="center"/>
      <protection/>
    </xf>
    <xf numFmtId="176" fontId="3" fillId="0" borderId="81" xfId="60" applyNumberFormat="1" applyFont="1" applyFill="1" applyBorder="1" applyAlignment="1">
      <alignment horizontal="right" vertical="center"/>
      <protection/>
    </xf>
    <xf numFmtId="176" fontId="3" fillId="0" borderId="82" xfId="60" applyNumberFormat="1" applyFont="1" applyFill="1" applyBorder="1" applyAlignment="1">
      <alignment horizontal="right" vertical="center"/>
      <protection/>
    </xf>
    <xf numFmtId="176" fontId="3" fillId="0" borderId="83" xfId="60" applyNumberFormat="1" applyFont="1" applyFill="1" applyBorder="1" applyAlignment="1">
      <alignment horizontal="right" vertical="center"/>
      <protection/>
    </xf>
    <xf numFmtId="176" fontId="3" fillId="34" borderId="71" xfId="60" applyNumberFormat="1" applyFont="1" applyFill="1" applyBorder="1" applyAlignment="1">
      <alignment horizontal="right" vertical="center"/>
      <protection/>
    </xf>
    <xf numFmtId="176" fontId="3" fillId="34" borderId="84" xfId="60" applyNumberFormat="1" applyFont="1" applyFill="1" applyBorder="1" applyAlignment="1">
      <alignment horizontal="right" vertical="center"/>
      <protection/>
    </xf>
    <xf numFmtId="176" fontId="3" fillId="28" borderId="71" xfId="60" applyNumberFormat="1" applyFont="1" applyFill="1" applyBorder="1" applyAlignment="1">
      <alignment horizontal="right" vertical="center"/>
      <protection/>
    </xf>
    <xf numFmtId="176" fontId="3" fillId="34" borderId="85" xfId="60" applyNumberFormat="1" applyFont="1" applyFill="1" applyBorder="1" applyAlignment="1">
      <alignment horizontal="right" vertical="center"/>
      <protection/>
    </xf>
    <xf numFmtId="176" fontId="3" fillId="34" borderId="86" xfId="60" applyNumberFormat="1" applyFont="1" applyFill="1" applyBorder="1" applyAlignment="1">
      <alignment horizontal="right" vertical="center"/>
      <protection/>
    </xf>
    <xf numFmtId="176" fontId="3" fillId="34" borderId="87" xfId="60" applyNumberFormat="1" applyFont="1" applyFill="1" applyBorder="1" applyAlignment="1">
      <alignment horizontal="right" vertical="center"/>
      <protection/>
    </xf>
    <xf numFmtId="176" fontId="3" fillId="0" borderId="88" xfId="60" applyNumberFormat="1" applyFont="1" applyFill="1" applyBorder="1" applyAlignment="1">
      <alignment horizontal="right" vertical="center"/>
      <protection/>
    </xf>
    <xf numFmtId="176" fontId="3" fillId="0" borderId="89" xfId="60" applyNumberFormat="1" applyFont="1" applyFill="1" applyBorder="1" applyAlignment="1">
      <alignment horizontal="right" vertical="center"/>
      <protection/>
    </xf>
    <xf numFmtId="176" fontId="3" fillId="0" borderId="90" xfId="60" applyNumberFormat="1" applyFont="1" applyFill="1" applyBorder="1" applyAlignment="1">
      <alignment horizontal="right" vertical="center"/>
      <protection/>
    </xf>
    <xf numFmtId="176" fontId="3" fillId="0" borderId="91" xfId="60" applyNumberFormat="1" applyFont="1" applyFill="1" applyBorder="1" applyAlignment="1">
      <alignment horizontal="right" vertical="center"/>
      <protection/>
    </xf>
    <xf numFmtId="176" fontId="3" fillId="0" borderId="92" xfId="60" applyNumberFormat="1" applyFont="1" applyFill="1" applyBorder="1" applyAlignment="1">
      <alignment horizontal="right" vertical="center"/>
      <protection/>
    </xf>
    <xf numFmtId="176" fontId="3" fillId="0" borderId="93" xfId="60" applyNumberFormat="1" applyFont="1" applyFill="1" applyBorder="1" applyAlignment="1">
      <alignment horizontal="right" vertical="center"/>
      <protection/>
    </xf>
    <xf numFmtId="176" fontId="8" fillId="34" borderId="44" xfId="60" applyNumberFormat="1" applyFont="1" applyFill="1" applyBorder="1" applyAlignment="1">
      <alignment horizontal="right" vertical="center"/>
      <protection/>
    </xf>
    <xf numFmtId="176" fontId="8" fillId="35" borderId="69" xfId="60" applyNumberFormat="1" applyFont="1" applyFill="1" applyBorder="1" applyAlignment="1">
      <alignment horizontal="right" vertical="center"/>
      <protection/>
    </xf>
    <xf numFmtId="176" fontId="8" fillId="35" borderId="94" xfId="60" applyNumberFormat="1" applyFont="1" applyFill="1" applyBorder="1" applyAlignment="1">
      <alignment horizontal="right" vertical="center"/>
      <protection/>
    </xf>
    <xf numFmtId="176" fontId="8" fillId="34" borderId="95" xfId="60" applyNumberFormat="1" applyFont="1" applyFill="1" applyBorder="1" applyAlignment="1">
      <alignment horizontal="right" vertical="center"/>
      <protection/>
    </xf>
    <xf numFmtId="176" fontId="8" fillId="34" borderId="96" xfId="60" applyNumberFormat="1" applyFont="1" applyFill="1" applyBorder="1" applyAlignment="1">
      <alignment horizontal="right" vertical="center"/>
      <protection/>
    </xf>
    <xf numFmtId="176" fontId="8" fillId="34" borderId="97" xfId="60" applyNumberFormat="1" applyFont="1" applyFill="1" applyBorder="1" applyAlignment="1">
      <alignment horizontal="right" vertical="center"/>
      <protection/>
    </xf>
    <xf numFmtId="3" fontId="3" fillId="34" borderId="98" xfId="60" applyNumberFormat="1" applyFont="1" applyFill="1" applyBorder="1" applyAlignment="1">
      <alignment horizontal="right" vertical="center"/>
      <protection/>
    </xf>
    <xf numFmtId="3" fontId="3" fillId="35" borderId="51" xfId="60" applyNumberFormat="1" applyFont="1" applyFill="1" applyBorder="1" applyAlignment="1">
      <alignment horizontal="right" vertical="center"/>
      <protection/>
    </xf>
    <xf numFmtId="3" fontId="3" fillId="35" borderId="99" xfId="60" applyNumberFormat="1" applyFont="1" applyFill="1" applyBorder="1" applyAlignment="1">
      <alignment horizontal="right" vertical="center"/>
      <protection/>
    </xf>
    <xf numFmtId="3" fontId="8" fillId="35" borderId="61" xfId="60" applyNumberFormat="1" applyFont="1" applyFill="1" applyBorder="1" applyAlignment="1">
      <alignment horizontal="right" vertical="center"/>
      <protection/>
    </xf>
    <xf numFmtId="3" fontId="3" fillId="34" borderId="100" xfId="60" applyNumberFormat="1" applyFont="1" applyFill="1" applyBorder="1" applyAlignment="1">
      <alignment vertical="center"/>
      <protection/>
    </xf>
    <xf numFmtId="3" fontId="3" fillId="34" borderId="101" xfId="60" applyNumberFormat="1" applyFont="1" applyFill="1" applyBorder="1" applyAlignment="1">
      <alignment vertical="center"/>
      <protection/>
    </xf>
    <xf numFmtId="3" fontId="3" fillId="34" borderId="102" xfId="60" applyNumberFormat="1" applyFont="1" applyFill="1" applyBorder="1" applyAlignment="1">
      <alignment vertical="center"/>
      <protection/>
    </xf>
    <xf numFmtId="3" fontId="3" fillId="34" borderId="24" xfId="60" applyNumberFormat="1" applyFont="1" applyFill="1" applyBorder="1" applyAlignment="1">
      <alignment vertical="center"/>
      <protection/>
    </xf>
    <xf numFmtId="0" fontId="3" fillId="0" borderId="103" xfId="0" applyFont="1" applyBorder="1" applyAlignment="1">
      <alignment horizontal="left" vertical="top" wrapText="1"/>
    </xf>
    <xf numFmtId="0" fontId="3" fillId="0" borderId="0" xfId="0" applyFont="1" applyAlignment="1">
      <alignment horizontal="left" vertical="top"/>
    </xf>
    <xf numFmtId="0" fontId="3" fillId="0" borderId="104" xfId="60" applyFont="1" applyBorder="1" applyAlignment="1">
      <alignment horizontal="distributed" vertical="center" wrapText="1"/>
      <protection/>
    </xf>
    <xf numFmtId="0" fontId="3" fillId="0" borderId="104" xfId="60" applyFont="1" applyBorder="1" applyAlignment="1">
      <alignment horizontal="distributed" vertical="center"/>
      <protection/>
    </xf>
    <xf numFmtId="0" fontId="3" fillId="0" borderId="105" xfId="60" applyFont="1" applyBorder="1" applyAlignment="1">
      <alignment horizontal="distributed" vertical="center"/>
      <protection/>
    </xf>
    <xf numFmtId="0" fontId="3" fillId="0" borderId="106" xfId="60" applyFont="1" applyBorder="1" applyAlignment="1">
      <alignment horizontal="distributed" vertical="center" wrapText="1"/>
      <protection/>
    </xf>
    <xf numFmtId="0" fontId="3" fillId="0" borderId="107" xfId="60" applyFont="1" applyBorder="1" applyAlignment="1">
      <alignment horizontal="distributed" vertical="center"/>
      <protection/>
    </xf>
    <xf numFmtId="0" fontId="8" fillId="0" borderId="108" xfId="60" applyFont="1" applyBorder="1" applyAlignment="1">
      <alignment horizontal="distributed" vertical="center"/>
      <protection/>
    </xf>
    <xf numFmtId="0" fontId="8" fillId="0" borderId="109" xfId="60" applyFont="1" applyBorder="1" applyAlignment="1">
      <alignment horizontal="distributed" vertical="center"/>
      <protection/>
    </xf>
    <xf numFmtId="0" fontId="3" fillId="0" borderId="23" xfId="60" applyFont="1" applyBorder="1" applyAlignment="1">
      <alignment horizontal="distributed" vertical="center"/>
      <protection/>
    </xf>
    <xf numFmtId="0" fontId="3" fillId="0" borderId="110" xfId="60" applyFont="1" applyBorder="1" applyAlignment="1">
      <alignment horizontal="distributed" vertical="center"/>
      <protection/>
    </xf>
    <xf numFmtId="0" fontId="3" fillId="0" borderId="103" xfId="0" applyFont="1" applyBorder="1" applyAlignment="1">
      <alignment horizontal="left" vertical="top" wrapText="1"/>
    </xf>
    <xf numFmtId="0" fontId="3" fillId="0" borderId="0" xfId="0" applyFont="1" applyAlignment="1">
      <alignment horizontal="left" vertical="top" wrapText="1"/>
    </xf>
    <xf numFmtId="0" fontId="12" fillId="0" borderId="0" xfId="60" applyFont="1" applyAlignment="1">
      <alignment horizontal="center" vertical="top"/>
      <protection/>
    </xf>
    <xf numFmtId="0" fontId="3" fillId="0" borderId="0" xfId="60" applyFont="1" applyAlignment="1">
      <alignment horizontal="left" vertical="top"/>
      <protection/>
    </xf>
    <xf numFmtId="0" fontId="3" fillId="0" borderId="111" xfId="60" applyFont="1" applyBorder="1" applyAlignment="1">
      <alignment horizontal="center" vertical="center"/>
      <protection/>
    </xf>
    <xf numFmtId="0" fontId="3" fillId="0" borderId="112" xfId="60" applyFont="1" applyBorder="1" applyAlignment="1">
      <alignment horizontal="center" vertical="center"/>
      <protection/>
    </xf>
    <xf numFmtId="0" fontId="3" fillId="0" borderId="113" xfId="60" applyFont="1" applyBorder="1" applyAlignment="1">
      <alignment horizontal="center" vertical="center"/>
      <protection/>
    </xf>
    <xf numFmtId="0" fontId="3" fillId="0" borderId="114" xfId="60" applyFont="1" applyBorder="1" applyAlignment="1">
      <alignment horizontal="center" vertical="center"/>
      <protection/>
    </xf>
    <xf numFmtId="0" fontId="3" fillId="0" borderId="115" xfId="60" applyFont="1" applyBorder="1" applyAlignment="1">
      <alignment horizontal="center" vertical="center"/>
      <protection/>
    </xf>
    <xf numFmtId="0" fontId="3" fillId="0" borderId="116" xfId="60" applyFont="1" applyBorder="1" applyAlignment="1">
      <alignment horizontal="center" vertical="center"/>
      <protection/>
    </xf>
    <xf numFmtId="0" fontId="3" fillId="0" borderId="117" xfId="60" applyFont="1" applyBorder="1" applyAlignment="1">
      <alignment horizontal="center" vertical="center"/>
      <protection/>
    </xf>
    <xf numFmtId="0" fontId="3" fillId="0" borderId="118"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29" xfId="60" applyFont="1" applyBorder="1" applyAlignment="1">
      <alignment horizontal="center" vertical="center"/>
      <protection/>
    </xf>
    <xf numFmtId="0" fontId="3" fillId="0" borderId="119" xfId="60" applyFont="1" applyBorder="1" applyAlignment="1">
      <alignment horizontal="center" vertical="center"/>
      <protection/>
    </xf>
    <xf numFmtId="0" fontId="3" fillId="0" borderId="120" xfId="60" applyFont="1" applyBorder="1" applyAlignment="1">
      <alignment horizontal="center" vertical="center"/>
      <protection/>
    </xf>
    <xf numFmtId="0" fontId="3" fillId="0" borderId="106" xfId="60" applyFont="1" applyBorder="1" applyAlignment="1">
      <alignment horizontal="center" vertical="center"/>
      <protection/>
    </xf>
    <xf numFmtId="0" fontId="3" fillId="0" borderId="121" xfId="60" applyFont="1" applyBorder="1" applyAlignment="1">
      <alignment horizontal="center" vertical="center"/>
      <protection/>
    </xf>
    <xf numFmtId="0" fontId="3" fillId="0" borderId="122" xfId="60" applyFont="1" applyBorder="1" applyAlignment="1">
      <alignment horizontal="center" vertical="center"/>
      <protection/>
    </xf>
    <xf numFmtId="0" fontId="3" fillId="0" borderId="103" xfId="60" applyFont="1" applyBorder="1" applyAlignment="1">
      <alignment horizontal="center" vertical="center"/>
      <protection/>
    </xf>
    <xf numFmtId="0" fontId="3" fillId="0" borderId="123" xfId="60" applyFont="1" applyBorder="1" applyAlignment="1">
      <alignment horizontal="center" vertical="center"/>
      <protection/>
    </xf>
    <xf numFmtId="0" fontId="3" fillId="0" borderId="103" xfId="60" applyFont="1" applyBorder="1" applyAlignment="1">
      <alignment horizontal="left" vertical="center"/>
      <protection/>
    </xf>
    <xf numFmtId="0" fontId="3" fillId="0" borderId="0" xfId="60" applyFont="1" applyAlignment="1">
      <alignment horizontal="left" vertical="center"/>
      <protection/>
    </xf>
    <xf numFmtId="0" fontId="3" fillId="0" borderId="55" xfId="60" applyFont="1" applyBorder="1" applyAlignment="1">
      <alignment horizontal="distributed" vertical="center" wrapText="1"/>
      <protection/>
    </xf>
    <xf numFmtId="0" fontId="3" fillId="0" borderId="124" xfId="60" applyFont="1" applyBorder="1" applyAlignment="1">
      <alignment horizontal="distributed" vertical="center" wrapText="1"/>
      <protection/>
    </xf>
    <xf numFmtId="0" fontId="3" fillId="0" borderId="125" xfId="60" applyFont="1" applyBorder="1" applyAlignment="1">
      <alignment horizontal="distributed" vertical="center" wrapText="1"/>
      <protection/>
    </xf>
    <xf numFmtId="0" fontId="3" fillId="0" borderId="126" xfId="60" applyFont="1" applyBorder="1" applyAlignment="1">
      <alignment horizontal="center" vertical="center"/>
      <protection/>
    </xf>
    <xf numFmtId="0" fontId="3" fillId="0" borderId="127" xfId="60" applyFont="1" applyBorder="1" applyAlignment="1">
      <alignment horizontal="center" vertical="center"/>
      <protection/>
    </xf>
    <xf numFmtId="0" fontId="3" fillId="0" borderId="128" xfId="60" applyFont="1" applyBorder="1" applyAlignment="1">
      <alignment horizontal="center" vertical="center"/>
      <protection/>
    </xf>
    <xf numFmtId="0" fontId="3" fillId="0" borderId="129" xfId="60" applyFont="1" applyBorder="1" applyAlignment="1">
      <alignment horizontal="center" vertical="center" wrapText="1"/>
      <protection/>
    </xf>
    <xf numFmtId="0" fontId="3" fillId="0" borderId="130" xfId="60" applyFont="1" applyBorder="1" applyAlignment="1">
      <alignment horizontal="center" vertical="center"/>
      <protection/>
    </xf>
    <xf numFmtId="0" fontId="3" fillId="0" borderId="131" xfId="60" applyFont="1" applyBorder="1" applyAlignment="1">
      <alignment horizontal="center" vertical="center"/>
      <protection/>
    </xf>
    <xf numFmtId="0" fontId="3" fillId="0" borderId="129" xfId="60" applyFont="1" applyBorder="1" applyAlignment="1">
      <alignment horizontal="center" vertical="center"/>
      <protection/>
    </xf>
    <xf numFmtId="0" fontId="3" fillId="0" borderId="111" xfId="60" applyFont="1" applyBorder="1" applyAlignment="1">
      <alignment horizontal="distributed" vertical="center"/>
      <protection/>
    </xf>
    <xf numFmtId="0" fontId="3" fillId="0" borderId="113" xfId="60" applyFont="1" applyBorder="1" applyAlignment="1">
      <alignment horizontal="distributed" vertical="center"/>
      <protection/>
    </xf>
    <xf numFmtId="0" fontId="3" fillId="0" borderId="132" xfId="60" applyFont="1" applyBorder="1" applyAlignment="1">
      <alignment horizontal="distributed" vertical="center"/>
      <protection/>
    </xf>
    <xf numFmtId="0" fontId="3" fillId="0" borderId="133" xfId="60" applyFont="1" applyBorder="1" applyAlignment="1">
      <alignment horizontal="center" vertical="center"/>
      <protection/>
    </xf>
    <xf numFmtId="0" fontId="3" fillId="0" borderId="134" xfId="60" applyFont="1" applyBorder="1" applyAlignment="1">
      <alignment horizontal="left" vertical="center"/>
      <protection/>
    </xf>
    <xf numFmtId="0" fontId="3" fillId="0" borderId="135" xfId="60" applyFont="1" applyBorder="1" applyAlignment="1">
      <alignment horizontal="distributed" vertical="center" wrapText="1"/>
      <protection/>
    </xf>
    <xf numFmtId="0" fontId="3" fillId="0" borderId="136" xfId="60" applyFont="1" applyBorder="1" applyAlignment="1">
      <alignment horizontal="distributed" vertical="center"/>
      <protection/>
    </xf>
    <xf numFmtId="0" fontId="3" fillId="0" borderId="137" xfId="60" applyFont="1" applyBorder="1" applyAlignment="1">
      <alignment horizontal="distributed" vertical="center" wrapText="1"/>
      <protection/>
    </xf>
    <xf numFmtId="0" fontId="3" fillId="0" borderId="138" xfId="60" applyFont="1" applyBorder="1" applyAlignment="1">
      <alignment horizontal="distributed" vertical="center" wrapText="1"/>
      <protection/>
    </xf>
    <xf numFmtId="0" fontId="3" fillId="0" borderId="34" xfId="60" applyFont="1" applyBorder="1" applyAlignment="1">
      <alignment horizontal="center" vertical="center"/>
      <protection/>
    </xf>
    <xf numFmtId="0" fontId="3" fillId="0" borderId="133" xfId="60" applyFont="1" applyBorder="1" applyAlignment="1">
      <alignment horizontal="center" vertical="center" wrapText="1"/>
      <protection/>
    </xf>
    <xf numFmtId="0" fontId="3" fillId="0" borderId="139" xfId="60" applyFont="1" applyBorder="1" applyAlignment="1">
      <alignment horizontal="center" vertical="center"/>
      <protection/>
    </xf>
    <xf numFmtId="0" fontId="3" fillId="0" borderId="140" xfId="60" applyFont="1" applyBorder="1" applyAlignment="1">
      <alignment horizontal="center" vertical="center"/>
      <protection/>
    </xf>
    <xf numFmtId="0" fontId="3" fillId="0" borderId="141" xfId="60" applyFont="1" applyBorder="1" applyAlignment="1">
      <alignment horizontal="distributed" vertical="center" wrapText="1"/>
      <protection/>
    </xf>
    <xf numFmtId="0" fontId="3" fillId="0" borderId="142" xfId="60" applyFont="1" applyBorder="1" applyAlignment="1">
      <alignment horizontal="distributed" vertical="center"/>
      <protection/>
    </xf>
    <xf numFmtId="3" fontId="47" fillId="34" borderId="59" xfId="60" applyNumberFormat="1" applyFont="1" applyFill="1" applyBorder="1" applyAlignment="1">
      <alignment horizontal="right" vertical="center"/>
      <protection/>
    </xf>
    <xf numFmtId="3" fontId="47" fillId="34" borderId="60" xfId="60" applyNumberFormat="1" applyFont="1" applyFill="1" applyBorder="1" applyAlignment="1">
      <alignment horizontal="right" vertical="center"/>
      <protection/>
    </xf>
    <xf numFmtId="3" fontId="48" fillId="34" borderId="60" xfId="60" applyNumberFormat="1" applyFont="1" applyFill="1" applyBorder="1" applyAlignment="1">
      <alignment horizontal="right" vertical="center"/>
      <protection/>
    </xf>
    <xf numFmtId="3" fontId="47" fillId="34" borderId="62" xfId="60" applyNumberFormat="1" applyFont="1" applyFill="1" applyBorder="1" applyAlignment="1">
      <alignment horizontal="right" vertical="center"/>
      <protection/>
    </xf>
    <xf numFmtId="0" fontId="48" fillId="0" borderId="43" xfId="60" applyFont="1" applyBorder="1" applyAlignment="1">
      <alignment horizontal="right" vertical="center"/>
      <protection/>
    </xf>
    <xf numFmtId="3" fontId="47" fillId="34" borderId="50" xfId="60" applyNumberFormat="1" applyFont="1" applyFill="1" applyBorder="1" applyAlignment="1">
      <alignment horizontal="right" vertical="center"/>
      <protection/>
    </xf>
    <xf numFmtId="3" fontId="47" fillId="34" borderId="98" xfId="60" applyNumberFormat="1" applyFont="1" applyFill="1" applyBorder="1" applyAlignment="1">
      <alignment horizontal="right" vertical="center"/>
      <protection/>
    </xf>
    <xf numFmtId="176" fontId="47" fillId="35" borderId="36" xfId="60" applyNumberFormat="1" applyFont="1" applyFill="1" applyBorder="1" applyAlignment="1">
      <alignment horizontal="right" vertical="center"/>
      <protection/>
    </xf>
    <xf numFmtId="176" fontId="47" fillId="35" borderId="39" xfId="60" applyNumberFormat="1" applyFont="1" applyFill="1" applyBorder="1" applyAlignment="1">
      <alignment horizontal="right" vertical="center"/>
      <protection/>
    </xf>
    <xf numFmtId="176" fontId="47" fillId="35" borderId="71" xfId="60" applyNumberFormat="1" applyFont="1" applyFill="1" applyBorder="1" applyAlignment="1">
      <alignment horizontal="right" vertical="center"/>
      <protection/>
    </xf>
    <xf numFmtId="176" fontId="47" fillId="35" borderId="73" xfId="60" applyNumberFormat="1" applyFont="1" applyFill="1" applyBorder="1" applyAlignment="1">
      <alignment horizontal="right" vertical="center"/>
      <protection/>
    </xf>
    <xf numFmtId="176" fontId="47" fillId="34" borderId="47" xfId="60" applyNumberFormat="1" applyFont="1" applyFill="1" applyBorder="1" applyAlignment="1">
      <alignment horizontal="right" vertical="center"/>
      <protection/>
    </xf>
    <xf numFmtId="176" fontId="48" fillId="34" borderId="74" xfId="60" applyNumberFormat="1" applyFont="1" applyFill="1" applyBorder="1" applyAlignment="1">
      <alignment horizontal="right" vertical="center"/>
      <protection/>
    </xf>
    <xf numFmtId="176" fontId="47" fillId="0" borderId="91" xfId="60" applyNumberFormat="1" applyFont="1" applyFill="1" applyBorder="1" applyAlignment="1">
      <alignment horizontal="right" vertical="center"/>
      <protection/>
    </xf>
    <xf numFmtId="176" fontId="48" fillId="34" borderId="44" xfId="60" applyNumberFormat="1" applyFont="1" applyFill="1" applyBorder="1" applyAlignment="1">
      <alignment horizontal="right" vertical="center"/>
      <protection/>
    </xf>
    <xf numFmtId="176" fontId="47" fillId="0" borderId="93" xfId="60" applyNumberFormat="1" applyFont="1" applyFill="1" applyBorder="1" applyAlignment="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SheetLayoutView="100" workbookViewId="0" topLeftCell="A1">
      <selection activeCell="B41" sqref="B41"/>
    </sheetView>
  </sheetViews>
  <sheetFormatPr defaultColWidth="5.8515625" defaultRowHeight="15"/>
  <cols>
    <col min="1" max="1" width="9.8515625" style="2" customWidth="1"/>
    <col min="2" max="2" width="17.28125" style="2" customWidth="1"/>
    <col min="3" max="3" width="2.8515625" style="2" customWidth="1"/>
    <col min="4" max="4" width="7.421875" style="2" customWidth="1"/>
    <col min="5" max="5" width="12.57421875" style="2" customWidth="1"/>
    <col min="6" max="6" width="2.8515625" style="2" customWidth="1"/>
    <col min="7" max="7" width="7.421875" style="2" customWidth="1"/>
    <col min="8" max="8" width="12.57421875" style="2" customWidth="1"/>
    <col min="9" max="9" width="2.8515625" style="2" customWidth="1"/>
    <col min="10" max="10" width="7.421875" style="2" customWidth="1"/>
    <col min="11" max="11" width="12.57421875" style="2" customWidth="1"/>
    <col min="12" max="16384" width="5.8515625" style="2" customWidth="1"/>
  </cols>
  <sheetData>
    <row r="1" spans="1:11" ht="15">
      <c r="A1" s="174" t="s">
        <v>126</v>
      </c>
      <c r="B1" s="174"/>
      <c r="C1" s="174"/>
      <c r="D1" s="174"/>
      <c r="E1" s="174"/>
      <c r="F1" s="174"/>
      <c r="G1" s="174"/>
      <c r="H1" s="174"/>
      <c r="I1" s="174"/>
      <c r="J1" s="174"/>
      <c r="K1" s="174"/>
    </row>
    <row r="2" spans="1:11" ht="15">
      <c r="A2" s="43"/>
      <c r="B2" s="43"/>
      <c r="C2" s="43"/>
      <c r="D2" s="43"/>
      <c r="E2" s="43"/>
      <c r="F2" s="43"/>
      <c r="G2" s="43"/>
      <c r="H2" s="43"/>
      <c r="I2" s="43"/>
      <c r="J2" s="43"/>
      <c r="K2" s="43"/>
    </row>
    <row r="3" spans="1:11" ht="12" thickBot="1">
      <c r="A3" s="175" t="s">
        <v>148</v>
      </c>
      <c r="B3" s="175"/>
      <c r="C3" s="175"/>
      <c r="D3" s="175"/>
      <c r="E3" s="175"/>
      <c r="F3" s="175"/>
      <c r="G3" s="175"/>
      <c r="H3" s="175"/>
      <c r="I3" s="175"/>
      <c r="J3" s="175"/>
      <c r="K3" s="175"/>
    </row>
    <row r="4" spans="1:11" ht="24" customHeight="1">
      <c r="A4" s="176" t="s">
        <v>127</v>
      </c>
      <c r="B4" s="177"/>
      <c r="C4" s="180" t="s">
        <v>149</v>
      </c>
      <c r="D4" s="181"/>
      <c r="E4" s="182"/>
      <c r="F4" s="180" t="s">
        <v>150</v>
      </c>
      <c r="G4" s="181"/>
      <c r="H4" s="182"/>
      <c r="I4" s="180" t="s">
        <v>151</v>
      </c>
      <c r="J4" s="181"/>
      <c r="K4" s="183"/>
    </row>
    <row r="5" spans="1:11" ht="24" customHeight="1">
      <c r="A5" s="178"/>
      <c r="B5" s="179"/>
      <c r="C5" s="184" t="s">
        <v>129</v>
      </c>
      <c r="D5" s="185"/>
      <c r="E5" s="44" t="s">
        <v>130</v>
      </c>
      <c r="F5" s="184" t="s">
        <v>129</v>
      </c>
      <c r="G5" s="185"/>
      <c r="H5" s="44" t="s">
        <v>130</v>
      </c>
      <c r="I5" s="184" t="s">
        <v>129</v>
      </c>
      <c r="J5" s="185"/>
      <c r="K5" s="45" t="s">
        <v>130</v>
      </c>
    </row>
    <row r="6" spans="1:11" ht="12" customHeight="1">
      <c r="A6" s="46"/>
      <c r="B6" s="47"/>
      <c r="C6" s="48"/>
      <c r="D6" s="32" t="s">
        <v>131</v>
      </c>
      <c r="E6" s="7" t="s">
        <v>132</v>
      </c>
      <c r="F6" s="48"/>
      <c r="G6" s="32" t="s">
        <v>131</v>
      </c>
      <c r="H6" s="7" t="s">
        <v>132</v>
      </c>
      <c r="I6" s="48"/>
      <c r="J6" s="32" t="s">
        <v>131</v>
      </c>
      <c r="K6" s="49" t="s">
        <v>132</v>
      </c>
    </row>
    <row r="7" spans="1:11" ht="30" customHeight="1">
      <c r="A7" s="163" t="s">
        <v>152</v>
      </c>
      <c r="B7" s="50" t="s">
        <v>153</v>
      </c>
      <c r="C7" s="51"/>
      <c r="D7" s="220">
        <v>102945</v>
      </c>
      <c r="E7" s="52">
        <v>61010574</v>
      </c>
      <c r="F7" s="53"/>
      <c r="G7" s="97">
        <v>222275</v>
      </c>
      <c r="H7" s="52">
        <v>2219851651</v>
      </c>
      <c r="I7" s="53"/>
      <c r="J7" s="97">
        <v>325220</v>
      </c>
      <c r="K7" s="54">
        <v>2280862225</v>
      </c>
    </row>
    <row r="8" spans="1:11" ht="30" customHeight="1">
      <c r="A8" s="164"/>
      <c r="B8" s="55" t="s">
        <v>154</v>
      </c>
      <c r="C8" s="51"/>
      <c r="D8" s="221">
        <v>87959</v>
      </c>
      <c r="E8" s="99">
        <v>39873938</v>
      </c>
      <c r="F8" s="53"/>
      <c r="G8" s="98">
        <v>66383</v>
      </c>
      <c r="H8" s="99">
        <v>42555465</v>
      </c>
      <c r="I8" s="53"/>
      <c r="J8" s="98">
        <v>154342</v>
      </c>
      <c r="K8" s="100">
        <v>82429403</v>
      </c>
    </row>
    <row r="9" spans="1:11" s="58" customFormat="1" ht="30" customHeight="1">
      <c r="A9" s="164"/>
      <c r="B9" s="56" t="s">
        <v>155</v>
      </c>
      <c r="C9" s="57"/>
      <c r="D9" s="222">
        <v>190904</v>
      </c>
      <c r="E9" s="102">
        <v>100884512</v>
      </c>
      <c r="F9" s="57"/>
      <c r="G9" s="101">
        <v>288658</v>
      </c>
      <c r="H9" s="102">
        <v>2262407116</v>
      </c>
      <c r="I9" s="57"/>
      <c r="J9" s="101">
        <v>479562</v>
      </c>
      <c r="K9" s="156">
        <v>2363291628</v>
      </c>
    </row>
    <row r="10" spans="1:11" ht="30" customHeight="1">
      <c r="A10" s="165"/>
      <c r="B10" s="59" t="s">
        <v>156</v>
      </c>
      <c r="C10" s="51"/>
      <c r="D10" s="223">
        <v>7703</v>
      </c>
      <c r="E10" s="104">
        <v>5914380</v>
      </c>
      <c r="F10" s="51"/>
      <c r="G10" s="103">
        <v>28806</v>
      </c>
      <c r="H10" s="104">
        <v>626782512</v>
      </c>
      <c r="I10" s="51"/>
      <c r="J10" s="98">
        <v>36509</v>
      </c>
      <c r="K10" s="100">
        <v>632696892</v>
      </c>
    </row>
    <row r="11" spans="1:11" ht="30" customHeight="1">
      <c r="A11" s="166" t="s">
        <v>157</v>
      </c>
      <c r="B11" s="60" t="s">
        <v>158</v>
      </c>
      <c r="C11" s="61"/>
      <c r="D11" s="105">
        <v>14894</v>
      </c>
      <c r="E11" s="62">
        <v>4726089</v>
      </c>
      <c r="F11" s="63"/>
      <c r="G11" s="106">
        <v>17284</v>
      </c>
      <c r="H11" s="62">
        <v>8447688</v>
      </c>
      <c r="I11" s="63"/>
      <c r="J11" s="106">
        <v>32178</v>
      </c>
      <c r="K11" s="64">
        <v>13173777</v>
      </c>
    </row>
    <row r="12" spans="1:11" ht="30" customHeight="1">
      <c r="A12" s="167"/>
      <c r="B12" s="65" t="s">
        <v>159</v>
      </c>
      <c r="C12" s="66"/>
      <c r="D12" s="98">
        <v>1554</v>
      </c>
      <c r="E12" s="99">
        <v>434089</v>
      </c>
      <c r="F12" s="67"/>
      <c r="G12" s="107">
        <v>2847</v>
      </c>
      <c r="H12" s="99">
        <v>4087382</v>
      </c>
      <c r="I12" s="67"/>
      <c r="J12" s="107">
        <v>4401</v>
      </c>
      <c r="K12" s="100">
        <v>4521471</v>
      </c>
    </row>
    <row r="13" spans="1:11" s="58" customFormat="1" ht="30" customHeight="1">
      <c r="A13" s="168" t="s">
        <v>133</v>
      </c>
      <c r="B13" s="169"/>
      <c r="C13" s="68" t="s">
        <v>134</v>
      </c>
      <c r="D13" s="108">
        <v>206064</v>
      </c>
      <c r="E13" s="109">
        <v>99262131</v>
      </c>
      <c r="F13" s="224" t="s">
        <v>134</v>
      </c>
      <c r="G13" s="108">
        <v>319858</v>
      </c>
      <c r="H13" s="109">
        <v>1639984910</v>
      </c>
      <c r="I13" s="224" t="s">
        <v>134</v>
      </c>
      <c r="J13" s="108">
        <v>525922</v>
      </c>
      <c r="K13" s="110">
        <v>1739247041</v>
      </c>
    </row>
    <row r="14" spans="1:11" ht="30" customHeight="1" thickBot="1">
      <c r="A14" s="170" t="s">
        <v>135</v>
      </c>
      <c r="B14" s="171"/>
      <c r="C14" s="69"/>
      <c r="D14" s="111">
        <v>16035</v>
      </c>
      <c r="E14" s="112">
        <v>919863</v>
      </c>
      <c r="F14" s="70"/>
      <c r="G14" s="111">
        <v>14423</v>
      </c>
      <c r="H14" s="112">
        <v>1598646</v>
      </c>
      <c r="I14" s="70"/>
      <c r="J14" s="111">
        <v>30458</v>
      </c>
      <c r="K14" s="113">
        <v>2518509</v>
      </c>
    </row>
    <row r="15" spans="1:11" s="1" customFormat="1" ht="34.5" customHeight="1">
      <c r="A15" s="161" t="s">
        <v>176</v>
      </c>
      <c r="B15" s="172" t="s">
        <v>177</v>
      </c>
      <c r="C15" s="172"/>
      <c r="D15" s="172"/>
      <c r="E15" s="172"/>
      <c r="F15" s="172"/>
      <c r="G15" s="172"/>
      <c r="H15" s="172"/>
      <c r="I15" s="172"/>
      <c r="J15" s="172"/>
      <c r="K15" s="172"/>
    </row>
    <row r="16" spans="1:11" ht="35.25" customHeight="1">
      <c r="A16" s="162"/>
      <c r="B16" s="173" t="s">
        <v>178</v>
      </c>
      <c r="C16" s="173"/>
      <c r="D16" s="173"/>
      <c r="E16" s="173"/>
      <c r="F16" s="173"/>
      <c r="G16" s="173"/>
      <c r="H16" s="173"/>
      <c r="I16" s="173"/>
      <c r="J16" s="173"/>
      <c r="K16" s="173"/>
    </row>
    <row r="17" ht="12.75" customHeight="1">
      <c r="A17" s="2" t="s">
        <v>166</v>
      </c>
    </row>
    <row r="18" ht="11.25">
      <c r="A18" s="71" t="s">
        <v>173</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5:K15"/>
    <mergeCell ref="B16:K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&amp;R&amp;10大阪国税局
消費税
(H30)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SheetLayoutView="106" workbookViewId="0" topLeftCell="A1">
      <selection activeCell="G27" sqref="G27"/>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136</v>
      </c>
    </row>
    <row r="2" spans="1:8" s="2" customFormat="1" ht="15" customHeight="1">
      <c r="A2" s="176" t="s">
        <v>127</v>
      </c>
      <c r="B2" s="177"/>
      <c r="C2" s="190" t="s">
        <v>128</v>
      </c>
      <c r="D2" s="190"/>
      <c r="E2" s="190" t="s">
        <v>137</v>
      </c>
      <c r="F2" s="190"/>
      <c r="G2" s="191" t="s">
        <v>138</v>
      </c>
      <c r="H2" s="192"/>
    </row>
    <row r="3" spans="1:8" s="2" customFormat="1" ht="15" customHeight="1">
      <c r="A3" s="178"/>
      <c r="B3" s="179"/>
      <c r="C3" s="61" t="s">
        <v>139</v>
      </c>
      <c r="D3" s="44" t="s">
        <v>140</v>
      </c>
      <c r="E3" s="61" t="s">
        <v>139</v>
      </c>
      <c r="F3" s="72" t="s">
        <v>140</v>
      </c>
      <c r="G3" s="61" t="s">
        <v>139</v>
      </c>
      <c r="H3" s="73" t="s">
        <v>140</v>
      </c>
    </row>
    <row r="4" spans="1:8" s="78" customFormat="1" ht="15" customHeight="1">
      <c r="A4" s="74"/>
      <c r="B4" s="44"/>
      <c r="C4" s="75" t="s">
        <v>15</v>
      </c>
      <c r="D4" s="76" t="s">
        <v>16</v>
      </c>
      <c r="E4" s="75" t="s">
        <v>15</v>
      </c>
      <c r="F4" s="76" t="s">
        <v>16</v>
      </c>
      <c r="G4" s="75" t="s">
        <v>15</v>
      </c>
      <c r="H4" s="77" t="s">
        <v>16</v>
      </c>
    </row>
    <row r="5" spans="1:8" s="80" customFormat="1" ht="30" customHeight="1">
      <c r="A5" s="186" t="s">
        <v>180</v>
      </c>
      <c r="B5" s="50" t="s">
        <v>141</v>
      </c>
      <c r="C5" s="79">
        <v>195600</v>
      </c>
      <c r="D5" s="52">
        <v>90720974</v>
      </c>
      <c r="E5" s="79">
        <v>282890</v>
      </c>
      <c r="F5" s="52">
        <v>1880262994</v>
      </c>
      <c r="G5" s="79">
        <v>478490</v>
      </c>
      <c r="H5" s="54">
        <v>1970983967</v>
      </c>
    </row>
    <row r="6" spans="1:8" s="80" customFormat="1" ht="30" customHeight="1">
      <c r="A6" s="187"/>
      <c r="B6" s="59" t="s">
        <v>3</v>
      </c>
      <c r="C6" s="81">
        <v>7342</v>
      </c>
      <c r="D6" s="82">
        <v>5035032</v>
      </c>
      <c r="E6" s="81">
        <v>24440</v>
      </c>
      <c r="F6" s="82">
        <v>521553655</v>
      </c>
      <c r="G6" s="81">
        <v>31782</v>
      </c>
      <c r="H6" s="83">
        <v>526588687</v>
      </c>
    </row>
    <row r="7" spans="1:8" s="80" customFormat="1" ht="30" customHeight="1">
      <c r="A7" s="186" t="s">
        <v>169</v>
      </c>
      <c r="B7" s="84" t="s">
        <v>141</v>
      </c>
      <c r="C7" s="85">
        <v>194470</v>
      </c>
      <c r="D7" s="62">
        <v>100399718</v>
      </c>
      <c r="E7" s="85">
        <v>283438</v>
      </c>
      <c r="F7" s="62">
        <v>2147985077</v>
      </c>
      <c r="G7" s="85">
        <v>477908</v>
      </c>
      <c r="H7" s="64">
        <v>2248384795</v>
      </c>
    </row>
    <row r="8" spans="1:8" s="80" customFormat="1" ht="30" customHeight="1">
      <c r="A8" s="187"/>
      <c r="B8" s="59" t="s">
        <v>3</v>
      </c>
      <c r="C8" s="81">
        <v>7550</v>
      </c>
      <c r="D8" s="82">
        <v>6179978</v>
      </c>
      <c r="E8" s="81">
        <v>25727</v>
      </c>
      <c r="F8" s="82">
        <v>536553648</v>
      </c>
      <c r="G8" s="81">
        <v>33277</v>
      </c>
      <c r="H8" s="83">
        <v>542733626</v>
      </c>
    </row>
    <row r="9" spans="1:8" s="80" customFormat="1" ht="30" customHeight="1">
      <c r="A9" s="186" t="s">
        <v>174</v>
      </c>
      <c r="B9" s="84" t="s">
        <v>141</v>
      </c>
      <c r="C9" s="85">
        <v>193856</v>
      </c>
      <c r="D9" s="62">
        <v>101369413</v>
      </c>
      <c r="E9" s="85">
        <v>285253</v>
      </c>
      <c r="F9" s="62">
        <v>2295954449</v>
      </c>
      <c r="G9" s="85">
        <v>479109</v>
      </c>
      <c r="H9" s="64">
        <v>2397323862</v>
      </c>
    </row>
    <row r="10" spans="1:8" s="80" customFormat="1" ht="30" customHeight="1">
      <c r="A10" s="187"/>
      <c r="B10" s="59" t="s">
        <v>3</v>
      </c>
      <c r="C10" s="81">
        <v>7562</v>
      </c>
      <c r="D10" s="82">
        <v>6173705</v>
      </c>
      <c r="E10" s="81">
        <v>26565</v>
      </c>
      <c r="F10" s="82">
        <v>593585995</v>
      </c>
      <c r="G10" s="81">
        <v>34127</v>
      </c>
      <c r="H10" s="83">
        <v>599759701</v>
      </c>
    </row>
    <row r="11" spans="1:8" s="80" customFormat="1" ht="30" customHeight="1">
      <c r="A11" s="186" t="s">
        <v>181</v>
      </c>
      <c r="B11" s="84" t="s">
        <v>141</v>
      </c>
      <c r="C11" s="85">
        <v>192374</v>
      </c>
      <c r="D11" s="62">
        <v>100387092</v>
      </c>
      <c r="E11" s="85">
        <v>286810</v>
      </c>
      <c r="F11" s="62">
        <v>2312442885</v>
      </c>
      <c r="G11" s="85">
        <v>479184</v>
      </c>
      <c r="H11" s="64">
        <v>2412829977</v>
      </c>
    </row>
    <row r="12" spans="1:8" s="80" customFormat="1" ht="30" customHeight="1">
      <c r="A12" s="187"/>
      <c r="B12" s="59" t="s">
        <v>3</v>
      </c>
      <c r="C12" s="81">
        <v>7649</v>
      </c>
      <c r="D12" s="82">
        <v>5913994</v>
      </c>
      <c r="E12" s="81">
        <v>27560</v>
      </c>
      <c r="F12" s="82">
        <v>585242584</v>
      </c>
      <c r="G12" s="81">
        <v>35209</v>
      </c>
      <c r="H12" s="83">
        <v>591156577</v>
      </c>
    </row>
    <row r="13" spans="1:8" s="2" customFormat="1" ht="30" customHeight="1">
      <c r="A13" s="188" t="s">
        <v>182</v>
      </c>
      <c r="B13" s="84" t="s">
        <v>141</v>
      </c>
      <c r="C13" s="225">
        <v>190904</v>
      </c>
      <c r="D13" s="62">
        <v>100884512</v>
      </c>
      <c r="E13" s="85">
        <v>288658</v>
      </c>
      <c r="F13" s="62">
        <v>2262407116</v>
      </c>
      <c r="G13" s="85">
        <v>479562</v>
      </c>
      <c r="H13" s="64">
        <v>2363291628</v>
      </c>
    </row>
    <row r="14" spans="1:8" s="2" customFormat="1" ht="30" customHeight="1" thickBot="1">
      <c r="A14" s="189"/>
      <c r="B14" s="86" t="s">
        <v>3</v>
      </c>
      <c r="C14" s="226">
        <v>7703</v>
      </c>
      <c r="D14" s="154">
        <v>5914380</v>
      </c>
      <c r="E14" s="153">
        <v>28806</v>
      </c>
      <c r="F14" s="154">
        <v>626782512</v>
      </c>
      <c r="G14" s="153">
        <v>36509</v>
      </c>
      <c r="H14" s="155">
        <v>632696892</v>
      </c>
    </row>
    <row r="15" spans="5:7" s="2" customFormat="1" ht="11.25">
      <c r="E15" s="87"/>
      <c r="G15" s="87"/>
    </row>
    <row r="16" spans="5:7" s="2" customFormat="1" ht="11.25">
      <c r="E16" s="87"/>
      <c r="G16" s="87"/>
    </row>
    <row r="17" spans="5:7" s="2" customFormat="1" ht="11.25">
      <c r="E17" s="87"/>
      <c r="G17" s="87"/>
    </row>
    <row r="18" spans="5:7" s="2" customFormat="1" ht="11.25">
      <c r="E18" s="87"/>
      <c r="G18" s="87"/>
    </row>
    <row r="19" spans="5:7" s="2" customFormat="1" ht="11.25">
      <c r="E19" s="87"/>
      <c r="G19" s="87"/>
    </row>
    <row r="20" spans="5:7" s="2" customFormat="1" ht="11.25">
      <c r="E20" s="87"/>
      <c r="G20" s="87"/>
    </row>
    <row r="21" spans="5:7" s="2" customFormat="1" ht="11.25">
      <c r="E21" s="87"/>
      <c r="G21" s="87"/>
    </row>
    <row r="22" spans="5:7" s="2" customFormat="1" ht="11.25">
      <c r="E22" s="87"/>
      <c r="G22" s="87"/>
    </row>
  </sheetData>
  <sheetProtection/>
  <mergeCells count="9">
    <mergeCell ref="A11:A12"/>
    <mergeCell ref="A13:A14"/>
    <mergeCell ref="A2:B3"/>
    <mergeCell ref="C2:D2"/>
    <mergeCell ref="E2:F2"/>
    <mergeCell ref="G2:H2"/>
    <mergeCell ref="A5:A6"/>
    <mergeCell ref="A7:A8"/>
    <mergeCell ref="A9: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&amp;R&amp;10大阪国税局
消費税
(H30)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SheetLayoutView="175" workbookViewId="0" topLeftCell="A1">
      <selection activeCell="A33" sqref="A33"/>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2" customFormat="1" ht="20.25" customHeight="1" thickBot="1">
      <c r="A1" s="2" t="s">
        <v>142</v>
      </c>
    </row>
    <row r="2" spans="1:4" s="1" customFormat="1" ht="19.5" customHeight="1">
      <c r="A2" s="88" t="s">
        <v>143</v>
      </c>
      <c r="B2" s="89" t="s">
        <v>144</v>
      </c>
      <c r="C2" s="90" t="s">
        <v>145</v>
      </c>
      <c r="D2" s="91" t="s">
        <v>146</v>
      </c>
    </row>
    <row r="3" spans="1:4" s="78" customFormat="1" ht="15" customHeight="1">
      <c r="A3" s="92" t="s">
        <v>15</v>
      </c>
      <c r="B3" s="93" t="s">
        <v>15</v>
      </c>
      <c r="C3" s="94" t="s">
        <v>15</v>
      </c>
      <c r="D3" s="95" t="s">
        <v>15</v>
      </c>
    </row>
    <row r="4" spans="1:9" s="1" customFormat="1" ht="30" customHeight="1" thickBot="1">
      <c r="A4" s="157">
        <v>544533</v>
      </c>
      <c r="B4" s="158">
        <v>19000</v>
      </c>
      <c r="C4" s="159">
        <v>2228</v>
      </c>
      <c r="D4" s="160">
        <v>565761</v>
      </c>
      <c r="E4" s="96"/>
      <c r="G4" s="96"/>
      <c r="I4" s="96"/>
    </row>
    <row r="5" spans="1:4" s="1" customFormat="1" ht="15" customHeight="1">
      <c r="A5" s="193" t="s">
        <v>179</v>
      </c>
      <c r="B5" s="193"/>
      <c r="C5" s="193"/>
      <c r="D5" s="193"/>
    </row>
    <row r="6" spans="1:4" s="1" customFormat="1" ht="15" customHeight="1">
      <c r="A6" s="194" t="s">
        <v>147</v>
      </c>
      <c r="B6" s="194"/>
      <c r="C6" s="194"/>
      <c r="D6" s="194"/>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&amp;R&amp;10大阪国税局
消費税
(H30)</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17"/>
  <sheetViews>
    <sheetView showGridLines="0" zoomScaleSheetLayoutView="85" workbookViewId="0" topLeftCell="B1">
      <selection activeCell="O21" sqref="O21"/>
    </sheetView>
  </sheetViews>
  <sheetFormatPr defaultColWidth="9.140625" defaultRowHeight="15"/>
  <cols>
    <col min="1" max="1" width="11.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4" ht="13.5">
      <c r="A1" s="1" t="s">
        <v>171</v>
      </c>
      <c r="B1" s="1"/>
      <c r="C1" s="1"/>
      <c r="D1" s="1"/>
      <c r="E1" s="1"/>
      <c r="F1" s="1"/>
      <c r="G1" s="1"/>
      <c r="H1" s="2"/>
      <c r="I1" s="2"/>
      <c r="J1" s="2"/>
      <c r="K1" s="2"/>
      <c r="L1" s="2"/>
      <c r="M1" s="2"/>
      <c r="N1" s="2"/>
    </row>
    <row r="2" spans="1:14" ht="14.25" thickBot="1">
      <c r="A2" s="194" t="s">
        <v>0</v>
      </c>
      <c r="B2" s="194"/>
      <c r="C2" s="194"/>
      <c r="D2" s="194"/>
      <c r="E2" s="194"/>
      <c r="F2" s="194"/>
      <c r="G2" s="194"/>
      <c r="H2" s="2"/>
      <c r="I2" s="2"/>
      <c r="J2" s="2"/>
      <c r="K2" s="2"/>
      <c r="L2" s="2"/>
      <c r="M2" s="2"/>
      <c r="N2" s="2"/>
    </row>
    <row r="3" spans="1:14" ht="19.5" customHeight="1">
      <c r="A3" s="205" t="s">
        <v>1</v>
      </c>
      <c r="B3" s="208" t="s">
        <v>2</v>
      </c>
      <c r="C3" s="208"/>
      <c r="D3" s="208"/>
      <c r="E3" s="208"/>
      <c r="F3" s="208"/>
      <c r="G3" s="208"/>
      <c r="H3" s="204" t="s">
        <v>3</v>
      </c>
      <c r="I3" s="202"/>
      <c r="J3" s="201" t="s">
        <v>4</v>
      </c>
      <c r="K3" s="202"/>
      <c r="L3" s="204" t="s">
        <v>5</v>
      </c>
      <c r="M3" s="202"/>
      <c r="N3" s="195" t="s">
        <v>6</v>
      </c>
    </row>
    <row r="4" spans="1:14" ht="17.25" customHeight="1">
      <c r="A4" s="206"/>
      <c r="B4" s="198" t="s">
        <v>7</v>
      </c>
      <c r="C4" s="198"/>
      <c r="D4" s="199" t="s">
        <v>8</v>
      </c>
      <c r="E4" s="200"/>
      <c r="F4" s="199" t="s">
        <v>9</v>
      </c>
      <c r="G4" s="200"/>
      <c r="H4" s="199"/>
      <c r="I4" s="203"/>
      <c r="J4" s="199"/>
      <c r="K4" s="203"/>
      <c r="L4" s="199"/>
      <c r="M4" s="203"/>
      <c r="N4" s="196"/>
    </row>
    <row r="5" spans="1:14" s="4" customFormat="1" ht="28.5" customHeight="1">
      <c r="A5" s="207"/>
      <c r="B5" s="37" t="s">
        <v>10</v>
      </c>
      <c r="C5" s="38" t="s">
        <v>11</v>
      </c>
      <c r="D5" s="37" t="s">
        <v>10</v>
      </c>
      <c r="E5" s="38" t="s">
        <v>11</v>
      </c>
      <c r="F5" s="37" t="s">
        <v>10</v>
      </c>
      <c r="G5" s="41" t="s">
        <v>12</v>
      </c>
      <c r="H5" s="37" t="s">
        <v>115</v>
      </c>
      <c r="I5" s="40" t="s">
        <v>13</v>
      </c>
      <c r="J5" s="37" t="s">
        <v>115</v>
      </c>
      <c r="K5" s="40" t="s">
        <v>14</v>
      </c>
      <c r="L5" s="37" t="s">
        <v>115</v>
      </c>
      <c r="M5" s="39" t="s">
        <v>116</v>
      </c>
      <c r="N5" s="197"/>
    </row>
    <row r="6" spans="1:14" s="10" customFormat="1" ht="10.5">
      <c r="A6" s="5"/>
      <c r="B6" s="6" t="s">
        <v>15</v>
      </c>
      <c r="C6" s="7" t="s">
        <v>16</v>
      </c>
      <c r="D6" s="6" t="s">
        <v>15</v>
      </c>
      <c r="E6" s="7" t="s">
        <v>16</v>
      </c>
      <c r="F6" s="6" t="s">
        <v>15</v>
      </c>
      <c r="G6" s="7" t="s">
        <v>16</v>
      </c>
      <c r="H6" s="6" t="s">
        <v>15</v>
      </c>
      <c r="I6" s="8" t="s">
        <v>16</v>
      </c>
      <c r="J6" s="6" t="s">
        <v>15</v>
      </c>
      <c r="K6" s="8" t="s">
        <v>16</v>
      </c>
      <c r="L6" s="6" t="s">
        <v>170</v>
      </c>
      <c r="M6" s="8" t="s">
        <v>16</v>
      </c>
      <c r="N6" s="9"/>
    </row>
    <row r="7" spans="1:14" s="17" customFormat="1" ht="15.75" customHeight="1">
      <c r="A7" s="11" t="s">
        <v>18</v>
      </c>
      <c r="B7" s="114">
        <f>_xlfn.COMPOUNDVALUE(665)</f>
        <v>1318</v>
      </c>
      <c r="C7" s="227">
        <v>704110</v>
      </c>
      <c r="D7" s="114">
        <f>_xlfn.COMPOUNDVALUE(666)</f>
        <v>1141</v>
      </c>
      <c r="E7" s="227">
        <v>529663</v>
      </c>
      <c r="F7" s="114">
        <f>_xlfn.COMPOUNDVALUE(667)</f>
        <v>2459</v>
      </c>
      <c r="G7" s="227">
        <v>1233773</v>
      </c>
      <c r="H7" s="114">
        <f>_xlfn.COMPOUNDVALUE(668)</f>
        <v>112</v>
      </c>
      <c r="I7" s="229">
        <v>58968</v>
      </c>
      <c r="J7" s="114">
        <v>244</v>
      </c>
      <c r="K7" s="116">
        <v>37157</v>
      </c>
      <c r="L7" s="114">
        <v>2679</v>
      </c>
      <c r="M7" s="116">
        <v>1211962</v>
      </c>
      <c r="N7" s="12" t="s">
        <v>18</v>
      </c>
    </row>
    <row r="8" spans="1:14" s="17" customFormat="1" ht="15.75" customHeight="1">
      <c r="A8" s="13" t="s">
        <v>19</v>
      </c>
      <c r="B8" s="119">
        <f>_xlfn.COMPOUNDVALUE(669)</f>
        <v>684</v>
      </c>
      <c r="C8" s="228">
        <v>401896</v>
      </c>
      <c r="D8" s="119">
        <f>_xlfn.COMPOUNDVALUE(670)</f>
        <v>690</v>
      </c>
      <c r="E8" s="228">
        <v>275099</v>
      </c>
      <c r="F8" s="119">
        <f>_xlfn.COMPOUNDVALUE(671)</f>
        <v>1374</v>
      </c>
      <c r="G8" s="228">
        <v>676995</v>
      </c>
      <c r="H8" s="119">
        <f>_xlfn.COMPOUNDVALUE(672)</f>
        <v>47</v>
      </c>
      <c r="I8" s="230">
        <v>23251</v>
      </c>
      <c r="J8" s="119">
        <v>82</v>
      </c>
      <c r="K8" s="121">
        <v>22329</v>
      </c>
      <c r="L8" s="119">
        <v>1453</v>
      </c>
      <c r="M8" s="121">
        <v>676073</v>
      </c>
      <c r="N8" s="14" t="s">
        <v>19</v>
      </c>
    </row>
    <row r="9" spans="1:14" s="17" customFormat="1" ht="15.75" customHeight="1">
      <c r="A9" s="13" t="s">
        <v>20</v>
      </c>
      <c r="B9" s="119">
        <f>_xlfn.COMPOUNDVALUE(673)</f>
        <v>762</v>
      </c>
      <c r="C9" s="228">
        <v>396974</v>
      </c>
      <c r="D9" s="119">
        <f>_xlfn.COMPOUNDVALUE(674)</f>
        <v>671</v>
      </c>
      <c r="E9" s="228">
        <v>272257</v>
      </c>
      <c r="F9" s="119">
        <f>_xlfn.COMPOUNDVALUE(675)</f>
        <v>1433</v>
      </c>
      <c r="G9" s="228">
        <v>669230</v>
      </c>
      <c r="H9" s="119">
        <f>_xlfn.COMPOUNDVALUE(676)</f>
        <v>57</v>
      </c>
      <c r="I9" s="230">
        <v>19308</v>
      </c>
      <c r="J9" s="119">
        <v>94</v>
      </c>
      <c r="K9" s="121">
        <v>49267</v>
      </c>
      <c r="L9" s="119">
        <v>1529</v>
      </c>
      <c r="M9" s="121">
        <v>699189</v>
      </c>
      <c r="N9" s="14" t="s">
        <v>20</v>
      </c>
    </row>
    <row r="10" spans="1:14" s="17" customFormat="1" ht="15.75" customHeight="1">
      <c r="A10" s="13" t="s">
        <v>21</v>
      </c>
      <c r="B10" s="119">
        <f>_xlfn.COMPOUNDVALUE(677)</f>
        <v>1123</v>
      </c>
      <c r="C10" s="228">
        <v>615916</v>
      </c>
      <c r="D10" s="119">
        <f>_xlfn.COMPOUNDVALUE(678)</f>
        <v>1115</v>
      </c>
      <c r="E10" s="228">
        <v>446803</v>
      </c>
      <c r="F10" s="119">
        <f>_xlfn.COMPOUNDVALUE(679)</f>
        <v>2238</v>
      </c>
      <c r="G10" s="228">
        <v>1062719</v>
      </c>
      <c r="H10" s="119">
        <f>_xlfn.COMPOUNDVALUE(680)</f>
        <v>89</v>
      </c>
      <c r="I10" s="230">
        <v>60765</v>
      </c>
      <c r="J10" s="119">
        <v>190</v>
      </c>
      <c r="K10" s="121">
        <v>45247</v>
      </c>
      <c r="L10" s="119">
        <v>2390</v>
      </c>
      <c r="M10" s="121">
        <v>1047201</v>
      </c>
      <c r="N10" s="14" t="s">
        <v>21</v>
      </c>
    </row>
    <row r="11" spans="1:14" s="17" customFormat="1" ht="15.75" customHeight="1">
      <c r="A11" s="13" t="s">
        <v>22</v>
      </c>
      <c r="B11" s="119">
        <f>_xlfn.COMPOUNDVALUE(681)</f>
        <v>1309</v>
      </c>
      <c r="C11" s="228">
        <v>1349449</v>
      </c>
      <c r="D11" s="119">
        <f>_xlfn.COMPOUNDVALUE(682)</f>
        <v>1169</v>
      </c>
      <c r="E11" s="228">
        <v>556286</v>
      </c>
      <c r="F11" s="119">
        <f>_xlfn.COMPOUNDVALUE(683)</f>
        <v>2478</v>
      </c>
      <c r="G11" s="228">
        <v>1905736</v>
      </c>
      <c r="H11" s="119">
        <f>_xlfn.COMPOUNDVALUE(684)</f>
        <v>100</v>
      </c>
      <c r="I11" s="230">
        <v>103473</v>
      </c>
      <c r="J11" s="119">
        <v>156</v>
      </c>
      <c r="K11" s="121">
        <v>43719</v>
      </c>
      <c r="L11" s="119">
        <v>2656</v>
      </c>
      <c r="M11" s="121">
        <v>1845982</v>
      </c>
      <c r="N11" s="14" t="s">
        <v>22</v>
      </c>
    </row>
    <row r="12" spans="1:14" s="17" customFormat="1" ht="15.75" customHeight="1">
      <c r="A12" s="13" t="s">
        <v>23</v>
      </c>
      <c r="B12" s="119">
        <f>_xlfn.COMPOUNDVALUE(685)</f>
        <v>581</v>
      </c>
      <c r="C12" s="228">
        <v>387596</v>
      </c>
      <c r="D12" s="119">
        <f>_xlfn.COMPOUNDVALUE(686)</f>
        <v>591</v>
      </c>
      <c r="E12" s="228">
        <v>243191</v>
      </c>
      <c r="F12" s="119">
        <f>_xlfn.COMPOUNDVALUE(687)</f>
        <v>1172</v>
      </c>
      <c r="G12" s="228">
        <v>630787</v>
      </c>
      <c r="H12" s="119">
        <f>_xlfn.COMPOUNDVALUE(688)</f>
        <v>35</v>
      </c>
      <c r="I12" s="230">
        <v>18712</v>
      </c>
      <c r="J12" s="119">
        <v>102</v>
      </c>
      <c r="K12" s="121">
        <v>40537</v>
      </c>
      <c r="L12" s="119">
        <v>1286</v>
      </c>
      <c r="M12" s="121">
        <v>652612</v>
      </c>
      <c r="N12" s="14" t="s">
        <v>23</v>
      </c>
    </row>
    <row r="13" spans="1:14" s="17" customFormat="1" ht="15.75" customHeight="1">
      <c r="A13" s="13" t="s">
        <v>24</v>
      </c>
      <c r="B13" s="119">
        <f>_xlfn.COMPOUNDVALUE(689)</f>
        <v>292</v>
      </c>
      <c r="C13" s="228">
        <v>144556</v>
      </c>
      <c r="D13" s="119">
        <f>_xlfn.COMPOUNDVALUE(690)</f>
        <v>293</v>
      </c>
      <c r="E13" s="228">
        <v>112398</v>
      </c>
      <c r="F13" s="119">
        <f>_xlfn.COMPOUNDVALUE(691)</f>
        <v>585</v>
      </c>
      <c r="G13" s="228">
        <v>256954</v>
      </c>
      <c r="H13" s="119">
        <f>_xlfn.COMPOUNDVALUE(692)</f>
        <v>25</v>
      </c>
      <c r="I13" s="230">
        <v>23823</v>
      </c>
      <c r="J13" s="119">
        <v>43</v>
      </c>
      <c r="K13" s="121">
        <v>9242</v>
      </c>
      <c r="L13" s="119">
        <v>628</v>
      </c>
      <c r="M13" s="121">
        <v>242373</v>
      </c>
      <c r="N13" s="14" t="s">
        <v>24</v>
      </c>
    </row>
    <row r="14" spans="1:14" s="17" customFormat="1" ht="15.75" customHeight="1">
      <c r="A14" s="15" t="s">
        <v>25</v>
      </c>
      <c r="B14" s="124">
        <v>6069</v>
      </c>
      <c r="C14" s="125">
        <v>4000497</v>
      </c>
      <c r="D14" s="124">
        <v>5670</v>
      </c>
      <c r="E14" s="125">
        <v>2435697</v>
      </c>
      <c r="F14" s="124">
        <v>11739</v>
      </c>
      <c r="G14" s="125">
        <v>6436194</v>
      </c>
      <c r="H14" s="124">
        <v>465</v>
      </c>
      <c r="I14" s="126">
        <v>308301</v>
      </c>
      <c r="J14" s="124">
        <v>911</v>
      </c>
      <c r="K14" s="126">
        <v>247498</v>
      </c>
      <c r="L14" s="124">
        <v>12621</v>
      </c>
      <c r="M14" s="126">
        <v>6375392</v>
      </c>
      <c r="N14" s="16" t="s">
        <v>120</v>
      </c>
    </row>
    <row r="15" spans="1:14" s="17" customFormat="1" ht="15.75" customHeight="1">
      <c r="A15" s="26"/>
      <c r="B15" s="129"/>
      <c r="C15" s="130"/>
      <c r="D15" s="129"/>
      <c r="E15" s="130"/>
      <c r="F15" s="131"/>
      <c r="G15" s="130"/>
      <c r="H15" s="131"/>
      <c r="I15" s="130"/>
      <c r="J15" s="131"/>
      <c r="K15" s="130"/>
      <c r="L15" s="131"/>
      <c r="M15" s="130"/>
      <c r="N15" s="24"/>
    </row>
    <row r="16" spans="1:14" s="17" customFormat="1" ht="15.75" customHeight="1">
      <c r="A16" s="11" t="s">
        <v>26</v>
      </c>
      <c r="B16" s="114">
        <f>_xlfn.COMPOUNDVALUE(693)</f>
        <v>1137</v>
      </c>
      <c r="C16" s="227">
        <v>745204</v>
      </c>
      <c r="D16" s="114">
        <f>_xlfn.COMPOUNDVALUE(694)</f>
        <v>1159</v>
      </c>
      <c r="E16" s="227">
        <v>500085</v>
      </c>
      <c r="F16" s="114">
        <f>_xlfn.COMPOUNDVALUE(695)</f>
        <v>2296</v>
      </c>
      <c r="G16" s="227">
        <v>1245288</v>
      </c>
      <c r="H16" s="114">
        <f>_xlfn.COMPOUNDVALUE(696)</f>
        <v>98</v>
      </c>
      <c r="I16" s="229">
        <v>71312</v>
      </c>
      <c r="J16" s="114">
        <v>162</v>
      </c>
      <c r="K16" s="116">
        <v>42253</v>
      </c>
      <c r="L16" s="114">
        <v>2468</v>
      </c>
      <c r="M16" s="116">
        <v>1216229</v>
      </c>
      <c r="N16" s="25" t="s">
        <v>26</v>
      </c>
    </row>
    <row r="17" spans="1:14" s="17" customFormat="1" ht="15.75" customHeight="1">
      <c r="A17" s="11" t="s">
        <v>27</v>
      </c>
      <c r="B17" s="114">
        <f>_xlfn.COMPOUNDVALUE(697)</f>
        <v>852</v>
      </c>
      <c r="C17" s="227">
        <v>644586</v>
      </c>
      <c r="D17" s="114">
        <f>_xlfn.COMPOUNDVALUE(698)</f>
        <v>825</v>
      </c>
      <c r="E17" s="227">
        <v>400161</v>
      </c>
      <c r="F17" s="114">
        <f>_xlfn.COMPOUNDVALUE(699)</f>
        <v>1677</v>
      </c>
      <c r="G17" s="227">
        <v>1044747</v>
      </c>
      <c r="H17" s="114">
        <f>_xlfn.COMPOUNDVALUE(700)</f>
        <v>73</v>
      </c>
      <c r="I17" s="229">
        <v>69533</v>
      </c>
      <c r="J17" s="114">
        <v>125</v>
      </c>
      <c r="K17" s="116">
        <v>35537</v>
      </c>
      <c r="L17" s="114">
        <v>1806</v>
      </c>
      <c r="M17" s="116">
        <v>1010751</v>
      </c>
      <c r="N17" s="12" t="s">
        <v>27</v>
      </c>
    </row>
    <row r="18" spans="1:14" s="17" customFormat="1" ht="15.75" customHeight="1">
      <c r="A18" s="11" t="s">
        <v>28</v>
      </c>
      <c r="B18" s="114">
        <f>_xlfn.COMPOUNDVALUE(701)</f>
        <v>980</v>
      </c>
      <c r="C18" s="227">
        <v>746683</v>
      </c>
      <c r="D18" s="114">
        <f>_xlfn.COMPOUNDVALUE(702)</f>
        <v>1104</v>
      </c>
      <c r="E18" s="227">
        <v>573020</v>
      </c>
      <c r="F18" s="114">
        <f>_xlfn.COMPOUNDVALUE(703)</f>
        <v>2084</v>
      </c>
      <c r="G18" s="227">
        <v>1319702</v>
      </c>
      <c r="H18" s="114">
        <f>_xlfn.COMPOUNDVALUE(704)</f>
        <v>77</v>
      </c>
      <c r="I18" s="229">
        <v>38356</v>
      </c>
      <c r="J18" s="114">
        <v>134</v>
      </c>
      <c r="K18" s="116">
        <v>38752</v>
      </c>
      <c r="L18" s="114">
        <v>2208</v>
      </c>
      <c r="M18" s="116">
        <v>1320098</v>
      </c>
      <c r="N18" s="12" t="s">
        <v>28</v>
      </c>
    </row>
    <row r="19" spans="1:14" s="17" customFormat="1" ht="15.75" customHeight="1">
      <c r="A19" s="11" t="s">
        <v>29</v>
      </c>
      <c r="B19" s="114">
        <f>_xlfn.COMPOUNDVALUE(705)</f>
        <v>1108</v>
      </c>
      <c r="C19" s="227">
        <v>658957</v>
      </c>
      <c r="D19" s="114">
        <f>_xlfn.COMPOUNDVALUE(706)</f>
        <v>968</v>
      </c>
      <c r="E19" s="227">
        <v>417310</v>
      </c>
      <c r="F19" s="114">
        <f>_xlfn.COMPOUNDVALUE(707)</f>
        <v>2076</v>
      </c>
      <c r="G19" s="227">
        <v>1076267</v>
      </c>
      <c r="H19" s="114">
        <f>_xlfn.COMPOUNDVALUE(708)</f>
        <v>82</v>
      </c>
      <c r="I19" s="229">
        <v>63521</v>
      </c>
      <c r="J19" s="114">
        <v>142</v>
      </c>
      <c r="K19" s="116">
        <v>46534</v>
      </c>
      <c r="L19" s="114">
        <v>2237</v>
      </c>
      <c r="M19" s="116">
        <v>1059280</v>
      </c>
      <c r="N19" s="12" t="s">
        <v>29</v>
      </c>
    </row>
    <row r="20" spans="1:14" s="17" customFormat="1" ht="15.75" customHeight="1">
      <c r="A20" s="11" t="s">
        <v>30</v>
      </c>
      <c r="B20" s="114">
        <f>_xlfn.COMPOUNDVALUE(709)</f>
        <v>1037</v>
      </c>
      <c r="C20" s="227">
        <v>739320</v>
      </c>
      <c r="D20" s="114">
        <f>_xlfn.COMPOUNDVALUE(710)</f>
        <v>1102</v>
      </c>
      <c r="E20" s="227">
        <v>532734</v>
      </c>
      <c r="F20" s="114">
        <f>_xlfn.COMPOUNDVALUE(711)</f>
        <v>2139</v>
      </c>
      <c r="G20" s="227">
        <v>1272054</v>
      </c>
      <c r="H20" s="114">
        <f>_xlfn.COMPOUNDVALUE(712)</f>
        <v>73</v>
      </c>
      <c r="I20" s="229">
        <v>81133</v>
      </c>
      <c r="J20" s="114">
        <v>106</v>
      </c>
      <c r="K20" s="116">
        <v>27336</v>
      </c>
      <c r="L20" s="114">
        <v>2254</v>
      </c>
      <c r="M20" s="116">
        <v>1218257</v>
      </c>
      <c r="N20" s="12" t="s">
        <v>30</v>
      </c>
    </row>
    <row r="21" spans="1:14" s="17" customFormat="1" ht="15.75" customHeight="1">
      <c r="A21" s="11" t="s">
        <v>31</v>
      </c>
      <c r="B21" s="114">
        <f>_xlfn.COMPOUNDVALUE(713)</f>
        <v>2168</v>
      </c>
      <c r="C21" s="227">
        <v>1168052</v>
      </c>
      <c r="D21" s="114">
        <f>_xlfn.COMPOUNDVALUE(714)</f>
        <v>1968</v>
      </c>
      <c r="E21" s="227">
        <v>882815</v>
      </c>
      <c r="F21" s="114">
        <f>_xlfn.COMPOUNDVALUE(715)</f>
        <v>4136</v>
      </c>
      <c r="G21" s="227">
        <v>2050867</v>
      </c>
      <c r="H21" s="114">
        <f>_xlfn.COMPOUNDVALUE(716)</f>
        <v>170</v>
      </c>
      <c r="I21" s="229">
        <v>178904</v>
      </c>
      <c r="J21" s="114">
        <v>390</v>
      </c>
      <c r="K21" s="116">
        <v>71900</v>
      </c>
      <c r="L21" s="114">
        <v>4458</v>
      </c>
      <c r="M21" s="116">
        <v>1943863</v>
      </c>
      <c r="N21" s="12" t="s">
        <v>31</v>
      </c>
    </row>
    <row r="22" spans="1:14" s="17" customFormat="1" ht="15.75" customHeight="1">
      <c r="A22" s="13" t="s">
        <v>32</v>
      </c>
      <c r="B22" s="119">
        <f>_xlfn.COMPOUNDVALUE(717)</f>
        <v>1237</v>
      </c>
      <c r="C22" s="228">
        <v>638485</v>
      </c>
      <c r="D22" s="119">
        <f>_xlfn.COMPOUNDVALUE(718)</f>
        <v>1065</v>
      </c>
      <c r="E22" s="228">
        <v>493653</v>
      </c>
      <c r="F22" s="119">
        <f>_xlfn.COMPOUNDVALUE(719)</f>
        <v>2302</v>
      </c>
      <c r="G22" s="228">
        <v>1132138</v>
      </c>
      <c r="H22" s="119">
        <f>_xlfn.COMPOUNDVALUE(720)</f>
        <v>93</v>
      </c>
      <c r="I22" s="230">
        <v>85317</v>
      </c>
      <c r="J22" s="119">
        <v>197</v>
      </c>
      <c r="K22" s="121">
        <v>59832</v>
      </c>
      <c r="L22" s="119">
        <v>2518</v>
      </c>
      <c r="M22" s="121">
        <v>1106653</v>
      </c>
      <c r="N22" s="14" t="s">
        <v>32</v>
      </c>
    </row>
    <row r="23" spans="1:14" s="17" customFormat="1" ht="15.75" customHeight="1">
      <c r="A23" s="13" t="s">
        <v>33</v>
      </c>
      <c r="B23" s="119">
        <f>_xlfn.COMPOUNDVALUE(721)</f>
        <v>473</v>
      </c>
      <c r="C23" s="228">
        <v>255773</v>
      </c>
      <c r="D23" s="119">
        <f>_xlfn.COMPOUNDVALUE(722)</f>
        <v>445</v>
      </c>
      <c r="E23" s="228">
        <v>173367</v>
      </c>
      <c r="F23" s="119">
        <f>_xlfn.COMPOUNDVALUE(723)</f>
        <v>918</v>
      </c>
      <c r="G23" s="228">
        <v>429140</v>
      </c>
      <c r="H23" s="119">
        <f>_xlfn.COMPOUNDVALUE(724)</f>
        <v>26</v>
      </c>
      <c r="I23" s="230">
        <v>11234</v>
      </c>
      <c r="J23" s="119">
        <v>82</v>
      </c>
      <c r="K23" s="121">
        <v>15619</v>
      </c>
      <c r="L23" s="119">
        <v>984</v>
      </c>
      <c r="M23" s="121">
        <v>433525</v>
      </c>
      <c r="N23" s="14" t="s">
        <v>33</v>
      </c>
    </row>
    <row r="24" spans="1:14" s="17" customFormat="1" ht="15.75" customHeight="1">
      <c r="A24" s="13" t="s">
        <v>34</v>
      </c>
      <c r="B24" s="119">
        <f>_xlfn.COMPOUNDVALUE(725)</f>
        <v>340</v>
      </c>
      <c r="C24" s="228">
        <v>171319</v>
      </c>
      <c r="D24" s="119">
        <f>_xlfn.COMPOUNDVALUE(726)</f>
        <v>318</v>
      </c>
      <c r="E24" s="228">
        <v>132338</v>
      </c>
      <c r="F24" s="119">
        <f>_xlfn.COMPOUNDVALUE(727)</f>
        <v>658</v>
      </c>
      <c r="G24" s="228">
        <v>303657</v>
      </c>
      <c r="H24" s="119">
        <f>_xlfn.COMPOUNDVALUE(728)</f>
        <v>15</v>
      </c>
      <c r="I24" s="230">
        <v>3919</v>
      </c>
      <c r="J24" s="119">
        <v>40</v>
      </c>
      <c r="K24" s="121">
        <v>15628</v>
      </c>
      <c r="L24" s="119">
        <v>692</v>
      </c>
      <c r="M24" s="121">
        <v>315366</v>
      </c>
      <c r="N24" s="14" t="s">
        <v>34</v>
      </c>
    </row>
    <row r="25" spans="1:14" s="17" customFormat="1" ht="15.75" customHeight="1">
      <c r="A25" s="13" t="s">
        <v>35</v>
      </c>
      <c r="B25" s="119">
        <f>_xlfn.COMPOUNDVALUE(729)</f>
        <v>2363</v>
      </c>
      <c r="C25" s="228">
        <v>1270439</v>
      </c>
      <c r="D25" s="119">
        <f>_xlfn.COMPOUNDVALUE(730)</f>
        <v>2102</v>
      </c>
      <c r="E25" s="228">
        <v>868362</v>
      </c>
      <c r="F25" s="119">
        <f>_xlfn.COMPOUNDVALUE(731)</f>
        <v>4465</v>
      </c>
      <c r="G25" s="228">
        <v>2138802</v>
      </c>
      <c r="H25" s="119">
        <f>_xlfn.COMPOUNDVALUE(732)</f>
        <v>223</v>
      </c>
      <c r="I25" s="230">
        <v>130390</v>
      </c>
      <c r="J25" s="119">
        <v>304</v>
      </c>
      <c r="K25" s="121">
        <v>86416</v>
      </c>
      <c r="L25" s="119">
        <v>4841</v>
      </c>
      <c r="M25" s="121">
        <v>2094828</v>
      </c>
      <c r="N25" s="14" t="s">
        <v>35</v>
      </c>
    </row>
    <row r="26" spans="1:14" s="17" customFormat="1" ht="15.75" customHeight="1">
      <c r="A26" s="13" t="s">
        <v>36</v>
      </c>
      <c r="B26" s="119">
        <f>_xlfn.COMPOUNDVALUE(733)</f>
        <v>293</v>
      </c>
      <c r="C26" s="228">
        <v>167408</v>
      </c>
      <c r="D26" s="119">
        <f>_xlfn.COMPOUNDVALUE(734)</f>
        <v>258</v>
      </c>
      <c r="E26" s="228">
        <v>91428</v>
      </c>
      <c r="F26" s="119">
        <f>_xlfn.COMPOUNDVALUE(735)</f>
        <v>551</v>
      </c>
      <c r="G26" s="228">
        <v>258836</v>
      </c>
      <c r="H26" s="119">
        <f>_xlfn.COMPOUNDVALUE(736)</f>
        <v>11</v>
      </c>
      <c r="I26" s="230">
        <v>1367</v>
      </c>
      <c r="J26" s="119">
        <v>34</v>
      </c>
      <c r="K26" s="121">
        <v>8302</v>
      </c>
      <c r="L26" s="119">
        <v>576</v>
      </c>
      <c r="M26" s="121">
        <v>265771</v>
      </c>
      <c r="N26" s="14" t="s">
        <v>36</v>
      </c>
    </row>
    <row r="27" spans="1:14" s="17" customFormat="1" ht="15.75" customHeight="1">
      <c r="A27" s="13" t="s">
        <v>37</v>
      </c>
      <c r="B27" s="119">
        <f>_xlfn.COMPOUNDVALUE(737)</f>
        <v>671</v>
      </c>
      <c r="C27" s="228">
        <v>307987</v>
      </c>
      <c r="D27" s="119">
        <f>_xlfn.COMPOUNDVALUE(738)</f>
        <v>563</v>
      </c>
      <c r="E27" s="228">
        <v>217428</v>
      </c>
      <c r="F27" s="119">
        <f>_xlfn.COMPOUNDVALUE(739)</f>
        <v>1234</v>
      </c>
      <c r="G27" s="228">
        <v>525415</v>
      </c>
      <c r="H27" s="119">
        <f>_xlfn.COMPOUNDVALUE(740)</f>
        <v>34</v>
      </c>
      <c r="I27" s="230">
        <v>10841</v>
      </c>
      <c r="J27" s="119">
        <v>75</v>
      </c>
      <c r="K27" s="121">
        <v>21038</v>
      </c>
      <c r="L27" s="119">
        <v>1307</v>
      </c>
      <c r="M27" s="121">
        <v>535612</v>
      </c>
      <c r="N27" s="14" t="s">
        <v>37</v>
      </c>
    </row>
    <row r="28" spans="1:14" s="17" customFormat="1" ht="15.75" customHeight="1">
      <c r="A28" s="13" t="s">
        <v>38</v>
      </c>
      <c r="B28" s="119">
        <f>_xlfn.COMPOUNDVALUE(741)</f>
        <v>458</v>
      </c>
      <c r="C28" s="228">
        <v>274406</v>
      </c>
      <c r="D28" s="119">
        <f>_xlfn.COMPOUNDVALUE(742)</f>
        <v>351</v>
      </c>
      <c r="E28" s="228">
        <v>143245</v>
      </c>
      <c r="F28" s="119">
        <f>_xlfn.COMPOUNDVALUE(743)</f>
        <v>809</v>
      </c>
      <c r="G28" s="228">
        <v>417651</v>
      </c>
      <c r="H28" s="119">
        <f>_xlfn.COMPOUNDVALUE(744)</f>
        <v>18</v>
      </c>
      <c r="I28" s="230">
        <v>8482</v>
      </c>
      <c r="J28" s="119">
        <v>35</v>
      </c>
      <c r="K28" s="121">
        <v>5123</v>
      </c>
      <c r="L28" s="119">
        <v>843</v>
      </c>
      <c r="M28" s="121">
        <v>414292</v>
      </c>
      <c r="N28" s="14" t="s">
        <v>38</v>
      </c>
    </row>
    <row r="29" spans="1:14" s="17" customFormat="1" ht="15.75" customHeight="1">
      <c r="A29" s="15" t="s">
        <v>39</v>
      </c>
      <c r="B29" s="124">
        <v>13117</v>
      </c>
      <c r="C29" s="125">
        <v>7788618</v>
      </c>
      <c r="D29" s="124">
        <v>12228</v>
      </c>
      <c r="E29" s="125">
        <v>5425946</v>
      </c>
      <c r="F29" s="124">
        <v>25345</v>
      </c>
      <c r="G29" s="125">
        <v>13214564</v>
      </c>
      <c r="H29" s="124">
        <v>993</v>
      </c>
      <c r="I29" s="126">
        <v>754310</v>
      </c>
      <c r="J29" s="124">
        <v>1826</v>
      </c>
      <c r="K29" s="126">
        <v>474270</v>
      </c>
      <c r="L29" s="124">
        <v>27192</v>
      </c>
      <c r="M29" s="126">
        <v>12934524</v>
      </c>
      <c r="N29" s="16" t="s">
        <v>121</v>
      </c>
    </row>
    <row r="30" spans="1:14" s="17" customFormat="1" ht="15.75" customHeight="1">
      <c r="A30" s="23"/>
      <c r="B30" s="129"/>
      <c r="C30" s="130"/>
      <c r="D30" s="129"/>
      <c r="E30" s="130"/>
      <c r="F30" s="131"/>
      <c r="G30" s="130"/>
      <c r="H30" s="131"/>
      <c r="I30" s="130"/>
      <c r="J30" s="131"/>
      <c r="K30" s="130"/>
      <c r="L30" s="131"/>
      <c r="M30" s="130"/>
      <c r="N30" s="24"/>
    </row>
    <row r="31" spans="1:14" s="17" customFormat="1" ht="15.75" customHeight="1">
      <c r="A31" s="11" t="s">
        <v>40</v>
      </c>
      <c r="B31" s="114">
        <f>_xlfn.COMPOUNDVALUE(745)</f>
        <v>802</v>
      </c>
      <c r="C31" s="227">
        <v>497296</v>
      </c>
      <c r="D31" s="114">
        <f>_xlfn.COMPOUNDVALUE(746)</f>
        <v>561</v>
      </c>
      <c r="E31" s="227">
        <v>253999</v>
      </c>
      <c r="F31" s="114">
        <f>_xlfn.COMPOUNDVALUE(747)</f>
        <v>1363</v>
      </c>
      <c r="G31" s="227">
        <v>751295</v>
      </c>
      <c r="H31" s="114">
        <f>_xlfn.COMPOUNDVALUE(748)</f>
        <v>48</v>
      </c>
      <c r="I31" s="229">
        <v>14069</v>
      </c>
      <c r="J31" s="114">
        <v>111</v>
      </c>
      <c r="K31" s="116">
        <v>24041</v>
      </c>
      <c r="L31" s="114">
        <v>1458</v>
      </c>
      <c r="M31" s="116">
        <v>761267</v>
      </c>
      <c r="N31" s="25" t="s">
        <v>40</v>
      </c>
    </row>
    <row r="32" spans="1:14" s="17" customFormat="1" ht="15.75" customHeight="1">
      <c r="A32" s="11" t="s">
        <v>41</v>
      </c>
      <c r="B32" s="114">
        <f>_xlfn.COMPOUNDVALUE(749)</f>
        <v>997</v>
      </c>
      <c r="C32" s="227">
        <v>583662</v>
      </c>
      <c r="D32" s="114">
        <f>_xlfn.COMPOUNDVALUE(750)</f>
        <v>642</v>
      </c>
      <c r="E32" s="227">
        <v>326502</v>
      </c>
      <c r="F32" s="114">
        <f>_xlfn.COMPOUNDVALUE(751)</f>
        <v>1639</v>
      </c>
      <c r="G32" s="227">
        <v>910164</v>
      </c>
      <c r="H32" s="114">
        <f>_xlfn.COMPOUNDVALUE(752)</f>
        <v>82</v>
      </c>
      <c r="I32" s="229">
        <v>49326</v>
      </c>
      <c r="J32" s="114">
        <v>123</v>
      </c>
      <c r="K32" s="116">
        <v>28260</v>
      </c>
      <c r="L32" s="114">
        <v>1772</v>
      </c>
      <c r="M32" s="116">
        <v>889098</v>
      </c>
      <c r="N32" s="12" t="s">
        <v>41</v>
      </c>
    </row>
    <row r="33" spans="1:14" s="17" customFormat="1" ht="15.75" customHeight="1">
      <c r="A33" s="11" t="s">
        <v>42</v>
      </c>
      <c r="B33" s="114">
        <f>_xlfn.COMPOUNDVALUE(753)</f>
        <v>815</v>
      </c>
      <c r="C33" s="227">
        <v>605420</v>
      </c>
      <c r="D33" s="114">
        <f>_xlfn.COMPOUNDVALUE(754)</f>
        <v>603</v>
      </c>
      <c r="E33" s="227">
        <v>257640</v>
      </c>
      <c r="F33" s="114">
        <f>_xlfn.COMPOUNDVALUE(755)</f>
        <v>1418</v>
      </c>
      <c r="G33" s="227">
        <v>863061</v>
      </c>
      <c r="H33" s="114">
        <f>_xlfn.COMPOUNDVALUE(756)</f>
        <v>46</v>
      </c>
      <c r="I33" s="229">
        <v>14548</v>
      </c>
      <c r="J33" s="114">
        <v>183</v>
      </c>
      <c r="K33" s="116">
        <v>26712</v>
      </c>
      <c r="L33" s="114">
        <v>1558</v>
      </c>
      <c r="M33" s="116">
        <v>875225</v>
      </c>
      <c r="N33" s="12" t="s">
        <v>42</v>
      </c>
    </row>
    <row r="34" spans="1:14" s="17" customFormat="1" ht="15.75" customHeight="1">
      <c r="A34" s="11" t="s">
        <v>43</v>
      </c>
      <c r="B34" s="114">
        <f>_xlfn.COMPOUNDVALUE(757)</f>
        <v>537</v>
      </c>
      <c r="C34" s="227">
        <v>405408</v>
      </c>
      <c r="D34" s="114">
        <f>_xlfn.COMPOUNDVALUE(758)</f>
        <v>524</v>
      </c>
      <c r="E34" s="227">
        <v>304656</v>
      </c>
      <c r="F34" s="114">
        <f>_xlfn.COMPOUNDVALUE(759)</f>
        <v>1061</v>
      </c>
      <c r="G34" s="227">
        <v>710063</v>
      </c>
      <c r="H34" s="114">
        <f>_xlfn.COMPOUNDVALUE(760)</f>
        <v>75</v>
      </c>
      <c r="I34" s="229">
        <v>43521</v>
      </c>
      <c r="J34" s="114">
        <v>64</v>
      </c>
      <c r="K34" s="116">
        <v>12205</v>
      </c>
      <c r="L34" s="114">
        <v>1156</v>
      </c>
      <c r="M34" s="116">
        <v>678747</v>
      </c>
      <c r="N34" s="12" t="s">
        <v>43</v>
      </c>
    </row>
    <row r="35" spans="1:14" s="17" customFormat="1" ht="15.75" customHeight="1">
      <c r="A35" s="11" t="s">
        <v>44</v>
      </c>
      <c r="B35" s="114">
        <f>_xlfn.COMPOUNDVALUE(761)</f>
        <v>576</v>
      </c>
      <c r="C35" s="227">
        <v>401743</v>
      </c>
      <c r="D35" s="114">
        <f>_xlfn.COMPOUNDVALUE(762)</f>
        <v>293</v>
      </c>
      <c r="E35" s="227">
        <v>140592</v>
      </c>
      <c r="F35" s="114">
        <f>_xlfn.COMPOUNDVALUE(763)</f>
        <v>869</v>
      </c>
      <c r="G35" s="227">
        <v>542335</v>
      </c>
      <c r="H35" s="114">
        <f>_xlfn.COMPOUNDVALUE(764)</f>
        <v>68</v>
      </c>
      <c r="I35" s="229">
        <v>23774</v>
      </c>
      <c r="J35" s="114">
        <v>68</v>
      </c>
      <c r="K35" s="116">
        <v>55412</v>
      </c>
      <c r="L35" s="114">
        <v>967</v>
      </c>
      <c r="M35" s="116">
        <v>573973</v>
      </c>
      <c r="N35" s="12" t="s">
        <v>44</v>
      </c>
    </row>
    <row r="36" spans="1:14" s="17" customFormat="1" ht="15.75" customHeight="1">
      <c r="A36" s="11" t="s">
        <v>45</v>
      </c>
      <c r="B36" s="114">
        <f>_xlfn.COMPOUNDVALUE(765)</f>
        <v>443</v>
      </c>
      <c r="C36" s="227">
        <v>269784</v>
      </c>
      <c r="D36" s="114">
        <f>_xlfn.COMPOUNDVALUE(766)</f>
        <v>352</v>
      </c>
      <c r="E36" s="227">
        <v>143024</v>
      </c>
      <c r="F36" s="114">
        <f>_xlfn.COMPOUNDVALUE(767)</f>
        <v>795</v>
      </c>
      <c r="G36" s="227">
        <v>412808</v>
      </c>
      <c r="H36" s="114">
        <f>_xlfn.COMPOUNDVALUE(768)</f>
        <v>15</v>
      </c>
      <c r="I36" s="229">
        <v>7472</v>
      </c>
      <c r="J36" s="114">
        <v>123</v>
      </c>
      <c r="K36" s="116">
        <v>18903</v>
      </c>
      <c r="L36" s="114">
        <v>847</v>
      </c>
      <c r="M36" s="116">
        <v>424239</v>
      </c>
      <c r="N36" s="12" t="s">
        <v>45</v>
      </c>
    </row>
    <row r="37" spans="1:14" s="17" customFormat="1" ht="15.75" customHeight="1">
      <c r="A37" s="11" t="s">
        <v>46</v>
      </c>
      <c r="B37" s="114">
        <f>_xlfn.COMPOUNDVALUE(769)</f>
        <v>494</v>
      </c>
      <c r="C37" s="227">
        <v>296324</v>
      </c>
      <c r="D37" s="114">
        <f>_xlfn.COMPOUNDVALUE(770)</f>
        <v>433</v>
      </c>
      <c r="E37" s="227">
        <v>180681</v>
      </c>
      <c r="F37" s="114">
        <f>_xlfn.COMPOUNDVALUE(771)</f>
        <v>927</v>
      </c>
      <c r="G37" s="227">
        <v>477005</v>
      </c>
      <c r="H37" s="114">
        <f>_xlfn.COMPOUNDVALUE(772)</f>
        <v>44</v>
      </c>
      <c r="I37" s="229">
        <v>18687</v>
      </c>
      <c r="J37" s="114">
        <v>76</v>
      </c>
      <c r="K37" s="116">
        <v>17689</v>
      </c>
      <c r="L37" s="114">
        <v>999</v>
      </c>
      <c r="M37" s="116">
        <v>476007</v>
      </c>
      <c r="N37" s="12" t="s">
        <v>46</v>
      </c>
    </row>
    <row r="38" spans="1:14" s="17" customFormat="1" ht="15.75" customHeight="1">
      <c r="A38" s="11" t="s">
        <v>47</v>
      </c>
      <c r="B38" s="114">
        <f>_xlfn.COMPOUNDVALUE(773)</f>
        <v>917</v>
      </c>
      <c r="C38" s="227">
        <v>567401</v>
      </c>
      <c r="D38" s="114">
        <f>_xlfn.COMPOUNDVALUE(774)</f>
        <v>820</v>
      </c>
      <c r="E38" s="227">
        <v>350081</v>
      </c>
      <c r="F38" s="114">
        <f>_xlfn.COMPOUNDVALUE(775)</f>
        <v>1737</v>
      </c>
      <c r="G38" s="227">
        <v>917482</v>
      </c>
      <c r="H38" s="114">
        <f>_xlfn.COMPOUNDVALUE(776)</f>
        <v>53</v>
      </c>
      <c r="I38" s="229">
        <v>23547</v>
      </c>
      <c r="J38" s="114">
        <v>175</v>
      </c>
      <c r="K38" s="116">
        <v>67639</v>
      </c>
      <c r="L38" s="114">
        <v>1851</v>
      </c>
      <c r="M38" s="116">
        <v>961574</v>
      </c>
      <c r="N38" s="12" t="s">
        <v>47</v>
      </c>
    </row>
    <row r="39" spans="1:14" s="17" customFormat="1" ht="15.75" customHeight="1">
      <c r="A39" s="11" t="s">
        <v>48</v>
      </c>
      <c r="B39" s="114">
        <f>_xlfn.COMPOUNDVALUE(777)</f>
        <v>913</v>
      </c>
      <c r="C39" s="227">
        <v>454385</v>
      </c>
      <c r="D39" s="114">
        <f>_xlfn.COMPOUNDVALUE(778)</f>
        <v>753</v>
      </c>
      <c r="E39" s="227">
        <v>347684</v>
      </c>
      <c r="F39" s="114">
        <f>_xlfn.COMPOUNDVALUE(779)</f>
        <v>1666</v>
      </c>
      <c r="G39" s="227">
        <v>802069</v>
      </c>
      <c r="H39" s="114">
        <f>_xlfn.COMPOUNDVALUE(780)</f>
        <v>70</v>
      </c>
      <c r="I39" s="229">
        <v>27529</v>
      </c>
      <c r="J39" s="114">
        <v>192</v>
      </c>
      <c r="K39" s="116">
        <v>45285</v>
      </c>
      <c r="L39" s="114">
        <v>1850</v>
      </c>
      <c r="M39" s="116">
        <v>819825</v>
      </c>
      <c r="N39" s="12" t="s">
        <v>48</v>
      </c>
    </row>
    <row r="40" spans="1:14" s="17" customFormat="1" ht="15.75" customHeight="1">
      <c r="A40" s="11" t="s">
        <v>49</v>
      </c>
      <c r="B40" s="114">
        <f>_xlfn.COMPOUNDVALUE(781)</f>
        <v>1225</v>
      </c>
      <c r="C40" s="227">
        <v>616666</v>
      </c>
      <c r="D40" s="114">
        <f>_xlfn.COMPOUNDVALUE(782)</f>
        <v>930</v>
      </c>
      <c r="E40" s="227">
        <v>444473</v>
      </c>
      <c r="F40" s="114">
        <f>_xlfn.COMPOUNDVALUE(783)</f>
        <v>2155</v>
      </c>
      <c r="G40" s="227">
        <v>1061138</v>
      </c>
      <c r="H40" s="114">
        <f>_xlfn.COMPOUNDVALUE(784)</f>
        <v>85</v>
      </c>
      <c r="I40" s="229">
        <v>92943</v>
      </c>
      <c r="J40" s="114">
        <v>197</v>
      </c>
      <c r="K40" s="116">
        <v>46400</v>
      </c>
      <c r="L40" s="114">
        <v>2352</v>
      </c>
      <c r="M40" s="116">
        <v>1014595</v>
      </c>
      <c r="N40" s="12" t="s">
        <v>49</v>
      </c>
    </row>
    <row r="41" spans="1:14" s="17" customFormat="1" ht="15.75" customHeight="1">
      <c r="A41" s="11" t="s">
        <v>50</v>
      </c>
      <c r="B41" s="114">
        <f>_xlfn.COMPOUNDVALUE(785)</f>
        <v>540</v>
      </c>
      <c r="C41" s="227">
        <v>342352</v>
      </c>
      <c r="D41" s="114">
        <f>_xlfn.COMPOUNDVALUE(786)</f>
        <v>500</v>
      </c>
      <c r="E41" s="227">
        <v>274114</v>
      </c>
      <c r="F41" s="114">
        <f>_xlfn.COMPOUNDVALUE(787)</f>
        <v>1040</v>
      </c>
      <c r="G41" s="227">
        <v>616466</v>
      </c>
      <c r="H41" s="114">
        <f>_xlfn.COMPOUNDVALUE(788)</f>
        <v>46</v>
      </c>
      <c r="I41" s="229">
        <v>17371</v>
      </c>
      <c r="J41" s="114">
        <v>50</v>
      </c>
      <c r="K41" s="116">
        <v>8951</v>
      </c>
      <c r="L41" s="114">
        <v>1100</v>
      </c>
      <c r="M41" s="116">
        <v>608046</v>
      </c>
      <c r="N41" s="12" t="s">
        <v>50</v>
      </c>
    </row>
    <row r="42" spans="1:14" s="17" customFormat="1" ht="15.75" customHeight="1">
      <c r="A42" s="11" t="s">
        <v>51</v>
      </c>
      <c r="B42" s="114">
        <f>_xlfn.COMPOUNDVALUE(789)</f>
        <v>1217</v>
      </c>
      <c r="C42" s="227">
        <v>588906</v>
      </c>
      <c r="D42" s="114">
        <f>_xlfn.COMPOUNDVALUE(790)</f>
        <v>895</v>
      </c>
      <c r="E42" s="227">
        <v>400528</v>
      </c>
      <c r="F42" s="114">
        <f>_xlfn.COMPOUNDVALUE(791)</f>
        <v>2112</v>
      </c>
      <c r="G42" s="227">
        <v>989434</v>
      </c>
      <c r="H42" s="114">
        <f>_xlfn.COMPOUNDVALUE(792)</f>
        <v>94</v>
      </c>
      <c r="I42" s="229">
        <v>31521</v>
      </c>
      <c r="J42" s="114">
        <v>182</v>
      </c>
      <c r="K42" s="116">
        <v>45680</v>
      </c>
      <c r="L42" s="114">
        <v>2271</v>
      </c>
      <c r="M42" s="116">
        <v>1003593</v>
      </c>
      <c r="N42" s="12" t="s">
        <v>51</v>
      </c>
    </row>
    <row r="43" spans="1:14" s="17" customFormat="1" ht="15.75" customHeight="1">
      <c r="A43" s="11" t="s">
        <v>52</v>
      </c>
      <c r="B43" s="114">
        <f>_xlfn.COMPOUNDVALUE(793)</f>
        <v>1878</v>
      </c>
      <c r="C43" s="227">
        <v>1004006</v>
      </c>
      <c r="D43" s="114">
        <f>_xlfn.COMPOUNDVALUE(794)</f>
        <v>1499</v>
      </c>
      <c r="E43" s="227">
        <v>638081</v>
      </c>
      <c r="F43" s="114">
        <f>_xlfn.COMPOUNDVALUE(795)</f>
        <v>3377</v>
      </c>
      <c r="G43" s="227">
        <v>1642086</v>
      </c>
      <c r="H43" s="114">
        <f>_xlfn.COMPOUNDVALUE(796)</f>
        <v>108</v>
      </c>
      <c r="I43" s="229">
        <v>89005</v>
      </c>
      <c r="J43" s="114">
        <v>406</v>
      </c>
      <c r="K43" s="116">
        <v>113013</v>
      </c>
      <c r="L43" s="114">
        <v>3670</v>
      </c>
      <c r="M43" s="116">
        <v>1666094</v>
      </c>
      <c r="N43" s="12" t="s">
        <v>52</v>
      </c>
    </row>
    <row r="44" spans="1:14" s="17" customFormat="1" ht="15.75" customHeight="1">
      <c r="A44" s="11" t="s">
        <v>53</v>
      </c>
      <c r="B44" s="114">
        <f>_xlfn.COMPOUNDVALUE(797)</f>
        <v>566</v>
      </c>
      <c r="C44" s="227">
        <v>305821</v>
      </c>
      <c r="D44" s="114">
        <f>_xlfn.COMPOUNDVALUE(798)</f>
        <v>383</v>
      </c>
      <c r="E44" s="227">
        <v>203038</v>
      </c>
      <c r="F44" s="114">
        <f>_xlfn.COMPOUNDVALUE(799)</f>
        <v>949</v>
      </c>
      <c r="G44" s="227">
        <v>508859</v>
      </c>
      <c r="H44" s="114">
        <f>_xlfn.COMPOUNDVALUE(800)</f>
        <v>24</v>
      </c>
      <c r="I44" s="229">
        <v>15793</v>
      </c>
      <c r="J44" s="114">
        <v>142</v>
      </c>
      <c r="K44" s="116">
        <v>33806</v>
      </c>
      <c r="L44" s="114">
        <v>1032</v>
      </c>
      <c r="M44" s="116">
        <v>526872</v>
      </c>
      <c r="N44" s="12" t="s">
        <v>53</v>
      </c>
    </row>
    <row r="45" spans="1:14" s="17" customFormat="1" ht="15.75" customHeight="1">
      <c r="A45" s="11" t="s">
        <v>54</v>
      </c>
      <c r="B45" s="114">
        <f>_xlfn.COMPOUNDVALUE(801)</f>
        <v>1732</v>
      </c>
      <c r="C45" s="227">
        <v>999138</v>
      </c>
      <c r="D45" s="114">
        <f>_xlfn.COMPOUNDVALUE(802)</f>
        <v>1141</v>
      </c>
      <c r="E45" s="227">
        <v>564348</v>
      </c>
      <c r="F45" s="114">
        <f>_xlfn.COMPOUNDVALUE(803)</f>
        <v>2873</v>
      </c>
      <c r="G45" s="227">
        <v>1563485</v>
      </c>
      <c r="H45" s="114">
        <f>_xlfn.COMPOUNDVALUE(804)</f>
        <v>101</v>
      </c>
      <c r="I45" s="229">
        <v>107864</v>
      </c>
      <c r="J45" s="114">
        <v>441</v>
      </c>
      <c r="K45" s="116">
        <v>103878</v>
      </c>
      <c r="L45" s="114">
        <v>3190</v>
      </c>
      <c r="M45" s="116">
        <v>1559499</v>
      </c>
      <c r="N45" s="12" t="s">
        <v>54</v>
      </c>
    </row>
    <row r="46" spans="1:14" s="17" customFormat="1" ht="15.75" customHeight="1">
      <c r="A46" s="11" t="s">
        <v>55</v>
      </c>
      <c r="B46" s="114">
        <f>_xlfn.COMPOUNDVALUE(805)</f>
        <v>1394</v>
      </c>
      <c r="C46" s="227">
        <v>1586826</v>
      </c>
      <c r="D46" s="114">
        <f>_xlfn.COMPOUNDVALUE(806)</f>
        <v>1365</v>
      </c>
      <c r="E46" s="227">
        <v>880554</v>
      </c>
      <c r="F46" s="114">
        <f>_xlfn.COMPOUNDVALUE(807)</f>
        <v>2759</v>
      </c>
      <c r="G46" s="227">
        <v>2467380</v>
      </c>
      <c r="H46" s="114">
        <f>_xlfn.COMPOUNDVALUE(808)</f>
        <v>94</v>
      </c>
      <c r="I46" s="229">
        <v>98966</v>
      </c>
      <c r="J46" s="114">
        <v>201</v>
      </c>
      <c r="K46" s="116">
        <v>50202</v>
      </c>
      <c r="L46" s="114">
        <v>2917</v>
      </c>
      <c r="M46" s="116">
        <v>2418616</v>
      </c>
      <c r="N46" s="12" t="s">
        <v>55</v>
      </c>
    </row>
    <row r="47" spans="1:14" s="17" customFormat="1" ht="15.75" customHeight="1">
      <c r="A47" s="11" t="s">
        <v>56</v>
      </c>
      <c r="B47" s="114">
        <f>_xlfn.COMPOUNDVALUE(809)</f>
        <v>676</v>
      </c>
      <c r="C47" s="227">
        <v>569995</v>
      </c>
      <c r="D47" s="114">
        <f>_xlfn.COMPOUNDVALUE(810)</f>
        <v>523</v>
      </c>
      <c r="E47" s="227">
        <v>270002</v>
      </c>
      <c r="F47" s="114">
        <f>_xlfn.COMPOUNDVALUE(811)</f>
        <v>1199</v>
      </c>
      <c r="G47" s="227">
        <v>839997</v>
      </c>
      <c r="H47" s="114">
        <f>_xlfn.COMPOUNDVALUE(812)</f>
        <v>76</v>
      </c>
      <c r="I47" s="229">
        <v>26253</v>
      </c>
      <c r="J47" s="114">
        <v>89</v>
      </c>
      <c r="K47" s="116">
        <v>27975</v>
      </c>
      <c r="L47" s="114">
        <v>1318</v>
      </c>
      <c r="M47" s="116">
        <v>841719</v>
      </c>
      <c r="N47" s="12" t="s">
        <v>56</v>
      </c>
    </row>
    <row r="48" spans="1:14" s="17" customFormat="1" ht="15.75" customHeight="1">
      <c r="A48" s="11" t="s">
        <v>57</v>
      </c>
      <c r="B48" s="231">
        <f>_xlfn.COMPOUNDVALUE(813)</f>
        <v>1017</v>
      </c>
      <c r="C48" s="227">
        <v>1064373</v>
      </c>
      <c r="D48" s="114">
        <f>_xlfn.COMPOUNDVALUE(814)</f>
        <v>969</v>
      </c>
      <c r="E48" s="227">
        <v>635427</v>
      </c>
      <c r="F48" s="231">
        <f>_xlfn.COMPOUNDVALUE(815)</f>
        <v>1986</v>
      </c>
      <c r="G48" s="227">
        <v>1699799</v>
      </c>
      <c r="H48" s="231">
        <f>_xlfn.COMPOUNDVALUE(816)</f>
        <v>120</v>
      </c>
      <c r="I48" s="229">
        <v>274619</v>
      </c>
      <c r="J48" s="114">
        <v>108</v>
      </c>
      <c r="K48" s="116">
        <v>36819</v>
      </c>
      <c r="L48" s="114">
        <v>2140</v>
      </c>
      <c r="M48" s="116">
        <v>1461999</v>
      </c>
      <c r="N48" s="12" t="s">
        <v>57</v>
      </c>
    </row>
    <row r="49" spans="1:14" s="17" customFormat="1" ht="15.75" customHeight="1">
      <c r="A49" s="11" t="s">
        <v>58</v>
      </c>
      <c r="B49" s="231">
        <f>_xlfn.COMPOUNDVALUE(817)</f>
        <v>1048</v>
      </c>
      <c r="C49" s="227">
        <v>857683</v>
      </c>
      <c r="D49" s="114">
        <f>_xlfn.COMPOUNDVALUE(818)</f>
        <v>711</v>
      </c>
      <c r="E49" s="227">
        <v>396400</v>
      </c>
      <c r="F49" s="231">
        <f>_xlfn.COMPOUNDVALUE(819)</f>
        <v>1759</v>
      </c>
      <c r="G49" s="227">
        <v>1254084</v>
      </c>
      <c r="H49" s="231">
        <f>_xlfn.COMPOUNDVALUE(820)</f>
        <v>97</v>
      </c>
      <c r="I49" s="229">
        <v>49084</v>
      </c>
      <c r="J49" s="114">
        <v>154</v>
      </c>
      <c r="K49" s="116">
        <v>92375</v>
      </c>
      <c r="L49" s="114">
        <v>1912</v>
      </c>
      <c r="M49" s="116">
        <v>1297375</v>
      </c>
      <c r="N49" s="12" t="s">
        <v>58</v>
      </c>
    </row>
    <row r="50" spans="1:14" s="17" customFormat="1" ht="15.75" customHeight="1">
      <c r="A50" s="11" t="s">
        <v>59</v>
      </c>
      <c r="B50" s="231">
        <f>_xlfn.COMPOUNDVALUE(821)</f>
        <v>3985</v>
      </c>
      <c r="C50" s="227">
        <v>2137758</v>
      </c>
      <c r="D50" s="114">
        <f>_xlfn.COMPOUNDVALUE(822)</f>
        <v>2718</v>
      </c>
      <c r="E50" s="227">
        <v>1249844</v>
      </c>
      <c r="F50" s="231">
        <f>_xlfn.COMPOUNDVALUE(823)</f>
        <v>6703</v>
      </c>
      <c r="G50" s="227">
        <v>3387602</v>
      </c>
      <c r="H50" s="231">
        <f>_xlfn.COMPOUNDVALUE(824)</f>
        <v>271</v>
      </c>
      <c r="I50" s="229">
        <v>176512</v>
      </c>
      <c r="J50" s="114">
        <v>570</v>
      </c>
      <c r="K50" s="116">
        <v>190913</v>
      </c>
      <c r="L50" s="114">
        <v>7262</v>
      </c>
      <c r="M50" s="116">
        <v>3402003</v>
      </c>
      <c r="N50" s="12" t="s">
        <v>59</v>
      </c>
    </row>
    <row r="51" spans="1:14" s="17" customFormat="1" ht="15.75" customHeight="1">
      <c r="A51" s="11" t="s">
        <v>60</v>
      </c>
      <c r="B51" s="231">
        <f>_xlfn.COMPOUNDVALUE(825)</f>
        <v>1607</v>
      </c>
      <c r="C51" s="227">
        <v>814224</v>
      </c>
      <c r="D51" s="114">
        <f>_xlfn.COMPOUNDVALUE(826)</f>
        <v>1022</v>
      </c>
      <c r="E51" s="227">
        <v>453255</v>
      </c>
      <c r="F51" s="231">
        <f>_xlfn.COMPOUNDVALUE(827)</f>
        <v>2629</v>
      </c>
      <c r="G51" s="227">
        <v>1267479</v>
      </c>
      <c r="H51" s="231">
        <f>_xlfn.COMPOUNDVALUE(828)</f>
        <v>93</v>
      </c>
      <c r="I51" s="229">
        <v>67292</v>
      </c>
      <c r="J51" s="114">
        <v>235</v>
      </c>
      <c r="K51" s="116">
        <v>39419</v>
      </c>
      <c r="L51" s="114">
        <v>2832</v>
      </c>
      <c r="M51" s="116">
        <v>1239606</v>
      </c>
      <c r="N51" s="12" t="s">
        <v>60</v>
      </c>
    </row>
    <row r="52" spans="1:14" s="17" customFormat="1" ht="15.75" customHeight="1">
      <c r="A52" s="11" t="s">
        <v>61</v>
      </c>
      <c r="B52" s="114">
        <f>_xlfn.COMPOUNDVALUE(829)</f>
        <v>2772</v>
      </c>
      <c r="C52" s="227">
        <v>1656517</v>
      </c>
      <c r="D52" s="114">
        <f>_xlfn.COMPOUNDVALUE(830)</f>
        <v>2554</v>
      </c>
      <c r="E52" s="227">
        <v>1236277</v>
      </c>
      <c r="F52" s="114">
        <f>_xlfn.COMPOUNDVALUE(831)</f>
        <v>5326</v>
      </c>
      <c r="G52" s="227">
        <v>2892794</v>
      </c>
      <c r="H52" s="114">
        <f>_xlfn.COMPOUNDVALUE(832)</f>
        <v>219</v>
      </c>
      <c r="I52" s="229">
        <v>195081</v>
      </c>
      <c r="J52" s="114">
        <v>521</v>
      </c>
      <c r="K52" s="116">
        <v>114655</v>
      </c>
      <c r="L52" s="114">
        <v>5827</v>
      </c>
      <c r="M52" s="116">
        <v>2812368</v>
      </c>
      <c r="N52" s="12" t="s">
        <v>61</v>
      </c>
    </row>
    <row r="53" spans="1:14" s="17" customFormat="1" ht="15.75" customHeight="1">
      <c r="A53" s="11" t="s">
        <v>62</v>
      </c>
      <c r="B53" s="114">
        <f>_xlfn.COMPOUNDVALUE(833)</f>
        <v>1733</v>
      </c>
      <c r="C53" s="227">
        <v>1000646</v>
      </c>
      <c r="D53" s="231">
        <f>_xlfn.COMPOUNDVALUE(834)</f>
        <v>1504</v>
      </c>
      <c r="E53" s="227">
        <v>804423</v>
      </c>
      <c r="F53" s="231">
        <f>_xlfn.COMPOUNDVALUE(835)</f>
        <v>3237</v>
      </c>
      <c r="G53" s="227">
        <v>1805069</v>
      </c>
      <c r="H53" s="231">
        <f>_xlfn.COMPOUNDVALUE(836)</f>
        <v>176</v>
      </c>
      <c r="I53" s="229">
        <v>153393</v>
      </c>
      <c r="J53" s="114">
        <v>286</v>
      </c>
      <c r="K53" s="116">
        <v>52798</v>
      </c>
      <c r="L53" s="114">
        <v>3513</v>
      </c>
      <c r="M53" s="116">
        <v>1704474</v>
      </c>
      <c r="N53" s="12" t="s">
        <v>62</v>
      </c>
    </row>
    <row r="54" spans="1:14" s="17" customFormat="1" ht="15.75" customHeight="1">
      <c r="A54" s="11" t="s">
        <v>63</v>
      </c>
      <c r="B54" s="114">
        <f>_xlfn.COMPOUNDVALUE(837)</f>
        <v>1636</v>
      </c>
      <c r="C54" s="227">
        <v>765038</v>
      </c>
      <c r="D54" s="114">
        <f>_xlfn.COMPOUNDVALUE(838)</f>
        <v>1006</v>
      </c>
      <c r="E54" s="227">
        <v>434232</v>
      </c>
      <c r="F54" s="114">
        <f>_xlfn.COMPOUNDVALUE(839)</f>
        <v>2642</v>
      </c>
      <c r="G54" s="227">
        <v>1199270</v>
      </c>
      <c r="H54" s="114">
        <f>_xlfn.COMPOUNDVALUE(840)</f>
        <v>122</v>
      </c>
      <c r="I54" s="229">
        <v>53723</v>
      </c>
      <c r="J54" s="114">
        <v>303</v>
      </c>
      <c r="K54" s="116">
        <v>69850</v>
      </c>
      <c r="L54" s="114">
        <v>2890</v>
      </c>
      <c r="M54" s="116">
        <v>1215397</v>
      </c>
      <c r="N54" s="12" t="s">
        <v>63</v>
      </c>
    </row>
    <row r="55" spans="1:14" s="17" customFormat="1" ht="15.75" customHeight="1">
      <c r="A55" s="13" t="s">
        <v>64</v>
      </c>
      <c r="B55" s="119">
        <f>_xlfn.COMPOUNDVALUE(841)</f>
        <v>2930</v>
      </c>
      <c r="C55" s="228">
        <v>1447791</v>
      </c>
      <c r="D55" s="119">
        <f>_xlfn.COMPOUNDVALUE(842)</f>
        <v>2151</v>
      </c>
      <c r="E55" s="228">
        <v>1006038</v>
      </c>
      <c r="F55" s="119">
        <f>_xlfn.COMPOUNDVALUE(843)</f>
        <v>5081</v>
      </c>
      <c r="G55" s="228">
        <v>2453828</v>
      </c>
      <c r="H55" s="119">
        <f>_xlfn.COMPOUNDVALUE(844)</f>
        <v>184</v>
      </c>
      <c r="I55" s="230">
        <v>152806</v>
      </c>
      <c r="J55" s="119">
        <v>498</v>
      </c>
      <c r="K55" s="121">
        <v>106951</v>
      </c>
      <c r="L55" s="119">
        <v>5581</v>
      </c>
      <c r="M55" s="121">
        <v>2407973</v>
      </c>
      <c r="N55" s="14" t="s">
        <v>64</v>
      </c>
    </row>
    <row r="56" spans="1:14" s="17" customFormat="1" ht="15.75" customHeight="1">
      <c r="A56" s="13" t="s">
        <v>65</v>
      </c>
      <c r="B56" s="119">
        <f>_xlfn.COMPOUNDVALUE(845)</f>
        <v>2183</v>
      </c>
      <c r="C56" s="228">
        <v>1191799</v>
      </c>
      <c r="D56" s="119">
        <f>_xlfn.COMPOUNDVALUE(846)</f>
        <v>1805</v>
      </c>
      <c r="E56" s="228">
        <v>875564</v>
      </c>
      <c r="F56" s="119">
        <f>_xlfn.COMPOUNDVALUE(847)</f>
        <v>3988</v>
      </c>
      <c r="G56" s="228">
        <v>2067363</v>
      </c>
      <c r="H56" s="119">
        <f>_xlfn.COMPOUNDVALUE(848)</f>
        <v>165</v>
      </c>
      <c r="I56" s="230">
        <v>100065</v>
      </c>
      <c r="J56" s="119">
        <v>314</v>
      </c>
      <c r="K56" s="121">
        <v>111984</v>
      </c>
      <c r="L56" s="119">
        <v>4323</v>
      </c>
      <c r="M56" s="121">
        <v>2079282</v>
      </c>
      <c r="N56" s="14" t="s">
        <v>65</v>
      </c>
    </row>
    <row r="57" spans="1:14" s="17" customFormat="1" ht="15.75" customHeight="1">
      <c r="A57" s="13" t="s">
        <v>66</v>
      </c>
      <c r="B57" s="119">
        <f>_xlfn.COMPOUNDVALUE(849)</f>
        <v>2547</v>
      </c>
      <c r="C57" s="228">
        <v>1320552</v>
      </c>
      <c r="D57" s="119">
        <f>_xlfn.COMPOUNDVALUE(850)</f>
        <v>1960</v>
      </c>
      <c r="E57" s="228">
        <v>838355</v>
      </c>
      <c r="F57" s="119">
        <f>_xlfn.COMPOUNDVALUE(851)</f>
        <v>4507</v>
      </c>
      <c r="G57" s="228">
        <v>2158908</v>
      </c>
      <c r="H57" s="119">
        <f>_xlfn.COMPOUNDVALUE(852)</f>
        <v>158</v>
      </c>
      <c r="I57" s="230">
        <v>152709</v>
      </c>
      <c r="J57" s="119">
        <v>412</v>
      </c>
      <c r="K57" s="121">
        <v>101360</v>
      </c>
      <c r="L57" s="119">
        <v>4911</v>
      </c>
      <c r="M57" s="121">
        <v>2107559</v>
      </c>
      <c r="N57" s="14" t="s">
        <v>66</v>
      </c>
    </row>
    <row r="58" spans="1:14" s="17" customFormat="1" ht="15.75" customHeight="1">
      <c r="A58" s="13" t="s">
        <v>67</v>
      </c>
      <c r="B58" s="119">
        <f>_xlfn.COMPOUNDVALUE(853)</f>
        <v>1409</v>
      </c>
      <c r="C58" s="228">
        <v>680734</v>
      </c>
      <c r="D58" s="119">
        <f>_xlfn.COMPOUNDVALUE(854)</f>
        <v>938</v>
      </c>
      <c r="E58" s="228">
        <v>408249</v>
      </c>
      <c r="F58" s="119">
        <f>_xlfn.COMPOUNDVALUE(855)</f>
        <v>2347</v>
      </c>
      <c r="G58" s="228">
        <v>1088983</v>
      </c>
      <c r="H58" s="119">
        <f>_xlfn.COMPOUNDVALUE(856)</f>
        <v>86</v>
      </c>
      <c r="I58" s="230">
        <v>33300</v>
      </c>
      <c r="J58" s="119">
        <v>222</v>
      </c>
      <c r="K58" s="121">
        <v>59915</v>
      </c>
      <c r="L58" s="119">
        <v>2500</v>
      </c>
      <c r="M58" s="121">
        <v>1115598</v>
      </c>
      <c r="N58" s="14" t="s">
        <v>67</v>
      </c>
    </row>
    <row r="59" spans="1:14" s="17" customFormat="1" ht="15.75" customHeight="1">
      <c r="A59" s="13" t="s">
        <v>68</v>
      </c>
      <c r="B59" s="119">
        <f>_xlfn.COMPOUNDVALUE(857)</f>
        <v>2459</v>
      </c>
      <c r="C59" s="228">
        <v>1514963</v>
      </c>
      <c r="D59" s="119">
        <f>_xlfn.COMPOUNDVALUE(858)</f>
        <v>1610</v>
      </c>
      <c r="E59" s="228">
        <v>712429</v>
      </c>
      <c r="F59" s="119">
        <f>_xlfn.COMPOUNDVALUE(859)</f>
        <v>4069</v>
      </c>
      <c r="G59" s="228">
        <v>2227392</v>
      </c>
      <c r="H59" s="119">
        <f>_xlfn.COMPOUNDVALUE(860)</f>
        <v>145</v>
      </c>
      <c r="I59" s="230">
        <v>61399</v>
      </c>
      <c r="J59" s="119">
        <v>374</v>
      </c>
      <c r="K59" s="121">
        <v>153729</v>
      </c>
      <c r="L59" s="119">
        <v>4417</v>
      </c>
      <c r="M59" s="121">
        <v>2319722</v>
      </c>
      <c r="N59" s="14" t="s">
        <v>68</v>
      </c>
    </row>
    <row r="60" spans="1:14" s="17" customFormat="1" ht="15.75" customHeight="1">
      <c r="A60" s="13" t="s">
        <v>69</v>
      </c>
      <c r="B60" s="119">
        <f>_xlfn.COMPOUNDVALUE(861)</f>
        <v>2407</v>
      </c>
      <c r="C60" s="228">
        <v>1147991</v>
      </c>
      <c r="D60" s="119">
        <f>_xlfn.COMPOUNDVALUE(862)</f>
        <v>1700</v>
      </c>
      <c r="E60" s="228">
        <v>820186</v>
      </c>
      <c r="F60" s="119">
        <f>_xlfn.COMPOUNDVALUE(863)</f>
        <v>4107</v>
      </c>
      <c r="G60" s="228">
        <v>1968177</v>
      </c>
      <c r="H60" s="119">
        <f>_xlfn.COMPOUNDVALUE(864)</f>
        <v>129</v>
      </c>
      <c r="I60" s="230">
        <v>120482</v>
      </c>
      <c r="J60" s="119">
        <v>416</v>
      </c>
      <c r="K60" s="121">
        <v>103960</v>
      </c>
      <c r="L60" s="119">
        <v>4436</v>
      </c>
      <c r="M60" s="121">
        <v>1951655</v>
      </c>
      <c r="N60" s="14" t="s">
        <v>69</v>
      </c>
    </row>
    <row r="61" spans="1:14" s="17" customFormat="1" ht="15.75" customHeight="1">
      <c r="A61" s="13" t="s">
        <v>70</v>
      </c>
      <c r="B61" s="119">
        <f>_xlfn.COMPOUNDVALUE(865)</f>
        <v>2923</v>
      </c>
      <c r="C61" s="228">
        <v>1801136</v>
      </c>
      <c r="D61" s="119">
        <f>_xlfn.COMPOUNDVALUE(866)</f>
        <v>2659</v>
      </c>
      <c r="E61" s="228">
        <v>1242815</v>
      </c>
      <c r="F61" s="119">
        <f>_xlfn.COMPOUNDVALUE(867)</f>
        <v>5582</v>
      </c>
      <c r="G61" s="228">
        <v>3043951</v>
      </c>
      <c r="H61" s="119">
        <f>_xlfn.COMPOUNDVALUE(868)</f>
        <v>162</v>
      </c>
      <c r="I61" s="230">
        <v>86405</v>
      </c>
      <c r="J61" s="119">
        <v>398</v>
      </c>
      <c r="K61" s="121">
        <v>115520</v>
      </c>
      <c r="L61" s="119">
        <v>5894</v>
      </c>
      <c r="M61" s="121">
        <v>3073066</v>
      </c>
      <c r="N61" s="14" t="s">
        <v>70</v>
      </c>
    </row>
    <row r="62" spans="1:14" s="17" customFormat="1" ht="15.75" customHeight="1">
      <c r="A62" s="15" t="s">
        <v>71</v>
      </c>
      <c r="B62" s="232">
        <v>46378</v>
      </c>
      <c r="C62" s="125">
        <v>27496336</v>
      </c>
      <c r="D62" s="232">
        <v>35524</v>
      </c>
      <c r="E62" s="125">
        <v>17093490</v>
      </c>
      <c r="F62" s="232">
        <v>81902</v>
      </c>
      <c r="G62" s="125">
        <v>44589827</v>
      </c>
      <c r="H62" s="232">
        <v>3256</v>
      </c>
      <c r="I62" s="126">
        <v>2379060</v>
      </c>
      <c r="J62" s="124">
        <v>7634</v>
      </c>
      <c r="K62" s="126">
        <v>2076300</v>
      </c>
      <c r="L62" s="124">
        <v>88746</v>
      </c>
      <c r="M62" s="126">
        <v>44287066</v>
      </c>
      <c r="N62" s="16" t="s">
        <v>122</v>
      </c>
    </row>
    <row r="63" spans="1:14" s="17" customFormat="1" ht="15.75" customHeight="1">
      <c r="A63" s="23"/>
      <c r="B63" s="129"/>
      <c r="C63" s="130"/>
      <c r="D63" s="129"/>
      <c r="E63" s="130"/>
      <c r="F63" s="131"/>
      <c r="G63" s="130"/>
      <c r="H63" s="131"/>
      <c r="I63" s="130"/>
      <c r="J63" s="131"/>
      <c r="K63" s="130"/>
      <c r="L63" s="131"/>
      <c r="M63" s="130"/>
      <c r="N63" s="24"/>
    </row>
    <row r="64" spans="1:14" s="17" customFormat="1" ht="15.75" customHeight="1">
      <c r="A64" s="11" t="s">
        <v>72</v>
      </c>
      <c r="B64" s="114">
        <f>_xlfn.COMPOUNDVALUE(869)</f>
        <v>590</v>
      </c>
      <c r="C64" s="227">
        <v>333705</v>
      </c>
      <c r="D64" s="114">
        <f>_xlfn.COMPOUNDVALUE(870)</f>
        <v>493</v>
      </c>
      <c r="E64" s="227">
        <v>228054</v>
      </c>
      <c r="F64" s="114">
        <f>_xlfn.COMPOUNDVALUE(871)</f>
        <v>1083</v>
      </c>
      <c r="G64" s="227">
        <v>561759</v>
      </c>
      <c r="H64" s="114">
        <f>_xlfn.COMPOUNDVALUE(872)</f>
        <v>62</v>
      </c>
      <c r="I64" s="229">
        <v>40158</v>
      </c>
      <c r="J64" s="114">
        <v>95</v>
      </c>
      <c r="K64" s="116">
        <v>16288</v>
      </c>
      <c r="L64" s="114">
        <v>1186</v>
      </c>
      <c r="M64" s="116">
        <v>537889</v>
      </c>
      <c r="N64" s="25" t="s">
        <v>72</v>
      </c>
    </row>
    <row r="65" spans="1:14" s="17" customFormat="1" ht="15.75" customHeight="1">
      <c r="A65" s="11" t="s">
        <v>73</v>
      </c>
      <c r="B65" s="114">
        <f>_xlfn.COMPOUNDVALUE(873)</f>
        <v>1592</v>
      </c>
      <c r="C65" s="227">
        <v>795720</v>
      </c>
      <c r="D65" s="114">
        <f>_xlfn.COMPOUNDVALUE(874)</f>
        <v>1167</v>
      </c>
      <c r="E65" s="227">
        <v>510438</v>
      </c>
      <c r="F65" s="114">
        <f>_xlfn.COMPOUNDVALUE(875)</f>
        <v>2759</v>
      </c>
      <c r="G65" s="227">
        <v>1306158</v>
      </c>
      <c r="H65" s="114">
        <f>_xlfn.COMPOUNDVALUE(876)</f>
        <v>148</v>
      </c>
      <c r="I65" s="229">
        <v>260317</v>
      </c>
      <c r="J65" s="114">
        <v>287</v>
      </c>
      <c r="K65" s="116">
        <v>71939</v>
      </c>
      <c r="L65" s="114">
        <v>3035</v>
      </c>
      <c r="M65" s="116">
        <v>1117780</v>
      </c>
      <c r="N65" s="12" t="s">
        <v>73</v>
      </c>
    </row>
    <row r="66" spans="1:14" s="17" customFormat="1" ht="15.75" customHeight="1">
      <c r="A66" s="11" t="s">
        <v>74</v>
      </c>
      <c r="B66" s="114">
        <f>_xlfn.COMPOUNDVALUE(877)</f>
        <v>631</v>
      </c>
      <c r="C66" s="227">
        <v>320115</v>
      </c>
      <c r="D66" s="114">
        <f>_xlfn.COMPOUNDVALUE(878)</f>
        <v>423</v>
      </c>
      <c r="E66" s="227">
        <v>173955</v>
      </c>
      <c r="F66" s="114">
        <f>_xlfn.COMPOUNDVALUE(879)</f>
        <v>1054</v>
      </c>
      <c r="G66" s="227">
        <v>494070</v>
      </c>
      <c r="H66" s="114">
        <f>_xlfn.COMPOUNDVALUE(880)</f>
        <v>36</v>
      </c>
      <c r="I66" s="229">
        <v>20546</v>
      </c>
      <c r="J66" s="114">
        <v>137</v>
      </c>
      <c r="K66" s="116">
        <v>37364</v>
      </c>
      <c r="L66" s="114">
        <v>1151</v>
      </c>
      <c r="M66" s="116">
        <v>510888</v>
      </c>
      <c r="N66" s="12" t="s">
        <v>74</v>
      </c>
    </row>
    <row r="67" spans="1:14" s="17" customFormat="1" ht="15.75" customHeight="1">
      <c r="A67" s="11" t="s">
        <v>75</v>
      </c>
      <c r="B67" s="114">
        <f>_xlfn.COMPOUNDVALUE(881)</f>
        <v>1225</v>
      </c>
      <c r="C67" s="227">
        <v>563610</v>
      </c>
      <c r="D67" s="114">
        <f>_xlfn.COMPOUNDVALUE(882)</f>
        <v>925</v>
      </c>
      <c r="E67" s="227">
        <v>426364</v>
      </c>
      <c r="F67" s="114">
        <f>_xlfn.COMPOUNDVALUE(883)</f>
        <v>2150</v>
      </c>
      <c r="G67" s="227">
        <v>989974</v>
      </c>
      <c r="H67" s="114">
        <f>_xlfn.COMPOUNDVALUE(884)</f>
        <v>127</v>
      </c>
      <c r="I67" s="229">
        <v>75796</v>
      </c>
      <c r="J67" s="114">
        <v>242</v>
      </c>
      <c r="K67" s="116">
        <v>52859</v>
      </c>
      <c r="L67" s="114">
        <v>2410</v>
      </c>
      <c r="M67" s="116">
        <v>967037</v>
      </c>
      <c r="N67" s="12" t="s">
        <v>75</v>
      </c>
    </row>
    <row r="68" spans="1:14" s="17" customFormat="1" ht="15.75" customHeight="1">
      <c r="A68" s="11" t="s">
        <v>76</v>
      </c>
      <c r="B68" s="114">
        <f>_xlfn.COMPOUNDVALUE(885)</f>
        <v>1234</v>
      </c>
      <c r="C68" s="227">
        <v>951663</v>
      </c>
      <c r="D68" s="114">
        <f>_xlfn.COMPOUNDVALUE(886)</f>
        <v>1078</v>
      </c>
      <c r="E68" s="227">
        <v>601670</v>
      </c>
      <c r="F68" s="114">
        <f>_xlfn.COMPOUNDVALUE(887)</f>
        <v>2312</v>
      </c>
      <c r="G68" s="227">
        <v>1553333</v>
      </c>
      <c r="H68" s="114">
        <f>_xlfn.COMPOUNDVALUE(888)</f>
        <v>378</v>
      </c>
      <c r="I68" s="229">
        <v>431858</v>
      </c>
      <c r="J68" s="114">
        <v>231</v>
      </c>
      <c r="K68" s="116">
        <v>29525</v>
      </c>
      <c r="L68" s="114">
        <v>2796</v>
      </c>
      <c r="M68" s="116">
        <v>1151000</v>
      </c>
      <c r="N68" s="12" t="s">
        <v>76</v>
      </c>
    </row>
    <row r="69" spans="1:14" s="17" customFormat="1" ht="15.75" customHeight="1">
      <c r="A69" s="11" t="s">
        <v>77</v>
      </c>
      <c r="B69" s="231">
        <f>_xlfn.COMPOUNDVALUE(889)</f>
        <v>3211</v>
      </c>
      <c r="C69" s="227">
        <v>2022674</v>
      </c>
      <c r="D69" s="114">
        <f>_xlfn.COMPOUNDVALUE(890)</f>
        <v>2368</v>
      </c>
      <c r="E69" s="227">
        <v>1080454</v>
      </c>
      <c r="F69" s="231">
        <f>_xlfn.COMPOUNDVALUE(891)</f>
        <v>5579</v>
      </c>
      <c r="G69" s="227">
        <v>3103128</v>
      </c>
      <c r="H69" s="231">
        <f>_xlfn.COMPOUNDVALUE(892)</f>
        <v>175</v>
      </c>
      <c r="I69" s="229">
        <v>179018</v>
      </c>
      <c r="J69" s="114">
        <v>534</v>
      </c>
      <c r="K69" s="116">
        <v>154013</v>
      </c>
      <c r="L69" s="114">
        <v>5980</v>
      </c>
      <c r="M69" s="116">
        <v>3078123</v>
      </c>
      <c r="N69" s="12" t="s">
        <v>77</v>
      </c>
    </row>
    <row r="70" spans="1:14" s="17" customFormat="1" ht="15.75" customHeight="1">
      <c r="A70" s="11" t="s">
        <v>78</v>
      </c>
      <c r="B70" s="114">
        <f>_xlfn.COMPOUNDVALUE(893)</f>
        <v>1970</v>
      </c>
      <c r="C70" s="227">
        <v>1092066</v>
      </c>
      <c r="D70" s="114">
        <f>_xlfn.COMPOUNDVALUE(894)</f>
        <v>1695</v>
      </c>
      <c r="E70" s="227">
        <v>827704</v>
      </c>
      <c r="F70" s="114">
        <f>_xlfn.COMPOUNDVALUE(895)</f>
        <v>3665</v>
      </c>
      <c r="G70" s="227">
        <v>1919770</v>
      </c>
      <c r="H70" s="114">
        <f>_xlfn.COMPOUNDVALUE(896)</f>
        <v>102</v>
      </c>
      <c r="I70" s="229">
        <v>65205</v>
      </c>
      <c r="J70" s="114">
        <v>346</v>
      </c>
      <c r="K70" s="116">
        <v>119016</v>
      </c>
      <c r="L70" s="114">
        <v>3921</v>
      </c>
      <c r="M70" s="116">
        <v>1973581</v>
      </c>
      <c r="N70" s="12" t="s">
        <v>78</v>
      </c>
    </row>
    <row r="71" spans="1:14" s="17" customFormat="1" ht="15.75" customHeight="1">
      <c r="A71" s="11" t="s">
        <v>79</v>
      </c>
      <c r="B71" s="114">
        <f>_xlfn.COMPOUNDVALUE(897)</f>
        <v>1765</v>
      </c>
      <c r="C71" s="227">
        <v>811709</v>
      </c>
      <c r="D71" s="114">
        <f>_xlfn.COMPOUNDVALUE(898)</f>
        <v>2055</v>
      </c>
      <c r="E71" s="227">
        <v>884158</v>
      </c>
      <c r="F71" s="114">
        <f>_xlfn.COMPOUNDVALUE(899)</f>
        <v>3820</v>
      </c>
      <c r="G71" s="227">
        <v>1695867</v>
      </c>
      <c r="H71" s="114">
        <f>_xlfn.COMPOUNDVALUE(900)</f>
        <v>152</v>
      </c>
      <c r="I71" s="229">
        <v>210831</v>
      </c>
      <c r="J71" s="114">
        <v>348</v>
      </c>
      <c r="K71" s="116">
        <v>49220</v>
      </c>
      <c r="L71" s="114">
        <v>4153</v>
      </c>
      <c r="M71" s="116">
        <v>1534256</v>
      </c>
      <c r="N71" s="12" t="s">
        <v>79</v>
      </c>
    </row>
    <row r="72" spans="1:14" s="17" customFormat="1" ht="15.75" customHeight="1">
      <c r="A72" s="11" t="s">
        <v>80</v>
      </c>
      <c r="B72" s="114">
        <f>_xlfn.COMPOUNDVALUE(901)</f>
        <v>2405</v>
      </c>
      <c r="C72" s="227">
        <v>1554716</v>
      </c>
      <c r="D72" s="114">
        <f>_xlfn.COMPOUNDVALUE(902)</f>
        <v>2532</v>
      </c>
      <c r="E72" s="227">
        <v>1280286</v>
      </c>
      <c r="F72" s="114">
        <f>_xlfn.COMPOUNDVALUE(903)</f>
        <v>4937</v>
      </c>
      <c r="G72" s="227">
        <v>2835002</v>
      </c>
      <c r="H72" s="114">
        <f>_xlfn.COMPOUNDVALUE(904)</f>
        <v>246</v>
      </c>
      <c r="I72" s="229">
        <v>221248</v>
      </c>
      <c r="J72" s="114">
        <v>493</v>
      </c>
      <c r="K72" s="116">
        <v>146038</v>
      </c>
      <c r="L72" s="114">
        <v>5419</v>
      </c>
      <c r="M72" s="116">
        <v>2759792</v>
      </c>
      <c r="N72" s="12" t="s">
        <v>80</v>
      </c>
    </row>
    <row r="73" spans="1:14" s="17" customFormat="1" ht="15.75" customHeight="1">
      <c r="A73" s="11" t="s">
        <v>81</v>
      </c>
      <c r="B73" s="114">
        <f>_xlfn.COMPOUNDVALUE(905)</f>
        <v>977</v>
      </c>
      <c r="C73" s="227">
        <v>606530</v>
      </c>
      <c r="D73" s="114">
        <f>_xlfn.COMPOUNDVALUE(906)</f>
        <v>1696</v>
      </c>
      <c r="E73" s="227">
        <v>578230</v>
      </c>
      <c r="F73" s="114">
        <f>_xlfn.COMPOUNDVALUE(907)</f>
        <v>2673</v>
      </c>
      <c r="G73" s="227">
        <v>1184760</v>
      </c>
      <c r="H73" s="114">
        <f>_xlfn.COMPOUNDVALUE(908)</f>
        <v>72</v>
      </c>
      <c r="I73" s="229">
        <v>21420</v>
      </c>
      <c r="J73" s="114">
        <v>143</v>
      </c>
      <c r="K73" s="116">
        <v>13131</v>
      </c>
      <c r="L73" s="114">
        <v>2771</v>
      </c>
      <c r="M73" s="116">
        <v>1176471</v>
      </c>
      <c r="N73" s="12" t="s">
        <v>81</v>
      </c>
    </row>
    <row r="74" spans="1:14" s="17" customFormat="1" ht="15.75" customHeight="1">
      <c r="A74" s="11" t="s">
        <v>82</v>
      </c>
      <c r="B74" s="114">
        <f>_xlfn.COMPOUNDVALUE(909)</f>
        <v>1206</v>
      </c>
      <c r="C74" s="227">
        <v>877861</v>
      </c>
      <c r="D74" s="114">
        <f>_xlfn.COMPOUNDVALUE(910)</f>
        <v>1106</v>
      </c>
      <c r="E74" s="227">
        <v>601409</v>
      </c>
      <c r="F74" s="114">
        <f>_xlfn.COMPOUNDVALUE(911)</f>
        <v>2312</v>
      </c>
      <c r="G74" s="227">
        <v>1479269</v>
      </c>
      <c r="H74" s="114">
        <f>_xlfn.COMPOUNDVALUE(912)</f>
        <v>167</v>
      </c>
      <c r="I74" s="229">
        <v>94278</v>
      </c>
      <c r="J74" s="114">
        <v>149</v>
      </c>
      <c r="K74" s="116">
        <v>35415</v>
      </c>
      <c r="L74" s="114">
        <v>2544</v>
      </c>
      <c r="M74" s="116">
        <v>1420406</v>
      </c>
      <c r="N74" s="12" t="s">
        <v>82</v>
      </c>
    </row>
    <row r="75" spans="1:14" s="17" customFormat="1" ht="15.75" customHeight="1">
      <c r="A75" s="11" t="s">
        <v>83</v>
      </c>
      <c r="B75" s="114">
        <f>_xlfn.COMPOUNDVALUE(913)</f>
        <v>1393</v>
      </c>
      <c r="C75" s="227">
        <v>647513</v>
      </c>
      <c r="D75" s="114">
        <f>_xlfn.COMPOUNDVALUE(914)</f>
        <v>1281</v>
      </c>
      <c r="E75" s="227">
        <v>572381</v>
      </c>
      <c r="F75" s="114">
        <f>_xlfn.COMPOUNDVALUE(915)</f>
        <v>2674</v>
      </c>
      <c r="G75" s="227">
        <v>1219894</v>
      </c>
      <c r="H75" s="114">
        <f>_xlfn.COMPOUNDVALUE(916)</f>
        <v>104</v>
      </c>
      <c r="I75" s="229">
        <v>141595</v>
      </c>
      <c r="J75" s="114">
        <v>210</v>
      </c>
      <c r="K75" s="116">
        <v>67765</v>
      </c>
      <c r="L75" s="114">
        <v>2889</v>
      </c>
      <c r="M75" s="116">
        <v>1146064</v>
      </c>
      <c r="N75" s="12" t="s">
        <v>83</v>
      </c>
    </row>
    <row r="76" spans="1:14" s="17" customFormat="1" ht="15.75" customHeight="1">
      <c r="A76" s="11" t="s">
        <v>84</v>
      </c>
      <c r="B76" s="114">
        <f>_xlfn.COMPOUNDVALUE(917)</f>
        <v>477</v>
      </c>
      <c r="C76" s="227">
        <v>271175</v>
      </c>
      <c r="D76" s="114">
        <f>_xlfn.COMPOUNDVALUE(918)</f>
        <v>418</v>
      </c>
      <c r="E76" s="227">
        <v>167994</v>
      </c>
      <c r="F76" s="114">
        <f>_xlfn.COMPOUNDVALUE(919)</f>
        <v>895</v>
      </c>
      <c r="G76" s="227">
        <v>439169</v>
      </c>
      <c r="H76" s="114">
        <f>_xlfn.COMPOUNDVALUE(920)</f>
        <v>24</v>
      </c>
      <c r="I76" s="229">
        <v>6953</v>
      </c>
      <c r="J76" s="114">
        <v>74</v>
      </c>
      <c r="K76" s="116">
        <v>12933</v>
      </c>
      <c r="L76" s="114">
        <v>947</v>
      </c>
      <c r="M76" s="116">
        <v>445149</v>
      </c>
      <c r="N76" s="12" t="s">
        <v>84</v>
      </c>
    </row>
    <row r="77" spans="1:14" s="17" customFormat="1" ht="15.75" customHeight="1">
      <c r="A77" s="11" t="s">
        <v>85</v>
      </c>
      <c r="B77" s="114">
        <f>_xlfn.COMPOUNDVALUE(921)</f>
        <v>786</v>
      </c>
      <c r="C77" s="227">
        <v>561542</v>
      </c>
      <c r="D77" s="114">
        <f>_xlfn.COMPOUNDVALUE(922)</f>
        <v>723</v>
      </c>
      <c r="E77" s="227">
        <v>287466</v>
      </c>
      <c r="F77" s="114">
        <f>_xlfn.COMPOUNDVALUE(923)</f>
        <v>1509</v>
      </c>
      <c r="G77" s="227">
        <v>849008</v>
      </c>
      <c r="H77" s="114">
        <f>_xlfn.COMPOUNDVALUE(924)</f>
        <v>41</v>
      </c>
      <c r="I77" s="229">
        <v>13198</v>
      </c>
      <c r="J77" s="114">
        <v>79</v>
      </c>
      <c r="K77" s="116">
        <v>19357</v>
      </c>
      <c r="L77" s="114">
        <v>1580</v>
      </c>
      <c r="M77" s="116">
        <v>855167</v>
      </c>
      <c r="N77" s="12" t="s">
        <v>85</v>
      </c>
    </row>
    <row r="78" spans="1:14" s="17" customFormat="1" ht="15.75" customHeight="1">
      <c r="A78" s="13" t="s">
        <v>86</v>
      </c>
      <c r="B78" s="119">
        <f>_xlfn.COMPOUNDVALUE(925)</f>
        <v>1792</v>
      </c>
      <c r="C78" s="228">
        <v>929688</v>
      </c>
      <c r="D78" s="119">
        <f>_xlfn.COMPOUNDVALUE(926)</f>
        <v>1142</v>
      </c>
      <c r="E78" s="228">
        <v>509675</v>
      </c>
      <c r="F78" s="119">
        <f>_xlfn.COMPOUNDVALUE(927)</f>
        <v>2934</v>
      </c>
      <c r="G78" s="228">
        <v>1439363</v>
      </c>
      <c r="H78" s="119">
        <f>_xlfn.COMPOUNDVALUE(928)</f>
        <v>109</v>
      </c>
      <c r="I78" s="230">
        <v>87236</v>
      </c>
      <c r="J78" s="119">
        <v>310</v>
      </c>
      <c r="K78" s="121">
        <v>138100</v>
      </c>
      <c r="L78" s="119">
        <v>3184</v>
      </c>
      <c r="M78" s="121">
        <v>1490227</v>
      </c>
      <c r="N78" s="14" t="s">
        <v>86</v>
      </c>
    </row>
    <row r="79" spans="1:14" s="17" customFormat="1" ht="15.75" customHeight="1">
      <c r="A79" s="13" t="s">
        <v>87</v>
      </c>
      <c r="B79" s="119">
        <f>_xlfn.COMPOUNDVALUE(929)</f>
        <v>901</v>
      </c>
      <c r="C79" s="228">
        <v>614108</v>
      </c>
      <c r="D79" s="119">
        <f>_xlfn.COMPOUNDVALUE(930)</f>
        <v>963</v>
      </c>
      <c r="E79" s="228">
        <v>433164</v>
      </c>
      <c r="F79" s="119">
        <f>_xlfn.COMPOUNDVALUE(931)</f>
        <v>1864</v>
      </c>
      <c r="G79" s="228">
        <v>1047272</v>
      </c>
      <c r="H79" s="119">
        <f>_xlfn.COMPOUNDVALUE(932)</f>
        <v>62</v>
      </c>
      <c r="I79" s="230">
        <v>30610</v>
      </c>
      <c r="J79" s="119">
        <v>160</v>
      </c>
      <c r="K79" s="121">
        <v>52743</v>
      </c>
      <c r="L79" s="119">
        <v>1992</v>
      </c>
      <c r="M79" s="121">
        <v>1069405</v>
      </c>
      <c r="N79" s="14" t="s">
        <v>87</v>
      </c>
    </row>
    <row r="80" spans="1:14" s="17" customFormat="1" ht="15.75" customHeight="1">
      <c r="A80" s="13" t="s">
        <v>88</v>
      </c>
      <c r="B80" s="119">
        <f>_xlfn.COMPOUNDVALUE(933)</f>
        <v>423</v>
      </c>
      <c r="C80" s="228">
        <v>225134</v>
      </c>
      <c r="D80" s="119">
        <f>_xlfn.COMPOUNDVALUE(934)</f>
        <v>385</v>
      </c>
      <c r="E80" s="228">
        <v>153875</v>
      </c>
      <c r="F80" s="119">
        <f>_xlfn.COMPOUNDVALUE(935)</f>
        <v>808</v>
      </c>
      <c r="G80" s="228">
        <v>379009</v>
      </c>
      <c r="H80" s="119">
        <f>_xlfn.COMPOUNDVALUE(936)</f>
        <v>26</v>
      </c>
      <c r="I80" s="230">
        <v>13189</v>
      </c>
      <c r="J80" s="119">
        <v>39</v>
      </c>
      <c r="K80" s="121">
        <v>11014</v>
      </c>
      <c r="L80" s="119">
        <v>854</v>
      </c>
      <c r="M80" s="121">
        <v>376834</v>
      </c>
      <c r="N80" s="14" t="s">
        <v>88</v>
      </c>
    </row>
    <row r="81" spans="1:14" s="17" customFormat="1" ht="15.75" customHeight="1">
      <c r="A81" s="13" t="s">
        <v>89</v>
      </c>
      <c r="B81" s="119">
        <f>_xlfn.COMPOUNDVALUE(937)</f>
        <v>393</v>
      </c>
      <c r="C81" s="228">
        <v>231747</v>
      </c>
      <c r="D81" s="119">
        <f>_xlfn.COMPOUNDVALUE(938)</f>
        <v>329</v>
      </c>
      <c r="E81" s="228">
        <v>129000</v>
      </c>
      <c r="F81" s="119">
        <f>_xlfn.COMPOUNDVALUE(939)</f>
        <v>722</v>
      </c>
      <c r="G81" s="228">
        <v>360747</v>
      </c>
      <c r="H81" s="119">
        <f>_xlfn.COMPOUNDVALUE(940)</f>
        <v>40</v>
      </c>
      <c r="I81" s="230">
        <v>25388</v>
      </c>
      <c r="J81" s="119">
        <v>53</v>
      </c>
      <c r="K81" s="121">
        <v>1654</v>
      </c>
      <c r="L81" s="119">
        <v>783</v>
      </c>
      <c r="M81" s="121">
        <v>337013</v>
      </c>
      <c r="N81" s="14" t="s">
        <v>89</v>
      </c>
    </row>
    <row r="82" spans="1:14" s="17" customFormat="1" ht="15.75" customHeight="1">
      <c r="A82" s="13" t="s">
        <v>90</v>
      </c>
      <c r="B82" s="119">
        <f>_xlfn.COMPOUNDVALUE(941)</f>
        <v>692</v>
      </c>
      <c r="C82" s="228">
        <v>407339</v>
      </c>
      <c r="D82" s="119">
        <f>_xlfn.COMPOUNDVALUE(942)</f>
        <v>625</v>
      </c>
      <c r="E82" s="228">
        <v>250381</v>
      </c>
      <c r="F82" s="119">
        <f>_xlfn.COMPOUNDVALUE(943)</f>
        <v>1317</v>
      </c>
      <c r="G82" s="228">
        <v>657719</v>
      </c>
      <c r="H82" s="119">
        <f>_xlfn.COMPOUNDVALUE(944)</f>
        <v>48</v>
      </c>
      <c r="I82" s="230">
        <v>32516</v>
      </c>
      <c r="J82" s="119">
        <v>88</v>
      </c>
      <c r="K82" s="121">
        <v>15928</v>
      </c>
      <c r="L82" s="119">
        <v>1407</v>
      </c>
      <c r="M82" s="121">
        <v>641131</v>
      </c>
      <c r="N82" s="14" t="s">
        <v>90</v>
      </c>
    </row>
    <row r="83" spans="1:14" s="17" customFormat="1" ht="15.75" customHeight="1">
      <c r="A83" s="13" t="s">
        <v>91</v>
      </c>
      <c r="B83" s="119">
        <f>_xlfn.COMPOUNDVALUE(945)</f>
        <v>264</v>
      </c>
      <c r="C83" s="228">
        <v>173334</v>
      </c>
      <c r="D83" s="119">
        <f>_xlfn.COMPOUNDVALUE(946)</f>
        <v>237</v>
      </c>
      <c r="E83" s="228">
        <v>96871</v>
      </c>
      <c r="F83" s="119">
        <f>_xlfn.COMPOUNDVALUE(947)</f>
        <v>501</v>
      </c>
      <c r="G83" s="228">
        <v>270205</v>
      </c>
      <c r="H83" s="119">
        <f>_xlfn.COMPOUNDVALUE(948)</f>
        <v>20</v>
      </c>
      <c r="I83" s="230">
        <v>16840</v>
      </c>
      <c r="J83" s="119">
        <v>57</v>
      </c>
      <c r="K83" s="121">
        <v>5645</v>
      </c>
      <c r="L83" s="119">
        <v>533</v>
      </c>
      <c r="M83" s="121">
        <v>259010</v>
      </c>
      <c r="N83" s="14" t="s">
        <v>91</v>
      </c>
    </row>
    <row r="84" spans="1:14" s="17" customFormat="1" ht="15.75" customHeight="1">
      <c r="A84" s="13" t="s">
        <v>92</v>
      </c>
      <c r="B84" s="119">
        <f>_xlfn.COMPOUNDVALUE(949)</f>
        <v>520</v>
      </c>
      <c r="C84" s="228">
        <v>294985</v>
      </c>
      <c r="D84" s="119">
        <f>_xlfn.COMPOUNDVALUE(950)</f>
        <v>544</v>
      </c>
      <c r="E84" s="228">
        <v>204396</v>
      </c>
      <c r="F84" s="119">
        <f>_xlfn.COMPOUNDVALUE(951)</f>
        <v>1064</v>
      </c>
      <c r="G84" s="228">
        <v>499381</v>
      </c>
      <c r="H84" s="119">
        <f>_xlfn.COMPOUNDVALUE(952)</f>
        <v>22</v>
      </c>
      <c r="I84" s="230">
        <v>13759</v>
      </c>
      <c r="J84" s="119">
        <v>129</v>
      </c>
      <c r="K84" s="121">
        <v>26500</v>
      </c>
      <c r="L84" s="119">
        <v>1122</v>
      </c>
      <c r="M84" s="121">
        <v>512122</v>
      </c>
      <c r="N84" s="14" t="s">
        <v>92</v>
      </c>
    </row>
    <row r="85" spans="1:14" s="17" customFormat="1" ht="15.75" customHeight="1">
      <c r="A85" s="15" t="s">
        <v>93</v>
      </c>
      <c r="B85" s="232">
        <v>24447</v>
      </c>
      <c r="C85" s="125">
        <v>14286934</v>
      </c>
      <c r="D85" s="124">
        <v>22185</v>
      </c>
      <c r="E85" s="125">
        <v>9997922</v>
      </c>
      <c r="F85" s="232">
        <v>46632</v>
      </c>
      <c r="G85" s="125">
        <v>24284856</v>
      </c>
      <c r="H85" s="232">
        <v>2161</v>
      </c>
      <c r="I85" s="126">
        <v>2001957</v>
      </c>
      <c r="J85" s="124">
        <v>4204</v>
      </c>
      <c r="K85" s="126">
        <v>1076444</v>
      </c>
      <c r="L85" s="124">
        <v>50657</v>
      </c>
      <c r="M85" s="126">
        <v>23359343</v>
      </c>
      <c r="N85" s="16" t="s">
        <v>123</v>
      </c>
    </row>
    <row r="86" spans="1:14" s="20" customFormat="1" ht="15.75" customHeight="1">
      <c r="A86" s="23"/>
      <c r="B86" s="129"/>
      <c r="C86" s="130"/>
      <c r="D86" s="129"/>
      <c r="E86" s="130"/>
      <c r="F86" s="131"/>
      <c r="G86" s="130"/>
      <c r="H86" s="131"/>
      <c r="I86" s="130"/>
      <c r="J86" s="131"/>
      <c r="K86" s="130"/>
      <c r="L86" s="131"/>
      <c r="M86" s="130"/>
      <c r="N86" s="24"/>
    </row>
    <row r="87" spans="1:14" ht="15.75" customHeight="1">
      <c r="A87" s="13" t="s">
        <v>94</v>
      </c>
      <c r="B87" s="119">
        <f>_xlfn.COMPOUNDVALUE(953)</f>
        <v>3009</v>
      </c>
      <c r="C87" s="228">
        <v>1701993</v>
      </c>
      <c r="D87" s="119">
        <f>_xlfn.COMPOUNDVALUE(954)</f>
        <v>2528</v>
      </c>
      <c r="E87" s="228">
        <v>1145296</v>
      </c>
      <c r="F87" s="119">
        <f>_xlfn.COMPOUNDVALUE(955)</f>
        <v>5537</v>
      </c>
      <c r="G87" s="228">
        <v>2847289</v>
      </c>
      <c r="H87" s="119">
        <f>_xlfn.COMPOUNDVALUE(956)</f>
        <v>251</v>
      </c>
      <c r="I87" s="230">
        <v>168691</v>
      </c>
      <c r="J87" s="119">
        <v>465</v>
      </c>
      <c r="K87" s="121">
        <v>96263</v>
      </c>
      <c r="L87" s="119">
        <v>5980</v>
      </c>
      <c r="M87" s="121">
        <v>2774861</v>
      </c>
      <c r="N87" s="14" t="s">
        <v>94</v>
      </c>
    </row>
    <row r="88" spans="1:14" ht="15.75" customHeight="1">
      <c r="A88" s="13" t="s">
        <v>95</v>
      </c>
      <c r="B88" s="119">
        <f>_xlfn.COMPOUNDVALUE(957)</f>
        <v>2587</v>
      </c>
      <c r="C88" s="228">
        <v>1433066</v>
      </c>
      <c r="D88" s="119">
        <f>_xlfn.COMPOUNDVALUE(958)</f>
        <v>2004</v>
      </c>
      <c r="E88" s="228">
        <v>814736</v>
      </c>
      <c r="F88" s="119">
        <f>_xlfn.COMPOUNDVALUE(959)</f>
        <v>4591</v>
      </c>
      <c r="G88" s="228">
        <v>2247802</v>
      </c>
      <c r="H88" s="119">
        <f>_xlfn.COMPOUNDVALUE(960)</f>
        <v>176</v>
      </c>
      <c r="I88" s="230">
        <v>127908</v>
      </c>
      <c r="J88" s="119">
        <v>349</v>
      </c>
      <c r="K88" s="121">
        <v>74432</v>
      </c>
      <c r="L88" s="119">
        <v>4933</v>
      </c>
      <c r="M88" s="121">
        <v>2194326</v>
      </c>
      <c r="N88" s="14" t="s">
        <v>95</v>
      </c>
    </row>
    <row r="89" spans="1:14" ht="15.75" customHeight="1">
      <c r="A89" s="13" t="s">
        <v>96</v>
      </c>
      <c r="B89" s="119">
        <f>_xlfn.COMPOUNDVALUE(961)</f>
        <v>961</v>
      </c>
      <c r="C89" s="228">
        <v>507636</v>
      </c>
      <c r="D89" s="119">
        <f>_xlfn.COMPOUNDVALUE(962)</f>
        <v>588</v>
      </c>
      <c r="E89" s="228">
        <v>219482</v>
      </c>
      <c r="F89" s="119">
        <f>_xlfn.COMPOUNDVALUE(963)</f>
        <v>1549</v>
      </c>
      <c r="G89" s="228">
        <v>727119</v>
      </c>
      <c r="H89" s="119">
        <f>_xlfn.COMPOUNDVALUE(964)</f>
        <v>61</v>
      </c>
      <c r="I89" s="230">
        <v>44434</v>
      </c>
      <c r="J89" s="119">
        <v>137</v>
      </c>
      <c r="K89" s="121">
        <v>34252</v>
      </c>
      <c r="L89" s="119">
        <v>1653</v>
      </c>
      <c r="M89" s="121">
        <v>716937</v>
      </c>
      <c r="N89" s="14" t="s">
        <v>96</v>
      </c>
    </row>
    <row r="90" spans="1:14" ht="15.75" customHeight="1">
      <c r="A90" s="13" t="s">
        <v>97</v>
      </c>
      <c r="B90" s="119">
        <f>_xlfn.COMPOUNDVALUE(965)</f>
        <v>320</v>
      </c>
      <c r="C90" s="228">
        <v>194700</v>
      </c>
      <c r="D90" s="119">
        <f>_xlfn.COMPOUNDVALUE(966)</f>
        <v>375</v>
      </c>
      <c r="E90" s="228">
        <v>143289</v>
      </c>
      <c r="F90" s="119">
        <f>_xlfn.COMPOUNDVALUE(967)</f>
        <v>695</v>
      </c>
      <c r="G90" s="228">
        <v>337989</v>
      </c>
      <c r="H90" s="119">
        <f>_xlfn.COMPOUNDVALUE(968)</f>
        <v>12</v>
      </c>
      <c r="I90" s="230">
        <v>4893</v>
      </c>
      <c r="J90" s="119">
        <v>52</v>
      </c>
      <c r="K90" s="121">
        <v>5226</v>
      </c>
      <c r="L90" s="119">
        <v>714</v>
      </c>
      <c r="M90" s="121">
        <v>338322</v>
      </c>
      <c r="N90" s="14" t="s">
        <v>97</v>
      </c>
    </row>
    <row r="91" spans="1:14" s="17" customFormat="1" ht="15.75" customHeight="1">
      <c r="A91" s="15" t="s">
        <v>98</v>
      </c>
      <c r="B91" s="124">
        <v>6877</v>
      </c>
      <c r="C91" s="125">
        <v>3837395</v>
      </c>
      <c r="D91" s="124">
        <v>5495</v>
      </c>
      <c r="E91" s="125">
        <v>2322803</v>
      </c>
      <c r="F91" s="124">
        <v>12372</v>
      </c>
      <c r="G91" s="125">
        <v>6160199</v>
      </c>
      <c r="H91" s="124">
        <v>500</v>
      </c>
      <c r="I91" s="126">
        <v>345925</v>
      </c>
      <c r="J91" s="124">
        <v>1003</v>
      </c>
      <c r="K91" s="126">
        <v>210172</v>
      </c>
      <c r="L91" s="124">
        <v>13280</v>
      </c>
      <c r="M91" s="126">
        <v>6024445</v>
      </c>
      <c r="N91" s="16" t="s">
        <v>124</v>
      </c>
    </row>
    <row r="92" spans="1:14" s="17" customFormat="1" ht="15.75" customHeight="1">
      <c r="A92" s="23"/>
      <c r="B92" s="129"/>
      <c r="C92" s="130"/>
      <c r="D92" s="129"/>
      <c r="E92" s="130"/>
      <c r="F92" s="131"/>
      <c r="G92" s="130"/>
      <c r="H92" s="131"/>
      <c r="I92" s="130"/>
      <c r="J92" s="131"/>
      <c r="K92" s="130"/>
      <c r="L92" s="131"/>
      <c r="M92" s="130"/>
      <c r="N92" s="24"/>
    </row>
    <row r="93" spans="1:14" s="17" customFormat="1" ht="15.75" customHeight="1">
      <c r="A93" s="11" t="s">
        <v>99</v>
      </c>
      <c r="B93" s="231">
        <f>_xlfn.COMPOUNDVALUE(969)</f>
        <v>2067</v>
      </c>
      <c r="C93" s="227">
        <v>1248264</v>
      </c>
      <c r="D93" s="114">
        <f>_xlfn.COMPOUNDVALUE(970)</f>
        <v>1712</v>
      </c>
      <c r="E93" s="227">
        <v>757071</v>
      </c>
      <c r="F93" s="231">
        <f>_xlfn.COMPOUNDVALUE(971)</f>
        <v>3779</v>
      </c>
      <c r="G93" s="227">
        <v>2005335</v>
      </c>
      <c r="H93" s="231">
        <f>_xlfn.COMPOUNDVALUE(972)</f>
        <v>107</v>
      </c>
      <c r="I93" s="229">
        <v>43554</v>
      </c>
      <c r="J93" s="114">
        <v>321</v>
      </c>
      <c r="K93" s="116">
        <v>100469</v>
      </c>
      <c r="L93" s="114">
        <v>4015</v>
      </c>
      <c r="M93" s="116">
        <v>2062250</v>
      </c>
      <c r="N93" s="25" t="s">
        <v>99</v>
      </c>
    </row>
    <row r="94" spans="1:14" s="17" customFormat="1" ht="15.75" customHeight="1">
      <c r="A94" s="13" t="s">
        <v>100</v>
      </c>
      <c r="B94" s="119">
        <f>_xlfn.COMPOUNDVALUE(973)</f>
        <v>380</v>
      </c>
      <c r="C94" s="228">
        <v>238075</v>
      </c>
      <c r="D94" s="119">
        <f>_xlfn.COMPOUNDVALUE(974)</f>
        <v>435</v>
      </c>
      <c r="E94" s="228">
        <v>152997</v>
      </c>
      <c r="F94" s="119">
        <f>_xlfn.COMPOUNDVALUE(975)</f>
        <v>815</v>
      </c>
      <c r="G94" s="228">
        <v>391071</v>
      </c>
      <c r="H94" s="119">
        <f>_xlfn.COMPOUNDVALUE(976)</f>
        <v>23</v>
      </c>
      <c r="I94" s="230">
        <v>7334</v>
      </c>
      <c r="J94" s="119">
        <v>113</v>
      </c>
      <c r="K94" s="121">
        <v>20838</v>
      </c>
      <c r="L94" s="119">
        <v>859</v>
      </c>
      <c r="M94" s="121">
        <v>404575</v>
      </c>
      <c r="N94" s="14" t="s">
        <v>100</v>
      </c>
    </row>
    <row r="95" spans="1:14" s="17" customFormat="1" ht="15.75" customHeight="1">
      <c r="A95" s="13" t="s">
        <v>101</v>
      </c>
      <c r="B95" s="119">
        <f>_xlfn.COMPOUNDVALUE(977)</f>
        <v>591</v>
      </c>
      <c r="C95" s="228">
        <v>352198</v>
      </c>
      <c r="D95" s="119">
        <f>_xlfn.COMPOUNDVALUE(978)</f>
        <v>1007</v>
      </c>
      <c r="E95" s="228">
        <v>364753</v>
      </c>
      <c r="F95" s="119">
        <f>_xlfn.COMPOUNDVALUE(979)</f>
        <v>1598</v>
      </c>
      <c r="G95" s="228">
        <v>716951</v>
      </c>
      <c r="H95" s="119">
        <f>_xlfn.COMPOUNDVALUE(980)</f>
        <v>24</v>
      </c>
      <c r="I95" s="230">
        <v>10456</v>
      </c>
      <c r="J95" s="119">
        <v>61</v>
      </c>
      <c r="K95" s="121">
        <v>9310</v>
      </c>
      <c r="L95" s="119">
        <v>1648</v>
      </c>
      <c r="M95" s="121">
        <v>715805</v>
      </c>
      <c r="N95" s="14" t="s">
        <v>101</v>
      </c>
    </row>
    <row r="96" spans="1:14" s="17" customFormat="1" ht="15.75" customHeight="1">
      <c r="A96" s="13" t="s">
        <v>102</v>
      </c>
      <c r="B96" s="119">
        <f>_xlfn.COMPOUNDVALUE(981)</f>
        <v>780</v>
      </c>
      <c r="C96" s="228">
        <v>484760</v>
      </c>
      <c r="D96" s="119">
        <f>_xlfn.COMPOUNDVALUE(982)</f>
        <v>993</v>
      </c>
      <c r="E96" s="228">
        <v>394576</v>
      </c>
      <c r="F96" s="119">
        <f>_xlfn.COMPOUNDVALUE(983)</f>
        <v>1773</v>
      </c>
      <c r="G96" s="228">
        <v>879337</v>
      </c>
      <c r="H96" s="119">
        <f>_xlfn.COMPOUNDVALUE(984)</f>
        <v>52</v>
      </c>
      <c r="I96" s="230">
        <v>23910</v>
      </c>
      <c r="J96" s="119">
        <v>86</v>
      </c>
      <c r="K96" s="121">
        <v>16278</v>
      </c>
      <c r="L96" s="119">
        <v>1844</v>
      </c>
      <c r="M96" s="121">
        <v>871705</v>
      </c>
      <c r="N96" s="14" t="s">
        <v>102</v>
      </c>
    </row>
    <row r="97" spans="1:14" s="17" customFormat="1" ht="15.75" customHeight="1">
      <c r="A97" s="13" t="s">
        <v>103</v>
      </c>
      <c r="B97" s="119">
        <f>_xlfn.COMPOUNDVALUE(985)</f>
        <v>561</v>
      </c>
      <c r="C97" s="228">
        <v>321991</v>
      </c>
      <c r="D97" s="119">
        <f>_xlfn.COMPOUNDVALUE(986)</f>
        <v>467</v>
      </c>
      <c r="E97" s="228">
        <v>173669</v>
      </c>
      <c r="F97" s="119">
        <f>_xlfn.COMPOUNDVALUE(987)</f>
        <v>1028</v>
      </c>
      <c r="G97" s="228">
        <v>495659</v>
      </c>
      <c r="H97" s="119">
        <f>_xlfn.COMPOUNDVALUE(988)</f>
        <v>32</v>
      </c>
      <c r="I97" s="230">
        <v>3326</v>
      </c>
      <c r="J97" s="119">
        <v>61</v>
      </c>
      <c r="K97" s="121">
        <v>11631</v>
      </c>
      <c r="L97" s="119">
        <v>1093</v>
      </c>
      <c r="M97" s="121">
        <v>503964</v>
      </c>
      <c r="N97" s="14" t="s">
        <v>103</v>
      </c>
    </row>
    <row r="98" spans="1:14" s="17" customFormat="1" ht="15.75" customHeight="1">
      <c r="A98" s="13" t="s">
        <v>104</v>
      </c>
      <c r="B98" s="119">
        <f>_xlfn.COMPOUNDVALUE(989)</f>
        <v>1048</v>
      </c>
      <c r="C98" s="228">
        <v>559803</v>
      </c>
      <c r="D98" s="119">
        <f>_xlfn.COMPOUNDVALUE(990)</f>
        <v>991</v>
      </c>
      <c r="E98" s="228">
        <v>354512</v>
      </c>
      <c r="F98" s="119">
        <f>_xlfn.COMPOUNDVALUE(991)</f>
        <v>2039</v>
      </c>
      <c r="G98" s="228">
        <v>914315</v>
      </c>
      <c r="H98" s="119">
        <f>_xlfn.COMPOUNDVALUE(992)</f>
        <v>62</v>
      </c>
      <c r="I98" s="230">
        <v>21358</v>
      </c>
      <c r="J98" s="119">
        <v>128</v>
      </c>
      <c r="K98" s="121">
        <v>28581</v>
      </c>
      <c r="L98" s="119">
        <v>2153</v>
      </c>
      <c r="M98" s="121">
        <v>921538</v>
      </c>
      <c r="N98" s="14" t="s">
        <v>104</v>
      </c>
    </row>
    <row r="99" spans="1:14" s="17" customFormat="1" ht="15.75" customHeight="1">
      <c r="A99" s="13" t="s">
        <v>105</v>
      </c>
      <c r="B99" s="119">
        <f>_xlfn.COMPOUNDVALUE(993)</f>
        <v>630</v>
      </c>
      <c r="C99" s="228">
        <v>395702</v>
      </c>
      <c r="D99" s="119">
        <f>_xlfn.COMPOUNDVALUE(994)</f>
        <v>1252</v>
      </c>
      <c r="E99" s="228">
        <v>400503</v>
      </c>
      <c r="F99" s="119">
        <f>_xlfn.COMPOUNDVALUE(995)</f>
        <v>1882</v>
      </c>
      <c r="G99" s="228">
        <v>796205</v>
      </c>
      <c r="H99" s="119">
        <f>_xlfn.COMPOUNDVALUE(996)</f>
        <v>28</v>
      </c>
      <c r="I99" s="230">
        <v>14889</v>
      </c>
      <c r="J99" s="119">
        <v>100</v>
      </c>
      <c r="K99" s="121">
        <v>20206</v>
      </c>
      <c r="L99" s="119">
        <v>1956</v>
      </c>
      <c r="M99" s="121">
        <v>801522</v>
      </c>
      <c r="N99" s="14" t="s">
        <v>105</v>
      </c>
    </row>
    <row r="100" spans="1:14" s="17" customFormat="1" ht="15.75" customHeight="1">
      <c r="A100" s="15" t="s">
        <v>106</v>
      </c>
      <c r="B100" s="232">
        <v>6057</v>
      </c>
      <c r="C100" s="125">
        <v>3600793</v>
      </c>
      <c r="D100" s="124">
        <v>6857</v>
      </c>
      <c r="E100" s="125">
        <v>2598080</v>
      </c>
      <c r="F100" s="232">
        <v>12914</v>
      </c>
      <c r="G100" s="125">
        <v>6198873</v>
      </c>
      <c r="H100" s="232">
        <v>328</v>
      </c>
      <c r="I100" s="126">
        <v>124827</v>
      </c>
      <c r="J100" s="124">
        <v>870</v>
      </c>
      <c r="K100" s="126">
        <v>207314</v>
      </c>
      <c r="L100" s="124">
        <v>13568</v>
      </c>
      <c r="M100" s="126">
        <v>6281360</v>
      </c>
      <c r="N100" s="16" t="s">
        <v>125</v>
      </c>
    </row>
    <row r="101" spans="1:14" s="17" customFormat="1" ht="15.75" customHeight="1" thickBot="1">
      <c r="A101" s="18"/>
      <c r="B101" s="233"/>
      <c r="C101" s="145"/>
      <c r="D101" s="144"/>
      <c r="E101" s="145"/>
      <c r="F101" s="235"/>
      <c r="G101" s="145"/>
      <c r="H101" s="235"/>
      <c r="I101" s="145"/>
      <c r="J101" s="146"/>
      <c r="K101" s="145"/>
      <c r="L101" s="146"/>
      <c r="M101" s="145"/>
      <c r="N101" s="19"/>
    </row>
    <row r="102" spans="1:14" s="17" customFormat="1" ht="15.75" customHeight="1" thickBot="1" thickTop="1">
      <c r="A102" s="21" t="s">
        <v>17</v>
      </c>
      <c r="B102" s="234">
        <v>102945</v>
      </c>
      <c r="C102" s="148">
        <v>61010574</v>
      </c>
      <c r="D102" s="234">
        <v>87959</v>
      </c>
      <c r="E102" s="148">
        <v>39873938</v>
      </c>
      <c r="F102" s="234">
        <v>190904</v>
      </c>
      <c r="G102" s="148">
        <v>100884512</v>
      </c>
      <c r="H102" s="234">
        <v>7703</v>
      </c>
      <c r="I102" s="149">
        <v>5914380</v>
      </c>
      <c r="J102" s="147">
        <v>16448</v>
      </c>
      <c r="K102" s="149">
        <v>4291999</v>
      </c>
      <c r="L102" s="147">
        <v>206064</v>
      </c>
      <c r="M102" s="149">
        <v>99262131</v>
      </c>
      <c r="N102" s="22" t="s">
        <v>118</v>
      </c>
    </row>
    <row r="103" spans="1:14" ht="13.5">
      <c r="A103" s="193" t="s">
        <v>167</v>
      </c>
      <c r="B103" s="193"/>
      <c r="C103" s="193"/>
      <c r="D103" s="193"/>
      <c r="E103" s="193"/>
      <c r="F103" s="193"/>
      <c r="G103" s="193"/>
      <c r="H103" s="193"/>
      <c r="I103" s="193"/>
      <c r="J103" s="27"/>
      <c r="K103" s="27"/>
      <c r="L103" s="2"/>
      <c r="M103" s="2"/>
      <c r="N103" s="2"/>
    </row>
    <row r="104" spans="2:13" ht="13.5">
      <c r="B104" s="42"/>
      <c r="C104" s="42"/>
      <c r="D104" s="42"/>
      <c r="E104" s="42"/>
      <c r="F104" s="42"/>
      <c r="G104" s="42"/>
      <c r="H104" s="42"/>
      <c r="I104" s="42"/>
      <c r="J104" s="42"/>
      <c r="K104" s="42"/>
      <c r="L104" s="42"/>
      <c r="M104" s="42"/>
    </row>
    <row r="105" spans="2:10" ht="13.5">
      <c r="B105" s="28"/>
      <c r="C105" s="28"/>
      <c r="D105" s="28"/>
      <c r="E105" s="28"/>
      <c r="F105" s="28"/>
      <c r="G105" s="28"/>
      <c r="H105" s="28"/>
      <c r="J105" s="28"/>
    </row>
    <row r="106" spans="2:10" ht="13.5">
      <c r="B106" s="28"/>
      <c r="C106" s="28"/>
      <c r="D106" s="28"/>
      <c r="E106" s="28"/>
      <c r="F106" s="28"/>
      <c r="G106" s="28"/>
      <c r="H106" s="28"/>
      <c r="J106" s="28"/>
    </row>
    <row r="107" spans="2:10" ht="13.5">
      <c r="B107" s="28"/>
      <c r="C107" s="28"/>
      <c r="D107" s="28"/>
      <c r="E107" s="28"/>
      <c r="F107" s="28"/>
      <c r="G107" s="28"/>
      <c r="H107" s="28"/>
      <c r="J107" s="28"/>
    </row>
    <row r="108" spans="2:10" ht="13.5">
      <c r="B108" s="28"/>
      <c r="C108" s="28"/>
      <c r="D108" s="28"/>
      <c r="E108" s="28"/>
      <c r="F108" s="28"/>
      <c r="G108" s="28"/>
      <c r="H108" s="28"/>
      <c r="J108" s="28"/>
    </row>
    <row r="109" spans="2:10" ht="13.5">
      <c r="B109" s="28"/>
      <c r="C109" s="28"/>
      <c r="D109" s="28"/>
      <c r="E109" s="28"/>
      <c r="F109" s="28"/>
      <c r="G109" s="28"/>
      <c r="H109" s="28"/>
      <c r="J109" s="28"/>
    </row>
    <row r="110" spans="2:10" ht="13.5">
      <c r="B110" s="28"/>
      <c r="C110" s="28"/>
      <c r="D110" s="28"/>
      <c r="E110" s="28"/>
      <c r="F110" s="28"/>
      <c r="G110" s="28"/>
      <c r="H110" s="28"/>
      <c r="J110" s="28"/>
    </row>
    <row r="111" spans="2:10" ht="13.5">
      <c r="B111" s="28"/>
      <c r="C111" s="28"/>
      <c r="D111" s="28"/>
      <c r="E111" s="28"/>
      <c r="F111" s="28"/>
      <c r="G111" s="28"/>
      <c r="H111" s="28"/>
      <c r="J111" s="28"/>
    </row>
    <row r="112" spans="2:10" ht="13.5">
      <c r="B112" s="28"/>
      <c r="C112" s="28"/>
      <c r="D112" s="28"/>
      <c r="E112" s="28"/>
      <c r="F112" s="28"/>
      <c r="G112" s="28"/>
      <c r="H112" s="28"/>
      <c r="J112" s="28"/>
    </row>
    <row r="113" spans="2:10" ht="13.5">
      <c r="B113" s="28"/>
      <c r="C113" s="28"/>
      <c r="D113" s="28"/>
      <c r="E113" s="28"/>
      <c r="F113" s="28"/>
      <c r="G113" s="28"/>
      <c r="H113" s="28"/>
      <c r="J113" s="28"/>
    </row>
    <row r="114" spans="2:10" ht="13.5">
      <c r="B114" s="28"/>
      <c r="C114" s="28"/>
      <c r="D114" s="28"/>
      <c r="E114" s="28"/>
      <c r="F114" s="28"/>
      <c r="G114" s="28"/>
      <c r="H114" s="28"/>
      <c r="J114" s="28"/>
    </row>
    <row r="115" spans="2:10" ht="13.5">
      <c r="B115" s="28"/>
      <c r="C115" s="28"/>
      <c r="D115" s="28"/>
      <c r="E115" s="28"/>
      <c r="F115" s="28"/>
      <c r="G115" s="28"/>
      <c r="H115" s="28"/>
      <c r="J115" s="28"/>
    </row>
    <row r="116" spans="2:10" ht="13.5">
      <c r="B116" s="28"/>
      <c r="C116" s="28"/>
      <c r="D116" s="28"/>
      <c r="E116" s="28"/>
      <c r="F116" s="28"/>
      <c r="G116" s="28"/>
      <c r="H116" s="28"/>
      <c r="J116" s="28"/>
    </row>
    <row r="117" spans="2:10" ht="13.5">
      <c r="B117" s="28"/>
      <c r="C117" s="28"/>
      <c r="D117" s="28"/>
      <c r="E117" s="28"/>
      <c r="F117" s="28"/>
      <c r="G117" s="28"/>
      <c r="H117" s="28"/>
      <c r="J117" s="28"/>
    </row>
  </sheetData>
  <sheetProtection/>
  <mergeCells count="11">
    <mergeCell ref="A103:I103"/>
    <mergeCell ref="A2:G2"/>
    <mergeCell ref="A3:A5"/>
    <mergeCell ref="B3:G3"/>
    <mergeCell ref="H3:I4"/>
    <mergeCell ref="N3:N5"/>
    <mergeCell ref="B4:C4"/>
    <mergeCell ref="D4:E4"/>
    <mergeCell ref="F4:G4"/>
    <mergeCell ref="J3:K4"/>
    <mergeCell ref="L3:M4"/>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81" r:id="rId1"/>
  <headerFooter alignWithMargins="0">
    <oddFooter>&amp;R大阪国税局
消費税
(H30)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03"/>
  <sheetViews>
    <sheetView showGridLines="0" zoomScale="112" zoomScaleNormal="112" zoomScaleSheetLayoutView="85" workbookViewId="0" topLeftCell="B30">
      <selection activeCell="G36" sqref="G36"/>
    </sheetView>
  </sheetViews>
  <sheetFormatPr defaultColWidth="9.140625" defaultRowHeight="15"/>
  <cols>
    <col min="1" max="1" width="11.14062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3" ht="13.5">
      <c r="A1" s="1" t="s">
        <v>172</v>
      </c>
      <c r="B1" s="1"/>
      <c r="C1" s="1"/>
      <c r="D1" s="1"/>
      <c r="E1" s="1"/>
      <c r="F1" s="1"/>
      <c r="G1" s="1"/>
      <c r="H1" s="1"/>
      <c r="I1" s="1"/>
      <c r="J1" s="1"/>
      <c r="K1" s="1"/>
      <c r="L1" s="2"/>
      <c r="M1" s="2"/>
    </row>
    <row r="2" spans="1:13" ht="14.25" thickBot="1">
      <c r="A2" s="209" t="s">
        <v>107</v>
      </c>
      <c r="B2" s="209"/>
      <c r="C2" s="209"/>
      <c r="D2" s="209"/>
      <c r="E2" s="209"/>
      <c r="F2" s="209"/>
      <c r="G2" s="209"/>
      <c r="H2" s="209"/>
      <c r="I2" s="209"/>
      <c r="J2" s="27"/>
      <c r="K2" s="27"/>
      <c r="L2" s="2"/>
      <c r="M2" s="2"/>
    </row>
    <row r="3" spans="1:14" ht="19.5" customHeight="1">
      <c r="A3" s="205" t="s">
        <v>1</v>
      </c>
      <c r="B3" s="208" t="s">
        <v>2</v>
      </c>
      <c r="C3" s="208"/>
      <c r="D3" s="208"/>
      <c r="E3" s="208"/>
      <c r="F3" s="208"/>
      <c r="G3" s="208"/>
      <c r="H3" s="204" t="s">
        <v>3</v>
      </c>
      <c r="I3" s="202"/>
      <c r="J3" s="201" t="s">
        <v>4</v>
      </c>
      <c r="K3" s="202"/>
      <c r="L3" s="204" t="s">
        <v>5</v>
      </c>
      <c r="M3" s="202"/>
      <c r="N3" s="195" t="s">
        <v>108</v>
      </c>
    </row>
    <row r="4" spans="1:14" ht="17.25" customHeight="1">
      <c r="A4" s="206"/>
      <c r="B4" s="199" t="s">
        <v>7</v>
      </c>
      <c r="C4" s="200"/>
      <c r="D4" s="199" t="s">
        <v>8</v>
      </c>
      <c r="E4" s="200"/>
      <c r="F4" s="199" t="s">
        <v>9</v>
      </c>
      <c r="G4" s="200"/>
      <c r="H4" s="199"/>
      <c r="I4" s="203"/>
      <c r="J4" s="199"/>
      <c r="K4" s="203"/>
      <c r="L4" s="199"/>
      <c r="M4" s="203"/>
      <c r="N4" s="196"/>
    </row>
    <row r="5" spans="1:14" ht="28.5" customHeight="1">
      <c r="A5" s="207"/>
      <c r="B5" s="37" t="s">
        <v>10</v>
      </c>
      <c r="C5" s="38" t="s">
        <v>11</v>
      </c>
      <c r="D5" s="37" t="s">
        <v>10</v>
      </c>
      <c r="E5" s="38" t="s">
        <v>11</v>
      </c>
      <c r="F5" s="37" t="s">
        <v>10</v>
      </c>
      <c r="G5" s="41" t="s">
        <v>12</v>
      </c>
      <c r="H5" s="37" t="s">
        <v>115</v>
      </c>
      <c r="I5" s="40" t="s">
        <v>13</v>
      </c>
      <c r="J5" s="37" t="s">
        <v>115</v>
      </c>
      <c r="K5" s="40" t="s">
        <v>14</v>
      </c>
      <c r="L5" s="37" t="s">
        <v>115</v>
      </c>
      <c r="M5" s="39" t="s">
        <v>116</v>
      </c>
      <c r="N5" s="197"/>
    </row>
    <row r="6" spans="1:14" s="29" customFormat="1" ht="10.5">
      <c r="A6" s="5"/>
      <c r="B6" s="6" t="s">
        <v>15</v>
      </c>
      <c r="C6" s="7" t="s">
        <v>16</v>
      </c>
      <c r="D6" s="6" t="s">
        <v>15</v>
      </c>
      <c r="E6" s="7" t="s">
        <v>16</v>
      </c>
      <c r="F6" s="6" t="s">
        <v>15</v>
      </c>
      <c r="G6" s="7" t="s">
        <v>16</v>
      </c>
      <c r="H6" s="6" t="s">
        <v>15</v>
      </c>
      <c r="I6" s="8" t="s">
        <v>16</v>
      </c>
      <c r="J6" s="6" t="s">
        <v>15</v>
      </c>
      <c r="K6" s="8" t="s">
        <v>16</v>
      </c>
      <c r="L6" s="6" t="s">
        <v>170</v>
      </c>
      <c r="M6" s="8" t="s">
        <v>16</v>
      </c>
      <c r="N6" s="9"/>
    </row>
    <row r="7" spans="1:14" ht="15.75" customHeight="1">
      <c r="A7" s="11" t="s">
        <v>18</v>
      </c>
      <c r="B7" s="114">
        <f>_xlfn.COMPOUNDVALUE(1)</f>
        <v>2402</v>
      </c>
      <c r="C7" s="115">
        <v>15361802</v>
      </c>
      <c r="D7" s="114">
        <f>_xlfn.COMPOUNDVALUE(2)</f>
        <v>807</v>
      </c>
      <c r="E7" s="115">
        <v>515037</v>
      </c>
      <c r="F7" s="114">
        <f>_xlfn.COMPOUNDVALUE(3)</f>
        <v>3209</v>
      </c>
      <c r="G7" s="115">
        <v>15876839</v>
      </c>
      <c r="H7" s="114">
        <f>_xlfn.COMPOUNDVALUE(4)</f>
        <v>191</v>
      </c>
      <c r="I7" s="116">
        <v>7033325</v>
      </c>
      <c r="J7" s="114">
        <v>173</v>
      </c>
      <c r="K7" s="116">
        <v>99029</v>
      </c>
      <c r="L7" s="114">
        <v>3424</v>
      </c>
      <c r="M7" s="116">
        <v>8942543</v>
      </c>
      <c r="N7" s="12" t="s">
        <v>18</v>
      </c>
    </row>
    <row r="8" spans="1:14" ht="15.75" customHeight="1">
      <c r="A8" s="13" t="s">
        <v>19</v>
      </c>
      <c r="B8" s="119">
        <f>_xlfn.COMPOUNDVALUE(5)</f>
        <v>1349</v>
      </c>
      <c r="C8" s="120">
        <v>14084325</v>
      </c>
      <c r="D8" s="119">
        <f>_xlfn.COMPOUNDVALUE(6)</f>
        <v>408</v>
      </c>
      <c r="E8" s="120">
        <v>265806</v>
      </c>
      <c r="F8" s="119">
        <f>_xlfn.COMPOUNDVALUE(7)</f>
        <v>1757</v>
      </c>
      <c r="G8" s="120">
        <v>14350130</v>
      </c>
      <c r="H8" s="119">
        <f>_xlfn.COMPOUNDVALUE(8)</f>
        <v>125</v>
      </c>
      <c r="I8" s="121">
        <v>3306919</v>
      </c>
      <c r="J8" s="119">
        <v>130</v>
      </c>
      <c r="K8" s="121">
        <v>67966</v>
      </c>
      <c r="L8" s="119">
        <v>1899</v>
      </c>
      <c r="M8" s="121">
        <v>11111177</v>
      </c>
      <c r="N8" s="14" t="s">
        <v>19</v>
      </c>
    </row>
    <row r="9" spans="1:14" ht="15.75" customHeight="1">
      <c r="A9" s="13" t="s">
        <v>20</v>
      </c>
      <c r="B9" s="119">
        <f>_xlfn.COMPOUNDVALUE(9)</f>
        <v>1420</v>
      </c>
      <c r="C9" s="120">
        <v>9140027</v>
      </c>
      <c r="D9" s="119">
        <f>_xlfn.COMPOUNDVALUE(10)</f>
        <v>447</v>
      </c>
      <c r="E9" s="120">
        <v>280437</v>
      </c>
      <c r="F9" s="119">
        <f>_xlfn.COMPOUNDVALUE(11)</f>
        <v>1867</v>
      </c>
      <c r="G9" s="120">
        <v>9420464</v>
      </c>
      <c r="H9" s="119">
        <f>_xlfn.COMPOUNDVALUE(12)</f>
        <v>90</v>
      </c>
      <c r="I9" s="121">
        <v>234189</v>
      </c>
      <c r="J9" s="119">
        <v>82</v>
      </c>
      <c r="K9" s="121">
        <v>-79716</v>
      </c>
      <c r="L9" s="119">
        <v>1962</v>
      </c>
      <c r="M9" s="121">
        <v>9106559</v>
      </c>
      <c r="N9" s="14" t="s">
        <v>20</v>
      </c>
    </row>
    <row r="10" spans="1:14" ht="15.75" customHeight="1">
      <c r="A10" s="13" t="s">
        <v>21</v>
      </c>
      <c r="B10" s="119">
        <f>_xlfn.COMPOUNDVALUE(13)</f>
        <v>1693</v>
      </c>
      <c r="C10" s="120">
        <v>10170608</v>
      </c>
      <c r="D10" s="119">
        <f>_xlfn.COMPOUNDVALUE(14)</f>
        <v>510</v>
      </c>
      <c r="E10" s="120">
        <v>313299</v>
      </c>
      <c r="F10" s="119">
        <f>_xlfn.COMPOUNDVALUE(15)</f>
        <v>2203</v>
      </c>
      <c r="G10" s="120">
        <v>10483907</v>
      </c>
      <c r="H10" s="119">
        <f>_xlfn.COMPOUNDVALUE(16)</f>
        <v>269</v>
      </c>
      <c r="I10" s="121">
        <v>1706954</v>
      </c>
      <c r="J10" s="119">
        <v>121</v>
      </c>
      <c r="K10" s="121">
        <v>27403</v>
      </c>
      <c r="L10" s="119">
        <v>2490</v>
      </c>
      <c r="M10" s="121">
        <v>8804356</v>
      </c>
      <c r="N10" s="14" t="s">
        <v>21</v>
      </c>
    </row>
    <row r="11" spans="1:14" ht="15.75" customHeight="1">
      <c r="A11" s="13" t="s">
        <v>22</v>
      </c>
      <c r="B11" s="119">
        <f>_xlfn.COMPOUNDVALUE(17)</f>
        <v>2463</v>
      </c>
      <c r="C11" s="120">
        <v>17440437</v>
      </c>
      <c r="D11" s="119">
        <f>_xlfn.COMPOUNDVALUE(18)</f>
        <v>874</v>
      </c>
      <c r="E11" s="120">
        <v>597468</v>
      </c>
      <c r="F11" s="119">
        <f>_xlfn.COMPOUNDVALUE(19)</f>
        <v>3337</v>
      </c>
      <c r="G11" s="120">
        <v>18037905</v>
      </c>
      <c r="H11" s="119">
        <f>_xlfn.COMPOUNDVALUE(20)</f>
        <v>249</v>
      </c>
      <c r="I11" s="121">
        <v>1539191</v>
      </c>
      <c r="J11" s="119">
        <v>243</v>
      </c>
      <c r="K11" s="121">
        <v>30009</v>
      </c>
      <c r="L11" s="119">
        <v>3612</v>
      </c>
      <c r="M11" s="121">
        <v>16528723</v>
      </c>
      <c r="N11" s="14" t="s">
        <v>22</v>
      </c>
    </row>
    <row r="12" spans="1:14" ht="15.75" customHeight="1">
      <c r="A12" s="13" t="s">
        <v>23</v>
      </c>
      <c r="B12" s="119">
        <f>_xlfn.COMPOUNDVALUE(21)</f>
        <v>1228</v>
      </c>
      <c r="C12" s="120">
        <v>13001760</v>
      </c>
      <c r="D12" s="119">
        <f>_xlfn.COMPOUNDVALUE(22)</f>
        <v>330</v>
      </c>
      <c r="E12" s="120">
        <v>209358</v>
      </c>
      <c r="F12" s="119">
        <f>_xlfn.COMPOUNDVALUE(23)</f>
        <v>1558</v>
      </c>
      <c r="G12" s="120">
        <v>13211118</v>
      </c>
      <c r="H12" s="119">
        <f>_xlfn.COMPOUNDVALUE(24)</f>
        <v>95</v>
      </c>
      <c r="I12" s="121">
        <v>515901</v>
      </c>
      <c r="J12" s="119">
        <v>69</v>
      </c>
      <c r="K12" s="121">
        <v>64222</v>
      </c>
      <c r="L12" s="119">
        <v>1660</v>
      </c>
      <c r="M12" s="121">
        <v>12759439</v>
      </c>
      <c r="N12" s="14" t="s">
        <v>23</v>
      </c>
    </row>
    <row r="13" spans="1:14" ht="15.75" customHeight="1">
      <c r="A13" s="13" t="s">
        <v>24</v>
      </c>
      <c r="B13" s="119">
        <f>_xlfn.COMPOUNDVALUE(25)</f>
        <v>526</v>
      </c>
      <c r="C13" s="120">
        <v>2569700</v>
      </c>
      <c r="D13" s="119">
        <f>_xlfn.COMPOUNDVALUE(26)</f>
        <v>163</v>
      </c>
      <c r="E13" s="120">
        <v>89120</v>
      </c>
      <c r="F13" s="119">
        <f>_xlfn.COMPOUNDVALUE(27)</f>
        <v>689</v>
      </c>
      <c r="G13" s="120">
        <v>2658819</v>
      </c>
      <c r="H13" s="119">
        <f>_xlfn.COMPOUNDVALUE(28)</f>
        <v>31</v>
      </c>
      <c r="I13" s="121">
        <v>551336</v>
      </c>
      <c r="J13" s="119">
        <v>31</v>
      </c>
      <c r="K13" s="121">
        <v>3794</v>
      </c>
      <c r="L13" s="119">
        <v>721</v>
      </c>
      <c r="M13" s="121">
        <v>2111277</v>
      </c>
      <c r="N13" s="14" t="s">
        <v>24</v>
      </c>
    </row>
    <row r="14" spans="1:14" ht="15.75" customHeight="1">
      <c r="A14" s="15" t="s">
        <v>109</v>
      </c>
      <c r="B14" s="124">
        <v>11081</v>
      </c>
      <c r="C14" s="125">
        <v>81768659</v>
      </c>
      <c r="D14" s="124">
        <v>3539</v>
      </c>
      <c r="E14" s="125">
        <v>2270523</v>
      </c>
      <c r="F14" s="124">
        <v>14620</v>
      </c>
      <c r="G14" s="125">
        <v>84039183</v>
      </c>
      <c r="H14" s="124">
        <v>1050</v>
      </c>
      <c r="I14" s="126">
        <v>14887814</v>
      </c>
      <c r="J14" s="124">
        <v>849</v>
      </c>
      <c r="K14" s="126">
        <v>212705</v>
      </c>
      <c r="L14" s="124">
        <v>15768</v>
      </c>
      <c r="M14" s="126">
        <v>69364074</v>
      </c>
      <c r="N14" s="16" t="s">
        <v>120</v>
      </c>
    </row>
    <row r="15" spans="1:14" ht="15.75" customHeight="1">
      <c r="A15" s="26"/>
      <c r="B15" s="129"/>
      <c r="C15" s="130"/>
      <c r="D15" s="129"/>
      <c r="E15" s="130"/>
      <c r="F15" s="131"/>
      <c r="G15" s="130"/>
      <c r="H15" s="131"/>
      <c r="I15" s="130"/>
      <c r="J15" s="131"/>
      <c r="K15" s="130"/>
      <c r="L15" s="131"/>
      <c r="M15" s="130"/>
      <c r="N15" s="24"/>
    </row>
    <row r="16" spans="1:14" ht="15.75" customHeight="1">
      <c r="A16" s="11" t="s">
        <v>26</v>
      </c>
      <c r="B16" s="114">
        <f>_xlfn.COMPOUNDVALUE(29)</f>
        <v>2265</v>
      </c>
      <c r="C16" s="115">
        <v>16448836</v>
      </c>
      <c r="D16" s="114">
        <f>_xlfn.COMPOUNDVALUE(30)</f>
        <v>1030</v>
      </c>
      <c r="E16" s="115">
        <v>525119</v>
      </c>
      <c r="F16" s="114">
        <f>_xlfn.COMPOUNDVALUE(31)</f>
        <v>3295</v>
      </c>
      <c r="G16" s="115">
        <v>16973955</v>
      </c>
      <c r="H16" s="114">
        <f>_xlfn.COMPOUNDVALUE(32)</f>
        <v>266</v>
      </c>
      <c r="I16" s="116">
        <v>12761356</v>
      </c>
      <c r="J16" s="114">
        <v>145</v>
      </c>
      <c r="K16" s="116">
        <v>-1030</v>
      </c>
      <c r="L16" s="114">
        <v>3575</v>
      </c>
      <c r="M16" s="116">
        <v>4211569</v>
      </c>
      <c r="N16" s="25" t="s">
        <v>26</v>
      </c>
    </row>
    <row r="17" spans="1:14" ht="15.75" customHeight="1">
      <c r="A17" s="11" t="s">
        <v>27</v>
      </c>
      <c r="B17" s="114">
        <f>_xlfn.COMPOUNDVALUE(33)</f>
        <v>1616</v>
      </c>
      <c r="C17" s="115">
        <v>8192481</v>
      </c>
      <c r="D17" s="114">
        <f>_xlfn.COMPOUNDVALUE(34)</f>
        <v>638</v>
      </c>
      <c r="E17" s="115">
        <v>378544</v>
      </c>
      <c r="F17" s="114">
        <f>_xlfn.COMPOUNDVALUE(35)</f>
        <v>2254</v>
      </c>
      <c r="G17" s="115">
        <v>8571025</v>
      </c>
      <c r="H17" s="114">
        <f>_xlfn.COMPOUNDVALUE(36)</f>
        <v>192</v>
      </c>
      <c r="I17" s="116">
        <v>1059817</v>
      </c>
      <c r="J17" s="114">
        <v>113</v>
      </c>
      <c r="K17" s="116">
        <v>22695</v>
      </c>
      <c r="L17" s="114">
        <v>2468</v>
      </c>
      <c r="M17" s="116">
        <v>7533903</v>
      </c>
      <c r="N17" s="12" t="s">
        <v>27</v>
      </c>
    </row>
    <row r="18" spans="1:14" ht="15.75" customHeight="1">
      <c r="A18" s="11" t="s">
        <v>28</v>
      </c>
      <c r="B18" s="114">
        <f>_xlfn.COMPOUNDVALUE(37)</f>
        <v>3015</v>
      </c>
      <c r="C18" s="115">
        <v>28405399</v>
      </c>
      <c r="D18" s="114">
        <f>_xlfn.COMPOUNDVALUE(38)</f>
        <v>990</v>
      </c>
      <c r="E18" s="115">
        <v>630744</v>
      </c>
      <c r="F18" s="114">
        <f>_xlfn.COMPOUNDVALUE(39)</f>
        <v>4005</v>
      </c>
      <c r="G18" s="115">
        <v>29036144</v>
      </c>
      <c r="H18" s="114">
        <f>_xlfn.COMPOUNDVALUE(40)</f>
        <v>359</v>
      </c>
      <c r="I18" s="116">
        <v>11067297</v>
      </c>
      <c r="J18" s="114">
        <v>215</v>
      </c>
      <c r="K18" s="116">
        <v>89224</v>
      </c>
      <c r="L18" s="114">
        <v>4393</v>
      </c>
      <c r="M18" s="116">
        <v>18058071</v>
      </c>
      <c r="N18" s="12" t="s">
        <v>28</v>
      </c>
    </row>
    <row r="19" spans="1:14" ht="15.75" customHeight="1">
      <c r="A19" s="11" t="s">
        <v>29</v>
      </c>
      <c r="B19" s="114">
        <f>_xlfn.COMPOUNDVALUE(41)</f>
        <v>2100</v>
      </c>
      <c r="C19" s="115">
        <v>13297950</v>
      </c>
      <c r="D19" s="114">
        <f>_xlfn.COMPOUNDVALUE(42)</f>
        <v>729</v>
      </c>
      <c r="E19" s="115">
        <v>419807</v>
      </c>
      <c r="F19" s="114">
        <f>_xlfn.COMPOUNDVALUE(43)</f>
        <v>2829</v>
      </c>
      <c r="G19" s="115">
        <v>13717758</v>
      </c>
      <c r="H19" s="114">
        <f>_xlfn.COMPOUNDVALUE(44)</f>
        <v>186</v>
      </c>
      <c r="I19" s="116">
        <v>334000</v>
      </c>
      <c r="J19" s="114">
        <v>83</v>
      </c>
      <c r="K19" s="116">
        <v>64942</v>
      </c>
      <c r="L19" s="114">
        <v>3033</v>
      </c>
      <c r="M19" s="116">
        <v>13448700</v>
      </c>
      <c r="N19" s="12" t="s">
        <v>29</v>
      </c>
    </row>
    <row r="20" spans="1:14" ht="15.75" customHeight="1">
      <c r="A20" s="11" t="s">
        <v>30</v>
      </c>
      <c r="B20" s="114">
        <f>_xlfn.COMPOUNDVALUE(45)</f>
        <v>4703</v>
      </c>
      <c r="C20" s="115">
        <v>80716967</v>
      </c>
      <c r="D20" s="114">
        <f>_xlfn.COMPOUNDVALUE(46)</f>
        <v>1225</v>
      </c>
      <c r="E20" s="115">
        <v>768370</v>
      </c>
      <c r="F20" s="114">
        <f>_xlfn.COMPOUNDVALUE(47)</f>
        <v>5928</v>
      </c>
      <c r="G20" s="115">
        <v>81485338</v>
      </c>
      <c r="H20" s="114">
        <f>_xlfn.COMPOUNDVALUE(48)</f>
        <v>540</v>
      </c>
      <c r="I20" s="116">
        <v>13117554</v>
      </c>
      <c r="J20" s="114">
        <v>408</v>
      </c>
      <c r="K20" s="116">
        <v>36282</v>
      </c>
      <c r="L20" s="114">
        <v>6503</v>
      </c>
      <c r="M20" s="116">
        <v>68404066</v>
      </c>
      <c r="N20" s="12" t="s">
        <v>30</v>
      </c>
    </row>
    <row r="21" spans="1:14" ht="15.75" customHeight="1">
      <c r="A21" s="11" t="s">
        <v>31</v>
      </c>
      <c r="B21" s="114">
        <f>_xlfn.COMPOUNDVALUE(49)</f>
        <v>3854</v>
      </c>
      <c r="C21" s="115">
        <v>24104802</v>
      </c>
      <c r="D21" s="114">
        <f>_xlfn.COMPOUNDVALUE(50)</f>
        <v>1319</v>
      </c>
      <c r="E21" s="115">
        <v>755245</v>
      </c>
      <c r="F21" s="114">
        <f>_xlfn.COMPOUNDVALUE(51)</f>
        <v>5173</v>
      </c>
      <c r="G21" s="115">
        <v>24860046</v>
      </c>
      <c r="H21" s="114">
        <f>_xlfn.COMPOUNDVALUE(52)</f>
        <v>354</v>
      </c>
      <c r="I21" s="116">
        <v>68721575</v>
      </c>
      <c r="J21" s="114">
        <v>397</v>
      </c>
      <c r="K21" s="116">
        <v>127773</v>
      </c>
      <c r="L21" s="114">
        <v>5574</v>
      </c>
      <c r="M21" s="116">
        <v>-43733756</v>
      </c>
      <c r="N21" s="12" t="s">
        <v>31</v>
      </c>
    </row>
    <row r="22" spans="1:14" ht="15.75" customHeight="1">
      <c r="A22" s="13" t="s">
        <v>32</v>
      </c>
      <c r="B22" s="119">
        <f>_xlfn.COMPOUNDVALUE(53)</f>
        <v>2652</v>
      </c>
      <c r="C22" s="120">
        <v>24025207</v>
      </c>
      <c r="D22" s="119">
        <f>_xlfn.COMPOUNDVALUE(54)</f>
        <v>794</v>
      </c>
      <c r="E22" s="120">
        <v>521335</v>
      </c>
      <c r="F22" s="119">
        <f>_xlfn.COMPOUNDVALUE(55)</f>
        <v>3446</v>
      </c>
      <c r="G22" s="120">
        <v>24546542</v>
      </c>
      <c r="H22" s="119">
        <f>_xlfn.COMPOUNDVALUE(56)</f>
        <v>227</v>
      </c>
      <c r="I22" s="121">
        <v>10547838</v>
      </c>
      <c r="J22" s="119">
        <v>174</v>
      </c>
      <c r="K22" s="121">
        <v>47010</v>
      </c>
      <c r="L22" s="119">
        <v>3696</v>
      </c>
      <c r="M22" s="121">
        <v>14045714</v>
      </c>
      <c r="N22" s="14" t="s">
        <v>32</v>
      </c>
    </row>
    <row r="23" spans="1:14" ht="15.75" customHeight="1">
      <c r="A23" s="13" t="s">
        <v>33</v>
      </c>
      <c r="B23" s="119">
        <f>_xlfn.COMPOUNDVALUE(57)</f>
        <v>977</v>
      </c>
      <c r="C23" s="120">
        <v>7657281</v>
      </c>
      <c r="D23" s="119">
        <f>_xlfn.COMPOUNDVALUE(58)</f>
        <v>349</v>
      </c>
      <c r="E23" s="120">
        <v>194256</v>
      </c>
      <c r="F23" s="119">
        <f>_xlfn.COMPOUNDVALUE(59)</f>
        <v>1326</v>
      </c>
      <c r="G23" s="120">
        <v>7851537</v>
      </c>
      <c r="H23" s="119">
        <f>_xlfn.COMPOUNDVALUE(60)</f>
        <v>29</v>
      </c>
      <c r="I23" s="121">
        <v>84274</v>
      </c>
      <c r="J23" s="119">
        <v>95</v>
      </c>
      <c r="K23" s="121">
        <v>17192</v>
      </c>
      <c r="L23" s="119">
        <v>1363</v>
      </c>
      <c r="M23" s="121">
        <v>7784455</v>
      </c>
      <c r="N23" s="14" t="s">
        <v>33</v>
      </c>
    </row>
    <row r="24" spans="1:14" ht="15.75" customHeight="1">
      <c r="A24" s="13" t="s">
        <v>34</v>
      </c>
      <c r="B24" s="119">
        <f>_xlfn.COMPOUNDVALUE(61)</f>
        <v>781</v>
      </c>
      <c r="C24" s="120">
        <v>3201343</v>
      </c>
      <c r="D24" s="119">
        <f>_xlfn.COMPOUNDVALUE(62)</f>
        <v>251</v>
      </c>
      <c r="E24" s="120">
        <v>144982</v>
      </c>
      <c r="F24" s="119">
        <f>_xlfn.COMPOUNDVALUE(63)</f>
        <v>1032</v>
      </c>
      <c r="G24" s="120">
        <v>3346325</v>
      </c>
      <c r="H24" s="119">
        <f>_xlfn.COMPOUNDVALUE(64)</f>
        <v>45</v>
      </c>
      <c r="I24" s="121">
        <v>115633</v>
      </c>
      <c r="J24" s="119">
        <v>59</v>
      </c>
      <c r="K24" s="121">
        <v>898</v>
      </c>
      <c r="L24" s="119">
        <v>1078</v>
      </c>
      <c r="M24" s="121">
        <v>3231590</v>
      </c>
      <c r="N24" s="14" t="s">
        <v>34</v>
      </c>
    </row>
    <row r="25" spans="1:14" ht="15.75" customHeight="1">
      <c r="A25" s="13" t="s">
        <v>35</v>
      </c>
      <c r="B25" s="119">
        <f>_xlfn.COMPOUNDVALUE(65)</f>
        <v>4227</v>
      </c>
      <c r="C25" s="120">
        <v>26731096</v>
      </c>
      <c r="D25" s="119">
        <f>_xlfn.COMPOUNDVALUE(66)</f>
        <v>1203</v>
      </c>
      <c r="E25" s="120">
        <v>759179</v>
      </c>
      <c r="F25" s="119">
        <f>_xlfn.COMPOUNDVALUE(67)</f>
        <v>5430</v>
      </c>
      <c r="G25" s="120">
        <v>27490276</v>
      </c>
      <c r="H25" s="119">
        <f>_xlfn.COMPOUNDVALUE(68)</f>
        <v>458</v>
      </c>
      <c r="I25" s="121">
        <v>1996024</v>
      </c>
      <c r="J25" s="119">
        <v>339</v>
      </c>
      <c r="K25" s="121">
        <v>50001</v>
      </c>
      <c r="L25" s="119">
        <v>5922</v>
      </c>
      <c r="M25" s="121">
        <v>25544253</v>
      </c>
      <c r="N25" s="14" t="s">
        <v>35</v>
      </c>
    </row>
    <row r="26" spans="1:14" ht="15.75" customHeight="1">
      <c r="A26" s="13" t="s">
        <v>36</v>
      </c>
      <c r="B26" s="119">
        <f>_xlfn.COMPOUNDVALUE(69)</f>
        <v>382</v>
      </c>
      <c r="C26" s="120">
        <v>1613238</v>
      </c>
      <c r="D26" s="119">
        <f>_xlfn.COMPOUNDVALUE(70)</f>
        <v>130</v>
      </c>
      <c r="E26" s="120">
        <v>62662</v>
      </c>
      <c r="F26" s="119">
        <f>_xlfn.COMPOUNDVALUE(71)</f>
        <v>512</v>
      </c>
      <c r="G26" s="120">
        <v>1675900</v>
      </c>
      <c r="H26" s="119">
        <f>_xlfn.COMPOUNDVALUE(72)</f>
        <v>15</v>
      </c>
      <c r="I26" s="121">
        <v>161220</v>
      </c>
      <c r="J26" s="119">
        <v>38</v>
      </c>
      <c r="K26" s="121">
        <v>11353</v>
      </c>
      <c r="L26" s="119">
        <v>531</v>
      </c>
      <c r="M26" s="121">
        <v>1526033</v>
      </c>
      <c r="N26" s="14" t="s">
        <v>36</v>
      </c>
    </row>
    <row r="27" spans="1:14" ht="15.75" customHeight="1">
      <c r="A27" s="13" t="s">
        <v>37</v>
      </c>
      <c r="B27" s="119">
        <f>_xlfn.COMPOUNDVALUE(73)</f>
        <v>1121</v>
      </c>
      <c r="C27" s="120">
        <v>4999920</v>
      </c>
      <c r="D27" s="119">
        <f>_xlfn.COMPOUNDVALUE(74)</f>
        <v>311</v>
      </c>
      <c r="E27" s="120">
        <v>193561</v>
      </c>
      <c r="F27" s="119">
        <f>_xlfn.COMPOUNDVALUE(75)</f>
        <v>1432</v>
      </c>
      <c r="G27" s="120">
        <v>5193481</v>
      </c>
      <c r="H27" s="119">
        <f>_xlfn.COMPOUNDVALUE(76)</f>
        <v>72</v>
      </c>
      <c r="I27" s="121">
        <v>389264</v>
      </c>
      <c r="J27" s="119">
        <v>101</v>
      </c>
      <c r="K27" s="121">
        <v>8973</v>
      </c>
      <c r="L27" s="119">
        <v>1511</v>
      </c>
      <c r="M27" s="121">
        <v>4813190</v>
      </c>
      <c r="N27" s="14" t="s">
        <v>37</v>
      </c>
    </row>
    <row r="28" spans="1:14" ht="15.75" customHeight="1">
      <c r="A28" s="13" t="s">
        <v>38</v>
      </c>
      <c r="B28" s="119">
        <f>_xlfn.COMPOUNDVALUE(77)</f>
        <v>488</v>
      </c>
      <c r="C28" s="120">
        <v>2268532</v>
      </c>
      <c r="D28" s="119">
        <f>_xlfn.COMPOUNDVALUE(78)</f>
        <v>130</v>
      </c>
      <c r="E28" s="120">
        <v>80032</v>
      </c>
      <c r="F28" s="119">
        <f>_xlfn.COMPOUNDVALUE(79)</f>
        <v>618</v>
      </c>
      <c r="G28" s="120">
        <v>2348564</v>
      </c>
      <c r="H28" s="119">
        <f>_xlfn.COMPOUNDVALUE(80)</f>
        <v>26</v>
      </c>
      <c r="I28" s="121">
        <v>378560</v>
      </c>
      <c r="J28" s="119">
        <v>40</v>
      </c>
      <c r="K28" s="121">
        <v>4266</v>
      </c>
      <c r="L28" s="119">
        <v>649</v>
      </c>
      <c r="M28" s="121">
        <v>1974270</v>
      </c>
      <c r="N28" s="14" t="s">
        <v>38</v>
      </c>
    </row>
    <row r="29" spans="1:14" ht="15.75" customHeight="1">
      <c r="A29" s="15" t="s">
        <v>160</v>
      </c>
      <c r="B29" s="124">
        <v>28181</v>
      </c>
      <c r="C29" s="125">
        <v>241663052</v>
      </c>
      <c r="D29" s="124">
        <v>9099</v>
      </c>
      <c r="E29" s="125">
        <v>5433836</v>
      </c>
      <c r="F29" s="124">
        <v>37280</v>
      </c>
      <c r="G29" s="125">
        <v>247096889</v>
      </c>
      <c r="H29" s="124">
        <v>2769</v>
      </c>
      <c r="I29" s="126">
        <v>120734411</v>
      </c>
      <c r="J29" s="124">
        <v>2207</v>
      </c>
      <c r="K29" s="126">
        <v>479578</v>
      </c>
      <c r="L29" s="124">
        <v>40296</v>
      </c>
      <c r="M29" s="126">
        <v>126842056</v>
      </c>
      <c r="N29" s="16" t="s">
        <v>121</v>
      </c>
    </row>
    <row r="30" spans="1:14" ht="15.75" customHeight="1">
      <c r="A30" s="23"/>
      <c r="B30" s="129"/>
      <c r="C30" s="130"/>
      <c r="D30" s="129"/>
      <c r="E30" s="130"/>
      <c r="F30" s="131"/>
      <c r="G30" s="130"/>
      <c r="H30" s="131"/>
      <c r="I30" s="130"/>
      <c r="J30" s="131"/>
      <c r="K30" s="130"/>
      <c r="L30" s="131"/>
      <c r="M30" s="130"/>
      <c r="N30" s="24"/>
    </row>
    <row r="31" spans="1:14" ht="15.75" customHeight="1">
      <c r="A31" s="11" t="s">
        <v>40</v>
      </c>
      <c r="B31" s="114">
        <f>_xlfn.COMPOUNDVALUE(81)</f>
        <v>2706</v>
      </c>
      <c r="C31" s="115">
        <v>38342074</v>
      </c>
      <c r="D31" s="114">
        <f>_xlfn.COMPOUNDVALUE(82)</f>
        <v>634</v>
      </c>
      <c r="E31" s="115">
        <v>389616</v>
      </c>
      <c r="F31" s="114">
        <f>_xlfn.COMPOUNDVALUE(83)</f>
        <v>3340</v>
      </c>
      <c r="G31" s="115">
        <v>38731690</v>
      </c>
      <c r="H31" s="114">
        <f>_xlfn.COMPOUNDVALUE(84)</f>
        <v>434</v>
      </c>
      <c r="I31" s="116">
        <v>2641278</v>
      </c>
      <c r="J31" s="114">
        <v>266</v>
      </c>
      <c r="K31" s="116">
        <v>53745</v>
      </c>
      <c r="L31" s="114">
        <v>3793</v>
      </c>
      <c r="M31" s="116">
        <v>36144157</v>
      </c>
      <c r="N31" s="25" t="s">
        <v>40</v>
      </c>
    </row>
    <row r="32" spans="1:14" ht="15.75" customHeight="1">
      <c r="A32" s="11" t="s">
        <v>41</v>
      </c>
      <c r="B32" s="114">
        <f>_xlfn.COMPOUNDVALUE(85)</f>
        <v>5738</v>
      </c>
      <c r="C32" s="115">
        <v>76484829</v>
      </c>
      <c r="D32" s="114">
        <f>_xlfn.COMPOUNDVALUE(86)</f>
        <v>1215</v>
      </c>
      <c r="E32" s="115">
        <v>894765</v>
      </c>
      <c r="F32" s="114">
        <f>_xlfn.COMPOUNDVALUE(87)</f>
        <v>6953</v>
      </c>
      <c r="G32" s="115">
        <v>77379595</v>
      </c>
      <c r="H32" s="114">
        <f>_xlfn.COMPOUNDVALUE(88)</f>
        <v>1202</v>
      </c>
      <c r="I32" s="116">
        <v>48806560</v>
      </c>
      <c r="J32" s="114">
        <v>638</v>
      </c>
      <c r="K32" s="116">
        <v>237536</v>
      </c>
      <c r="L32" s="114">
        <v>8215</v>
      </c>
      <c r="M32" s="116">
        <v>28810571</v>
      </c>
      <c r="N32" s="12" t="s">
        <v>41</v>
      </c>
    </row>
    <row r="33" spans="1:14" ht="15.75" customHeight="1">
      <c r="A33" s="11" t="s">
        <v>42</v>
      </c>
      <c r="B33" s="114">
        <f>_xlfn.COMPOUNDVALUE(89)</f>
        <v>2250</v>
      </c>
      <c r="C33" s="115">
        <v>20473921</v>
      </c>
      <c r="D33" s="114">
        <f>_xlfn.COMPOUNDVALUE(90)</f>
        <v>543</v>
      </c>
      <c r="E33" s="115">
        <v>332701</v>
      </c>
      <c r="F33" s="114">
        <f>_xlfn.COMPOUNDVALUE(91)</f>
        <v>2793</v>
      </c>
      <c r="G33" s="115">
        <v>20806622</v>
      </c>
      <c r="H33" s="114">
        <f>_xlfn.COMPOUNDVALUE(92)</f>
        <v>229</v>
      </c>
      <c r="I33" s="116">
        <v>2240476</v>
      </c>
      <c r="J33" s="114">
        <v>200</v>
      </c>
      <c r="K33" s="116">
        <v>32293</v>
      </c>
      <c r="L33" s="114">
        <v>3050</v>
      </c>
      <c r="M33" s="116">
        <v>18598439</v>
      </c>
      <c r="N33" s="12" t="s">
        <v>42</v>
      </c>
    </row>
    <row r="34" spans="1:14" ht="15.75" customHeight="1">
      <c r="A34" s="11" t="s">
        <v>43</v>
      </c>
      <c r="B34" s="114">
        <f>_xlfn.COMPOUNDVALUE(93)</f>
        <v>1979</v>
      </c>
      <c r="C34" s="115">
        <v>25773044</v>
      </c>
      <c r="D34" s="114">
        <f>_xlfn.COMPOUNDVALUE(94)</f>
        <v>595</v>
      </c>
      <c r="E34" s="115">
        <v>371359</v>
      </c>
      <c r="F34" s="114">
        <f>_xlfn.COMPOUNDVALUE(95)</f>
        <v>2574</v>
      </c>
      <c r="G34" s="115">
        <v>26144404</v>
      </c>
      <c r="H34" s="114">
        <f>_xlfn.COMPOUNDVALUE(96)</f>
        <v>337</v>
      </c>
      <c r="I34" s="116">
        <v>1615737</v>
      </c>
      <c r="J34" s="114">
        <v>181</v>
      </c>
      <c r="K34" s="116">
        <v>144364</v>
      </c>
      <c r="L34" s="114">
        <v>2973</v>
      </c>
      <c r="M34" s="116">
        <v>24673031</v>
      </c>
      <c r="N34" s="12" t="s">
        <v>43</v>
      </c>
    </row>
    <row r="35" spans="1:14" ht="15.75" customHeight="1">
      <c r="A35" s="11" t="s">
        <v>44</v>
      </c>
      <c r="B35" s="114">
        <f>_xlfn.COMPOUNDVALUE(97)</f>
        <v>2305</v>
      </c>
      <c r="C35" s="115">
        <v>26629932</v>
      </c>
      <c r="D35" s="114">
        <f>_xlfn.COMPOUNDVALUE(98)</f>
        <v>510</v>
      </c>
      <c r="E35" s="115">
        <v>324958</v>
      </c>
      <c r="F35" s="114">
        <f>_xlfn.COMPOUNDVALUE(99)</f>
        <v>2815</v>
      </c>
      <c r="G35" s="115">
        <v>26954890</v>
      </c>
      <c r="H35" s="114">
        <f>_xlfn.COMPOUNDVALUE(100)</f>
        <v>586</v>
      </c>
      <c r="I35" s="116">
        <v>27102028</v>
      </c>
      <c r="J35" s="114">
        <v>279</v>
      </c>
      <c r="K35" s="116">
        <v>32426</v>
      </c>
      <c r="L35" s="114">
        <v>3426</v>
      </c>
      <c r="M35" s="116">
        <v>-114712</v>
      </c>
      <c r="N35" s="12" t="s">
        <v>44</v>
      </c>
    </row>
    <row r="36" spans="1:14" ht="15.75" customHeight="1">
      <c r="A36" s="11" t="s">
        <v>45</v>
      </c>
      <c r="B36" s="114">
        <f>_xlfn.COMPOUNDVALUE(101)</f>
        <v>1469</v>
      </c>
      <c r="C36" s="115">
        <v>18566224</v>
      </c>
      <c r="D36" s="114">
        <f>_xlfn.COMPOUNDVALUE(102)</f>
        <v>371</v>
      </c>
      <c r="E36" s="115">
        <v>242770</v>
      </c>
      <c r="F36" s="114">
        <f>_xlfn.COMPOUNDVALUE(103)</f>
        <v>1840</v>
      </c>
      <c r="G36" s="115">
        <v>18808994</v>
      </c>
      <c r="H36" s="114">
        <f>_xlfn.COMPOUNDVALUE(104)</f>
        <v>198</v>
      </c>
      <c r="I36" s="116">
        <v>3237768</v>
      </c>
      <c r="J36" s="114">
        <v>171</v>
      </c>
      <c r="K36" s="116">
        <v>163343</v>
      </c>
      <c r="L36" s="114">
        <v>2058</v>
      </c>
      <c r="M36" s="116">
        <v>15734569</v>
      </c>
      <c r="N36" s="12" t="s">
        <v>45</v>
      </c>
    </row>
    <row r="37" spans="1:14" ht="15.75" customHeight="1">
      <c r="A37" s="11" t="s">
        <v>46</v>
      </c>
      <c r="B37" s="114">
        <f>_xlfn.COMPOUNDVALUE(105)</f>
        <v>1581</v>
      </c>
      <c r="C37" s="115">
        <v>15294742</v>
      </c>
      <c r="D37" s="114">
        <f>_xlfn.COMPOUNDVALUE(106)</f>
        <v>511</v>
      </c>
      <c r="E37" s="115">
        <v>296862</v>
      </c>
      <c r="F37" s="114">
        <f>_xlfn.COMPOUNDVALUE(107)</f>
        <v>2092</v>
      </c>
      <c r="G37" s="115">
        <v>15591604</v>
      </c>
      <c r="H37" s="114">
        <f>_xlfn.COMPOUNDVALUE(108)</f>
        <v>210</v>
      </c>
      <c r="I37" s="116">
        <v>1005751</v>
      </c>
      <c r="J37" s="114">
        <v>128</v>
      </c>
      <c r="K37" s="116">
        <v>23560</v>
      </c>
      <c r="L37" s="114">
        <v>2319</v>
      </c>
      <c r="M37" s="116">
        <v>14609413</v>
      </c>
      <c r="N37" s="12" t="s">
        <v>46</v>
      </c>
    </row>
    <row r="38" spans="1:14" ht="15.75" customHeight="1">
      <c r="A38" s="11" t="s">
        <v>47</v>
      </c>
      <c r="B38" s="114">
        <f>_xlfn.COMPOUNDVALUE(109)</f>
        <v>1789</v>
      </c>
      <c r="C38" s="115">
        <v>13340595</v>
      </c>
      <c r="D38" s="114">
        <f>_xlfn.COMPOUNDVALUE(110)</f>
        <v>577</v>
      </c>
      <c r="E38" s="115">
        <v>327301</v>
      </c>
      <c r="F38" s="114">
        <f>_xlfn.COMPOUNDVALUE(111)</f>
        <v>2366</v>
      </c>
      <c r="G38" s="115">
        <v>13667897</v>
      </c>
      <c r="H38" s="114">
        <f>_xlfn.COMPOUNDVALUE(112)</f>
        <v>281</v>
      </c>
      <c r="I38" s="116">
        <v>590925</v>
      </c>
      <c r="J38" s="114">
        <v>145</v>
      </c>
      <c r="K38" s="116">
        <v>9523</v>
      </c>
      <c r="L38" s="114">
        <v>2672</v>
      </c>
      <c r="M38" s="116">
        <v>13086495</v>
      </c>
      <c r="N38" s="12" t="s">
        <v>47</v>
      </c>
    </row>
    <row r="39" spans="1:14" ht="15.75" customHeight="1">
      <c r="A39" s="11" t="s">
        <v>48</v>
      </c>
      <c r="B39" s="114">
        <f>_xlfn.COMPOUNDVALUE(113)</f>
        <v>2303</v>
      </c>
      <c r="C39" s="115">
        <v>28228161</v>
      </c>
      <c r="D39" s="114">
        <f>_xlfn.COMPOUNDVALUE(114)</f>
        <v>695</v>
      </c>
      <c r="E39" s="115">
        <v>450813</v>
      </c>
      <c r="F39" s="114">
        <f>_xlfn.COMPOUNDVALUE(115)</f>
        <v>2998</v>
      </c>
      <c r="G39" s="115">
        <v>28678973</v>
      </c>
      <c r="H39" s="114">
        <f>_xlfn.COMPOUNDVALUE(116)</f>
        <v>226</v>
      </c>
      <c r="I39" s="116">
        <v>857465</v>
      </c>
      <c r="J39" s="114">
        <v>194</v>
      </c>
      <c r="K39" s="116">
        <v>126142</v>
      </c>
      <c r="L39" s="114">
        <v>3254</v>
      </c>
      <c r="M39" s="116">
        <v>27947650</v>
      </c>
      <c r="N39" s="12" t="s">
        <v>48</v>
      </c>
    </row>
    <row r="40" spans="1:14" ht="15.75" customHeight="1">
      <c r="A40" s="11" t="s">
        <v>49</v>
      </c>
      <c r="B40" s="114">
        <f>_xlfn.COMPOUNDVALUE(117)</f>
        <v>2694</v>
      </c>
      <c r="C40" s="115">
        <v>20486829</v>
      </c>
      <c r="D40" s="114">
        <f>_xlfn.COMPOUNDVALUE(118)</f>
        <v>878</v>
      </c>
      <c r="E40" s="115">
        <v>552175</v>
      </c>
      <c r="F40" s="114">
        <f>_xlfn.COMPOUNDVALUE(119)</f>
        <v>3572</v>
      </c>
      <c r="G40" s="115">
        <v>21039004</v>
      </c>
      <c r="H40" s="114">
        <f>_xlfn.COMPOUNDVALUE(120)</f>
        <v>276</v>
      </c>
      <c r="I40" s="116">
        <v>1668126</v>
      </c>
      <c r="J40" s="114">
        <v>270</v>
      </c>
      <c r="K40" s="116">
        <v>60178</v>
      </c>
      <c r="L40" s="114">
        <v>3868</v>
      </c>
      <c r="M40" s="116">
        <v>19431056</v>
      </c>
      <c r="N40" s="12" t="s">
        <v>49</v>
      </c>
    </row>
    <row r="41" spans="1:14" ht="15.75" customHeight="1">
      <c r="A41" s="11" t="s">
        <v>50</v>
      </c>
      <c r="B41" s="114">
        <f>_xlfn.COMPOUNDVALUE(121)</f>
        <v>1249</v>
      </c>
      <c r="C41" s="115">
        <v>13112785</v>
      </c>
      <c r="D41" s="114">
        <f>_xlfn.COMPOUNDVALUE(122)</f>
        <v>434</v>
      </c>
      <c r="E41" s="115">
        <v>271903</v>
      </c>
      <c r="F41" s="114">
        <f>_xlfn.COMPOUNDVALUE(123)</f>
        <v>1683</v>
      </c>
      <c r="G41" s="115">
        <v>13384688</v>
      </c>
      <c r="H41" s="114">
        <f>_xlfn.COMPOUNDVALUE(124)</f>
        <v>198</v>
      </c>
      <c r="I41" s="116">
        <v>969382</v>
      </c>
      <c r="J41" s="114">
        <v>95</v>
      </c>
      <c r="K41" s="116">
        <v>25455</v>
      </c>
      <c r="L41" s="114">
        <v>1896</v>
      </c>
      <c r="M41" s="116">
        <v>12440761</v>
      </c>
      <c r="N41" s="12" t="s">
        <v>50</v>
      </c>
    </row>
    <row r="42" spans="1:14" ht="15.75" customHeight="1">
      <c r="A42" s="11" t="s">
        <v>51</v>
      </c>
      <c r="B42" s="114">
        <f>_xlfn.COMPOUNDVALUE(125)</f>
        <v>2761</v>
      </c>
      <c r="C42" s="115">
        <v>20394637</v>
      </c>
      <c r="D42" s="114">
        <f>_xlfn.COMPOUNDVALUE(126)</f>
        <v>761</v>
      </c>
      <c r="E42" s="115">
        <v>502242</v>
      </c>
      <c r="F42" s="114">
        <f>_xlfn.COMPOUNDVALUE(127)</f>
        <v>3522</v>
      </c>
      <c r="G42" s="115">
        <v>20896879</v>
      </c>
      <c r="H42" s="114">
        <f>_xlfn.COMPOUNDVALUE(128)</f>
        <v>377</v>
      </c>
      <c r="I42" s="116">
        <v>2198938</v>
      </c>
      <c r="J42" s="114">
        <v>324</v>
      </c>
      <c r="K42" s="116">
        <v>72295</v>
      </c>
      <c r="L42" s="114">
        <v>3964</v>
      </c>
      <c r="M42" s="116">
        <v>18770236</v>
      </c>
      <c r="N42" s="12" t="s">
        <v>51</v>
      </c>
    </row>
    <row r="43" spans="1:14" ht="15.75" customHeight="1">
      <c r="A43" s="11" t="s">
        <v>52</v>
      </c>
      <c r="B43" s="114">
        <f>_xlfn.COMPOUNDVALUE(129)</f>
        <v>4119</v>
      </c>
      <c r="C43" s="115">
        <v>20480375</v>
      </c>
      <c r="D43" s="114">
        <f>_xlfn.COMPOUNDVALUE(130)</f>
        <v>1263</v>
      </c>
      <c r="E43" s="115">
        <v>789214</v>
      </c>
      <c r="F43" s="114">
        <f>_xlfn.COMPOUNDVALUE(131)</f>
        <v>5382</v>
      </c>
      <c r="G43" s="115">
        <v>21269589</v>
      </c>
      <c r="H43" s="114">
        <f>_xlfn.COMPOUNDVALUE(132)</f>
        <v>469</v>
      </c>
      <c r="I43" s="116">
        <v>2345123</v>
      </c>
      <c r="J43" s="114">
        <v>358</v>
      </c>
      <c r="K43" s="116">
        <v>36525</v>
      </c>
      <c r="L43" s="114">
        <v>5901</v>
      </c>
      <c r="M43" s="116">
        <v>18960991</v>
      </c>
      <c r="N43" s="12" t="s">
        <v>52</v>
      </c>
    </row>
    <row r="44" spans="1:14" ht="15.75" customHeight="1">
      <c r="A44" s="11" t="s">
        <v>53</v>
      </c>
      <c r="B44" s="114">
        <f>_xlfn.COMPOUNDVALUE(133)</f>
        <v>1208</v>
      </c>
      <c r="C44" s="115">
        <v>9709101</v>
      </c>
      <c r="D44" s="114">
        <f>_xlfn.COMPOUNDVALUE(134)</f>
        <v>329</v>
      </c>
      <c r="E44" s="115">
        <v>192451</v>
      </c>
      <c r="F44" s="114">
        <f>_xlfn.COMPOUNDVALUE(135)</f>
        <v>1537</v>
      </c>
      <c r="G44" s="115">
        <v>9901551</v>
      </c>
      <c r="H44" s="114">
        <f>_xlfn.COMPOUNDVALUE(136)</f>
        <v>193</v>
      </c>
      <c r="I44" s="116">
        <v>501711</v>
      </c>
      <c r="J44" s="114">
        <v>80</v>
      </c>
      <c r="K44" s="116">
        <v>21543</v>
      </c>
      <c r="L44" s="114">
        <v>1747</v>
      </c>
      <c r="M44" s="116">
        <v>9421383</v>
      </c>
      <c r="N44" s="12" t="s">
        <v>53</v>
      </c>
    </row>
    <row r="45" spans="1:14" ht="15.75" customHeight="1">
      <c r="A45" s="11" t="s">
        <v>54</v>
      </c>
      <c r="B45" s="114">
        <f>_xlfn.COMPOUNDVALUE(137)</f>
        <v>5503</v>
      </c>
      <c r="C45" s="115">
        <v>81478312</v>
      </c>
      <c r="D45" s="114">
        <f>_xlfn.COMPOUNDVALUE(138)</f>
        <v>1518</v>
      </c>
      <c r="E45" s="115">
        <v>996151</v>
      </c>
      <c r="F45" s="114">
        <f>_xlfn.COMPOUNDVALUE(139)</f>
        <v>7021</v>
      </c>
      <c r="G45" s="115">
        <v>82474463</v>
      </c>
      <c r="H45" s="114">
        <f>_xlfn.COMPOUNDVALUE(140)</f>
        <v>777</v>
      </c>
      <c r="I45" s="116">
        <v>8627425</v>
      </c>
      <c r="J45" s="114">
        <v>587</v>
      </c>
      <c r="K45" s="116">
        <v>222361</v>
      </c>
      <c r="L45" s="114">
        <v>7856</v>
      </c>
      <c r="M45" s="116">
        <v>74069399</v>
      </c>
      <c r="N45" s="12" t="s">
        <v>54</v>
      </c>
    </row>
    <row r="46" spans="1:14" ht="15.75" customHeight="1">
      <c r="A46" s="11" t="s">
        <v>55</v>
      </c>
      <c r="B46" s="114">
        <f>_xlfn.COMPOUNDVALUE(141)</f>
        <v>5998</v>
      </c>
      <c r="C46" s="115">
        <v>185089065</v>
      </c>
      <c r="D46" s="114">
        <f>_xlfn.COMPOUNDVALUE(142)</f>
        <v>1313</v>
      </c>
      <c r="E46" s="115">
        <v>1006044</v>
      </c>
      <c r="F46" s="114">
        <f>_xlfn.COMPOUNDVALUE(143)</f>
        <v>7311</v>
      </c>
      <c r="G46" s="115">
        <v>186095109</v>
      </c>
      <c r="H46" s="114">
        <f>_xlfn.COMPOUNDVALUE(144)</f>
        <v>1090</v>
      </c>
      <c r="I46" s="116">
        <v>90140180</v>
      </c>
      <c r="J46" s="114">
        <v>566</v>
      </c>
      <c r="K46" s="116">
        <v>279670</v>
      </c>
      <c r="L46" s="114">
        <v>8483</v>
      </c>
      <c r="M46" s="116">
        <v>96234599</v>
      </c>
      <c r="N46" s="12" t="s">
        <v>55</v>
      </c>
    </row>
    <row r="47" spans="1:14" ht="15.75" customHeight="1">
      <c r="A47" s="11" t="s">
        <v>56</v>
      </c>
      <c r="B47" s="114">
        <f>_xlfn.COMPOUNDVALUE(145)</f>
        <v>2842</v>
      </c>
      <c r="C47" s="115">
        <v>91288237</v>
      </c>
      <c r="D47" s="114">
        <f>_xlfn.COMPOUNDVALUE(146)</f>
        <v>702</v>
      </c>
      <c r="E47" s="115">
        <v>493655</v>
      </c>
      <c r="F47" s="114">
        <f>_xlfn.COMPOUNDVALUE(147)</f>
        <v>3544</v>
      </c>
      <c r="G47" s="115">
        <v>91781891</v>
      </c>
      <c r="H47" s="114">
        <f>_xlfn.COMPOUNDVALUE(148)</f>
        <v>500</v>
      </c>
      <c r="I47" s="116">
        <v>17790692</v>
      </c>
      <c r="J47" s="114">
        <v>272</v>
      </c>
      <c r="K47" s="116">
        <v>55447</v>
      </c>
      <c r="L47" s="114">
        <v>4077</v>
      </c>
      <c r="M47" s="116">
        <v>74046646</v>
      </c>
      <c r="N47" s="12" t="s">
        <v>56</v>
      </c>
    </row>
    <row r="48" spans="1:14" ht="15.75" customHeight="1">
      <c r="A48" s="11" t="s">
        <v>57</v>
      </c>
      <c r="B48" s="114">
        <f>_xlfn.COMPOUNDVALUE(149)</f>
        <v>8438</v>
      </c>
      <c r="C48" s="115">
        <v>233098357</v>
      </c>
      <c r="D48" s="114">
        <f>_xlfn.COMPOUNDVALUE(150)</f>
        <v>1758</v>
      </c>
      <c r="E48" s="115">
        <v>1364846</v>
      </c>
      <c r="F48" s="114">
        <f>_xlfn.COMPOUNDVALUE(151)</f>
        <v>10196</v>
      </c>
      <c r="G48" s="115">
        <v>234463203</v>
      </c>
      <c r="H48" s="114">
        <f>_xlfn.COMPOUNDVALUE(152)</f>
        <v>2521</v>
      </c>
      <c r="I48" s="116">
        <v>57909468</v>
      </c>
      <c r="J48" s="114">
        <v>864</v>
      </c>
      <c r="K48" s="116">
        <v>621975</v>
      </c>
      <c r="L48" s="114">
        <v>12840</v>
      </c>
      <c r="M48" s="116">
        <v>177175710</v>
      </c>
      <c r="N48" s="12" t="s">
        <v>57</v>
      </c>
    </row>
    <row r="49" spans="1:14" ht="15.75" customHeight="1">
      <c r="A49" s="11" t="s">
        <v>58</v>
      </c>
      <c r="B49" s="114">
        <f>_xlfn.COMPOUNDVALUE(153)</f>
        <v>4611</v>
      </c>
      <c r="C49" s="115">
        <v>54457284</v>
      </c>
      <c r="D49" s="114">
        <f>_xlfn.COMPOUNDVALUE(154)</f>
        <v>1092</v>
      </c>
      <c r="E49" s="115">
        <v>766402</v>
      </c>
      <c r="F49" s="114">
        <f>_xlfn.COMPOUNDVALUE(155)</f>
        <v>5703</v>
      </c>
      <c r="G49" s="115">
        <v>55223686</v>
      </c>
      <c r="H49" s="114">
        <f>_xlfn.COMPOUNDVALUE(156)</f>
        <v>1278</v>
      </c>
      <c r="I49" s="116">
        <v>17196627</v>
      </c>
      <c r="J49" s="114">
        <v>474</v>
      </c>
      <c r="K49" s="116">
        <v>148907</v>
      </c>
      <c r="L49" s="114">
        <v>7062</v>
      </c>
      <c r="M49" s="116">
        <v>38175966</v>
      </c>
      <c r="N49" s="12" t="s">
        <v>58</v>
      </c>
    </row>
    <row r="50" spans="1:14" ht="15.75" customHeight="1">
      <c r="A50" s="11" t="s">
        <v>59</v>
      </c>
      <c r="B50" s="114">
        <f>_xlfn.COMPOUNDVALUE(157)</f>
        <v>8102</v>
      </c>
      <c r="C50" s="115">
        <v>60485369</v>
      </c>
      <c r="D50" s="114">
        <f>_xlfn.COMPOUNDVALUE(158)</f>
        <v>2192</v>
      </c>
      <c r="E50" s="115">
        <v>1443934</v>
      </c>
      <c r="F50" s="114">
        <f>_xlfn.COMPOUNDVALUE(159)</f>
        <v>10294</v>
      </c>
      <c r="G50" s="115">
        <v>61929303</v>
      </c>
      <c r="H50" s="114">
        <f>_xlfn.COMPOUNDVALUE(160)</f>
        <v>946</v>
      </c>
      <c r="I50" s="116">
        <v>30818888</v>
      </c>
      <c r="J50" s="114">
        <v>724</v>
      </c>
      <c r="K50" s="116">
        <v>225348</v>
      </c>
      <c r="L50" s="114">
        <v>11306</v>
      </c>
      <c r="M50" s="116">
        <v>31335763</v>
      </c>
      <c r="N50" s="12" t="s">
        <v>59</v>
      </c>
    </row>
    <row r="51" spans="1:14" ht="15.75" customHeight="1">
      <c r="A51" s="11" t="s">
        <v>60</v>
      </c>
      <c r="B51" s="114">
        <f>_xlfn.COMPOUNDVALUE(161)</f>
        <v>2571</v>
      </c>
      <c r="C51" s="115">
        <v>14963111</v>
      </c>
      <c r="D51" s="114">
        <f>_xlfn.COMPOUNDVALUE(162)</f>
        <v>662</v>
      </c>
      <c r="E51" s="115">
        <v>417296</v>
      </c>
      <c r="F51" s="114">
        <f>_xlfn.COMPOUNDVALUE(163)</f>
        <v>3233</v>
      </c>
      <c r="G51" s="115">
        <v>15380407</v>
      </c>
      <c r="H51" s="114">
        <f>_xlfn.COMPOUNDVALUE(164)</f>
        <v>274</v>
      </c>
      <c r="I51" s="116">
        <v>1850505</v>
      </c>
      <c r="J51" s="114">
        <v>231</v>
      </c>
      <c r="K51" s="116">
        <v>53663</v>
      </c>
      <c r="L51" s="114">
        <v>3537</v>
      </c>
      <c r="M51" s="116">
        <v>13583565</v>
      </c>
      <c r="N51" s="12" t="s">
        <v>60</v>
      </c>
    </row>
    <row r="52" spans="1:14" ht="15.75" customHeight="1">
      <c r="A52" s="11" t="s">
        <v>61</v>
      </c>
      <c r="B52" s="114">
        <f>_xlfn.COMPOUNDVALUE(165)</f>
        <v>5476</v>
      </c>
      <c r="C52" s="115">
        <v>45781276</v>
      </c>
      <c r="D52" s="114">
        <f>_xlfn.COMPOUNDVALUE(166)</f>
        <v>2085</v>
      </c>
      <c r="E52" s="115">
        <v>1309225</v>
      </c>
      <c r="F52" s="114">
        <f>_xlfn.COMPOUNDVALUE(167)</f>
        <v>7561</v>
      </c>
      <c r="G52" s="115">
        <v>47090500</v>
      </c>
      <c r="H52" s="114">
        <f>_xlfn.COMPOUNDVALUE(168)</f>
        <v>648</v>
      </c>
      <c r="I52" s="116">
        <v>2493934</v>
      </c>
      <c r="J52" s="114">
        <v>555</v>
      </c>
      <c r="K52" s="116">
        <v>167498</v>
      </c>
      <c r="L52" s="114">
        <v>8271</v>
      </c>
      <c r="M52" s="116">
        <v>44764064</v>
      </c>
      <c r="N52" s="12" t="s">
        <v>61</v>
      </c>
    </row>
    <row r="53" spans="1:14" ht="15.75" customHeight="1">
      <c r="A53" s="11" t="s">
        <v>62</v>
      </c>
      <c r="B53" s="114">
        <f>_xlfn.COMPOUNDVALUE(169)</f>
        <v>4426</v>
      </c>
      <c r="C53" s="115">
        <v>41422528</v>
      </c>
      <c r="D53" s="114">
        <f>_xlfn.COMPOUNDVALUE(170)</f>
        <v>1541</v>
      </c>
      <c r="E53" s="115">
        <v>1004471</v>
      </c>
      <c r="F53" s="114">
        <f>_xlfn.COMPOUNDVALUE(171)</f>
        <v>5967</v>
      </c>
      <c r="G53" s="115">
        <v>42426999</v>
      </c>
      <c r="H53" s="114">
        <f>_xlfn.COMPOUNDVALUE(172)</f>
        <v>444</v>
      </c>
      <c r="I53" s="116">
        <v>3075317</v>
      </c>
      <c r="J53" s="114">
        <v>378</v>
      </c>
      <c r="K53" s="116">
        <v>127820</v>
      </c>
      <c r="L53" s="114">
        <v>6464</v>
      </c>
      <c r="M53" s="116">
        <v>39479502</v>
      </c>
      <c r="N53" s="12" t="s">
        <v>62</v>
      </c>
    </row>
    <row r="54" spans="1:14" ht="15.75" customHeight="1">
      <c r="A54" s="11" t="s">
        <v>63</v>
      </c>
      <c r="B54" s="114">
        <f>_xlfn.COMPOUNDVALUE(173)</f>
        <v>2735</v>
      </c>
      <c r="C54" s="115">
        <v>23733470</v>
      </c>
      <c r="D54" s="114">
        <f>_xlfn.COMPOUNDVALUE(174)</f>
        <v>709</v>
      </c>
      <c r="E54" s="115">
        <v>465609</v>
      </c>
      <c r="F54" s="114">
        <f>_xlfn.COMPOUNDVALUE(175)</f>
        <v>3444</v>
      </c>
      <c r="G54" s="115">
        <v>24199079</v>
      </c>
      <c r="H54" s="114">
        <f>_xlfn.COMPOUNDVALUE(176)</f>
        <v>376</v>
      </c>
      <c r="I54" s="116">
        <v>3642705</v>
      </c>
      <c r="J54" s="114">
        <v>238</v>
      </c>
      <c r="K54" s="116">
        <v>44612</v>
      </c>
      <c r="L54" s="114">
        <v>3855</v>
      </c>
      <c r="M54" s="116">
        <v>20600986</v>
      </c>
      <c r="N54" s="12" t="s">
        <v>63</v>
      </c>
    </row>
    <row r="55" spans="1:14" ht="15.75" customHeight="1">
      <c r="A55" s="13" t="s">
        <v>64</v>
      </c>
      <c r="B55" s="119">
        <f>_xlfn.COMPOUNDVALUE(177)</f>
        <v>4566</v>
      </c>
      <c r="C55" s="120">
        <v>28674005</v>
      </c>
      <c r="D55" s="119">
        <f>_xlfn.COMPOUNDVALUE(178)</f>
        <v>1400</v>
      </c>
      <c r="E55" s="120">
        <v>868532</v>
      </c>
      <c r="F55" s="119">
        <f>_xlfn.COMPOUNDVALUE(179)</f>
        <v>5966</v>
      </c>
      <c r="G55" s="120">
        <v>29542537</v>
      </c>
      <c r="H55" s="119">
        <f>_xlfn.COMPOUNDVALUE(180)</f>
        <v>479</v>
      </c>
      <c r="I55" s="121">
        <v>3425742</v>
      </c>
      <c r="J55" s="119">
        <v>413</v>
      </c>
      <c r="K55" s="121">
        <v>41122</v>
      </c>
      <c r="L55" s="119">
        <v>6502</v>
      </c>
      <c r="M55" s="121">
        <v>26157917</v>
      </c>
      <c r="N55" s="14" t="s">
        <v>64</v>
      </c>
    </row>
    <row r="56" spans="1:14" ht="15.75" customHeight="1">
      <c r="A56" s="13" t="s">
        <v>65</v>
      </c>
      <c r="B56" s="119">
        <f>_xlfn.COMPOUNDVALUE(181)</f>
        <v>4336</v>
      </c>
      <c r="C56" s="120">
        <v>36549165</v>
      </c>
      <c r="D56" s="119">
        <f>_xlfn.COMPOUNDVALUE(182)</f>
        <v>1501</v>
      </c>
      <c r="E56" s="120">
        <v>981203</v>
      </c>
      <c r="F56" s="119">
        <f>_xlfn.COMPOUNDVALUE(183)</f>
        <v>5837</v>
      </c>
      <c r="G56" s="120">
        <v>37530368</v>
      </c>
      <c r="H56" s="119">
        <f>_xlfn.COMPOUNDVALUE(184)</f>
        <v>376</v>
      </c>
      <c r="I56" s="121">
        <v>16341971</v>
      </c>
      <c r="J56" s="119">
        <v>341</v>
      </c>
      <c r="K56" s="121">
        <v>108772</v>
      </c>
      <c r="L56" s="119">
        <v>6274</v>
      </c>
      <c r="M56" s="121">
        <v>21297169</v>
      </c>
      <c r="N56" s="14" t="s">
        <v>65</v>
      </c>
    </row>
    <row r="57" spans="1:14" ht="15.75" customHeight="1">
      <c r="A57" s="13" t="s">
        <v>66</v>
      </c>
      <c r="B57" s="119">
        <f>_xlfn.COMPOUNDVALUE(185)</f>
        <v>5148</v>
      </c>
      <c r="C57" s="120">
        <v>34383108</v>
      </c>
      <c r="D57" s="119">
        <f>_xlfn.COMPOUNDVALUE(186)</f>
        <v>1603</v>
      </c>
      <c r="E57" s="120">
        <v>1003551</v>
      </c>
      <c r="F57" s="119">
        <f>_xlfn.COMPOUNDVALUE(187)</f>
        <v>6751</v>
      </c>
      <c r="G57" s="120">
        <v>35386659</v>
      </c>
      <c r="H57" s="119">
        <f>_xlfn.COMPOUNDVALUE(188)</f>
        <v>453</v>
      </c>
      <c r="I57" s="121">
        <v>2836300</v>
      </c>
      <c r="J57" s="119">
        <v>426</v>
      </c>
      <c r="K57" s="121">
        <v>-33015</v>
      </c>
      <c r="L57" s="119">
        <v>7248</v>
      </c>
      <c r="M57" s="121">
        <v>32517344</v>
      </c>
      <c r="N57" s="14" t="s">
        <v>66</v>
      </c>
    </row>
    <row r="58" spans="1:14" ht="15.75" customHeight="1">
      <c r="A58" s="13" t="s">
        <v>67</v>
      </c>
      <c r="B58" s="119">
        <f>_xlfn.COMPOUNDVALUE(189)</f>
        <v>2144</v>
      </c>
      <c r="C58" s="120">
        <v>14947513</v>
      </c>
      <c r="D58" s="119">
        <f>_xlfn.COMPOUNDVALUE(190)</f>
        <v>551</v>
      </c>
      <c r="E58" s="120">
        <v>338277</v>
      </c>
      <c r="F58" s="119">
        <f>_xlfn.COMPOUNDVALUE(191)</f>
        <v>2695</v>
      </c>
      <c r="G58" s="120">
        <v>15285789</v>
      </c>
      <c r="H58" s="119">
        <f>_xlfn.COMPOUNDVALUE(192)</f>
        <v>261</v>
      </c>
      <c r="I58" s="121">
        <v>3177677</v>
      </c>
      <c r="J58" s="119">
        <v>170</v>
      </c>
      <c r="K58" s="121">
        <v>31967</v>
      </c>
      <c r="L58" s="119">
        <v>2969</v>
      </c>
      <c r="M58" s="121">
        <v>12140079</v>
      </c>
      <c r="N58" s="14" t="s">
        <v>67</v>
      </c>
    </row>
    <row r="59" spans="1:14" ht="15.75" customHeight="1">
      <c r="A59" s="13" t="s">
        <v>68</v>
      </c>
      <c r="B59" s="119">
        <f>_xlfn.COMPOUNDVALUE(193)</f>
        <v>3571</v>
      </c>
      <c r="C59" s="120">
        <v>18706778</v>
      </c>
      <c r="D59" s="119">
        <f>_xlfn.COMPOUNDVALUE(194)</f>
        <v>1187</v>
      </c>
      <c r="E59" s="120">
        <v>756913</v>
      </c>
      <c r="F59" s="119">
        <f>_xlfn.COMPOUNDVALUE(195)</f>
        <v>4758</v>
      </c>
      <c r="G59" s="120">
        <v>19463691</v>
      </c>
      <c r="H59" s="119">
        <f>_xlfn.COMPOUNDVALUE(196)</f>
        <v>285</v>
      </c>
      <c r="I59" s="121">
        <v>706440</v>
      </c>
      <c r="J59" s="119">
        <v>323</v>
      </c>
      <c r="K59" s="121">
        <v>50096</v>
      </c>
      <c r="L59" s="119">
        <v>5068</v>
      </c>
      <c r="M59" s="121">
        <v>18807347</v>
      </c>
      <c r="N59" s="14" t="s">
        <v>68</v>
      </c>
    </row>
    <row r="60" spans="1:14" ht="15.75" customHeight="1">
      <c r="A60" s="13" t="s">
        <v>69</v>
      </c>
      <c r="B60" s="119">
        <f>_xlfn.COMPOUNDVALUE(197)</f>
        <v>4813</v>
      </c>
      <c r="C60" s="120">
        <v>37053015</v>
      </c>
      <c r="D60" s="119">
        <f>_xlfn.COMPOUNDVALUE(198)</f>
        <v>1606</v>
      </c>
      <c r="E60" s="120">
        <v>1055349</v>
      </c>
      <c r="F60" s="119">
        <f>_xlfn.COMPOUNDVALUE(199)</f>
        <v>6419</v>
      </c>
      <c r="G60" s="120">
        <v>38108364</v>
      </c>
      <c r="H60" s="119">
        <f>_xlfn.COMPOUNDVALUE(200)</f>
        <v>415</v>
      </c>
      <c r="I60" s="121">
        <v>44998605</v>
      </c>
      <c r="J60" s="119">
        <v>357</v>
      </c>
      <c r="K60" s="121">
        <v>47200</v>
      </c>
      <c r="L60" s="119">
        <v>6890</v>
      </c>
      <c r="M60" s="121">
        <v>-6843041</v>
      </c>
      <c r="N60" s="14" t="s">
        <v>69</v>
      </c>
    </row>
    <row r="61" spans="1:14" ht="15.75" customHeight="1">
      <c r="A61" s="13" t="s">
        <v>70</v>
      </c>
      <c r="B61" s="119">
        <f>_xlfn.COMPOUNDVALUE(201)</f>
        <v>7560</v>
      </c>
      <c r="C61" s="120">
        <v>51522529</v>
      </c>
      <c r="D61" s="119">
        <f>_xlfn.COMPOUNDVALUE(202)</f>
        <v>2221</v>
      </c>
      <c r="E61" s="120">
        <v>1471028</v>
      </c>
      <c r="F61" s="119">
        <f>_xlfn.COMPOUNDVALUE(203)</f>
        <v>9781</v>
      </c>
      <c r="G61" s="120">
        <v>52993558</v>
      </c>
      <c r="H61" s="119">
        <f>_xlfn.COMPOUNDVALUE(204)</f>
        <v>544</v>
      </c>
      <c r="I61" s="121">
        <v>2507300</v>
      </c>
      <c r="J61" s="119">
        <v>625</v>
      </c>
      <c r="K61" s="121">
        <v>66579</v>
      </c>
      <c r="L61" s="119">
        <v>10392</v>
      </c>
      <c r="M61" s="121">
        <v>50552837</v>
      </c>
      <c r="N61" s="14" t="s">
        <v>70</v>
      </c>
    </row>
    <row r="62" spans="1:14" ht="15.75" customHeight="1">
      <c r="A62" s="15" t="s">
        <v>161</v>
      </c>
      <c r="B62" s="124">
        <v>116991</v>
      </c>
      <c r="C62" s="125">
        <v>1400950372</v>
      </c>
      <c r="D62" s="124">
        <v>32957</v>
      </c>
      <c r="E62" s="125">
        <v>21681615</v>
      </c>
      <c r="F62" s="124">
        <v>149948</v>
      </c>
      <c r="G62" s="125">
        <v>1422631987</v>
      </c>
      <c r="H62" s="124">
        <v>16883</v>
      </c>
      <c r="I62" s="126">
        <v>403321044</v>
      </c>
      <c r="J62" s="124">
        <v>10873</v>
      </c>
      <c r="K62" s="126">
        <v>3298948</v>
      </c>
      <c r="L62" s="124">
        <v>168230</v>
      </c>
      <c r="M62" s="126">
        <v>1022609891</v>
      </c>
      <c r="N62" s="16" t="s">
        <v>122</v>
      </c>
    </row>
    <row r="63" spans="1:14" ht="15.75" customHeight="1">
      <c r="A63" s="23"/>
      <c r="B63" s="129"/>
      <c r="C63" s="130"/>
      <c r="D63" s="129"/>
      <c r="E63" s="130"/>
      <c r="F63" s="131"/>
      <c r="G63" s="130"/>
      <c r="H63" s="131"/>
      <c r="I63" s="130"/>
      <c r="J63" s="131"/>
      <c r="K63" s="130"/>
      <c r="L63" s="131"/>
      <c r="M63" s="130"/>
      <c r="N63" s="24"/>
    </row>
    <row r="64" spans="1:14" ht="15.75" customHeight="1">
      <c r="A64" s="11" t="s">
        <v>72</v>
      </c>
      <c r="B64" s="114">
        <f>_xlfn.COMPOUNDVALUE(205)</f>
        <v>1153</v>
      </c>
      <c r="C64" s="115">
        <v>11400048</v>
      </c>
      <c r="D64" s="114">
        <f>_xlfn.COMPOUNDVALUE(206)</f>
        <v>417</v>
      </c>
      <c r="E64" s="115">
        <v>259017</v>
      </c>
      <c r="F64" s="114">
        <f>_xlfn.COMPOUNDVALUE(207)</f>
        <v>1570</v>
      </c>
      <c r="G64" s="115">
        <v>11659066</v>
      </c>
      <c r="H64" s="114">
        <f>_xlfn.COMPOUNDVALUE(208)</f>
        <v>252</v>
      </c>
      <c r="I64" s="116">
        <v>1604083</v>
      </c>
      <c r="J64" s="114">
        <v>110</v>
      </c>
      <c r="K64" s="116">
        <v>24139</v>
      </c>
      <c r="L64" s="114">
        <v>1843</v>
      </c>
      <c r="M64" s="116">
        <v>10079122</v>
      </c>
      <c r="N64" s="25" t="s">
        <v>72</v>
      </c>
    </row>
    <row r="65" spans="1:14" ht="15.75" customHeight="1">
      <c r="A65" s="11" t="s">
        <v>73</v>
      </c>
      <c r="B65" s="114">
        <f>_xlfn.COMPOUNDVALUE(209)</f>
        <v>3460</v>
      </c>
      <c r="C65" s="115">
        <v>23394416</v>
      </c>
      <c r="D65" s="114">
        <f>_xlfn.COMPOUNDVALUE(210)</f>
        <v>1051</v>
      </c>
      <c r="E65" s="115">
        <v>615605</v>
      </c>
      <c r="F65" s="114">
        <f>_xlfn.COMPOUNDVALUE(211)</f>
        <v>4511</v>
      </c>
      <c r="G65" s="115">
        <v>24010021</v>
      </c>
      <c r="H65" s="114">
        <f>_xlfn.COMPOUNDVALUE(212)</f>
        <v>447</v>
      </c>
      <c r="I65" s="116">
        <v>4127911</v>
      </c>
      <c r="J65" s="114">
        <v>399</v>
      </c>
      <c r="K65" s="116">
        <v>49848</v>
      </c>
      <c r="L65" s="114">
        <v>5014</v>
      </c>
      <c r="M65" s="116">
        <v>19931958</v>
      </c>
      <c r="N65" s="12" t="s">
        <v>73</v>
      </c>
    </row>
    <row r="66" spans="1:14" ht="15.75" customHeight="1">
      <c r="A66" s="11" t="s">
        <v>74</v>
      </c>
      <c r="B66" s="114">
        <f>_xlfn.COMPOUNDVALUE(213)</f>
        <v>1326</v>
      </c>
      <c r="C66" s="115">
        <v>8488393</v>
      </c>
      <c r="D66" s="114">
        <f>_xlfn.COMPOUNDVALUE(214)</f>
        <v>376</v>
      </c>
      <c r="E66" s="115">
        <v>254137</v>
      </c>
      <c r="F66" s="114">
        <f>_xlfn.COMPOUNDVALUE(215)</f>
        <v>1702</v>
      </c>
      <c r="G66" s="115">
        <v>8742530</v>
      </c>
      <c r="H66" s="114">
        <f>_xlfn.COMPOUNDVALUE(216)</f>
        <v>132</v>
      </c>
      <c r="I66" s="116">
        <v>356078</v>
      </c>
      <c r="J66" s="114">
        <v>147</v>
      </c>
      <c r="K66" s="116">
        <v>26663</v>
      </c>
      <c r="L66" s="114">
        <v>1845</v>
      </c>
      <c r="M66" s="116">
        <v>8413115</v>
      </c>
      <c r="N66" s="12" t="s">
        <v>74</v>
      </c>
    </row>
    <row r="67" spans="1:14" ht="15.75" customHeight="1">
      <c r="A67" s="11" t="s">
        <v>75</v>
      </c>
      <c r="B67" s="114">
        <f>_xlfn.COMPOUNDVALUE(217)</f>
        <v>1737</v>
      </c>
      <c r="C67" s="115">
        <v>7507712</v>
      </c>
      <c r="D67" s="114">
        <f>_xlfn.COMPOUNDVALUE(218)</f>
        <v>687</v>
      </c>
      <c r="E67" s="115">
        <v>418273</v>
      </c>
      <c r="F67" s="114">
        <f>_xlfn.COMPOUNDVALUE(219)</f>
        <v>2424</v>
      </c>
      <c r="G67" s="115">
        <v>7925985</v>
      </c>
      <c r="H67" s="114">
        <f>_xlfn.COMPOUNDVALUE(220)</f>
        <v>250</v>
      </c>
      <c r="I67" s="116">
        <v>658583</v>
      </c>
      <c r="J67" s="114">
        <v>109</v>
      </c>
      <c r="K67" s="116">
        <v>5234</v>
      </c>
      <c r="L67" s="114">
        <v>2682</v>
      </c>
      <c r="M67" s="116">
        <v>7272636</v>
      </c>
      <c r="N67" s="12" t="s">
        <v>75</v>
      </c>
    </row>
    <row r="68" spans="1:14" ht="15.75" customHeight="1">
      <c r="A68" s="11" t="s">
        <v>76</v>
      </c>
      <c r="B68" s="114">
        <f>_xlfn.COMPOUNDVALUE(221)</f>
        <v>5130</v>
      </c>
      <c r="C68" s="115">
        <v>87172910</v>
      </c>
      <c r="D68" s="114">
        <f>_xlfn.COMPOUNDVALUE(222)</f>
        <v>1386</v>
      </c>
      <c r="E68" s="115">
        <v>935380</v>
      </c>
      <c r="F68" s="114">
        <f>_xlfn.COMPOUNDVALUE(223)</f>
        <v>6516</v>
      </c>
      <c r="G68" s="115">
        <v>88108291</v>
      </c>
      <c r="H68" s="114">
        <f>_xlfn.COMPOUNDVALUE(224)</f>
        <v>1943</v>
      </c>
      <c r="I68" s="116">
        <v>42476945</v>
      </c>
      <c r="J68" s="114">
        <v>656</v>
      </c>
      <c r="K68" s="116">
        <v>-255308</v>
      </c>
      <c r="L68" s="114">
        <v>8513</v>
      </c>
      <c r="M68" s="116">
        <v>45376038</v>
      </c>
      <c r="N68" s="12" t="s">
        <v>76</v>
      </c>
    </row>
    <row r="69" spans="1:14" ht="15.75" customHeight="1">
      <c r="A69" s="11" t="s">
        <v>77</v>
      </c>
      <c r="B69" s="114">
        <f>_xlfn.COMPOUNDVALUE(225)</f>
        <v>6060</v>
      </c>
      <c r="C69" s="115">
        <v>49152552</v>
      </c>
      <c r="D69" s="114">
        <f>_xlfn.COMPOUNDVALUE(226)</f>
        <v>1713</v>
      </c>
      <c r="E69" s="115">
        <v>1170990</v>
      </c>
      <c r="F69" s="114">
        <f>_xlfn.COMPOUNDVALUE(227)</f>
        <v>7773</v>
      </c>
      <c r="G69" s="115">
        <v>50323541</v>
      </c>
      <c r="H69" s="114">
        <f>_xlfn.COMPOUNDVALUE(228)</f>
        <v>467</v>
      </c>
      <c r="I69" s="116">
        <v>3176545</v>
      </c>
      <c r="J69" s="114">
        <v>741</v>
      </c>
      <c r="K69" s="116">
        <v>133002</v>
      </c>
      <c r="L69" s="114">
        <v>8294</v>
      </c>
      <c r="M69" s="116">
        <v>47279998</v>
      </c>
      <c r="N69" s="12" t="s">
        <v>77</v>
      </c>
    </row>
    <row r="70" spans="1:14" ht="15.75" customHeight="1">
      <c r="A70" s="11" t="s">
        <v>78</v>
      </c>
      <c r="B70" s="114">
        <f>_xlfn.COMPOUNDVALUE(229)</f>
        <v>4615</v>
      </c>
      <c r="C70" s="115">
        <v>41808793</v>
      </c>
      <c r="D70" s="114">
        <f>_xlfn.COMPOUNDVALUE(230)</f>
        <v>1257</v>
      </c>
      <c r="E70" s="115">
        <v>822150</v>
      </c>
      <c r="F70" s="114">
        <f>_xlfn.COMPOUNDVALUE(231)</f>
        <v>5872</v>
      </c>
      <c r="G70" s="115">
        <v>42630943</v>
      </c>
      <c r="H70" s="114">
        <f>_xlfn.COMPOUNDVALUE(232)</f>
        <v>431</v>
      </c>
      <c r="I70" s="116">
        <v>2181697</v>
      </c>
      <c r="J70" s="114">
        <v>354</v>
      </c>
      <c r="K70" s="116">
        <v>88123</v>
      </c>
      <c r="L70" s="114">
        <v>6334</v>
      </c>
      <c r="M70" s="116">
        <v>40537369</v>
      </c>
      <c r="N70" s="12" t="s">
        <v>78</v>
      </c>
    </row>
    <row r="71" spans="1:14" ht="15.75" customHeight="1">
      <c r="A71" s="11" t="s">
        <v>79</v>
      </c>
      <c r="B71" s="114">
        <f>_xlfn.COMPOUNDVALUE(233)</f>
        <v>3528</v>
      </c>
      <c r="C71" s="115">
        <v>23256597</v>
      </c>
      <c r="D71" s="114">
        <f>_xlfn.COMPOUNDVALUE(234)</f>
        <v>1102</v>
      </c>
      <c r="E71" s="115">
        <v>720177</v>
      </c>
      <c r="F71" s="114">
        <f>_xlfn.COMPOUNDVALUE(235)</f>
        <v>4630</v>
      </c>
      <c r="G71" s="115">
        <v>23976774</v>
      </c>
      <c r="H71" s="114">
        <f>_xlfn.COMPOUNDVALUE(236)</f>
        <v>381</v>
      </c>
      <c r="I71" s="116">
        <v>2064618</v>
      </c>
      <c r="J71" s="114">
        <v>315</v>
      </c>
      <c r="K71" s="116">
        <v>34551</v>
      </c>
      <c r="L71" s="114">
        <v>5062</v>
      </c>
      <c r="M71" s="116">
        <v>21946707</v>
      </c>
      <c r="N71" s="12" t="s">
        <v>79</v>
      </c>
    </row>
    <row r="72" spans="1:14" ht="15.75" customHeight="1">
      <c r="A72" s="11" t="s">
        <v>80</v>
      </c>
      <c r="B72" s="114">
        <f>_xlfn.COMPOUNDVALUE(237)</f>
        <v>4505</v>
      </c>
      <c r="C72" s="115">
        <v>31418524</v>
      </c>
      <c r="D72" s="114">
        <f>_xlfn.COMPOUNDVALUE(238)</f>
        <v>1753</v>
      </c>
      <c r="E72" s="115">
        <v>1125784</v>
      </c>
      <c r="F72" s="114">
        <f>_xlfn.COMPOUNDVALUE(239)</f>
        <v>6258</v>
      </c>
      <c r="G72" s="115">
        <v>32544309</v>
      </c>
      <c r="H72" s="114">
        <f>_xlfn.COMPOUNDVALUE(240)</f>
        <v>595</v>
      </c>
      <c r="I72" s="116">
        <v>3576748</v>
      </c>
      <c r="J72" s="114">
        <v>491</v>
      </c>
      <c r="K72" s="116">
        <v>56117</v>
      </c>
      <c r="L72" s="114">
        <v>6928</v>
      </c>
      <c r="M72" s="116">
        <v>29023678</v>
      </c>
      <c r="N72" s="12" t="s">
        <v>80</v>
      </c>
    </row>
    <row r="73" spans="1:14" ht="15.75" customHeight="1">
      <c r="A73" s="11" t="s">
        <v>81</v>
      </c>
      <c r="B73" s="114">
        <f>_xlfn.COMPOUNDVALUE(241)</f>
        <v>1353</v>
      </c>
      <c r="C73" s="115">
        <v>7772437</v>
      </c>
      <c r="D73" s="114">
        <f>_xlfn.COMPOUNDVALUE(242)</f>
        <v>405</v>
      </c>
      <c r="E73" s="115">
        <v>225239</v>
      </c>
      <c r="F73" s="114">
        <f>_xlfn.COMPOUNDVALUE(243)</f>
        <v>1758</v>
      </c>
      <c r="G73" s="115">
        <v>7997677</v>
      </c>
      <c r="H73" s="114">
        <f>_xlfn.COMPOUNDVALUE(244)</f>
        <v>97</v>
      </c>
      <c r="I73" s="116">
        <v>281247</v>
      </c>
      <c r="J73" s="114">
        <v>92</v>
      </c>
      <c r="K73" s="116">
        <v>5689</v>
      </c>
      <c r="L73" s="114">
        <v>1862</v>
      </c>
      <c r="M73" s="116">
        <v>7722119</v>
      </c>
      <c r="N73" s="12" t="s">
        <v>81</v>
      </c>
    </row>
    <row r="74" spans="1:14" ht="15.75" customHeight="1">
      <c r="A74" s="11" t="s">
        <v>82</v>
      </c>
      <c r="B74" s="114">
        <f>_xlfn.COMPOUNDVALUE(245)</f>
        <v>2716</v>
      </c>
      <c r="C74" s="115">
        <v>24164368</v>
      </c>
      <c r="D74" s="114">
        <f>_xlfn.COMPOUNDVALUE(246)</f>
        <v>894</v>
      </c>
      <c r="E74" s="115">
        <v>553777</v>
      </c>
      <c r="F74" s="114">
        <f>_xlfn.COMPOUNDVALUE(247)</f>
        <v>3610</v>
      </c>
      <c r="G74" s="115">
        <v>24718145</v>
      </c>
      <c r="H74" s="114">
        <f>_xlfn.COMPOUNDVALUE(248)</f>
        <v>531</v>
      </c>
      <c r="I74" s="116">
        <v>6169133</v>
      </c>
      <c r="J74" s="114">
        <v>258</v>
      </c>
      <c r="K74" s="116">
        <v>6082</v>
      </c>
      <c r="L74" s="114">
        <v>4176</v>
      </c>
      <c r="M74" s="116">
        <v>18555094</v>
      </c>
      <c r="N74" s="12" t="s">
        <v>82</v>
      </c>
    </row>
    <row r="75" spans="1:14" ht="15.75" customHeight="1">
      <c r="A75" s="11" t="s">
        <v>83</v>
      </c>
      <c r="B75" s="114">
        <f>_xlfn.COMPOUNDVALUE(249)</f>
        <v>2482</v>
      </c>
      <c r="C75" s="115">
        <v>17114173</v>
      </c>
      <c r="D75" s="114">
        <f>_xlfn.COMPOUNDVALUE(250)</f>
        <v>866</v>
      </c>
      <c r="E75" s="115">
        <v>572559</v>
      </c>
      <c r="F75" s="114">
        <f>_xlfn.COMPOUNDVALUE(251)</f>
        <v>3348</v>
      </c>
      <c r="G75" s="115">
        <v>17686731</v>
      </c>
      <c r="H75" s="114">
        <f>_xlfn.COMPOUNDVALUE(252)</f>
        <v>246</v>
      </c>
      <c r="I75" s="116">
        <v>3694119</v>
      </c>
      <c r="J75" s="114">
        <v>148</v>
      </c>
      <c r="K75" s="116">
        <v>-44437</v>
      </c>
      <c r="L75" s="114">
        <v>3604</v>
      </c>
      <c r="M75" s="116">
        <v>13948175</v>
      </c>
      <c r="N75" s="12" t="s">
        <v>83</v>
      </c>
    </row>
    <row r="76" spans="1:14" ht="15.75" customHeight="1">
      <c r="A76" s="11" t="s">
        <v>84</v>
      </c>
      <c r="B76" s="114">
        <f>_xlfn.COMPOUNDVALUE(253)</f>
        <v>809</v>
      </c>
      <c r="C76" s="115">
        <v>4492026</v>
      </c>
      <c r="D76" s="114">
        <f>_xlfn.COMPOUNDVALUE(254)</f>
        <v>262</v>
      </c>
      <c r="E76" s="115">
        <v>158528</v>
      </c>
      <c r="F76" s="114">
        <f>_xlfn.COMPOUNDVALUE(255)</f>
        <v>1071</v>
      </c>
      <c r="G76" s="115">
        <v>4650554</v>
      </c>
      <c r="H76" s="114">
        <f>_xlfn.COMPOUNDVALUE(256)</f>
        <v>43</v>
      </c>
      <c r="I76" s="116">
        <v>254835</v>
      </c>
      <c r="J76" s="114">
        <v>45</v>
      </c>
      <c r="K76" s="116">
        <v>-25111</v>
      </c>
      <c r="L76" s="114">
        <v>1116</v>
      </c>
      <c r="M76" s="116">
        <v>4370608</v>
      </c>
      <c r="N76" s="12" t="s">
        <v>84</v>
      </c>
    </row>
    <row r="77" spans="1:14" ht="15.75" customHeight="1">
      <c r="A77" s="11" t="s">
        <v>85</v>
      </c>
      <c r="B77" s="114">
        <f>_xlfn.COMPOUNDVALUE(257)</f>
        <v>1185</v>
      </c>
      <c r="C77" s="115">
        <v>6157248</v>
      </c>
      <c r="D77" s="114">
        <f>_xlfn.COMPOUNDVALUE(258)</f>
        <v>291</v>
      </c>
      <c r="E77" s="115">
        <v>181617</v>
      </c>
      <c r="F77" s="114">
        <f>_xlfn.COMPOUNDVALUE(259)</f>
        <v>1476</v>
      </c>
      <c r="G77" s="115">
        <v>6338866</v>
      </c>
      <c r="H77" s="114">
        <f>_xlfn.COMPOUNDVALUE(260)</f>
        <v>74</v>
      </c>
      <c r="I77" s="116">
        <v>307643</v>
      </c>
      <c r="J77" s="114">
        <v>76</v>
      </c>
      <c r="K77" s="116">
        <v>-8688</v>
      </c>
      <c r="L77" s="114">
        <v>1559</v>
      </c>
      <c r="M77" s="116">
        <v>6022535</v>
      </c>
      <c r="N77" s="12" t="s">
        <v>85</v>
      </c>
    </row>
    <row r="78" spans="1:14" ht="15.75" customHeight="1">
      <c r="A78" s="13" t="s">
        <v>86</v>
      </c>
      <c r="B78" s="119">
        <f>_xlfn.COMPOUNDVALUE(261)</f>
        <v>2947</v>
      </c>
      <c r="C78" s="120">
        <v>19511845</v>
      </c>
      <c r="D78" s="119">
        <f>_xlfn.COMPOUNDVALUE(262)</f>
        <v>873</v>
      </c>
      <c r="E78" s="120">
        <v>569248</v>
      </c>
      <c r="F78" s="119">
        <f>_xlfn.COMPOUNDVALUE(263)</f>
        <v>3820</v>
      </c>
      <c r="G78" s="120">
        <v>20081093</v>
      </c>
      <c r="H78" s="119">
        <f>_xlfn.COMPOUNDVALUE(264)</f>
        <v>239</v>
      </c>
      <c r="I78" s="121">
        <v>3815955</v>
      </c>
      <c r="J78" s="119">
        <v>249</v>
      </c>
      <c r="K78" s="121">
        <v>27464</v>
      </c>
      <c r="L78" s="119">
        <v>4082</v>
      </c>
      <c r="M78" s="121">
        <v>16292602</v>
      </c>
      <c r="N78" s="14" t="s">
        <v>86</v>
      </c>
    </row>
    <row r="79" spans="1:14" ht="15.75" customHeight="1">
      <c r="A79" s="13" t="s">
        <v>87</v>
      </c>
      <c r="B79" s="119">
        <f>_xlfn.COMPOUNDVALUE(265)</f>
        <v>1321</v>
      </c>
      <c r="C79" s="120">
        <v>7693582</v>
      </c>
      <c r="D79" s="119">
        <f>_xlfn.COMPOUNDVALUE(266)</f>
        <v>449</v>
      </c>
      <c r="E79" s="120">
        <v>264839</v>
      </c>
      <c r="F79" s="119">
        <f>_xlfn.COMPOUNDVALUE(267)</f>
        <v>1770</v>
      </c>
      <c r="G79" s="120">
        <v>7958421</v>
      </c>
      <c r="H79" s="119">
        <f>_xlfn.COMPOUNDVALUE(268)</f>
        <v>92</v>
      </c>
      <c r="I79" s="121">
        <v>934056</v>
      </c>
      <c r="J79" s="119">
        <v>115</v>
      </c>
      <c r="K79" s="121">
        <v>1440</v>
      </c>
      <c r="L79" s="119">
        <v>1876</v>
      </c>
      <c r="M79" s="121">
        <v>7025805</v>
      </c>
      <c r="N79" s="14" t="s">
        <v>87</v>
      </c>
    </row>
    <row r="80" spans="1:14" ht="15.75" customHeight="1">
      <c r="A80" s="13" t="s">
        <v>88</v>
      </c>
      <c r="B80" s="119">
        <f>_xlfn.COMPOUNDVALUE(269)</f>
        <v>634</v>
      </c>
      <c r="C80" s="120">
        <v>2805672</v>
      </c>
      <c r="D80" s="119">
        <f>_xlfn.COMPOUNDVALUE(270)</f>
        <v>247</v>
      </c>
      <c r="E80" s="120">
        <v>134932</v>
      </c>
      <c r="F80" s="119">
        <f>_xlfn.COMPOUNDVALUE(271)</f>
        <v>881</v>
      </c>
      <c r="G80" s="120">
        <v>2940604</v>
      </c>
      <c r="H80" s="119">
        <f>_xlfn.COMPOUNDVALUE(272)</f>
        <v>48</v>
      </c>
      <c r="I80" s="121">
        <v>96091</v>
      </c>
      <c r="J80" s="119">
        <v>37</v>
      </c>
      <c r="K80" s="121">
        <v>8082</v>
      </c>
      <c r="L80" s="119">
        <v>934</v>
      </c>
      <c r="M80" s="121">
        <v>2852595</v>
      </c>
      <c r="N80" s="14" t="s">
        <v>88</v>
      </c>
    </row>
    <row r="81" spans="1:14" ht="15.75" customHeight="1">
      <c r="A81" s="13" t="s">
        <v>89</v>
      </c>
      <c r="B81" s="119">
        <f>_xlfn.COMPOUNDVALUE(273)</f>
        <v>749</v>
      </c>
      <c r="C81" s="120">
        <v>4071051</v>
      </c>
      <c r="D81" s="119">
        <f>_xlfn.COMPOUNDVALUE(274)</f>
        <v>225</v>
      </c>
      <c r="E81" s="120">
        <v>123208</v>
      </c>
      <c r="F81" s="119">
        <f>_xlfn.COMPOUNDVALUE(275)</f>
        <v>974</v>
      </c>
      <c r="G81" s="120">
        <v>4194259</v>
      </c>
      <c r="H81" s="119">
        <f>_xlfn.COMPOUNDVALUE(276)</f>
        <v>145</v>
      </c>
      <c r="I81" s="121">
        <v>646661</v>
      </c>
      <c r="J81" s="119">
        <v>51</v>
      </c>
      <c r="K81" s="121">
        <v>7724</v>
      </c>
      <c r="L81" s="119">
        <v>1126</v>
      </c>
      <c r="M81" s="121">
        <v>3555322</v>
      </c>
      <c r="N81" s="14" t="s">
        <v>89</v>
      </c>
    </row>
    <row r="82" spans="1:14" ht="15.75" customHeight="1">
      <c r="A82" s="13" t="s">
        <v>90</v>
      </c>
      <c r="B82" s="119">
        <f>_xlfn.COMPOUNDVALUE(277)</f>
        <v>1363</v>
      </c>
      <c r="C82" s="120">
        <v>8207296</v>
      </c>
      <c r="D82" s="119">
        <f>_xlfn.COMPOUNDVALUE(278)</f>
        <v>423</v>
      </c>
      <c r="E82" s="120">
        <v>259782</v>
      </c>
      <c r="F82" s="119">
        <f>_xlfn.COMPOUNDVALUE(279)</f>
        <v>1786</v>
      </c>
      <c r="G82" s="120">
        <v>8467078</v>
      </c>
      <c r="H82" s="119">
        <f>_xlfn.COMPOUNDVALUE(280)</f>
        <v>124</v>
      </c>
      <c r="I82" s="121">
        <v>638939</v>
      </c>
      <c r="J82" s="119">
        <v>100</v>
      </c>
      <c r="K82" s="121">
        <v>30051</v>
      </c>
      <c r="L82" s="119">
        <v>1929</v>
      </c>
      <c r="M82" s="121">
        <v>7858190</v>
      </c>
      <c r="N82" s="14" t="s">
        <v>90</v>
      </c>
    </row>
    <row r="83" spans="1:14" ht="15.75" customHeight="1">
      <c r="A83" s="13" t="s">
        <v>91</v>
      </c>
      <c r="B83" s="119">
        <f>_xlfn.COMPOUNDVALUE(281)</f>
        <v>500</v>
      </c>
      <c r="C83" s="120">
        <v>2783062</v>
      </c>
      <c r="D83" s="119">
        <f>_xlfn.COMPOUNDVALUE(282)</f>
        <v>145</v>
      </c>
      <c r="E83" s="120">
        <v>87233</v>
      </c>
      <c r="F83" s="119">
        <f>_xlfn.COMPOUNDVALUE(283)</f>
        <v>645</v>
      </c>
      <c r="G83" s="120">
        <v>2870295</v>
      </c>
      <c r="H83" s="119">
        <f>_xlfn.COMPOUNDVALUE(284)</f>
        <v>24</v>
      </c>
      <c r="I83" s="121">
        <v>449979</v>
      </c>
      <c r="J83" s="119">
        <v>53</v>
      </c>
      <c r="K83" s="121">
        <v>2918</v>
      </c>
      <c r="L83" s="119">
        <v>669</v>
      </c>
      <c r="M83" s="121">
        <v>2423234</v>
      </c>
      <c r="N83" s="14" t="s">
        <v>91</v>
      </c>
    </row>
    <row r="84" spans="1:14" ht="15.75" customHeight="1">
      <c r="A84" s="13" t="s">
        <v>92</v>
      </c>
      <c r="B84" s="119">
        <f>_xlfn.COMPOUNDVALUE(285)</f>
        <v>932</v>
      </c>
      <c r="C84" s="120">
        <v>4812536</v>
      </c>
      <c r="D84" s="119">
        <f>_xlfn.COMPOUNDVALUE(286)</f>
        <v>309</v>
      </c>
      <c r="E84" s="120">
        <v>172965</v>
      </c>
      <c r="F84" s="119">
        <f>_xlfn.COMPOUNDVALUE(287)</f>
        <v>1241</v>
      </c>
      <c r="G84" s="120">
        <v>4985501</v>
      </c>
      <c r="H84" s="119">
        <f>_xlfn.COMPOUNDVALUE(288)</f>
        <v>45</v>
      </c>
      <c r="I84" s="121">
        <v>99410</v>
      </c>
      <c r="J84" s="119">
        <v>68</v>
      </c>
      <c r="K84" s="121">
        <v>11580</v>
      </c>
      <c r="L84" s="119">
        <v>1295</v>
      </c>
      <c r="M84" s="121">
        <v>4897671</v>
      </c>
      <c r="N84" s="14" t="s">
        <v>92</v>
      </c>
    </row>
    <row r="85" spans="1:14" ht="15.75" customHeight="1">
      <c r="A85" s="15" t="s">
        <v>162</v>
      </c>
      <c r="B85" s="124">
        <v>48505</v>
      </c>
      <c r="C85" s="125">
        <v>393185242</v>
      </c>
      <c r="D85" s="124">
        <v>15131</v>
      </c>
      <c r="E85" s="125">
        <v>9625441</v>
      </c>
      <c r="F85" s="124">
        <v>63636</v>
      </c>
      <c r="G85" s="125">
        <v>402810683</v>
      </c>
      <c r="H85" s="124">
        <v>6606</v>
      </c>
      <c r="I85" s="126">
        <v>77611275</v>
      </c>
      <c r="J85" s="124">
        <v>4614</v>
      </c>
      <c r="K85" s="126">
        <v>185158</v>
      </c>
      <c r="L85" s="124">
        <v>70743</v>
      </c>
      <c r="M85" s="126">
        <v>325384566</v>
      </c>
      <c r="N85" s="16" t="s">
        <v>123</v>
      </c>
    </row>
    <row r="86" spans="1:14" ht="15.75" customHeight="1">
      <c r="A86" s="23"/>
      <c r="B86" s="129"/>
      <c r="C86" s="130"/>
      <c r="D86" s="129"/>
      <c r="E86" s="130"/>
      <c r="F86" s="131"/>
      <c r="G86" s="130"/>
      <c r="H86" s="131"/>
      <c r="I86" s="130"/>
      <c r="J86" s="131"/>
      <c r="K86" s="130"/>
      <c r="L86" s="131"/>
      <c r="M86" s="130"/>
      <c r="N86" s="24"/>
    </row>
    <row r="87" spans="1:14" ht="15.75" customHeight="1">
      <c r="A87" s="13" t="s">
        <v>94</v>
      </c>
      <c r="B87" s="119">
        <f>_xlfn.COMPOUNDVALUE(289)</f>
        <v>4448</v>
      </c>
      <c r="C87" s="120">
        <v>26291100</v>
      </c>
      <c r="D87" s="119">
        <f>_xlfn.COMPOUNDVALUE(290)</f>
        <v>1619</v>
      </c>
      <c r="E87" s="120">
        <v>992268</v>
      </c>
      <c r="F87" s="119">
        <f>_xlfn.COMPOUNDVALUE(291)</f>
        <v>6067</v>
      </c>
      <c r="G87" s="120">
        <v>27283368</v>
      </c>
      <c r="H87" s="119">
        <f>_xlfn.COMPOUNDVALUE(292)</f>
        <v>564</v>
      </c>
      <c r="I87" s="121">
        <v>4630771</v>
      </c>
      <c r="J87" s="119">
        <v>401</v>
      </c>
      <c r="K87" s="121">
        <v>61129</v>
      </c>
      <c r="L87" s="119">
        <v>6663</v>
      </c>
      <c r="M87" s="121">
        <v>22713726</v>
      </c>
      <c r="N87" s="14" t="s">
        <v>94</v>
      </c>
    </row>
    <row r="88" spans="1:14" ht="15.75" customHeight="1">
      <c r="A88" s="13" t="s">
        <v>95</v>
      </c>
      <c r="B88" s="119">
        <f>_xlfn.COMPOUNDVALUE(293)</f>
        <v>3338</v>
      </c>
      <c r="C88" s="120">
        <v>18365707</v>
      </c>
      <c r="D88" s="119">
        <f>_xlfn.COMPOUNDVALUE(294)</f>
        <v>991</v>
      </c>
      <c r="E88" s="120">
        <v>612703</v>
      </c>
      <c r="F88" s="119">
        <f>_xlfn.COMPOUNDVALUE(295)</f>
        <v>4329</v>
      </c>
      <c r="G88" s="120">
        <v>18978410</v>
      </c>
      <c r="H88" s="119">
        <f>_xlfn.COMPOUNDVALUE(296)</f>
        <v>333</v>
      </c>
      <c r="I88" s="121">
        <v>940110</v>
      </c>
      <c r="J88" s="119">
        <v>233</v>
      </c>
      <c r="K88" s="121">
        <v>50655</v>
      </c>
      <c r="L88" s="119">
        <v>4688</v>
      </c>
      <c r="M88" s="121">
        <v>18088955</v>
      </c>
      <c r="N88" s="14" t="s">
        <v>95</v>
      </c>
    </row>
    <row r="89" spans="1:14" ht="15.75" customHeight="1">
      <c r="A89" s="13" t="s">
        <v>96</v>
      </c>
      <c r="B89" s="119">
        <f>_xlfn.COMPOUNDVALUE(297)</f>
        <v>1100</v>
      </c>
      <c r="C89" s="120">
        <v>5540797</v>
      </c>
      <c r="D89" s="119">
        <f>_xlfn.COMPOUNDVALUE(298)</f>
        <v>267</v>
      </c>
      <c r="E89" s="120">
        <v>162339</v>
      </c>
      <c r="F89" s="119">
        <f>_xlfn.COMPOUNDVALUE(299)</f>
        <v>1367</v>
      </c>
      <c r="G89" s="120">
        <v>5703136</v>
      </c>
      <c r="H89" s="119">
        <f>_xlfn.COMPOUNDVALUE(300)</f>
        <v>73</v>
      </c>
      <c r="I89" s="121">
        <v>479240</v>
      </c>
      <c r="J89" s="119">
        <v>91</v>
      </c>
      <c r="K89" s="121">
        <v>-22092</v>
      </c>
      <c r="L89" s="119">
        <v>1455</v>
      </c>
      <c r="M89" s="121">
        <v>5201804</v>
      </c>
      <c r="N89" s="14" t="s">
        <v>96</v>
      </c>
    </row>
    <row r="90" spans="1:14" ht="15.75" customHeight="1">
      <c r="A90" s="13" t="s">
        <v>97</v>
      </c>
      <c r="B90" s="119">
        <f>_xlfn.COMPOUNDVALUE(301)</f>
        <v>468</v>
      </c>
      <c r="C90" s="120">
        <v>2202478</v>
      </c>
      <c r="D90" s="119">
        <f>_xlfn.COMPOUNDVALUE(302)</f>
        <v>112</v>
      </c>
      <c r="E90" s="120">
        <v>69741</v>
      </c>
      <c r="F90" s="119">
        <f>_xlfn.COMPOUNDVALUE(303)</f>
        <v>580</v>
      </c>
      <c r="G90" s="120">
        <v>2272219</v>
      </c>
      <c r="H90" s="119">
        <f>_xlfn.COMPOUNDVALUE(304)</f>
        <v>31</v>
      </c>
      <c r="I90" s="121">
        <v>93025</v>
      </c>
      <c r="J90" s="119">
        <v>63</v>
      </c>
      <c r="K90" s="121">
        <v>4619</v>
      </c>
      <c r="L90" s="119">
        <v>618</v>
      </c>
      <c r="M90" s="121">
        <v>2183813</v>
      </c>
      <c r="N90" s="14" t="s">
        <v>97</v>
      </c>
    </row>
    <row r="91" spans="1:14" ht="15.75" customHeight="1">
      <c r="A91" s="15" t="s">
        <v>163</v>
      </c>
      <c r="B91" s="124">
        <v>9354</v>
      </c>
      <c r="C91" s="125">
        <v>52400083</v>
      </c>
      <c r="D91" s="124">
        <v>2989</v>
      </c>
      <c r="E91" s="125">
        <v>1837051</v>
      </c>
      <c r="F91" s="124">
        <v>12343</v>
      </c>
      <c r="G91" s="125">
        <v>54237133</v>
      </c>
      <c r="H91" s="124">
        <v>1001</v>
      </c>
      <c r="I91" s="126">
        <v>6143146</v>
      </c>
      <c r="J91" s="124">
        <v>788</v>
      </c>
      <c r="K91" s="126">
        <v>94312</v>
      </c>
      <c r="L91" s="124">
        <v>13424</v>
      </c>
      <c r="M91" s="126">
        <v>48188299</v>
      </c>
      <c r="N91" s="16" t="s">
        <v>124</v>
      </c>
    </row>
    <row r="92" spans="1:14" ht="15.75" customHeight="1">
      <c r="A92" s="23"/>
      <c r="B92" s="129"/>
      <c r="C92" s="130"/>
      <c r="D92" s="129"/>
      <c r="E92" s="130"/>
      <c r="F92" s="131"/>
      <c r="G92" s="130"/>
      <c r="H92" s="131"/>
      <c r="I92" s="130"/>
      <c r="J92" s="131"/>
      <c r="K92" s="130"/>
      <c r="L92" s="131"/>
      <c r="M92" s="130"/>
      <c r="N92" s="24"/>
    </row>
    <row r="93" spans="1:14" ht="15.75" customHeight="1">
      <c r="A93" s="11" t="s">
        <v>99</v>
      </c>
      <c r="B93" s="114">
        <f>_xlfn.COMPOUNDVALUE(305)</f>
        <v>3540</v>
      </c>
      <c r="C93" s="115">
        <v>26469140</v>
      </c>
      <c r="D93" s="114">
        <f>_xlfn.COMPOUNDVALUE(306)</f>
        <v>1191</v>
      </c>
      <c r="E93" s="115">
        <v>742062</v>
      </c>
      <c r="F93" s="114">
        <f>_xlfn.COMPOUNDVALUE(307)</f>
        <v>4731</v>
      </c>
      <c r="G93" s="115">
        <v>27211202</v>
      </c>
      <c r="H93" s="114">
        <f>_xlfn.COMPOUNDVALUE(308)</f>
        <v>208</v>
      </c>
      <c r="I93" s="116">
        <v>2263656</v>
      </c>
      <c r="J93" s="114">
        <v>347</v>
      </c>
      <c r="K93" s="116">
        <v>56516</v>
      </c>
      <c r="L93" s="114">
        <v>4984</v>
      </c>
      <c r="M93" s="116">
        <v>25004062</v>
      </c>
      <c r="N93" s="25" t="s">
        <v>99</v>
      </c>
    </row>
    <row r="94" spans="1:14" ht="15.75" customHeight="1">
      <c r="A94" s="13" t="s">
        <v>100</v>
      </c>
      <c r="B94" s="119">
        <f>_xlfn.COMPOUNDVALUE(309)</f>
        <v>626</v>
      </c>
      <c r="C94" s="120">
        <v>3482408</v>
      </c>
      <c r="D94" s="119">
        <f>_xlfn.COMPOUNDVALUE(310)</f>
        <v>159</v>
      </c>
      <c r="E94" s="120">
        <v>80854</v>
      </c>
      <c r="F94" s="119">
        <f>_xlfn.COMPOUNDVALUE(311)</f>
        <v>785</v>
      </c>
      <c r="G94" s="120">
        <v>3563262</v>
      </c>
      <c r="H94" s="119">
        <f>_xlfn.COMPOUNDVALUE(312)</f>
        <v>27</v>
      </c>
      <c r="I94" s="121">
        <v>172632</v>
      </c>
      <c r="J94" s="119">
        <v>37</v>
      </c>
      <c r="K94" s="121">
        <v>3730</v>
      </c>
      <c r="L94" s="119">
        <v>812</v>
      </c>
      <c r="M94" s="121">
        <v>3394360</v>
      </c>
      <c r="N94" s="14" t="s">
        <v>100</v>
      </c>
    </row>
    <row r="95" spans="1:14" ht="15.75" customHeight="1">
      <c r="A95" s="13" t="s">
        <v>101</v>
      </c>
      <c r="B95" s="119">
        <f>_xlfn.COMPOUNDVALUE(313)</f>
        <v>651</v>
      </c>
      <c r="C95" s="120">
        <v>2918642</v>
      </c>
      <c r="D95" s="119">
        <f>_xlfn.COMPOUNDVALUE(314)</f>
        <v>182</v>
      </c>
      <c r="E95" s="120">
        <v>102186</v>
      </c>
      <c r="F95" s="119">
        <f>_xlfn.COMPOUNDVALUE(315)</f>
        <v>833</v>
      </c>
      <c r="G95" s="120">
        <v>3020828</v>
      </c>
      <c r="H95" s="119">
        <f>_xlfn.COMPOUNDVALUE(316)</f>
        <v>37</v>
      </c>
      <c r="I95" s="121">
        <v>588234</v>
      </c>
      <c r="J95" s="119">
        <v>56</v>
      </c>
      <c r="K95" s="121">
        <v>8199</v>
      </c>
      <c r="L95" s="119">
        <v>876</v>
      </c>
      <c r="M95" s="121">
        <v>2440793</v>
      </c>
      <c r="N95" s="14" t="s">
        <v>101</v>
      </c>
    </row>
    <row r="96" spans="1:14" ht="15.75" customHeight="1">
      <c r="A96" s="13" t="s">
        <v>102</v>
      </c>
      <c r="B96" s="119">
        <f>_xlfn.COMPOUNDVALUE(317)</f>
        <v>982</v>
      </c>
      <c r="C96" s="120">
        <v>5182846</v>
      </c>
      <c r="D96" s="119">
        <f>_xlfn.COMPOUNDVALUE(318)</f>
        <v>404</v>
      </c>
      <c r="E96" s="120">
        <v>271481</v>
      </c>
      <c r="F96" s="119">
        <f>_xlfn.COMPOUNDVALUE(319)</f>
        <v>1386</v>
      </c>
      <c r="G96" s="120">
        <v>5454327</v>
      </c>
      <c r="H96" s="119">
        <f>_xlfn.COMPOUNDVALUE(320)</f>
        <v>85</v>
      </c>
      <c r="I96" s="121">
        <v>400370</v>
      </c>
      <c r="J96" s="119">
        <v>130</v>
      </c>
      <c r="K96" s="121">
        <v>14612</v>
      </c>
      <c r="L96" s="119">
        <v>1479</v>
      </c>
      <c r="M96" s="121">
        <v>5068569</v>
      </c>
      <c r="N96" s="14" t="s">
        <v>102</v>
      </c>
    </row>
    <row r="97" spans="1:14" ht="15.75" customHeight="1">
      <c r="A97" s="13" t="s">
        <v>103</v>
      </c>
      <c r="B97" s="119">
        <f>_xlfn.COMPOUNDVALUE(321)</f>
        <v>531</v>
      </c>
      <c r="C97" s="120">
        <v>1925255</v>
      </c>
      <c r="D97" s="119">
        <f>_xlfn.COMPOUNDVALUE(322)</f>
        <v>185</v>
      </c>
      <c r="E97" s="120">
        <v>117380</v>
      </c>
      <c r="F97" s="119">
        <f>_xlfn.COMPOUNDVALUE(323)</f>
        <v>716</v>
      </c>
      <c r="G97" s="120">
        <v>2042635</v>
      </c>
      <c r="H97" s="119">
        <f>_xlfn.COMPOUNDVALUE(324)</f>
        <v>41</v>
      </c>
      <c r="I97" s="121">
        <v>238809</v>
      </c>
      <c r="J97" s="119">
        <v>48</v>
      </c>
      <c r="K97" s="121">
        <v>-8504</v>
      </c>
      <c r="L97" s="119">
        <v>759</v>
      </c>
      <c r="M97" s="121">
        <v>1795322</v>
      </c>
      <c r="N97" s="14" t="s">
        <v>103</v>
      </c>
    </row>
    <row r="98" spans="1:14" ht="15.75" customHeight="1">
      <c r="A98" s="13" t="s">
        <v>104</v>
      </c>
      <c r="B98" s="119">
        <f>_xlfn.COMPOUNDVALUE(325)</f>
        <v>1243</v>
      </c>
      <c r="C98" s="120">
        <v>5798317</v>
      </c>
      <c r="D98" s="119">
        <f>_xlfn.COMPOUNDVALUE(326)</f>
        <v>377</v>
      </c>
      <c r="E98" s="120">
        <v>280707</v>
      </c>
      <c r="F98" s="119">
        <f>_xlfn.COMPOUNDVALUE(327)</f>
        <v>1620</v>
      </c>
      <c r="G98" s="120">
        <v>6079024</v>
      </c>
      <c r="H98" s="119">
        <f>_xlfn.COMPOUNDVALUE(328)</f>
        <v>72</v>
      </c>
      <c r="I98" s="121">
        <v>370487</v>
      </c>
      <c r="J98" s="119">
        <v>137</v>
      </c>
      <c r="K98" s="121">
        <v>-15194</v>
      </c>
      <c r="L98" s="119">
        <v>1699</v>
      </c>
      <c r="M98" s="121">
        <v>5693343</v>
      </c>
      <c r="N98" s="14" t="s">
        <v>104</v>
      </c>
    </row>
    <row r="99" spans="1:14" ht="15.75" customHeight="1">
      <c r="A99" s="13" t="s">
        <v>105</v>
      </c>
      <c r="B99" s="119">
        <f>_xlfn.COMPOUNDVALUE(329)</f>
        <v>590</v>
      </c>
      <c r="C99" s="120">
        <v>4107635</v>
      </c>
      <c r="D99" s="119">
        <f>_xlfn.COMPOUNDVALUE(330)</f>
        <v>170</v>
      </c>
      <c r="E99" s="120">
        <v>112329</v>
      </c>
      <c r="F99" s="119">
        <f>_xlfn.COMPOUNDVALUE(331)</f>
        <v>760</v>
      </c>
      <c r="G99" s="120">
        <v>4219964</v>
      </c>
      <c r="H99" s="119">
        <f>_xlfn.COMPOUNDVALUE(332)</f>
        <v>27</v>
      </c>
      <c r="I99" s="121">
        <v>50635</v>
      </c>
      <c r="J99" s="119">
        <v>45</v>
      </c>
      <c r="K99" s="121">
        <v>30245</v>
      </c>
      <c r="L99" s="119">
        <v>788</v>
      </c>
      <c r="M99" s="121">
        <v>4199574</v>
      </c>
      <c r="N99" s="14" t="s">
        <v>105</v>
      </c>
    </row>
    <row r="100" spans="1:14" ht="15.75" customHeight="1">
      <c r="A100" s="15" t="s">
        <v>164</v>
      </c>
      <c r="B100" s="124">
        <v>8163</v>
      </c>
      <c r="C100" s="125">
        <v>49884243</v>
      </c>
      <c r="D100" s="124">
        <v>2668</v>
      </c>
      <c r="E100" s="125">
        <v>1706998</v>
      </c>
      <c r="F100" s="124">
        <v>10831</v>
      </c>
      <c r="G100" s="125">
        <v>51591242</v>
      </c>
      <c r="H100" s="124">
        <v>497</v>
      </c>
      <c r="I100" s="126">
        <v>4084823</v>
      </c>
      <c r="J100" s="124">
        <v>800</v>
      </c>
      <c r="K100" s="126">
        <v>89604</v>
      </c>
      <c r="L100" s="124">
        <v>11397</v>
      </c>
      <c r="M100" s="126">
        <v>47596023</v>
      </c>
      <c r="N100" s="16" t="s">
        <v>125</v>
      </c>
    </row>
    <row r="101" spans="1:14" ht="15.75" customHeight="1" thickBot="1">
      <c r="A101" s="18"/>
      <c r="B101" s="144"/>
      <c r="C101" s="145"/>
      <c r="D101" s="144"/>
      <c r="E101" s="145"/>
      <c r="F101" s="146"/>
      <c r="G101" s="145"/>
      <c r="H101" s="146"/>
      <c r="I101" s="145"/>
      <c r="J101" s="146"/>
      <c r="K101" s="145"/>
      <c r="L101" s="146"/>
      <c r="M101" s="145"/>
      <c r="N101" s="19"/>
    </row>
    <row r="102" spans="1:14" ht="15.75" customHeight="1" thickBot="1" thickTop="1">
      <c r="A102" s="21" t="s">
        <v>165</v>
      </c>
      <c r="B102" s="147">
        <v>222275</v>
      </c>
      <c r="C102" s="148">
        <v>2219851651</v>
      </c>
      <c r="D102" s="147">
        <v>66383</v>
      </c>
      <c r="E102" s="148">
        <v>42555465</v>
      </c>
      <c r="F102" s="147">
        <v>288658</v>
      </c>
      <c r="G102" s="148">
        <v>2262407116</v>
      </c>
      <c r="H102" s="147">
        <v>28806</v>
      </c>
      <c r="I102" s="149">
        <v>626782512</v>
      </c>
      <c r="J102" s="147">
        <v>20131</v>
      </c>
      <c r="K102" s="149">
        <v>4360306</v>
      </c>
      <c r="L102" s="147">
        <v>319858</v>
      </c>
      <c r="M102" s="149">
        <v>1639984910</v>
      </c>
      <c r="N102" s="22" t="s">
        <v>118</v>
      </c>
    </row>
    <row r="103" spans="1:14" ht="13.5">
      <c r="A103" s="193" t="s">
        <v>167</v>
      </c>
      <c r="B103" s="193"/>
      <c r="C103" s="193"/>
      <c r="D103" s="193"/>
      <c r="E103" s="193"/>
      <c r="F103" s="193"/>
      <c r="G103" s="193"/>
      <c r="H103" s="193"/>
      <c r="I103" s="193"/>
      <c r="J103" s="27"/>
      <c r="K103" s="27"/>
      <c r="L103" s="2"/>
      <c r="M103" s="2"/>
      <c r="N103" s="2"/>
    </row>
  </sheetData>
  <sheetProtection/>
  <mergeCells count="11">
    <mergeCell ref="A103:I103"/>
    <mergeCell ref="A2:I2"/>
    <mergeCell ref="A3:A5"/>
    <mergeCell ref="B3:G3"/>
    <mergeCell ref="H3:I4"/>
    <mergeCell ref="N3:N5"/>
    <mergeCell ref="B4:C4"/>
    <mergeCell ref="D4:E4"/>
    <mergeCell ref="F4:G4"/>
    <mergeCell ref="J3:K4"/>
    <mergeCell ref="L3:M4"/>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81" r:id="rId1"/>
  <headerFooter alignWithMargins="0">
    <oddFooter>&amp;R大阪国税局
消費税
(H30)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103"/>
  <sheetViews>
    <sheetView showGridLines="0" zoomScaleSheetLayoutView="80" workbookViewId="0" topLeftCell="E49">
      <selection activeCell="M37" sqref="M37"/>
    </sheetView>
  </sheetViews>
  <sheetFormatPr defaultColWidth="9.140625" defaultRowHeight="15"/>
  <cols>
    <col min="1" max="1" width="10.421875" style="3" customWidth="1"/>
    <col min="2" max="2" width="9.57421875" style="3" customWidth="1"/>
    <col min="3" max="3" width="12.57421875" style="3" customWidth="1"/>
    <col min="4" max="4" width="9.57421875" style="3" customWidth="1"/>
    <col min="5" max="5" width="12.57421875" style="3" customWidth="1"/>
    <col min="6" max="6" width="9.57421875" style="3" customWidth="1"/>
    <col min="7" max="7" width="12.57421875" style="3" customWidth="1"/>
    <col min="8" max="8" width="9.57421875" style="3" customWidth="1"/>
    <col min="9" max="9" width="12.57421875" style="3" customWidth="1"/>
    <col min="10" max="10" width="9.57421875" style="3" customWidth="1"/>
    <col min="11" max="11" width="12.57421875" style="3" customWidth="1"/>
    <col min="12" max="12" width="9.57421875" style="3" customWidth="1"/>
    <col min="13" max="13" width="12.57421875" style="3" customWidth="1"/>
    <col min="14" max="17" width="9.57421875" style="3" customWidth="1"/>
    <col min="18" max="18" width="10.421875" style="3" customWidth="1"/>
    <col min="19" max="16384" width="9.00390625" style="3" customWidth="1"/>
  </cols>
  <sheetData>
    <row r="1" spans="1:16" ht="13.5">
      <c r="A1" s="1" t="s">
        <v>172</v>
      </c>
      <c r="B1" s="1"/>
      <c r="C1" s="1"/>
      <c r="D1" s="1"/>
      <c r="E1" s="1"/>
      <c r="F1" s="1"/>
      <c r="G1" s="1"/>
      <c r="H1" s="1"/>
      <c r="I1" s="1"/>
      <c r="J1" s="1"/>
      <c r="K1" s="1"/>
      <c r="L1" s="2"/>
      <c r="M1" s="2"/>
      <c r="N1" s="2"/>
      <c r="O1" s="2"/>
      <c r="P1" s="2"/>
    </row>
    <row r="2" spans="1:16" ht="14.25" thickBot="1">
      <c r="A2" s="209" t="s">
        <v>175</v>
      </c>
      <c r="B2" s="209"/>
      <c r="C2" s="209"/>
      <c r="D2" s="209"/>
      <c r="E2" s="209"/>
      <c r="F2" s="209"/>
      <c r="G2" s="209"/>
      <c r="H2" s="209"/>
      <c r="I2" s="209"/>
      <c r="J2" s="27"/>
      <c r="K2" s="27"/>
      <c r="L2" s="2"/>
      <c r="M2" s="2"/>
      <c r="N2" s="2"/>
      <c r="O2" s="2"/>
      <c r="P2" s="2"/>
    </row>
    <row r="3" spans="1:18" ht="19.5" customHeight="1">
      <c r="A3" s="205" t="s">
        <v>1</v>
      </c>
      <c r="B3" s="208" t="s">
        <v>2</v>
      </c>
      <c r="C3" s="208"/>
      <c r="D3" s="208"/>
      <c r="E3" s="208"/>
      <c r="F3" s="208"/>
      <c r="G3" s="208"/>
      <c r="H3" s="208" t="s">
        <v>3</v>
      </c>
      <c r="I3" s="208"/>
      <c r="J3" s="215" t="s">
        <v>4</v>
      </c>
      <c r="K3" s="208"/>
      <c r="L3" s="208" t="s">
        <v>5</v>
      </c>
      <c r="M3" s="208"/>
      <c r="N3" s="216" t="s">
        <v>110</v>
      </c>
      <c r="O3" s="217"/>
      <c r="P3" s="217"/>
      <c r="Q3" s="217"/>
      <c r="R3" s="195" t="s">
        <v>108</v>
      </c>
    </row>
    <row r="4" spans="1:18" ht="17.25" customHeight="1">
      <c r="A4" s="206"/>
      <c r="B4" s="198" t="s">
        <v>7</v>
      </c>
      <c r="C4" s="198"/>
      <c r="D4" s="198" t="s">
        <v>8</v>
      </c>
      <c r="E4" s="198"/>
      <c r="F4" s="198" t="s">
        <v>9</v>
      </c>
      <c r="G4" s="198"/>
      <c r="H4" s="198"/>
      <c r="I4" s="198"/>
      <c r="J4" s="198"/>
      <c r="K4" s="198"/>
      <c r="L4" s="198"/>
      <c r="M4" s="198"/>
      <c r="N4" s="218" t="s">
        <v>111</v>
      </c>
      <c r="O4" s="210" t="s">
        <v>112</v>
      </c>
      <c r="P4" s="212" t="s">
        <v>113</v>
      </c>
      <c r="Q4" s="203" t="s">
        <v>114</v>
      </c>
      <c r="R4" s="196"/>
    </row>
    <row r="5" spans="1:18" ht="28.5" customHeight="1">
      <c r="A5" s="207"/>
      <c r="B5" s="37" t="s">
        <v>10</v>
      </c>
      <c r="C5" s="38" t="s">
        <v>11</v>
      </c>
      <c r="D5" s="37" t="s">
        <v>10</v>
      </c>
      <c r="E5" s="38" t="s">
        <v>11</v>
      </c>
      <c r="F5" s="37" t="s">
        <v>10</v>
      </c>
      <c r="G5" s="38" t="s">
        <v>12</v>
      </c>
      <c r="H5" s="37" t="s">
        <v>10</v>
      </c>
      <c r="I5" s="38" t="s">
        <v>13</v>
      </c>
      <c r="J5" s="37" t="s">
        <v>10</v>
      </c>
      <c r="K5" s="38" t="s">
        <v>14</v>
      </c>
      <c r="L5" s="37" t="s">
        <v>10</v>
      </c>
      <c r="M5" s="31" t="s">
        <v>117</v>
      </c>
      <c r="N5" s="219"/>
      <c r="O5" s="211"/>
      <c r="P5" s="213"/>
      <c r="Q5" s="214"/>
      <c r="R5" s="197"/>
    </row>
    <row r="6" spans="1:18" s="29" customFormat="1" ht="12" customHeight="1">
      <c r="A6" s="5"/>
      <c r="B6" s="6" t="s">
        <v>15</v>
      </c>
      <c r="C6" s="7" t="s">
        <v>16</v>
      </c>
      <c r="D6" s="6" t="s">
        <v>15</v>
      </c>
      <c r="E6" s="7" t="s">
        <v>16</v>
      </c>
      <c r="F6" s="6" t="s">
        <v>15</v>
      </c>
      <c r="G6" s="7" t="s">
        <v>16</v>
      </c>
      <c r="H6" s="6" t="s">
        <v>15</v>
      </c>
      <c r="I6" s="7" t="s">
        <v>16</v>
      </c>
      <c r="J6" s="6" t="s">
        <v>15</v>
      </c>
      <c r="K6" s="7" t="s">
        <v>16</v>
      </c>
      <c r="L6" s="6" t="s">
        <v>170</v>
      </c>
      <c r="M6" s="7" t="s">
        <v>16</v>
      </c>
      <c r="N6" s="6" t="s">
        <v>15</v>
      </c>
      <c r="O6" s="32" t="s">
        <v>15</v>
      </c>
      <c r="P6" s="32" t="s">
        <v>15</v>
      </c>
      <c r="Q6" s="33" t="s">
        <v>15</v>
      </c>
      <c r="R6" s="9"/>
    </row>
    <row r="7" spans="1:18" ht="18.75" customHeight="1">
      <c r="A7" s="11" t="s">
        <v>18</v>
      </c>
      <c r="B7" s="114">
        <f>_xlfn.COMPOUNDVALUE(333)</f>
        <v>3720</v>
      </c>
      <c r="C7" s="115">
        <v>16065912</v>
      </c>
      <c r="D7" s="114">
        <f>_xlfn.COMPOUNDVALUE(334)</f>
        <v>1948</v>
      </c>
      <c r="E7" s="115">
        <v>1044700</v>
      </c>
      <c r="F7" s="114">
        <f>_xlfn.COMPOUNDVALUE(335)</f>
        <v>5668</v>
      </c>
      <c r="G7" s="115">
        <v>17110612</v>
      </c>
      <c r="H7" s="114">
        <f>_xlfn.COMPOUNDVALUE(336)</f>
        <v>303</v>
      </c>
      <c r="I7" s="116">
        <v>7092293</v>
      </c>
      <c r="J7" s="114">
        <v>417</v>
      </c>
      <c r="K7" s="116">
        <v>136186</v>
      </c>
      <c r="L7" s="114">
        <v>6103</v>
      </c>
      <c r="M7" s="116">
        <v>10154505</v>
      </c>
      <c r="N7" s="114">
        <v>6353</v>
      </c>
      <c r="O7" s="117">
        <v>209</v>
      </c>
      <c r="P7" s="117">
        <v>17</v>
      </c>
      <c r="Q7" s="118">
        <v>6579</v>
      </c>
      <c r="R7" s="12" t="s">
        <v>18</v>
      </c>
    </row>
    <row r="8" spans="1:18" ht="18.75" customHeight="1">
      <c r="A8" s="13" t="s">
        <v>19</v>
      </c>
      <c r="B8" s="119">
        <f>_xlfn.COMPOUNDVALUE(337)</f>
        <v>2033</v>
      </c>
      <c r="C8" s="120">
        <v>14486221</v>
      </c>
      <c r="D8" s="119">
        <f>_xlfn.COMPOUNDVALUE(338)</f>
        <v>1098</v>
      </c>
      <c r="E8" s="120">
        <v>540905</v>
      </c>
      <c r="F8" s="119">
        <f>_xlfn.COMPOUNDVALUE(339)</f>
        <v>3131</v>
      </c>
      <c r="G8" s="120">
        <v>15027125</v>
      </c>
      <c r="H8" s="119">
        <f>_xlfn.COMPOUNDVALUE(340)</f>
        <v>172</v>
      </c>
      <c r="I8" s="121">
        <v>3330170</v>
      </c>
      <c r="J8" s="119">
        <v>212</v>
      </c>
      <c r="K8" s="121">
        <v>90295</v>
      </c>
      <c r="L8" s="119">
        <v>3352</v>
      </c>
      <c r="M8" s="121">
        <v>11787250</v>
      </c>
      <c r="N8" s="119">
        <v>3490</v>
      </c>
      <c r="O8" s="122">
        <v>116</v>
      </c>
      <c r="P8" s="122">
        <v>12</v>
      </c>
      <c r="Q8" s="123">
        <v>3618</v>
      </c>
      <c r="R8" s="14" t="s">
        <v>19</v>
      </c>
    </row>
    <row r="9" spans="1:18" ht="18.75" customHeight="1">
      <c r="A9" s="13" t="s">
        <v>20</v>
      </c>
      <c r="B9" s="119">
        <f>_xlfn.COMPOUNDVALUE(341)</f>
        <v>2182</v>
      </c>
      <c r="C9" s="120">
        <v>9537001</v>
      </c>
      <c r="D9" s="119">
        <f>_xlfn.COMPOUNDVALUE(342)</f>
        <v>1118</v>
      </c>
      <c r="E9" s="120">
        <v>552694</v>
      </c>
      <c r="F9" s="119">
        <f>_xlfn.COMPOUNDVALUE(343)</f>
        <v>3300</v>
      </c>
      <c r="G9" s="120">
        <v>10089695</v>
      </c>
      <c r="H9" s="119">
        <f>_xlfn.COMPOUNDVALUE(344)</f>
        <v>147</v>
      </c>
      <c r="I9" s="121">
        <v>253496</v>
      </c>
      <c r="J9" s="119">
        <v>176</v>
      </c>
      <c r="K9" s="121">
        <v>-30449</v>
      </c>
      <c r="L9" s="119">
        <v>3491</v>
      </c>
      <c r="M9" s="121">
        <v>9805750</v>
      </c>
      <c r="N9" s="119">
        <v>3717</v>
      </c>
      <c r="O9" s="122">
        <v>95</v>
      </c>
      <c r="P9" s="122">
        <v>11</v>
      </c>
      <c r="Q9" s="123">
        <v>3823</v>
      </c>
      <c r="R9" s="14" t="s">
        <v>20</v>
      </c>
    </row>
    <row r="10" spans="1:18" ht="18.75" customHeight="1">
      <c r="A10" s="13" t="s">
        <v>21</v>
      </c>
      <c r="B10" s="119">
        <f>_xlfn.COMPOUNDVALUE(345)</f>
        <v>2816</v>
      </c>
      <c r="C10" s="120">
        <v>10786524</v>
      </c>
      <c r="D10" s="119">
        <f>_xlfn.COMPOUNDVALUE(346)</f>
        <v>1625</v>
      </c>
      <c r="E10" s="120">
        <v>760101</v>
      </c>
      <c r="F10" s="119">
        <f>_xlfn.COMPOUNDVALUE(347)</f>
        <v>4441</v>
      </c>
      <c r="G10" s="120">
        <v>11546626</v>
      </c>
      <c r="H10" s="119">
        <f>_xlfn.COMPOUNDVALUE(348)</f>
        <v>358</v>
      </c>
      <c r="I10" s="121">
        <v>1767719</v>
      </c>
      <c r="J10" s="119">
        <v>311</v>
      </c>
      <c r="K10" s="121">
        <v>72650</v>
      </c>
      <c r="L10" s="119">
        <v>4880</v>
      </c>
      <c r="M10" s="121">
        <v>9851557</v>
      </c>
      <c r="N10" s="119">
        <v>4649</v>
      </c>
      <c r="O10" s="122">
        <v>261</v>
      </c>
      <c r="P10" s="122">
        <v>21</v>
      </c>
      <c r="Q10" s="123">
        <v>4931</v>
      </c>
      <c r="R10" s="14" t="s">
        <v>21</v>
      </c>
    </row>
    <row r="11" spans="1:18" ht="18.75" customHeight="1">
      <c r="A11" s="13" t="s">
        <v>22</v>
      </c>
      <c r="B11" s="119">
        <f>_xlfn.COMPOUNDVALUE(349)</f>
        <v>3772</v>
      </c>
      <c r="C11" s="120">
        <v>18789887</v>
      </c>
      <c r="D11" s="119">
        <f>_xlfn.COMPOUNDVALUE(350)</f>
        <v>2043</v>
      </c>
      <c r="E11" s="120">
        <v>1153754</v>
      </c>
      <c r="F11" s="119">
        <f>_xlfn.COMPOUNDVALUE(351)</f>
        <v>5815</v>
      </c>
      <c r="G11" s="120">
        <v>19943641</v>
      </c>
      <c r="H11" s="119">
        <f>_xlfn.COMPOUNDVALUE(352)</f>
        <v>349</v>
      </c>
      <c r="I11" s="121">
        <v>1642664</v>
      </c>
      <c r="J11" s="119">
        <v>399</v>
      </c>
      <c r="K11" s="121">
        <v>73728</v>
      </c>
      <c r="L11" s="119">
        <v>6268</v>
      </c>
      <c r="M11" s="121">
        <v>18374705</v>
      </c>
      <c r="N11" s="119">
        <v>6502</v>
      </c>
      <c r="O11" s="122">
        <v>210</v>
      </c>
      <c r="P11" s="122">
        <v>18</v>
      </c>
      <c r="Q11" s="123">
        <v>6730</v>
      </c>
      <c r="R11" s="14" t="s">
        <v>22</v>
      </c>
    </row>
    <row r="12" spans="1:18" ht="18.75" customHeight="1">
      <c r="A12" s="13" t="s">
        <v>23</v>
      </c>
      <c r="B12" s="119">
        <f>_xlfn.COMPOUNDVALUE(353)</f>
        <v>1809</v>
      </c>
      <c r="C12" s="120">
        <v>13389356</v>
      </c>
      <c r="D12" s="119">
        <f>_xlfn.COMPOUNDVALUE(354)</f>
        <v>921</v>
      </c>
      <c r="E12" s="120">
        <v>452548</v>
      </c>
      <c r="F12" s="119">
        <f>_xlfn.COMPOUNDVALUE(355)</f>
        <v>2730</v>
      </c>
      <c r="G12" s="120">
        <v>13841905</v>
      </c>
      <c r="H12" s="119">
        <f>_xlfn.COMPOUNDVALUE(356)</f>
        <v>130</v>
      </c>
      <c r="I12" s="121">
        <v>534612</v>
      </c>
      <c r="J12" s="119">
        <v>171</v>
      </c>
      <c r="K12" s="121">
        <v>104759</v>
      </c>
      <c r="L12" s="119">
        <v>2946</v>
      </c>
      <c r="M12" s="121">
        <v>13412052</v>
      </c>
      <c r="N12" s="119">
        <v>2957</v>
      </c>
      <c r="O12" s="122">
        <v>101</v>
      </c>
      <c r="P12" s="122">
        <v>5</v>
      </c>
      <c r="Q12" s="123">
        <v>3063</v>
      </c>
      <c r="R12" s="14" t="s">
        <v>23</v>
      </c>
    </row>
    <row r="13" spans="1:18" ht="18.75" customHeight="1">
      <c r="A13" s="13" t="s">
        <v>24</v>
      </c>
      <c r="B13" s="119">
        <f>_xlfn.COMPOUNDVALUE(357)</f>
        <v>818</v>
      </c>
      <c r="C13" s="120">
        <v>2714256</v>
      </c>
      <c r="D13" s="119">
        <f>_xlfn.COMPOUNDVALUE(358)</f>
        <v>456</v>
      </c>
      <c r="E13" s="120">
        <v>201518</v>
      </c>
      <c r="F13" s="119">
        <f>_xlfn.COMPOUNDVALUE(359)</f>
        <v>1274</v>
      </c>
      <c r="G13" s="120">
        <v>2915774</v>
      </c>
      <c r="H13" s="119">
        <f>_xlfn.COMPOUNDVALUE(360)</f>
        <v>56</v>
      </c>
      <c r="I13" s="121">
        <v>575159</v>
      </c>
      <c r="J13" s="119">
        <v>74</v>
      </c>
      <c r="K13" s="121">
        <v>13035</v>
      </c>
      <c r="L13" s="119">
        <v>1349</v>
      </c>
      <c r="M13" s="121">
        <v>2353650</v>
      </c>
      <c r="N13" s="119">
        <v>1387</v>
      </c>
      <c r="O13" s="122">
        <v>29</v>
      </c>
      <c r="P13" s="122">
        <v>6</v>
      </c>
      <c r="Q13" s="123">
        <v>1422</v>
      </c>
      <c r="R13" s="14" t="s">
        <v>24</v>
      </c>
    </row>
    <row r="14" spans="1:18" ht="18.75" customHeight="1">
      <c r="A14" s="15" t="s">
        <v>25</v>
      </c>
      <c r="B14" s="124">
        <v>17150</v>
      </c>
      <c r="C14" s="125">
        <v>85769156</v>
      </c>
      <c r="D14" s="124">
        <v>9209</v>
      </c>
      <c r="E14" s="125">
        <v>4706221</v>
      </c>
      <c r="F14" s="124">
        <v>26359</v>
      </c>
      <c r="G14" s="125">
        <v>90475376</v>
      </c>
      <c r="H14" s="124">
        <v>1515</v>
      </c>
      <c r="I14" s="126">
        <v>15196114</v>
      </c>
      <c r="J14" s="124">
        <v>1760</v>
      </c>
      <c r="K14" s="126">
        <v>460204</v>
      </c>
      <c r="L14" s="124">
        <v>28389</v>
      </c>
      <c r="M14" s="126">
        <v>75739466</v>
      </c>
      <c r="N14" s="124">
        <v>29055</v>
      </c>
      <c r="O14" s="127">
        <v>1021</v>
      </c>
      <c r="P14" s="127">
        <v>90</v>
      </c>
      <c r="Q14" s="128">
        <v>30166</v>
      </c>
      <c r="R14" s="16" t="s">
        <v>120</v>
      </c>
    </row>
    <row r="15" spans="1:18" ht="18.75" customHeight="1">
      <c r="A15" s="26"/>
      <c r="B15" s="129"/>
      <c r="C15" s="130"/>
      <c r="D15" s="129"/>
      <c r="E15" s="130"/>
      <c r="F15" s="131"/>
      <c r="G15" s="130"/>
      <c r="H15" s="131"/>
      <c r="I15" s="130"/>
      <c r="J15" s="131"/>
      <c r="K15" s="130"/>
      <c r="L15" s="131"/>
      <c r="M15" s="130"/>
      <c r="N15" s="132"/>
      <c r="O15" s="133"/>
      <c r="P15" s="133"/>
      <c r="Q15" s="134"/>
      <c r="R15" s="36" t="s">
        <v>119</v>
      </c>
    </row>
    <row r="16" spans="1:18" ht="18.75" customHeight="1">
      <c r="A16" s="11" t="s">
        <v>26</v>
      </c>
      <c r="B16" s="114">
        <f>_xlfn.COMPOUNDVALUE(361)</f>
        <v>3402</v>
      </c>
      <c r="C16" s="115">
        <v>17194040</v>
      </c>
      <c r="D16" s="114">
        <f>_xlfn.COMPOUNDVALUE(362)</f>
        <v>2189</v>
      </c>
      <c r="E16" s="115">
        <v>1025204</v>
      </c>
      <c r="F16" s="114">
        <f>_xlfn.COMPOUNDVALUE(363)</f>
        <v>5591</v>
      </c>
      <c r="G16" s="115">
        <v>18219243</v>
      </c>
      <c r="H16" s="114">
        <f>_xlfn.COMPOUNDVALUE(364)</f>
        <v>364</v>
      </c>
      <c r="I16" s="116">
        <v>12832668</v>
      </c>
      <c r="J16" s="114">
        <v>307</v>
      </c>
      <c r="K16" s="116">
        <v>41223</v>
      </c>
      <c r="L16" s="114">
        <v>6043</v>
      </c>
      <c r="M16" s="116">
        <v>5427798</v>
      </c>
      <c r="N16" s="114">
        <v>6479</v>
      </c>
      <c r="O16" s="117">
        <v>179</v>
      </c>
      <c r="P16" s="117">
        <v>17</v>
      </c>
      <c r="Q16" s="135">
        <v>6675</v>
      </c>
      <c r="R16" s="14" t="s">
        <v>26</v>
      </c>
    </row>
    <row r="17" spans="1:18" ht="18.75" customHeight="1">
      <c r="A17" s="11" t="s">
        <v>27</v>
      </c>
      <c r="B17" s="114">
        <f>_xlfn.COMPOUNDVALUE(365)</f>
        <v>2468</v>
      </c>
      <c r="C17" s="115">
        <v>8837067</v>
      </c>
      <c r="D17" s="114">
        <f>_xlfn.COMPOUNDVALUE(366)</f>
        <v>1463</v>
      </c>
      <c r="E17" s="115">
        <v>778705</v>
      </c>
      <c r="F17" s="114">
        <f>_xlfn.COMPOUNDVALUE(367)</f>
        <v>3931</v>
      </c>
      <c r="G17" s="115">
        <v>9615772</v>
      </c>
      <c r="H17" s="114">
        <f>_xlfn.COMPOUNDVALUE(368)</f>
        <v>265</v>
      </c>
      <c r="I17" s="116">
        <v>1129349</v>
      </c>
      <c r="J17" s="114">
        <v>238</v>
      </c>
      <c r="K17" s="116">
        <v>58231</v>
      </c>
      <c r="L17" s="114">
        <v>4274</v>
      </c>
      <c r="M17" s="116">
        <v>8544654</v>
      </c>
      <c r="N17" s="119">
        <v>4628</v>
      </c>
      <c r="O17" s="122">
        <v>169</v>
      </c>
      <c r="P17" s="122">
        <v>13</v>
      </c>
      <c r="Q17" s="123">
        <v>4810</v>
      </c>
      <c r="R17" s="14" t="s">
        <v>27</v>
      </c>
    </row>
    <row r="18" spans="1:18" ht="18.75" customHeight="1">
      <c r="A18" s="11" t="s">
        <v>28</v>
      </c>
      <c r="B18" s="114">
        <f>_xlfn.COMPOUNDVALUE(369)</f>
        <v>3995</v>
      </c>
      <c r="C18" s="115">
        <v>29152082</v>
      </c>
      <c r="D18" s="114">
        <f>_xlfn.COMPOUNDVALUE(370)</f>
        <v>2094</v>
      </c>
      <c r="E18" s="115">
        <v>1203764</v>
      </c>
      <c r="F18" s="114">
        <f>_xlfn.COMPOUNDVALUE(371)</f>
        <v>6089</v>
      </c>
      <c r="G18" s="115">
        <v>30355846</v>
      </c>
      <c r="H18" s="114">
        <f>_xlfn.COMPOUNDVALUE(372)</f>
        <v>436</v>
      </c>
      <c r="I18" s="116">
        <v>11105653</v>
      </c>
      <c r="J18" s="114">
        <v>349</v>
      </c>
      <c r="K18" s="116">
        <v>127976</v>
      </c>
      <c r="L18" s="114">
        <v>6601</v>
      </c>
      <c r="M18" s="116">
        <v>19378169</v>
      </c>
      <c r="N18" s="119">
        <v>6876</v>
      </c>
      <c r="O18" s="122">
        <v>217</v>
      </c>
      <c r="P18" s="122">
        <v>52</v>
      </c>
      <c r="Q18" s="123">
        <v>7145</v>
      </c>
      <c r="R18" s="14" t="s">
        <v>28</v>
      </c>
    </row>
    <row r="19" spans="1:18" ht="18.75" customHeight="1">
      <c r="A19" s="11" t="s">
        <v>29</v>
      </c>
      <c r="B19" s="114">
        <f>_xlfn.COMPOUNDVALUE(373)</f>
        <v>3208</v>
      </c>
      <c r="C19" s="115">
        <v>13956907</v>
      </c>
      <c r="D19" s="114">
        <f>_xlfn.COMPOUNDVALUE(374)</f>
        <v>1697</v>
      </c>
      <c r="E19" s="115">
        <v>837118</v>
      </c>
      <c r="F19" s="114">
        <f>_xlfn.COMPOUNDVALUE(375)</f>
        <v>4905</v>
      </c>
      <c r="G19" s="115">
        <v>14794025</v>
      </c>
      <c r="H19" s="114">
        <f>_xlfn.COMPOUNDVALUE(376)</f>
        <v>268</v>
      </c>
      <c r="I19" s="116">
        <v>397521</v>
      </c>
      <c r="J19" s="114">
        <v>225</v>
      </c>
      <c r="K19" s="116">
        <v>111476</v>
      </c>
      <c r="L19" s="114">
        <v>5270</v>
      </c>
      <c r="M19" s="116">
        <v>14507980</v>
      </c>
      <c r="N19" s="119">
        <v>5670</v>
      </c>
      <c r="O19" s="122">
        <v>123</v>
      </c>
      <c r="P19" s="122">
        <v>18</v>
      </c>
      <c r="Q19" s="123">
        <v>5811</v>
      </c>
      <c r="R19" s="14" t="s">
        <v>29</v>
      </c>
    </row>
    <row r="20" spans="1:18" ht="18.75" customHeight="1">
      <c r="A20" s="11" t="s">
        <v>30</v>
      </c>
      <c r="B20" s="114">
        <f>_xlfn.COMPOUNDVALUE(377)</f>
        <v>5740</v>
      </c>
      <c r="C20" s="115">
        <v>81456287</v>
      </c>
      <c r="D20" s="114">
        <f>_xlfn.COMPOUNDVALUE(378)</f>
        <v>2327</v>
      </c>
      <c r="E20" s="115">
        <v>1301104</v>
      </c>
      <c r="F20" s="114">
        <f>_xlfn.COMPOUNDVALUE(379)</f>
        <v>8067</v>
      </c>
      <c r="G20" s="115">
        <v>82757391</v>
      </c>
      <c r="H20" s="114">
        <f>_xlfn.COMPOUNDVALUE(380)</f>
        <v>613</v>
      </c>
      <c r="I20" s="116">
        <v>13198687</v>
      </c>
      <c r="J20" s="114">
        <v>514</v>
      </c>
      <c r="K20" s="116">
        <v>63619</v>
      </c>
      <c r="L20" s="114">
        <v>8757</v>
      </c>
      <c r="M20" s="116">
        <v>69622323</v>
      </c>
      <c r="N20" s="119">
        <v>9064</v>
      </c>
      <c r="O20" s="122">
        <v>275</v>
      </c>
      <c r="P20" s="122">
        <v>62</v>
      </c>
      <c r="Q20" s="123">
        <v>9401</v>
      </c>
      <c r="R20" s="14" t="s">
        <v>30</v>
      </c>
    </row>
    <row r="21" spans="1:18" ht="18.75" customHeight="1">
      <c r="A21" s="11" t="s">
        <v>31</v>
      </c>
      <c r="B21" s="114">
        <f>_xlfn.COMPOUNDVALUE(381)</f>
        <v>6022</v>
      </c>
      <c r="C21" s="115">
        <v>25272854</v>
      </c>
      <c r="D21" s="114">
        <f>_xlfn.COMPOUNDVALUE(382)</f>
        <v>3287</v>
      </c>
      <c r="E21" s="115">
        <v>1638059</v>
      </c>
      <c r="F21" s="114">
        <f>_xlfn.COMPOUNDVALUE(383)</f>
        <v>9309</v>
      </c>
      <c r="G21" s="115">
        <v>26910913</v>
      </c>
      <c r="H21" s="114">
        <f>_xlfn.COMPOUNDVALUE(384)</f>
        <v>524</v>
      </c>
      <c r="I21" s="116">
        <v>68900479</v>
      </c>
      <c r="J21" s="114">
        <v>787</v>
      </c>
      <c r="K21" s="116">
        <v>199673</v>
      </c>
      <c r="L21" s="114">
        <v>10032</v>
      </c>
      <c r="M21" s="116">
        <v>-41789893</v>
      </c>
      <c r="N21" s="119">
        <v>10217</v>
      </c>
      <c r="O21" s="122">
        <v>247</v>
      </c>
      <c r="P21" s="122">
        <v>35</v>
      </c>
      <c r="Q21" s="123">
        <v>10499</v>
      </c>
      <c r="R21" s="14" t="s">
        <v>31</v>
      </c>
    </row>
    <row r="22" spans="1:18" ht="18.75" customHeight="1">
      <c r="A22" s="13" t="s">
        <v>32</v>
      </c>
      <c r="B22" s="119">
        <f>_xlfn.COMPOUNDVALUE(385)</f>
        <v>3889</v>
      </c>
      <c r="C22" s="120">
        <v>24663692</v>
      </c>
      <c r="D22" s="119">
        <f>_xlfn.COMPOUNDVALUE(386)</f>
        <v>1859</v>
      </c>
      <c r="E22" s="120">
        <v>1014989</v>
      </c>
      <c r="F22" s="119">
        <f>_xlfn.COMPOUNDVALUE(387)</f>
        <v>5748</v>
      </c>
      <c r="G22" s="120">
        <v>25678680</v>
      </c>
      <c r="H22" s="119">
        <f>_xlfn.COMPOUNDVALUE(388)</f>
        <v>320</v>
      </c>
      <c r="I22" s="121">
        <v>10633155</v>
      </c>
      <c r="J22" s="119">
        <v>371</v>
      </c>
      <c r="K22" s="121">
        <v>106842</v>
      </c>
      <c r="L22" s="119">
        <v>6214</v>
      </c>
      <c r="M22" s="121">
        <v>15152367</v>
      </c>
      <c r="N22" s="119">
        <v>7094</v>
      </c>
      <c r="O22" s="122">
        <v>202</v>
      </c>
      <c r="P22" s="122">
        <v>23</v>
      </c>
      <c r="Q22" s="123">
        <v>7319</v>
      </c>
      <c r="R22" s="14" t="s">
        <v>32</v>
      </c>
    </row>
    <row r="23" spans="1:18" ht="18.75" customHeight="1">
      <c r="A23" s="13" t="s">
        <v>33</v>
      </c>
      <c r="B23" s="119">
        <f>_xlfn.COMPOUNDVALUE(389)</f>
        <v>1450</v>
      </c>
      <c r="C23" s="120">
        <v>7913054</v>
      </c>
      <c r="D23" s="119">
        <f>_xlfn.COMPOUNDVALUE(390)</f>
        <v>794</v>
      </c>
      <c r="E23" s="120">
        <v>367623</v>
      </c>
      <c r="F23" s="119">
        <f>_xlfn.COMPOUNDVALUE(391)</f>
        <v>2244</v>
      </c>
      <c r="G23" s="120">
        <v>8280677</v>
      </c>
      <c r="H23" s="119">
        <f>_xlfn.COMPOUNDVALUE(392)</f>
        <v>55</v>
      </c>
      <c r="I23" s="121">
        <v>95508</v>
      </c>
      <c r="J23" s="119">
        <v>177</v>
      </c>
      <c r="K23" s="121">
        <v>32811</v>
      </c>
      <c r="L23" s="119">
        <v>2347</v>
      </c>
      <c r="M23" s="121">
        <v>8217980</v>
      </c>
      <c r="N23" s="119">
        <v>2363</v>
      </c>
      <c r="O23" s="122">
        <v>61</v>
      </c>
      <c r="P23" s="122">
        <v>3</v>
      </c>
      <c r="Q23" s="123">
        <v>2427</v>
      </c>
      <c r="R23" s="14" t="s">
        <v>33</v>
      </c>
    </row>
    <row r="24" spans="1:18" ht="18.75" customHeight="1">
      <c r="A24" s="13" t="s">
        <v>34</v>
      </c>
      <c r="B24" s="119">
        <f>_xlfn.COMPOUNDVALUE(393)</f>
        <v>1121</v>
      </c>
      <c r="C24" s="120">
        <v>3372662</v>
      </c>
      <c r="D24" s="119">
        <f>_xlfn.COMPOUNDVALUE(394)</f>
        <v>569</v>
      </c>
      <c r="E24" s="120">
        <v>277321</v>
      </c>
      <c r="F24" s="119">
        <f>_xlfn.COMPOUNDVALUE(395)</f>
        <v>1690</v>
      </c>
      <c r="G24" s="120">
        <v>3649983</v>
      </c>
      <c r="H24" s="119">
        <f>_xlfn.COMPOUNDVALUE(396)</f>
        <v>60</v>
      </c>
      <c r="I24" s="121">
        <v>119552</v>
      </c>
      <c r="J24" s="119">
        <v>99</v>
      </c>
      <c r="K24" s="121">
        <v>16525</v>
      </c>
      <c r="L24" s="119">
        <v>1770</v>
      </c>
      <c r="M24" s="121">
        <v>3546956</v>
      </c>
      <c r="N24" s="119">
        <v>1909</v>
      </c>
      <c r="O24" s="122">
        <v>43</v>
      </c>
      <c r="P24" s="122">
        <v>4</v>
      </c>
      <c r="Q24" s="123">
        <v>1956</v>
      </c>
      <c r="R24" s="14" t="s">
        <v>34</v>
      </c>
    </row>
    <row r="25" spans="1:18" ht="18.75" customHeight="1">
      <c r="A25" s="13" t="s">
        <v>35</v>
      </c>
      <c r="B25" s="119">
        <f>_xlfn.COMPOUNDVALUE(397)</f>
        <v>6590</v>
      </c>
      <c r="C25" s="120">
        <v>28001536</v>
      </c>
      <c r="D25" s="119">
        <f>_xlfn.COMPOUNDVALUE(398)</f>
        <v>3305</v>
      </c>
      <c r="E25" s="120">
        <v>1627542</v>
      </c>
      <c r="F25" s="119">
        <f>_xlfn.COMPOUNDVALUE(399)</f>
        <v>9895</v>
      </c>
      <c r="G25" s="120">
        <v>29629077</v>
      </c>
      <c r="H25" s="119">
        <f>_xlfn.COMPOUNDVALUE(400)</f>
        <v>681</v>
      </c>
      <c r="I25" s="121">
        <v>2126414</v>
      </c>
      <c r="J25" s="119">
        <v>643</v>
      </c>
      <c r="K25" s="121">
        <v>136418</v>
      </c>
      <c r="L25" s="119">
        <v>10763</v>
      </c>
      <c r="M25" s="121">
        <v>27639081</v>
      </c>
      <c r="N25" s="119">
        <v>11079</v>
      </c>
      <c r="O25" s="122">
        <v>395</v>
      </c>
      <c r="P25" s="122">
        <v>27</v>
      </c>
      <c r="Q25" s="123">
        <v>11501</v>
      </c>
      <c r="R25" s="14" t="s">
        <v>35</v>
      </c>
    </row>
    <row r="26" spans="1:18" ht="18.75" customHeight="1">
      <c r="A26" s="13" t="s">
        <v>36</v>
      </c>
      <c r="B26" s="119">
        <f>_xlfn.COMPOUNDVALUE(401)</f>
        <v>675</v>
      </c>
      <c r="C26" s="120">
        <v>1780646</v>
      </c>
      <c r="D26" s="119">
        <f>_xlfn.COMPOUNDVALUE(402)</f>
        <v>388</v>
      </c>
      <c r="E26" s="120">
        <v>154089</v>
      </c>
      <c r="F26" s="119">
        <f>_xlfn.COMPOUNDVALUE(403)</f>
        <v>1063</v>
      </c>
      <c r="G26" s="120">
        <v>1934735</v>
      </c>
      <c r="H26" s="119">
        <f>_xlfn.COMPOUNDVALUE(404)</f>
        <v>26</v>
      </c>
      <c r="I26" s="121">
        <v>162586</v>
      </c>
      <c r="J26" s="119">
        <v>72</v>
      </c>
      <c r="K26" s="121">
        <v>19655</v>
      </c>
      <c r="L26" s="119">
        <v>1107</v>
      </c>
      <c r="M26" s="121">
        <v>1791804</v>
      </c>
      <c r="N26" s="119">
        <v>1058</v>
      </c>
      <c r="O26" s="122">
        <v>24</v>
      </c>
      <c r="P26" s="122">
        <v>2</v>
      </c>
      <c r="Q26" s="123">
        <v>1084</v>
      </c>
      <c r="R26" s="14" t="s">
        <v>36</v>
      </c>
    </row>
    <row r="27" spans="1:18" ht="18.75" customHeight="1">
      <c r="A27" s="13" t="s">
        <v>37</v>
      </c>
      <c r="B27" s="119">
        <f>_xlfn.COMPOUNDVALUE(405)</f>
        <v>1792</v>
      </c>
      <c r="C27" s="120">
        <v>5307907</v>
      </c>
      <c r="D27" s="119">
        <f>_xlfn.COMPOUNDVALUE(406)</f>
        <v>874</v>
      </c>
      <c r="E27" s="120">
        <v>410989</v>
      </c>
      <c r="F27" s="119">
        <f>_xlfn.COMPOUNDVALUE(407)</f>
        <v>2666</v>
      </c>
      <c r="G27" s="120">
        <v>5718896</v>
      </c>
      <c r="H27" s="119">
        <f>_xlfn.COMPOUNDVALUE(408)</f>
        <v>106</v>
      </c>
      <c r="I27" s="121">
        <v>400105</v>
      </c>
      <c r="J27" s="119">
        <v>176</v>
      </c>
      <c r="K27" s="121">
        <v>30011</v>
      </c>
      <c r="L27" s="119">
        <v>2818</v>
      </c>
      <c r="M27" s="121">
        <v>5348802</v>
      </c>
      <c r="N27" s="119">
        <v>2970</v>
      </c>
      <c r="O27" s="122">
        <v>84</v>
      </c>
      <c r="P27" s="122">
        <v>6</v>
      </c>
      <c r="Q27" s="123">
        <v>3060</v>
      </c>
      <c r="R27" s="14" t="s">
        <v>37</v>
      </c>
    </row>
    <row r="28" spans="1:18" ht="18.75" customHeight="1">
      <c r="A28" s="13" t="s">
        <v>38</v>
      </c>
      <c r="B28" s="119">
        <f>_xlfn.COMPOUNDVALUE(409)</f>
        <v>946</v>
      </c>
      <c r="C28" s="120">
        <v>2542937</v>
      </c>
      <c r="D28" s="119">
        <f>_xlfn.COMPOUNDVALUE(410)</f>
        <v>481</v>
      </c>
      <c r="E28" s="120">
        <v>223277</v>
      </c>
      <c r="F28" s="119">
        <f>_xlfn.COMPOUNDVALUE(411)</f>
        <v>1427</v>
      </c>
      <c r="G28" s="120">
        <v>2766215</v>
      </c>
      <c r="H28" s="119">
        <f>_xlfn.COMPOUNDVALUE(412)</f>
        <v>44</v>
      </c>
      <c r="I28" s="121">
        <v>387042</v>
      </c>
      <c r="J28" s="119">
        <v>75</v>
      </c>
      <c r="K28" s="121">
        <v>9389</v>
      </c>
      <c r="L28" s="119">
        <v>1492</v>
      </c>
      <c r="M28" s="121">
        <v>2388562</v>
      </c>
      <c r="N28" s="119">
        <v>1448</v>
      </c>
      <c r="O28" s="122">
        <v>56</v>
      </c>
      <c r="P28" s="122">
        <v>1</v>
      </c>
      <c r="Q28" s="123">
        <v>1505</v>
      </c>
      <c r="R28" s="14" t="s">
        <v>38</v>
      </c>
    </row>
    <row r="29" spans="1:18" ht="18.75" customHeight="1">
      <c r="A29" s="15" t="s">
        <v>39</v>
      </c>
      <c r="B29" s="124">
        <v>41298</v>
      </c>
      <c r="C29" s="125">
        <v>249451670</v>
      </c>
      <c r="D29" s="124">
        <v>21327</v>
      </c>
      <c r="E29" s="125">
        <v>10859783</v>
      </c>
      <c r="F29" s="124">
        <v>62625</v>
      </c>
      <c r="G29" s="125">
        <v>260311453</v>
      </c>
      <c r="H29" s="124">
        <v>3762</v>
      </c>
      <c r="I29" s="126">
        <v>121488721</v>
      </c>
      <c r="J29" s="124">
        <v>4033</v>
      </c>
      <c r="K29" s="126">
        <v>953849</v>
      </c>
      <c r="L29" s="124">
        <v>67488</v>
      </c>
      <c r="M29" s="126">
        <v>139776581</v>
      </c>
      <c r="N29" s="124">
        <v>70855</v>
      </c>
      <c r="O29" s="127">
        <v>2075</v>
      </c>
      <c r="P29" s="127">
        <v>263</v>
      </c>
      <c r="Q29" s="128">
        <v>73193</v>
      </c>
      <c r="R29" s="16" t="s">
        <v>121</v>
      </c>
    </row>
    <row r="30" spans="1:18" ht="18.75" customHeight="1">
      <c r="A30" s="23"/>
      <c r="B30" s="129"/>
      <c r="C30" s="130"/>
      <c r="D30" s="129"/>
      <c r="E30" s="130"/>
      <c r="F30" s="131"/>
      <c r="G30" s="130"/>
      <c r="H30" s="131"/>
      <c r="I30" s="130"/>
      <c r="J30" s="131"/>
      <c r="K30" s="130"/>
      <c r="L30" s="131"/>
      <c r="M30" s="130"/>
      <c r="N30" s="132"/>
      <c r="O30" s="133"/>
      <c r="P30" s="133"/>
      <c r="Q30" s="134"/>
      <c r="R30" s="36" t="s">
        <v>119</v>
      </c>
    </row>
    <row r="31" spans="1:18" ht="18.75" customHeight="1">
      <c r="A31" s="11" t="s">
        <v>40</v>
      </c>
      <c r="B31" s="114">
        <f>_xlfn.COMPOUNDVALUE(413)</f>
        <v>3508</v>
      </c>
      <c r="C31" s="115">
        <v>38839370</v>
      </c>
      <c r="D31" s="114">
        <f>_xlfn.COMPOUNDVALUE(414)</f>
        <v>1195</v>
      </c>
      <c r="E31" s="115">
        <v>643614</v>
      </c>
      <c r="F31" s="114">
        <f>_xlfn.COMPOUNDVALUE(415)</f>
        <v>4703</v>
      </c>
      <c r="G31" s="115">
        <v>39482985</v>
      </c>
      <c r="H31" s="114">
        <f>_xlfn.COMPOUNDVALUE(416)</f>
        <v>482</v>
      </c>
      <c r="I31" s="116">
        <v>2655346</v>
      </c>
      <c r="J31" s="114">
        <v>377</v>
      </c>
      <c r="K31" s="116">
        <v>77785</v>
      </c>
      <c r="L31" s="114">
        <v>5251</v>
      </c>
      <c r="M31" s="116">
        <v>36905424</v>
      </c>
      <c r="N31" s="114">
        <v>5293</v>
      </c>
      <c r="O31" s="117">
        <v>230</v>
      </c>
      <c r="P31" s="117">
        <v>29</v>
      </c>
      <c r="Q31" s="135">
        <v>5552</v>
      </c>
      <c r="R31" s="14" t="s">
        <v>40</v>
      </c>
    </row>
    <row r="32" spans="1:18" ht="18.75" customHeight="1">
      <c r="A32" s="11" t="s">
        <v>41</v>
      </c>
      <c r="B32" s="114">
        <f>_xlfn.COMPOUNDVALUE(417)</f>
        <v>6735</v>
      </c>
      <c r="C32" s="115">
        <v>77068492</v>
      </c>
      <c r="D32" s="114">
        <f>_xlfn.COMPOUNDVALUE(418)</f>
        <v>1857</v>
      </c>
      <c r="E32" s="115">
        <v>1221267</v>
      </c>
      <c r="F32" s="114">
        <f>_xlfn.COMPOUNDVALUE(419)</f>
        <v>8592</v>
      </c>
      <c r="G32" s="115">
        <v>78289759</v>
      </c>
      <c r="H32" s="114">
        <f>_xlfn.COMPOUNDVALUE(420)</f>
        <v>1284</v>
      </c>
      <c r="I32" s="116">
        <v>48855886</v>
      </c>
      <c r="J32" s="114">
        <v>761</v>
      </c>
      <c r="K32" s="116">
        <v>265796</v>
      </c>
      <c r="L32" s="114">
        <v>9987</v>
      </c>
      <c r="M32" s="116">
        <v>29699669</v>
      </c>
      <c r="N32" s="119">
        <v>10152</v>
      </c>
      <c r="O32" s="122">
        <v>419</v>
      </c>
      <c r="P32" s="122">
        <v>105</v>
      </c>
      <c r="Q32" s="123">
        <v>10676</v>
      </c>
      <c r="R32" s="14" t="s">
        <v>41</v>
      </c>
    </row>
    <row r="33" spans="1:18" ht="18.75" customHeight="1">
      <c r="A33" s="11" t="s">
        <v>42</v>
      </c>
      <c r="B33" s="114">
        <f>_xlfn.COMPOUNDVALUE(421)</f>
        <v>3065</v>
      </c>
      <c r="C33" s="115">
        <v>21079342</v>
      </c>
      <c r="D33" s="114">
        <f>_xlfn.COMPOUNDVALUE(422)</f>
        <v>1146</v>
      </c>
      <c r="E33" s="115">
        <v>590341</v>
      </c>
      <c r="F33" s="114">
        <f>_xlfn.COMPOUNDVALUE(423)</f>
        <v>4211</v>
      </c>
      <c r="G33" s="115">
        <v>21669683</v>
      </c>
      <c r="H33" s="114">
        <f>_xlfn.COMPOUNDVALUE(424)</f>
        <v>275</v>
      </c>
      <c r="I33" s="116">
        <v>2255023</v>
      </c>
      <c r="J33" s="114">
        <v>383</v>
      </c>
      <c r="K33" s="116">
        <v>59004</v>
      </c>
      <c r="L33" s="114">
        <v>4608</v>
      </c>
      <c r="M33" s="116">
        <v>19473664</v>
      </c>
      <c r="N33" s="119">
        <v>4786</v>
      </c>
      <c r="O33" s="122">
        <v>128</v>
      </c>
      <c r="P33" s="122">
        <v>20</v>
      </c>
      <c r="Q33" s="123">
        <v>4934</v>
      </c>
      <c r="R33" s="14" t="s">
        <v>42</v>
      </c>
    </row>
    <row r="34" spans="1:18" ht="18.75" customHeight="1">
      <c r="A34" s="11" t="s">
        <v>43</v>
      </c>
      <c r="B34" s="114">
        <f>_xlfn.COMPOUNDVALUE(425)</f>
        <v>2516</v>
      </c>
      <c r="C34" s="115">
        <v>26178452</v>
      </c>
      <c r="D34" s="114">
        <f>_xlfn.COMPOUNDVALUE(426)</f>
        <v>1119</v>
      </c>
      <c r="E34" s="115">
        <v>676015</v>
      </c>
      <c r="F34" s="114">
        <f>_xlfn.COMPOUNDVALUE(427)</f>
        <v>3635</v>
      </c>
      <c r="G34" s="115">
        <v>26854467</v>
      </c>
      <c r="H34" s="114">
        <f>_xlfn.COMPOUNDVALUE(428)</f>
        <v>412</v>
      </c>
      <c r="I34" s="116">
        <v>1659258</v>
      </c>
      <c r="J34" s="114">
        <v>245</v>
      </c>
      <c r="K34" s="116">
        <v>156569</v>
      </c>
      <c r="L34" s="114">
        <v>4129</v>
      </c>
      <c r="M34" s="116">
        <v>25351778</v>
      </c>
      <c r="N34" s="119">
        <v>4334</v>
      </c>
      <c r="O34" s="122">
        <v>213</v>
      </c>
      <c r="P34" s="122">
        <v>29</v>
      </c>
      <c r="Q34" s="123">
        <v>4576</v>
      </c>
      <c r="R34" s="14" t="s">
        <v>43</v>
      </c>
    </row>
    <row r="35" spans="1:18" ht="18.75" customHeight="1">
      <c r="A35" s="11" t="s">
        <v>44</v>
      </c>
      <c r="B35" s="114">
        <f>_xlfn.COMPOUNDVALUE(429)</f>
        <v>2881</v>
      </c>
      <c r="C35" s="115">
        <v>27031675</v>
      </c>
      <c r="D35" s="114">
        <f>_xlfn.COMPOUNDVALUE(430)</f>
        <v>803</v>
      </c>
      <c r="E35" s="115">
        <v>465550</v>
      </c>
      <c r="F35" s="114">
        <f>_xlfn.COMPOUNDVALUE(431)</f>
        <v>3684</v>
      </c>
      <c r="G35" s="115">
        <v>27497225</v>
      </c>
      <c r="H35" s="114">
        <f>_xlfn.COMPOUNDVALUE(432)</f>
        <v>654</v>
      </c>
      <c r="I35" s="116">
        <v>27125802</v>
      </c>
      <c r="J35" s="114">
        <v>347</v>
      </c>
      <c r="K35" s="116">
        <v>87838</v>
      </c>
      <c r="L35" s="114">
        <v>4393</v>
      </c>
      <c r="M35" s="116">
        <v>459261</v>
      </c>
      <c r="N35" s="119">
        <v>4531</v>
      </c>
      <c r="O35" s="122">
        <v>262</v>
      </c>
      <c r="P35" s="122">
        <v>42</v>
      </c>
      <c r="Q35" s="123">
        <v>4835</v>
      </c>
      <c r="R35" s="14" t="s">
        <v>44</v>
      </c>
    </row>
    <row r="36" spans="1:18" ht="18.75" customHeight="1">
      <c r="A36" s="11" t="s">
        <v>45</v>
      </c>
      <c r="B36" s="114">
        <f>_xlfn.COMPOUNDVALUE(433)</f>
        <v>1912</v>
      </c>
      <c r="C36" s="115">
        <v>18836008</v>
      </c>
      <c r="D36" s="114">
        <f>_xlfn.COMPOUNDVALUE(434)</f>
        <v>723</v>
      </c>
      <c r="E36" s="115">
        <v>385794</v>
      </c>
      <c r="F36" s="114">
        <f>_xlfn.COMPOUNDVALUE(435)</f>
        <v>2635</v>
      </c>
      <c r="G36" s="115">
        <v>19221802</v>
      </c>
      <c r="H36" s="114">
        <f>_xlfn.COMPOUNDVALUE(436)</f>
        <v>213</v>
      </c>
      <c r="I36" s="116">
        <v>3245240</v>
      </c>
      <c r="J36" s="114">
        <v>294</v>
      </c>
      <c r="K36" s="116">
        <v>182245</v>
      </c>
      <c r="L36" s="114">
        <v>2905</v>
      </c>
      <c r="M36" s="116">
        <v>16158807</v>
      </c>
      <c r="N36" s="119">
        <v>2928</v>
      </c>
      <c r="O36" s="122">
        <v>92</v>
      </c>
      <c r="P36" s="122">
        <v>7</v>
      </c>
      <c r="Q36" s="123">
        <v>3027</v>
      </c>
      <c r="R36" s="14" t="s">
        <v>45</v>
      </c>
    </row>
    <row r="37" spans="1:18" ht="18.75" customHeight="1">
      <c r="A37" s="11" t="s">
        <v>46</v>
      </c>
      <c r="B37" s="114">
        <f>_xlfn.COMPOUNDVALUE(437)</f>
        <v>2075</v>
      </c>
      <c r="C37" s="115">
        <v>15591066</v>
      </c>
      <c r="D37" s="114">
        <f>_xlfn.COMPOUNDVALUE(438)</f>
        <v>944</v>
      </c>
      <c r="E37" s="115">
        <v>477543</v>
      </c>
      <c r="F37" s="114">
        <f>_xlfn.COMPOUNDVALUE(439)</f>
        <v>3019</v>
      </c>
      <c r="G37" s="115">
        <v>16068609</v>
      </c>
      <c r="H37" s="114">
        <f>_xlfn.COMPOUNDVALUE(440)</f>
        <v>254</v>
      </c>
      <c r="I37" s="116">
        <v>1024439</v>
      </c>
      <c r="J37" s="114">
        <v>204</v>
      </c>
      <c r="K37" s="116">
        <v>41249</v>
      </c>
      <c r="L37" s="114">
        <v>3318</v>
      </c>
      <c r="M37" s="116">
        <v>15085419</v>
      </c>
      <c r="N37" s="119">
        <v>3571</v>
      </c>
      <c r="O37" s="122">
        <v>117</v>
      </c>
      <c r="P37" s="122">
        <v>16</v>
      </c>
      <c r="Q37" s="123">
        <v>3704</v>
      </c>
      <c r="R37" s="14" t="s">
        <v>46</v>
      </c>
    </row>
    <row r="38" spans="1:18" ht="18.75" customHeight="1">
      <c r="A38" s="11" t="s">
        <v>47</v>
      </c>
      <c r="B38" s="114">
        <f>_xlfn.COMPOUNDVALUE(441)</f>
        <v>2706</v>
      </c>
      <c r="C38" s="115">
        <v>13907996</v>
      </c>
      <c r="D38" s="114">
        <f>_xlfn.COMPOUNDVALUE(442)</f>
        <v>1397</v>
      </c>
      <c r="E38" s="115">
        <v>677382</v>
      </c>
      <c r="F38" s="114">
        <f>_xlfn.COMPOUNDVALUE(443)</f>
        <v>4103</v>
      </c>
      <c r="G38" s="115">
        <v>14585379</v>
      </c>
      <c r="H38" s="114">
        <f>_xlfn.COMPOUNDVALUE(444)</f>
        <v>334</v>
      </c>
      <c r="I38" s="116">
        <v>614472</v>
      </c>
      <c r="J38" s="114">
        <v>320</v>
      </c>
      <c r="K38" s="116">
        <v>77162</v>
      </c>
      <c r="L38" s="114">
        <v>4523</v>
      </c>
      <c r="M38" s="116">
        <v>14048069</v>
      </c>
      <c r="N38" s="119">
        <v>4790</v>
      </c>
      <c r="O38" s="122">
        <v>166</v>
      </c>
      <c r="P38" s="122">
        <v>15</v>
      </c>
      <c r="Q38" s="123">
        <v>4971</v>
      </c>
      <c r="R38" s="14" t="s">
        <v>47</v>
      </c>
    </row>
    <row r="39" spans="1:18" ht="18.75" customHeight="1">
      <c r="A39" s="11" t="s">
        <v>48</v>
      </c>
      <c r="B39" s="114">
        <f>_xlfn.COMPOUNDVALUE(445)</f>
        <v>3216</v>
      </c>
      <c r="C39" s="115">
        <v>28682546</v>
      </c>
      <c r="D39" s="114">
        <f>_xlfn.COMPOUNDVALUE(446)</f>
        <v>1448</v>
      </c>
      <c r="E39" s="115">
        <v>798497</v>
      </c>
      <c r="F39" s="114">
        <f>_xlfn.COMPOUNDVALUE(447)</f>
        <v>4664</v>
      </c>
      <c r="G39" s="115">
        <v>29481043</v>
      </c>
      <c r="H39" s="114">
        <f>_xlfn.COMPOUNDVALUE(448)</f>
        <v>296</v>
      </c>
      <c r="I39" s="116">
        <v>884994</v>
      </c>
      <c r="J39" s="114">
        <v>386</v>
      </c>
      <c r="K39" s="116">
        <v>171428</v>
      </c>
      <c r="L39" s="114">
        <v>5104</v>
      </c>
      <c r="M39" s="116">
        <v>28767477</v>
      </c>
      <c r="N39" s="114">
        <v>5933</v>
      </c>
      <c r="O39" s="117">
        <v>178</v>
      </c>
      <c r="P39" s="117">
        <v>21</v>
      </c>
      <c r="Q39" s="135">
        <v>6132</v>
      </c>
      <c r="R39" s="12" t="s">
        <v>48</v>
      </c>
    </row>
    <row r="40" spans="1:18" ht="18.75" customHeight="1">
      <c r="A40" s="11" t="s">
        <v>49</v>
      </c>
      <c r="B40" s="114">
        <f>_xlfn.COMPOUNDVALUE(449)</f>
        <v>3919</v>
      </c>
      <c r="C40" s="115">
        <v>21103495</v>
      </c>
      <c r="D40" s="114">
        <f>_xlfn.COMPOUNDVALUE(450)</f>
        <v>1808</v>
      </c>
      <c r="E40" s="115">
        <v>996647</v>
      </c>
      <c r="F40" s="114">
        <f>_xlfn.COMPOUNDVALUE(451)</f>
        <v>5727</v>
      </c>
      <c r="G40" s="115">
        <v>22100142</v>
      </c>
      <c r="H40" s="114">
        <f>_xlfn.COMPOUNDVALUE(452)</f>
        <v>361</v>
      </c>
      <c r="I40" s="116">
        <v>1761069</v>
      </c>
      <c r="J40" s="114">
        <v>467</v>
      </c>
      <c r="K40" s="116">
        <v>106578</v>
      </c>
      <c r="L40" s="114">
        <v>6220</v>
      </c>
      <c r="M40" s="116">
        <v>20445651</v>
      </c>
      <c r="N40" s="114">
        <v>6627</v>
      </c>
      <c r="O40" s="136">
        <v>192</v>
      </c>
      <c r="P40" s="136">
        <v>13</v>
      </c>
      <c r="Q40" s="137">
        <v>6832</v>
      </c>
      <c r="R40" s="12" t="s">
        <v>49</v>
      </c>
    </row>
    <row r="41" spans="1:18" ht="18.75" customHeight="1">
      <c r="A41" s="11" t="s">
        <v>50</v>
      </c>
      <c r="B41" s="114">
        <f>_xlfn.COMPOUNDVALUE(453)</f>
        <v>1789</v>
      </c>
      <c r="C41" s="115">
        <v>13455137</v>
      </c>
      <c r="D41" s="114">
        <f>_xlfn.COMPOUNDVALUE(454)</f>
        <v>934</v>
      </c>
      <c r="E41" s="115">
        <v>546016</v>
      </c>
      <c r="F41" s="114">
        <f>_xlfn.COMPOUNDVALUE(455)</f>
        <v>2723</v>
      </c>
      <c r="G41" s="115">
        <v>14001153</v>
      </c>
      <c r="H41" s="114">
        <f>_xlfn.COMPOUNDVALUE(456)</f>
        <v>244</v>
      </c>
      <c r="I41" s="116">
        <v>986753</v>
      </c>
      <c r="J41" s="114">
        <v>145</v>
      </c>
      <c r="K41" s="116">
        <v>34406</v>
      </c>
      <c r="L41" s="114">
        <v>2996</v>
      </c>
      <c r="M41" s="116">
        <v>13048806</v>
      </c>
      <c r="N41" s="119">
        <v>3184</v>
      </c>
      <c r="O41" s="122">
        <v>125</v>
      </c>
      <c r="P41" s="122">
        <v>15</v>
      </c>
      <c r="Q41" s="123">
        <v>3324</v>
      </c>
      <c r="R41" s="14" t="s">
        <v>50</v>
      </c>
    </row>
    <row r="42" spans="1:18" ht="18.75" customHeight="1">
      <c r="A42" s="11" t="s">
        <v>51</v>
      </c>
      <c r="B42" s="114">
        <f>_xlfn.COMPOUNDVALUE(457)</f>
        <v>3978</v>
      </c>
      <c r="C42" s="115">
        <v>20983543</v>
      </c>
      <c r="D42" s="114">
        <f>_xlfn.COMPOUNDVALUE(458)</f>
        <v>1656</v>
      </c>
      <c r="E42" s="115">
        <v>902771</v>
      </c>
      <c r="F42" s="114">
        <f>_xlfn.COMPOUNDVALUE(459)</f>
        <v>5634</v>
      </c>
      <c r="G42" s="115">
        <v>21886313</v>
      </c>
      <c r="H42" s="114">
        <f>_xlfn.COMPOUNDVALUE(460)</f>
        <v>471</v>
      </c>
      <c r="I42" s="116">
        <v>2230459</v>
      </c>
      <c r="J42" s="114">
        <v>506</v>
      </c>
      <c r="K42" s="116">
        <v>117975</v>
      </c>
      <c r="L42" s="114">
        <v>6235</v>
      </c>
      <c r="M42" s="116">
        <v>19773829</v>
      </c>
      <c r="N42" s="119">
        <v>6638</v>
      </c>
      <c r="O42" s="122">
        <v>254</v>
      </c>
      <c r="P42" s="122">
        <v>29</v>
      </c>
      <c r="Q42" s="123">
        <v>6921</v>
      </c>
      <c r="R42" s="14" t="s">
        <v>51</v>
      </c>
    </row>
    <row r="43" spans="1:18" ht="18.75" customHeight="1">
      <c r="A43" s="11" t="s">
        <v>52</v>
      </c>
      <c r="B43" s="114">
        <f>_xlfn.COMPOUNDVALUE(461)</f>
        <v>5997</v>
      </c>
      <c r="C43" s="115">
        <v>21484381</v>
      </c>
      <c r="D43" s="114">
        <f>_xlfn.COMPOUNDVALUE(462)</f>
        <v>2762</v>
      </c>
      <c r="E43" s="115">
        <v>1427294</v>
      </c>
      <c r="F43" s="114">
        <f>_xlfn.COMPOUNDVALUE(463)</f>
        <v>8759</v>
      </c>
      <c r="G43" s="115">
        <v>22911675</v>
      </c>
      <c r="H43" s="114">
        <f>_xlfn.COMPOUNDVALUE(464)</f>
        <v>577</v>
      </c>
      <c r="I43" s="116">
        <v>2434128</v>
      </c>
      <c r="J43" s="114">
        <v>764</v>
      </c>
      <c r="K43" s="116">
        <v>149538</v>
      </c>
      <c r="L43" s="114">
        <v>9571</v>
      </c>
      <c r="M43" s="116">
        <v>20627085</v>
      </c>
      <c r="N43" s="119">
        <v>10162</v>
      </c>
      <c r="O43" s="122">
        <v>272</v>
      </c>
      <c r="P43" s="122">
        <v>28</v>
      </c>
      <c r="Q43" s="123">
        <v>10462</v>
      </c>
      <c r="R43" s="14" t="s">
        <v>52</v>
      </c>
    </row>
    <row r="44" spans="1:18" ht="18.75" customHeight="1">
      <c r="A44" s="11" t="s">
        <v>53</v>
      </c>
      <c r="B44" s="114">
        <f>_xlfn.COMPOUNDVALUE(465)</f>
        <v>1774</v>
      </c>
      <c r="C44" s="115">
        <v>10014922</v>
      </c>
      <c r="D44" s="114">
        <f>_xlfn.COMPOUNDVALUE(466)</f>
        <v>712</v>
      </c>
      <c r="E44" s="115">
        <v>395489</v>
      </c>
      <c r="F44" s="114">
        <f>_xlfn.COMPOUNDVALUE(467)</f>
        <v>2486</v>
      </c>
      <c r="G44" s="115">
        <v>10410411</v>
      </c>
      <c r="H44" s="114">
        <f>_xlfn.COMPOUNDVALUE(468)</f>
        <v>217</v>
      </c>
      <c r="I44" s="116">
        <v>517505</v>
      </c>
      <c r="J44" s="114">
        <v>222</v>
      </c>
      <c r="K44" s="116">
        <v>55348</v>
      </c>
      <c r="L44" s="114">
        <v>2779</v>
      </c>
      <c r="M44" s="116">
        <v>9948254</v>
      </c>
      <c r="N44" s="119">
        <v>2790</v>
      </c>
      <c r="O44" s="122">
        <v>109</v>
      </c>
      <c r="P44" s="122">
        <v>5</v>
      </c>
      <c r="Q44" s="123">
        <v>2904</v>
      </c>
      <c r="R44" s="14" t="s">
        <v>53</v>
      </c>
    </row>
    <row r="45" spans="1:18" ht="18.75" customHeight="1">
      <c r="A45" s="11" t="s">
        <v>54</v>
      </c>
      <c r="B45" s="114">
        <f>_xlfn.COMPOUNDVALUE(469)</f>
        <v>7235</v>
      </c>
      <c r="C45" s="115">
        <v>82477450</v>
      </c>
      <c r="D45" s="114">
        <f>_xlfn.COMPOUNDVALUE(470)</f>
        <v>2659</v>
      </c>
      <c r="E45" s="115">
        <v>1560499</v>
      </c>
      <c r="F45" s="114">
        <f>_xlfn.COMPOUNDVALUE(471)</f>
        <v>9894</v>
      </c>
      <c r="G45" s="115">
        <v>84037949</v>
      </c>
      <c r="H45" s="114">
        <f>_xlfn.COMPOUNDVALUE(472)</f>
        <v>878</v>
      </c>
      <c r="I45" s="116">
        <v>8735289</v>
      </c>
      <c r="J45" s="114">
        <v>1028</v>
      </c>
      <c r="K45" s="116">
        <v>326240</v>
      </c>
      <c r="L45" s="114">
        <v>11046</v>
      </c>
      <c r="M45" s="116">
        <v>75628900</v>
      </c>
      <c r="N45" s="119">
        <v>11497</v>
      </c>
      <c r="O45" s="122">
        <v>455</v>
      </c>
      <c r="P45" s="122">
        <v>90</v>
      </c>
      <c r="Q45" s="123">
        <v>12042</v>
      </c>
      <c r="R45" s="14" t="s">
        <v>54</v>
      </c>
    </row>
    <row r="46" spans="1:18" ht="18.75" customHeight="1">
      <c r="A46" s="11" t="s">
        <v>55</v>
      </c>
      <c r="B46" s="114">
        <f>_xlfn.COMPOUNDVALUE(473)</f>
        <v>7392</v>
      </c>
      <c r="C46" s="115">
        <v>186675891</v>
      </c>
      <c r="D46" s="114">
        <f>_xlfn.COMPOUNDVALUE(474)</f>
        <v>2678</v>
      </c>
      <c r="E46" s="115">
        <v>1886598</v>
      </c>
      <c r="F46" s="114">
        <f>_xlfn.COMPOUNDVALUE(475)</f>
        <v>10070</v>
      </c>
      <c r="G46" s="115">
        <v>188562489</v>
      </c>
      <c r="H46" s="114">
        <f>_xlfn.COMPOUNDVALUE(476)</f>
        <v>1184</v>
      </c>
      <c r="I46" s="116">
        <v>90239146</v>
      </c>
      <c r="J46" s="114">
        <v>767</v>
      </c>
      <c r="K46" s="116">
        <v>329872</v>
      </c>
      <c r="L46" s="114">
        <v>11400</v>
      </c>
      <c r="M46" s="116">
        <v>98653215</v>
      </c>
      <c r="N46" s="119">
        <v>11624</v>
      </c>
      <c r="O46" s="122">
        <v>635</v>
      </c>
      <c r="P46" s="122">
        <v>142</v>
      </c>
      <c r="Q46" s="123">
        <v>12401</v>
      </c>
      <c r="R46" s="14" t="s">
        <v>55</v>
      </c>
    </row>
    <row r="47" spans="1:18" ht="18.75" customHeight="1">
      <c r="A47" s="11" t="s">
        <v>56</v>
      </c>
      <c r="B47" s="114">
        <f>_xlfn.COMPOUNDVALUE(477)</f>
        <v>3518</v>
      </c>
      <c r="C47" s="115">
        <v>91858231</v>
      </c>
      <c r="D47" s="114">
        <f>_xlfn.COMPOUNDVALUE(478)</f>
        <v>1225</v>
      </c>
      <c r="E47" s="115">
        <v>763657</v>
      </c>
      <c r="F47" s="114">
        <f>_xlfn.COMPOUNDVALUE(479)</f>
        <v>4743</v>
      </c>
      <c r="G47" s="115">
        <v>92621888</v>
      </c>
      <c r="H47" s="114">
        <f>_xlfn.COMPOUNDVALUE(480)</f>
        <v>576</v>
      </c>
      <c r="I47" s="116">
        <v>17816945</v>
      </c>
      <c r="J47" s="114">
        <v>361</v>
      </c>
      <c r="K47" s="116">
        <v>83422</v>
      </c>
      <c r="L47" s="114">
        <v>5395</v>
      </c>
      <c r="M47" s="116">
        <v>74888365</v>
      </c>
      <c r="N47" s="119">
        <v>5818</v>
      </c>
      <c r="O47" s="122">
        <v>219</v>
      </c>
      <c r="P47" s="122">
        <v>37</v>
      </c>
      <c r="Q47" s="123">
        <v>6074</v>
      </c>
      <c r="R47" s="14" t="s">
        <v>56</v>
      </c>
    </row>
    <row r="48" spans="1:18" ht="18.75" customHeight="1">
      <c r="A48" s="11" t="s">
        <v>57</v>
      </c>
      <c r="B48" s="114">
        <f>_xlfn.COMPOUNDVALUE(481)</f>
        <v>9455</v>
      </c>
      <c r="C48" s="115">
        <v>234162730</v>
      </c>
      <c r="D48" s="114">
        <f>_xlfn.COMPOUNDVALUE(482)</f>
        <v>2727</v>
      </c>
      <c r="E48" s="115">
        <v>2000273</v>
      </c>
      <c r="F48" s="114">
        <f>_xlfn.COMPOUNDVALUE(483)</f>
        <v>12182</v>
      </c>
      <c r="G48" s="115">
        <v>236163003</v>
      </c>
      <c r="H48" s="114">
        <f>_xlfn.COMPOUNDVALUE(484)</f>
        <v>2641</v>
      </c>
      <c r="I48" s="116">
        <v>58184087</v>
      </c>
      <c r="J48" s="114">
        <v>972</v>
      </c>
      <c r="K48" s="116">
        <v>658794</v>
      </c>
      <c r="L48" s="114">
        <v>14980</v>
      </c>
      <c r="M48" s="116">
        <v>178637710</v>
      </c>
      <c r="N48" s="119">
        <v>13880</v>
      </c>
      <c r="O48" s="122">
        <v>926</v>
      </c>
      <c r="P48" s="122">
        <v>218</v>
      </c>
      <c r="Q48" s="123">
        <v>15024</v>
      </c>
      <c r="R48" s="14" t="s">
        <v>57</v>
      </c>
    </row>
    <row r="49" spans="1:18" ht="18.75" customHeight="1">
      <c r="A49" s="11" t="s">
        <v>58</v>
      </c>
      <c r="B49" s="114">
        <f>_xlfn.COMPOUNDVALUE(485)</f>
        <v>5659</v>
      </c>
      <c r="C49" s="115">
        <v>55314968</v>
      </c>
      <c r="D49" s="114">
        <f>_xlfn.COMPOUNDVALUE(486)</f>
        <v>1803</v>
      </c>
      <c r="E49" s="115">
        <v>1162802</v>
      </c>
      <c r="F49" s="114">
        <f>_xlfn.COMPOUNDVALUE(487)</f>
        <v>7462</v>
      </c>
      <c r="G49" s="115">
        <v>56477770</v>
      </c>
      <c r="H49" s="114">
        <f>_xlfn.COMPOUNDVALUE(488)</f>
        <v>1375</v>
      </c>
      <c r="I49" s="116">
        <v>17245711</v>
      </c>
      <c r="J49" s="114">
        <v>628</v>
      </c>
      <c r="K49" s="116">
        <v>241282</v>
      </c>
      <c r="L49" s="114">
        <v>8974</v>
      </c>
      <c r="M49" s="116">
        <v>39473341</v>
      </c>
      <c r="N49" s="119">
        <v>8506</v>
      </c>
      <c r="O49" s="122">
        <v>522</v>
      </c>
      <c r="P49" s="122">
        <v>108</v>
      </c>
      <c r="Q49" s="123">
        <v>9136</v>
      </c>
      <c r="R49" s="14" t="s">
        <v>58</v>
      </c>
    </row>
    <row r="50" spans="1:18" ht="18.75" customHeight="1">
      <c r="A50" s="11" t="s">
        <v>59</v>
      </c>
      <c r="B50" s="114">
        <f>_xlfn.COMPOUNDVALUE(489)</f>
        <v>12087</v>
      </c>
      <c r="C50" s="115">
        <v>62623127</v>
      </c>
      <c r="D50" s="114">
        <f>_xlfn.COMPOUNDVALUE(490)</f>
        <v>4910</v>
      </c>
      <c r="E50" s="115">
        <v>2693778</v>
      </c>
      <c r="F50" s="114">
        <f>_xlfn.COMPOUNDVALUE(491)</f>
        <v>16997</v>
      </c>
      <c r="G50" s="115">
        <v>65316905</v>
      </c>
      <c r="H50" s="114">
        <f>_xlfn.COMPOUNDVALUE(492)</f>
        <v>1217</v>
      </c>
      <c r="I50" s="116">
        <v>30995399</v>
      </c>
      <c r="J50" s="114">
        <v>1294</v>
      </c>
      <c r="K50" s="116">
        <v>416262</v>
      </c>
      <c r="L50" s="114">
        <v>18568</v>
      </c>
      <c r="M50" s="116">
        <v>34737768</v>
      </c>
      <c r="N50" s="119">
        <v>18889</v>
      </c>
      <c r="O50" s="122">
        <v>619</v>
      </c>
      <c r="P50" s="122">
        <v>58</v>
      </c>
      <c r="Q50" s="123">
        <v>19566</v>
      </c>
      <c r="R50" s="14" t="s">
        <v>59</v>
      </c>
    </row>
    <row r="51" spans="1:18" ht="18.75" customHeight="1">
      <c r="A51" s="11" t="s">
        <v>60</v>
      </c>
      <c r="B51" s="114">
        <f>_xlfn.COMPOUNDVALUE(493)</f>
        <v>4178</v>
      </c>
      <c r="C51" s="115">
        <v>15777336</v>
      </c>
      <c r="D51" s="114">
        <f>_xlfn.COMPOUNDVALUE(494)</f>
        <v>1684</v>
      </c>
      <c r="E51" s="115">
        <v>870551</v>
      </c>
      <c r="F51" s="114">
        <f>_xlfn.COMPOUNDVALUE(495)</f>
        <v>5862</v>
      </c>
      <c r="G51" s="115">
        <v>16647886</v>
      </c>
      <c r="H51" s="114">
        <f>_xlfn.COMPOUNDVALUE(496)</f>
        <v>367</v>
      </c>
      <c r="I51" s="116">
        <v>1917797</v>
      </c>
      <c r="J51" s="114">
        <v>466</v>
      </c>
      <c r="K51" s="116">
        <v>93082</v>
      </c>
      <c r="L51" s="114">
        <v>6369</v>
      </c>
      <c r="M51" s="116">
        <v>14823171</v>
      </c>
      <c r="N51" s="119">
        <v>6597</v>
      </c>
      <c r="O51" s="122">
        <v>176</v>
      </c>
      <c r="P51" s="122">
        <v>19</v>
      </c>
      <c r="Q51" s="123">
        <v>6792</v>
      </c>
      <c r="R51" s="14" t="s">
        <v>60</v>
      </c>
    </row>
    <row r="52" spans="1:18" ht="18.75" customHeight="1">
      <c r="A52" s="11" t="s">
        <v>61</v>
      </c>
      <c r="B52" s="114">
        <f>_xlfn.COMPOUNDVALUE(497)</f>
        <v>8248</v>
      </c>
      <c r="C52" s="115">
        <v>47437792</v>
      </c>
      <c r="D52" s="114">
        <f>_xlfn.COMPOUNDVALUE(498)</f>
        <v>4639</v>
      </c>
      <c r="E52" s="115">
        <v>2545502</v>
      </c>
      <c r="F52" s="114">
        <f>_xlfn.COMPOUNDVALUE(499)</f>
        <v>12887</v>
      </c>
      <c r="G52" s="115">
        <v>49983294</v>
      </c>
      <c r="H52" s="114">
        <f>_xlfn.COMPOUNDVALUE(500)</f>
        <v>867</v>
      </c>
      <c r="I52" s="116">
        <v>2689015</v>
      </c>
      <c r="J52" s="114">
        <v>1076</v>
      </c>
      <c r="K52" s="116">
        <v>282152</v>
      </c>
      <c r="L52" s="114">
        <v>14098</v>
      </c>
      <c r="M52" s="116">
        <v>47576431</v>
      </c>
      <c r="N52" s="119">
        <v>14739</v>
      </c>
      <c r="O52" s="122">
        <v>517</v>
      </c>
      <c r="P52" s="122">
        <v>40</v>
      </c>
      <c r="Q52" s="123">
        <v>15296</v>
      </c>
      <c r="R52" s="14" t="s">
        <v>61</v>
      </c>
    </row>
    <row r="53" spans="1:18" ht="18.75" customHeight="1">
      <c r="A53" s="11" t="s">
        <v>62</v>
      </c>
      <c r="B53" s="114">
        <f>_xlfn.COMPOUNDVALUE(501)</f>
        <v>6159</v>
      </c>
      <c r="C53" s="115">
        <v>42423174</v>
      </c>
      <c r="D53" s="114">
        <f>_xlfn.COMPOUNDVALUE(502)</f>
        <v>3045</v>
      </c>
      <c r="E53" s="115">
        <v>1808894</v>
      </c>
      <c r="F53" s="114">
        <f>_xlfn.COMPOUNDVALUE(503)</f>
        <v>9204</v>
      </c>
      <c r="G53" s="115">
        <v>44232068</v>
      </c>
      <c r="H53" s="114">
        <f>_xlfn.COMPOUNDVALUE(504)</f>
        <v>620</v>
      </c>
      <c r="I53" s="116">
        <v>3228710</v>
      </c>
      <c r="J53" s="114">
        <v>664</v>
      </c>
      <c r="K53" s="116">
        <v>180618</v>
      </c>
      <c r="L53" s="114">
        <v>9977</v>
      </c>
      <c r="M53" s="116">
        <v>41183976</v>
      </c>
      <c r="N53" s="119">
        <v>10773</v>
      </c>
      <c r="O53" s="122">
        <v>412</v>
      </c>
      <c r="P53" s="122">
        <v>47</v>
      </c>
      <c r="Q53" s="123">
        <v>11232</v>
      </c>
      <c r="R53" s="14" t="s">
        <v>62</v>
      </c>
    </row>
    <row r="54" spans="1:18" ht="18.75" customHeight="1">
      <c r="A54" s="11" t="s">
        <v>63</v>
      </c>
      <c r="B54" s="114">
        <f>_xlfn.COMPOUNDVALUE(505)</f>
        <v>4371</v>
      </c>
      <c r="C54" s="115">
        <v>24498508</v>
      </c>
      <c r="D54" s="114">
        <f>_xlfn.COMPOUNDVALUE(506)</f>
        <v>1715</v>
      </c>
      <c r="E54" s="115">
        <v>899841</v>
      </c>
      <c r="F54" s="114">
        <f>_xlfn.COMPOUNDVALUE(507)</f>
        <v>6086</v>
      </c>
      <c r="G54" s="115">
        <v>25398349</v>
      </c>
      <c r="H54" s="114">
        <f>_xlfn.COMPOUNDVALUE(508)</f>
        <v>498</v>
      </c>
      <c r="I54" s="116">
        <v>3696427</v>
      </c>
      <c r="J54" s="114">
        <v>541</v>
      </c>
      <c r="K54" s="116">
        <v>114462</v>
      </c>
      <c r="L54" s="114">
        <v>6745</v>
      </c>
      <c r="M54" s="116">
        <v>21816384</v>
      </c>
      <c r="N54" s="119">
        <v>7077</v>
      </c>
      <c r="O54" s="122">
        <v>222</v>
      </c>
      <c r="P54" s="122">
        <v>12</v>
      </c>
      <c r="Q54" s="123">
        <v>7311</v>
      </c>
      <c r="R54" s="14" t="s">
        <v>63</v>
      </c>
    </row>
    <row r="55" spans="1:18" ht="18.75" customHeight="1">
      <c r="A55" s="13" t="s">
        <v>64</v>
      </c>
      <c r="B55" s="119">
        <f>_xlfn.COMPOUNDVALUE(509)</f>
        <v>7496</v>
      </c>
      <c r="C55" s="120">
        <v>30121796</v>
      </c>
      <c r="D55" s="119">
        <f>_xlfn.COMPOUNDVALUE(510)</f>
        <v>3551</v>
      </c>
      <c r="E55" s="120">
        <v>1874570</v>
      </c>
      <c r="F55" s="119">
        <f>_xlfn.COMPOUNDVALUE(511)</f>
        <v>11047</v>
      </c>
      <c r="G55" s="120">
        <v>31996366</v>
      </c>
      <c r="H55" s="119">
        <f>_xlfn.COMPOUNDVALUE(512)</f>
        <v>663</v>
      </c>
      <c r="I55" s="121">
        <v>3578549</v>
      </c>
      <c r="J55" s="119">
        <v>911</v>
      </c>
      <c r="K55" s="121">
        <v>148073</v>
      </c>
      <c r="L55" s="119">
        <v>12083</v>
      </c>
      <c r="M55" s="121">
        <v>28565890</v>
      </c>
      <c r="N55" s="119">
        <v>12697</v>
      </c>
      <c r="O55" s="122">
        <v>371</v>
      </c>
      <c r="P55" s="122">
        <v>26</v>
      </c>
      <c r="Q55" s="123">
        <v>13094</v>
      </c>
      <c r="R55" s="14" t="s">
        <v>64</v>
      </c>
    </row>
    <row r="56" spans="1:18" ht="18.75" customHeight="1">
      <c r="A56" s="13" t="s">
        <v>65</v>
      </c>
      <c r="B56" s="119">
        <f>_xlfn.COMPOUNDVALUE(513)</f>
        <v>6519</v>
      </c>
      <c r="C56" s="120">
        <v>37740963</v>
      </c>
      <c r="D56" s="119">
        <f>_xlfn.COMPOUNDVALUE(514)</f>
        <v>3306</v>
      </c>
      <c r="E56" s="120">
        <v>1856768</v>
      </c>
      <c r="F56" s="119">
        <f>_xlfn.COMPOUNDVALUE(515)</f>
        <v>9825</v>
      </c>
      <c r="G56" s="120">
        <v>39597731</v>
      </c>
      <c r="H56" s="119">
        <f>_xlfn.COMPOUNDVALUE(516)</f>
        <v>541</v>
      </c>
      <c r="I56" s="121">
        <v>16442036</v>
      </c>
      <c r="J56" s="119">
        <v>655</v>
      </c>
      <c r="K56" s="121">
        <v>220758</v>
      </c>
      <c r="L56" s="119">
        <v>10597</v>
      </c>
      <c r="M56" s="121">
        <v>23376453</v>
      </c>
      <c r="N56" s="119">
        <v>11533</v>
      </c>
      <c r="O56" s="122">
        <v>362</v>
      </c>
      <c r="P56" s="122">
        <v>30</v>
      </c>
      <c r="Q56" s="123">
        <v>11925</v>
      </c>
      <c r="R56" s="14" t="s">
        <v>65</v>
      </c>
    </row>
    <row r="57" spans="1:18" ht="18.75" customHeight="1">
      <c r="A57" s="13" t="s">
        <v>66</v>
      </c>
      <c r="B57" s="119">
        <f>_xlfn.COMPOUNDVALUE(517)</f>
        <v>7695</v>
      </c>
      <c r="C57" s="120">
        <v>35703661</v>
      </c>
      <c r="D57" s="119">
        <f>_xlfn.COMPOUNDVALUE(518)</f>
        <v>3563</v>
      </c>
      <c r="E57" s="120">
        <v>1841906</v>
      </c>
      <c r="F57" s="119">
        <f>_xlfn.COMPOUNDVALUE(519)</f>
        <v>11258</v>
      </c>
      <c r="G57" s="120">
        <v>37545567</v>
      </c>
      <c r="H57" s="119">
        <f>_xlfn.COMPOUNDVALUE(520)</f>
        <v>611</v>
      </c>
      <c r="I57" s="121">
        <v>2989009</v>
      </c>
      <c r="J57" s="119">
        <v>838</v>
      </c>
      <c r="K57" s="121">
        <v>68345</v>
      </c>
      <c r="L57" s="119">
        <v>12159</v>
      </c>
      <c r="M57" s="121">
        <v>34624903</v>
      </c>
      <c r="N57" s="119">
        <v>12665</v>
      </c>
      <c r="O57" s="122">
        <v>300</v>
      </c>
      <c r="P57" s="122">
        <v>20</v>
      </c>
      <c r="Q57" s="123">
        <v>12985</v>
      </c>
      <c r="R57" s="14" t="s">
        <v>66</v>
      </c>
    </row>
    <row r="58" spans="1:18" ht="18.75" customHeight="1">
      <c r="A58" s="13" t="s">
        <v>67</v>
      </c>
      <c r="B58" s="119">
        <f>_xlfn.COMPOUNDVALUE(521)</f>
        <v>3553</v>
      </c>
      <c r="C58" s="120">
        <v>15628246</v>
      </c>
      <c r="D58" s="119">
        <f>_xlfn.COMPOUNDVALUE(522)</f>
        <v>1489</v>
      </c>
      <c r="E58" s="120">
        <v>746526</v>
      </c>
      <c r="F58" s="119">
        <f>_xlfn.COMPOUNDVALUE(523)</f>
        <v>5042</v>
      </c>
      <c r="G58" s="120">
        <v>16374772</v>
      </c>
      <c r="H58" s="119">
        <f>_xlfn.COMPOUNDVALUE(524)</f>
        <v>347</v>
      </c>
      <c r="I58" s="121">
        <v>3210977</v>
      </c>
      <c r="J58" s="119">
        <v>392</v>
      </c>
      <c r="K58" s="121">
        <v>91882</v>
      </c>
      <c r="L58" s="119">
        <v>5469</v>
      </c>
      <c r="M58" s="121">
        <v>13255677</v>
      </c>
      <c r="N58" s="119">
        <v>5706</v>
      </c>
      <c r="O58" s="122">
        <v>173</v>
      </c>
      <c r="P58" s="122">
        <v>19</v>
      </c>
      <c r="Q58" s="123">
        <v>5898</v>
      </c>
      <c r="R58" s="14" t="s">
        <v>67</v>
      </c>
    </row>
    <row r="59" spans="1:18" ht="18.75" customHeight="1">
      <c r="A59" s="13" t="s">
        <v>68</v>
      </c>
      <c r="B59" s="119">
        <f>_xlfn.COMPOUNDVALUE(525)</f>
        <v>6030</v>
      </c>
      <c r="C59" s="120">
        <v>20221741</v>
      </c>
      <c r="D59" s="119">
        <f>_xlfn.COMPOUNDVALUE(526)</f>
        <v>2797</v>
      </c>
      <c r="E59" s="120">
        <v>1469342</v>
      </c>
      <c r="F59" s="119">
        <f>_xlfn.COMPOUNDVALUE(527)</f>
        <v>8827</v>
      </c>
      <c r="G59" s="120">
        <v>21691084</v>
      </c>
      <c r="H59" s="119">
        <f>_xlfn.COMPOUNDVALUE(528)</f>
        <v>430</v>
      </c>
      <c r="I59" s="121">
        <v>767839</v>
      </c>
      <c r="J59" s="119">
        <v>697</v>
      </c>
      <c r="K59" s="121">
        <v>203825</v>
      </c>
      <c r="L59" s="119">
        <v>9485</v>
      </c>
      <c r="M59" s="121">
        <v>21127070</v>
      </c>
      <c r="N59" s="119">
        <v>9815</v>
      </c>
      <c r="O59" s="122">
        <v>243</v>
      </c>
      <c r="P59" s="122">
        <v>27</v>
      </c>
      <c r="Q59" s="123">
        <v>10085</v>
      </c>
      <c r="R59" s="14" t="s">
        <v>68</v>
      </c>
    </row>
    <row r="60" spans="1:18" ht="18.75" customHeight="1">
      <c r="A60" s="13" t="s">
        <v>69</v>
      </c>
      <c r="B60" s="119">
        <f>_xlfn.COMPOUNDVALUE(529)</f>
        <v>7220</v>
      </c>
      <c r="C60" s="120">
        <v>38201006</v>
      </c>
      <c r="D60" s="119">
        <f>_xlfn.COMPOUNDVALUE(530)</f>
        <v>3306</v>
      </c>
      <c r="E60" s="120">
        <v>1875535</v>
      </c>
      <c r="F60" s="119">
        <f>_xlfn.COMPOUNDVALUE(531)</f>
        <v>10526</v>
      </c>
      <c r="G60" s="120">
        <v>40076541</v>
      </c>
      <c r="H60" s="119">
        <f>_xlfn.COMPOUNDVALUE(532)</f>
        <v>544</v>
      </c>
      <c r="I60" s="121">
        <v>45119087</v>
      </c>
      <c r="J60" s="119">
        <v>773</v>
      </c>
      <c r="K60" s="121">
        <v>151160</v>
      </c>
      <c r="L60" s="119">
        <v>11326</v>
      </c>
      <c r="M60" s="121">
        <v>-4891386</v>
      </c>
      <c r="N60" s="119">
        <v>11775</v>
      </c>
      <c r="O60" s="122">
        <v>295</v>
      </c>
      <c r="P60" s="122">
        <v>39</v>
      </c>
      <c r="Q60" s="123">
        <v>12109</v>
      </c>
      <c r="R60" s="14" t="s">
        <v>69</v>
      </c>
    </row>
    <row r="61" spans="1:18" ht="18.75" customHeight="1">
      <c r="A61" s="13" t="s">
        <v>70</v>
      </c>
      <c r="B61" s="119">
        <f>_xlfn.COMPOUNDVALUE(533)</f>
        <v>10483</v>
      </c>
      <c r="C61" s="120">
        <v>53323666</v>
      </c>
      <c r="D61" s="119">
        <f>_xlfn.COMPOUNDVALUE(534)</f>
        <v>4880</v>
      </c>
      <c r="E61" s="120">
        <v>2713843</v>
      </c>
      <c r="F61" s="119">
        <f>_xlfn.COMPOUNDVALUE(535)</f>
        <v>15363</v>
      </c>
      <c r="G61" s="120">
        <v>56037509</v>
      </c>
      <c r="H61" s="119">
        <f>_xlfn.COMPOUNDVALUE(536)</f>
        <v>706</v>
      </c>
      <c r="I61" s="121">
        <v>2593706</v>
      </c>
      <c r="J61" s="119">
        <v>1023</v>
      </c>
      <c r="K61" s="121">
        <v>182099</v>
      </c>
      <c r="L61" s="119">
        <v>16286</v>
      </c>
      <c r="M61" s="121">
        <v>53625902</v>
      </c>
      <c r="N61" s="119">
        <v>16564</v>
      </c>
      <c r="O61" s="122">
        <v>379</v>
      </c>
      <c r="P61" s="122">
        <v>45</v>
      </c>
      <c r="Q61" s="123">
        <v>16988</v>
      </c>
      <c r="R61" s="14" t="s">
        <v>70</v>
      </c>
    </row>
    <row r="62" spans="1:18" ht="18.75" customHeight="1">
      <c r="A62" s="15" t="s">
        <v>71</v>
      </c>
      <c r="B62" s="124">
        <v>163369</v>
      </c>
      <c r="C62" s="125">
        <v>1428446708</v>
      </c>
      <c r="D62" s="124">
        <v>68481</v>
      </c>
      <c r="E62" s="125">
        <v>38775105</v>
      </c>
      <c r="F62" s="124">
        <v>231850</v>
      </c>
      <c r="G62" s="125">
        <v>1467221813</v>
      </c>
      <c r="H62" s="124">
        <v>20139</v>
      </c>
      <c r="I62" s="126">
        <v>405700104</v>
      </c>
      <c r="J62" s="124">
        <v>18507</v>
      </c>
      <c r="K62" s="126">
        <v>5375248</v>
      </c>
      <c r="L62" s="124">
        <v>256976</v>
      </c>
      <c r="M62" s="126">
        <v>1066896957</v>
      </c>
      <c r="N62" s="124">
        <v>265874</v>
      </c>
      <c r="O62" s="127">
        <v>9583</v>
      </c>
      <c r="P62" s="127">
        <v>1351</v>
      </c>
      <c r="Q62" s="128">
        <v>276808</v>
      </c>
      <c r="R62" s="16" t="s">
        <v>122</v>
      </c>
    </row>
    <row r="63" spans="1:18" ht="18.75" customHeight="1">
      <c r="A63" s="23"/>
      <c r="B63" s="129"/>
      <c r="C63" s="130"/>
      <c r="D63" s="129"/>
      <c r="E63" s="130"/>
      <c r="F63" s="131"/>
      <c r="G63" s="130"/>
      <c r="H63" s="131"/>
      <c r="I63" s="130"/>
      <c r="J63" s="131"/>
      <c r="K63" s="130"/>
      <c r="L63" s="131"/>
      <c r="M63" s="130"/>
      <c r="N63" s="132"/>
      <c r="O63" s="133"/>
      <c r="P63" s="133"/>
      <c r="Q63" s="134"/>
      <c r="R63" s="36" t="s">
        <v>119</v>
      </c>
    </row>
    <row r="64" spans="1:18" ht="18.75" customHeight="1">
      <c r="A64" s="11" t="s">
        <v>72</v>
      </c>
      <c r="B64" s="114">
        <f>_xlfn.COMPOUNDVALUE(537)</f>
        <v>1743</v>
      </c>
      <c r="C64" s="115">
        <v>11733753</v>
      </c>
      <c r="D64" s="114">
        <f>_xlfn.COMPOUNDVALUE(538)</f>
        <v>910</v>
      </c>
      <c r="E64" s="115">
        <v>487072</v>
      </c>
      <c r="F64" s="114">
        <f>_xlfn.COMPOUNDVALUE(539)</f>
        <v>2653</v>
      </c>
      <c r="G64" s="115">
        <v>12220825</v>
      </c>
      <c r="H64" s="114">
        <f>_xlfn.COMPOUNDVALUE(540)</f>
        <v>314</v>
      </c>
      <c r="I64" s="116">
        <v>1644241</v>
      </c>
      <c r="J64" s="114">
        <v>205</v>
      </c>
      <c r="K64" s="116">
        <v>40426</v>
      </c>
      <c r="L64" s="114">
        <v>3029</v>
      </c>
      <c r="M64" s="116">
        <v>10617010</v>
      </c>
      <c r="N64" s="119">
        <v>3279</v>
      </c>
      <c r="O64" s="122">
        <v>164</v>
      </c>
      <c r="P64" s="122">
        <v>8</v>
      </c>
      <c r="Q64" s="123">
        <v>3451</v>
      </c>
      <c r="R64" s="14" t="s">
        <v>72</v>
      </c>
    </row>
    <row r="65" spans="1:18" ht="18.75" customHeight="1">
      <c r="A65" s="11" t="s">
        <v>73</v>
      </c>
      <c r="B65" s="114">
        <f>_xlfn.COMPOUNDVALUE(541)</f>
        <v>5052</v>
      </c>
      <c r="C65" s="115">
        <v>24190136</v>
      </c>
      <c r="D65" s="114">
        <f>_xlfn.COMPOUNDVALUE(542)</f>
        <v>2218</v>
      </c>
      <c r="E65" s="115">
        <v>1126043</v>
      </c>
      <c r="F65" s="114">
        <f>_xlfn.COMPOUNDVALUE(543)</f>
        <v>7270</v>
      </c>
      <c r="G65" s="115">
        <v>25316179</v>
      </c>
      <c r="H65" s="114">
        <f>_xlfn.COMPOUNDVALUE(544)</f>
        <v>595</v>
      </c>
      <c r="I65" s="116">
        <v>4388228</v>
      </c>
      <c r="J65" s="114">
        <v>686</v>
      </c>
      <c r="K65" s="116">
        <v>121787</v>
      </c>
      <c r="L65" s="114">
        <v>8049</v>
      </c>
      <c r="M65" s="116">
        <v>21049738</v>
      </c>
      <c r="N65" s="119">
        <v>8456</v>
      </c>
      <c r="O65" s="122">
        <v>347</v>
      </c>
      <c r="P65" s="122">
        <v>26</v>
      </c>
      <c r="Q65" s="123">
        <v>8829</v>
      </c>
      <c r="R65" s="14" t="s">
        <v>73</v>
      </c>
    </row>
    <row r="66" spans="1:18" ht="18.75" customHeight="1">
      <c r="A66" s="11" t="s">
        <v>74</v>
      </c>
      <c r="B66" s="114">
        <f>_xlfn.COMPOUNDVALUE(545)</f>
        <v>1957</v>
      </c>
      <c r="C66" s="115">
        <v>8808508</v>
      </c>
      <c r="D66" s="114">
        <f>_xlfn.COMPOUNDVALUE(546)</f>
        <v>799</v>
      </c>
      <c r="E66" s="115">
        <v>428092</v>
      </c>
      <c r="F66" s="114">
        <f>_xlfn.COMPOUNDVALUE(547)</f>
        <v>2756</v>
      </c>
      <c r="G66" s="115">
        <v>9236600</v>
      </c>
      <c r="H66" s="114">
        <f>_xlfn.COMPOUNDVALUE(548)</f>
        <v>168</v>
      </c>
      <c r="I66" s="116">
        <v>376624</v>
      </c>
      <c r="J66" s="114">
        <v>284</v>
      </c>
      <c r="K66" s="116">
        <v>64027</v>
      </c>
      <c r="L66" s="114">
        <v>2996</v>
      </c>
      <c r="M66" s="116">
        <v>8924003</v>
      </c>
      <c r="N66" s="119">
        <v>3049</v>
      </c>
      <c r="O66" s="122">
        <v>93</v>
      </c>
      <c r="P66" s="122">
        <v>9</v>
      </c>
      <c r="Q66" s="123">
        <v>3151</v>
      </c>
      <c r="R66" s="14" t="s">
        <v>74</v>
      </c>
    </row>
    <row r="67" spans="1:18" ht="18.75" customHeight="1">
      <c r="A67" s="11" t="s">
        <v>75</v>
      </c>
      <c r="B67" s="114">
        <f>_xlfn.COMPOUNDVALUE(549)</f>
        <v>2962</v>
      </c>
      <c r="C67" s="115">
        <v>8071322</v>
      </c>
      <c r="D67" s="114">
        <f>_xlfn.COMPOUNDVALUE(550)</f>
        <v>1612</v>
      </c>
      <c r="E67" s="115">
        <v>844636</v>
      </c>
      <c r="F67" s="114">
        <f>_xlfn.COMPOUNDVALUE(551)</f>
        <v>4574</v>
      </c>
      <c r="G67" s="115">
        <v>8915958</v>
      </c>
      <c r="H67" s="114">
        <f>_xlfn.COMPOUNDVALUE(552)</f>
        <v>377</v>
      </c>
      <c r="I67" s="116">
        <v>734379</v>
      </c>
      <c r="J67" s="114">
        <v>351</v>
      </c>
      <c r="K67" s="116">
        <v>58094</v>
      </c>
      <c r="L67" s="114">
        <v>5092</v>
      </c>
      <c r="M67" s="116">
        <v>8239673</v>
      </c>
      <c r="N67" s="119">
        <v>5580</v>
      </c>
      <c r="O67" s="122">
        <v>203</v>
      </c>
      <c r="P67" s="122">
        <v>9</v>
      </c>
      <c r="Q67" s="123">
        <v>5792</v>
      </c>
      <c r="R67" s="14" t="s">
        <v>75</v>
      </c>
    </row>
    <row r="68" spans="1:18" ht="18.75" customHeight="1">
      <c r="A68" s="11" t="s">
        <v>76</v>
      </c>
      <c r="B68" s="114">
        <f>_xlfn.COMPOUNDVALUE(553)</f>
        <v>6364</v>
      </c>
      <c r="C68" s="115">
        <v>88124573</v>
      </c>
      <c r="D68" s="114">
        <f>_xlfn.COMPOUNDVALUE(554)</f>
        <v>2464</v>
      </c>
      <c r="E68" s="115">
        <v>1537050</v>
      </c>
      <c r="F68" s="114">
        <f>_xlfn.COMPOUNDVALUE(555)</f>
        <v>8828</v>
      </c>
      <c r="G68" s="115">
        <v>89661623</v>
      </c>
      <c r="H68" s="114">
        <f>_xlfn.COMPOUNDVALUE(556)</f>
        <v>2321</v>
      </c>
      <c r="I68" s="116">
        <v>42908802</v>
      </c>
      <c r="J68" s="114">
        <v>887</v>
      </c>
      <c r="K68" s="116">
        <v>-225784</v>
      </c>
      <c r="L68" s="114">
        <v>11309</v>
      </c>
      <c r="M68" s="116">
        <v>46527037</v>
      </c>
      <c r="N68" s="119">
        <v>10207</v>
      </c>
      <c r="O68" s="122">
        <v>964</v>
      </c>
      <c r="P68" s="122">
        <v>103</v>
      </c>
      <c r="Q68" s="123">
        <v>11274</v>
      </c>
      <c r="R68" s="14" t="s">
        <v>76</v>
      </c>
    </row>
    <row r="69" spans="1:18" ht="18.75" customHeight="1">
      <c r="A69" s="11" t="s">
        <v>77</v>
      </c>
      <c r="B69" s="114">
        <f>_xlfn.COMPOUNDVALUE(557)</f>
        <v>9271</v>
      </c>
      <c r="C69" s="115">
        <v>51175226</v>
      </c>
      <c r="D69" s="114">
        <f>_xlfn.COMPOUNDVALUE(558)</f>
        <v>4081</v>
      </c>
      <c r="E69" s="115">
        <v>2251444</v>
      </c>
      <c r="F69" s="114">
        <f>_xlfn.COMPOUNDVALUE(559)</f>
        <v>13352</v>
      </c>
      <c r="G69" s="115">
        <v>53426669</v>
      </c>
      <c r="H69" s="114">
        <f>_xlfn.COMPOUNDVALUE(560)</f>
        <v>642</v>
      </c>
      <c r="I69" s="116">
        <v>3355563</v>
      </c>
      <c r="J69" s="114">
        <v>1275</v>
      </c>
      <c r="K69" s="116">
        <v>287015</v>
      </c>
      <c r="L69" s="114">
        <v>14274</v>
      </c>
      <c r="M69" s="116">
        <v>50358121</v>
      </c>
      <c r="N69" s="119">
        <v>14545</v>
      </c>
      <c r="O69" s="122">
        <v>399</v>
      </c>
      <c r="P69" s="122">
        <v>46</v>
      </c>
      <c r="Q69" s="123">
        <v>14990</v>
      </c>
      <c r="R69" s="14" t="s">
        <v>77</v>
      </c>
    </row>
    <row r="70" spans="1:18" ht="18.75" customHeight="1">
      <c r="A70" s="11" t="s">
        <v>78</v>
      </c>
      <c r="B70" s="114">
        <f>_xlfn.COMPOUNDVALUE(561)</f>
        <v>6585</v>
      </c>
      <c r="C70" s="115">
        <v>42900859</v>
      </c>
      <c r="D70" s="114">
        <f>_xlfn.COMPOUNDVALUE(562)</f>
        <v>2952</v>
      </c>
      <c r="E70" s="115">
        <v>1649854</v>
      </c>
      <c r="F70" s="114">
        <f>_xlfn.COMPOUNDVALUE(563)</f>
        <v>9537</v>
      </c>
      <c r="G70" s="115">
        <v>44550713</v>
      </c>
      <c r="H70" s="114">
        <f>_xlfn.COMPOUNDVALUE(564)</f>
        <v>533</v>
      </c>
      <c r="I70" s="116">
        <v>2246902</v>
      </c>
      <c r="J70" s="114">
        <v>700</v>
      </c>
      <c r="K70" s="116">
        <v>207138</v>
      </c>
      <c r="L70" s="114">
        <v>10255</v>
      </c>
      <c r="M70" s="116">
        <v>42510949</v>
      </c>
      <c r="N70" s="119">
        <v>11040</v>
      </c>
      <c r="O70" s="122">
        <v>288</v>
      </c>
      <c r="P70" s="122">
        <v>23</v>
      </c>
      <c r="Q70" s="123">
        <v>11351</v>
      </c>
      <c r="R70" s="14" t="s">
        <v>78</v>
      </c>
    </row>
    <row r="71" spans="1:18" ht="18.75" customHeight="1">
      <c r="A71" s="11" t="s">
        <v>79</v>
      </c>
      <c r="B71" s="114">
        <f>_xlfn.COMPOUNDVALUE(565)</f>
        <v>5293</v>
      </c>
      <c r="C71" s="115">
        <v>24068307</v>
      </c>
      <c r="D71" s="114">
        <f>_xlfn.COMPOUNDVALUE(566)</f>
        <v>3157</v>
      </c>
      <c r="E71" s="115">
        <v>1604334</v>
      </c>
      <c r="F71" s="114">
        <f>_xlfn.COMPOUNDVALUE(567)</f>
        <v>8450</v>
      </c>
      <c r="G71" s="115">
        <v>25672641</v>
      </c>
      <c r="H71" s="114">
        <f>_xlfn.COMPOUNDVALUE(568)</f>
        <v>533</v>
      </c>
      <c r="I71" s="116">
        <v>2275449</v>
      </c>
      <c r="J71" s="114">
        <v>663</v>
      </c>
      <c r="K71" s="116">
        <v>83771</v>
      </c>
      <c r="L71" s="114">
        <v>9215</v>
      </c>
      <c r="M71" s="116">
        <v>23480963</v>
      </c>
      <c r="N71" s="119">
        <v>9392</v>
      </c>
      <c r="O71" s="122">
        <v>367</v>
      </c>
      <c r="P71" s="122">
        <v>25</v>
      </c>
      <c r="Q71" s="123">
        <v>9784</v>
      </c>
      <c r="R71" s="14" t="s">
        <v>79</v>
      </c>
    </row>
    <row r="72" spans="1:18" ht="18.75" customHeight="1">
      <c r="A72" s="11" t="s">
        <v>80</v>
      </c>
      <c r="B72" s="114">
        <f>_xlfn.COMPOUNDVALUE(569)</f>
        <v>6910</v>
      </c>
      <c r="C72" s="115">
        <v>32973240</v>
      </c>
      <c r="D72" s="114">
        <f>_xlfn.COMPOUNDVALUE(570)</f>
        <v>4285</v>
      </c>
      <c r="E72" s="115">
        <v>2406071</v>
      </c>
      <c r="F72" s="114">
        <f>_xlfn.COMPOUNDVALUE(571)</f>
        <v>11195</v>
      </c>
      <c r="G72" s="115">
        <v>35379311</v>
      </c>
      <c r="H72" s="114">
        <f>_xlfn.COMPOUNDVALUE(572)</f>
        <v>841</v>
      </c>
      <c r="I72" s="116">
        <v>3797996</v>
      </c>
      <c r="J72" s="114">
        <v>984</v>
      </c>
      <c r="K72" s="116">
        <v>202154</v>
      </c>
      <c r="L72" s="114">
        <v>12347</v>
      </c>
      <c r="M72" s="116">
        <v>31783469</v>
      </c>
      <c r="N72" s="119">
        <v>13817</v>
      </c>
      <c r="O72" s="122">
        <v>593</v>
      </c>
      <c r="P72" s="122">
        <v>38</v>
      </c>
      <c r="Q72" s="123">
        <v>14448</v>
      </c>
      <c r="R72" s="14" t="s">
        <v>80</v>
      </c>
    </row>
    <row r="73" spans="1:18" ht="18.75" customHeight="1">
      <c r="A73" s="11" t="s">
        <v>81</v>
      </c>
      <c r="B73" s="114">
        <f>_xlfn.COMPOUNDVALUE(573)</f>
        <v>2330</v>
      </c>
      <c r="C73" s="115">
        <v>8378968</v>
      </c>
      <c r="D73" s="114">
        <f>_xlfn.COMPOUNDVALUE(574)</f>
        <v>2101</v>
      </c>
      <c r="E73" s="115">
        <v>803469</v>
      </c>
      <c r="F73" s="114">
        <f>_xlfn.COMPOUNDVALUE(575)</f>
        <v>4431</v>
      </c>
      <c r="G73" s="115">
        <v>9182437</v>
      </c>
      <c r="H73" s="114">
        <f>_xlfn.COMPOUNDVALUE(576)</f>
        <v>169</v>
      </c>
      <c r="I73" s="116">
        <v>302668</v>
      </c>
      <c r="J73" s="114">
        <v>235</v>
      </c>
      <c r="K73" s="116">
        <v>18820</v>
      </c>
      <c r="L73" s="114">
        <v>4633</v>
      </c>
      <c r="M73" s="116">
        <v>8898589</v>
      </c>
      <c r="N73" s="114">
        <v>4547</v>
      </c>
      <c r="O73" s="117">
        <v>119</v>
      </c>
      <c r="P73" s="117">
        <v>14</v>
      </c>
      <c r="Q73" s="118">
        <v>4680</v>
      </c>
      <c r="R73" s="12" t="s">
        <v>81</v>
      </c>
    </row>
    <row r="74" spans="1:18" ht="18.75" customHeight="1">
      <c r="A74" s="11" t="s">
        <v>82</v>
      </c>
      <c r="B74" s="114">
        <f>_xlfn.COMPOUNDVALUE(577)</f>
        <v>3922</v>
      </c>
      <c r="C74" s="115">
        <v>25042228</v>
      </c>
      <c r="D74" s="114">
        <f>_xlfn.COMPOUNDVALUE(578)</f>
        <v>2000</v>
      </c>
      <c r="E74" s="115">
        <v>1155186</v>
      </c>
      <c r="F74" s="114">
        <f>_xlfn.COMPOUNDVALUE(579)</f>
        <v>5922</v>
      </c>
      <c r="G74" s="115">
        <v>26197414</v>
      </c>
      <c r="H74" s="114">
        <f>_xlfn.COMPOUNDVALUE(580)</f>
        <v>698</v>
      </c>
      <c r="I74" s="116">
        <v>6263411</v>
      </c>
      <c r="J74" s="114">
        <v>407</v>
      </c>
      <c r="K74" s="116">
        <v>41496</v>
      </c>
      <c r="L74" s="114">
        <v>6720</v>
      </c>
      <c r="M74" s="116">
        <v>19975499</v>
      </c>
      <c r="N74" s="119">
        <v>7237</v>
      </c>
      <c r="O74" s="122">
        <v>404</v>
      </c>
      <c r="P74" s="122">
        <v>26</v>
      </c>
      <c r="Q74" s="123">
        <v>7667</v>
      </c>
      <c r="R74" s="14" t="s">
        <v>82</v>
      </c>
    </row>
    <row r="75" spans="1:18" ht="18.75" customHeight="1">
      <c r="A75" s="11" t="s">
        <v>83</v>
      </c>
      <c r="B75" s="114">
        <f>_xlfn.COMPOUNDVALUE(581)</f>
        <v>3875</v>
      </c>
      <c r="C75" s="115">
        <v>17761686</v>
      </c>
      <c r="D75" s="114">
        <f>_xlfn.COMPOUNDVALUE(582)</f>
        <v>2147</v>
      </c>
      <c r="E75" s="115">
        <v>1144939</v>
      </c>
      <c r="F75" s="114">
        <f>_xlfn.COMPOUNDVALUE(583)</f>
        <v>6022</v>
      </c>
      <c r="G75" s="115">
        <v>18906625</v>
      </c>
      <c r="H75" s="114">
        <f>_xlfn.COMPOUNDVALUE(584)</f>
        <v>350</v>
      </c>
      <c r="I75" s="116">
        <v>3835715</v>
      </c>
      <c r="J75" s="114">
        <v>358</v>
      </c>
      <c r="K75" s="116">
        <v>23328</v>
      </c>
      <c r="L75" s="114">
        <v>6493</v>
      </c>
      <c r="M75" s="116">
        <v>15094238</v>
      </c>
      <c r="N75" s="114">
        <v>7143</v>
      </c>
      <c r="O75" s="136">
        <v>217</v>
      </c>
      <c r="P75" s="136">
        <v>15</v>
      </c>
      <c r="Q75" s="137">
        <v>7375</v>
      </c>
      <c r="R75" s="12" t="s">
        <v>83</v>
      </c>
    </row>
    <row r="76" spans="1:18" ht="18.75" customHeight="1">
      <c r="A76" s="11" t="s">
        <v>84</v>
      </c>
      <c r="B76" s="114">
        <f>_xlfn.COMPOUNDVALUE(585)</f>
        <v>1286</v>
      </c>
      <c r="C76" s="115">
        <v>4763201</v>
      </c>
      <c r="D76" s="114">
        <f>_xlfn.COMPOUNDVALUE(586)</f>
        <v>680</v>
      </c>
      <c r="E76" s="115">
        <v>326522</v>
      </c>
      <c r="F76" s="114">
        <f>_xlfn.COMPOUNDVALUE(587)</f>
        <v>1966</v>
      </c>
      <c r="G76" s="115">
        <v>5089723</v>
      </c>
      <c r="H76" s="114">
        <f>_xlfn.COMPOUNDVALUE(588)</f>
        <v>67</v>
      </c>
      <c r="I76" s="116">
        <v>261788</v>
      </c>
      <c r="J76" s="114">
        <v>119</v>
      </c>
      <c r="K76" s="116">
        <v>-12178</v>
      </c>
      <c r="L76" s="114">
        <v>2063</v>
      </c>
      <c r="M76" s="116">
        <v>4815757</v>
      </c>
      <c r="N76" s="119">
        <v>2145</v>
      </c>
      <c r="O76" s="122">
        <v>68</v>
      </c>
      <c r="P76" s="122">
        <v>4</v>
      </c>
      <c r="Q76" s="123">
        <v>2217</v>
      </c>
      <c r="R76" s="14" t="s">
        <v>84</v>
      </c>
    </row>
    <row r="77" spans="1:18" ht="18.75" customHeight="1">
      <c r="A77" s="11" t="s">
        <v>85</v>
      </c>
      <c r="B77" s="114">
        <f>_xlfn.COMPOUNDVALUE(589)</f>
        <v>1971</v>
      </c>
      <c r="C77" s="115">
        <v>6718791</v>
      </c>
      <c r="D77" s="114">
        <f>_xlfn.COMPOUNDVALUE(590)</f>
        <v>1014</v>
      </c>
      <c r="E77" s="115">
        <v>469083</v>
      </c>
      <c r="F77" s="114">
        <f>_xlfn.COMPOUNDVALUE(591)</f>
        <v>2985</v>
      </c>
      <c r="G77" s="115">
        <v>7187874</v>
      </c>
      <c r="H77" s="114">
        <f>_xlfn.COMPOUNDVALUE(592)</f>
        <v>115</v>
      </c>
      <c r="I77" s="116">
        <v>320841</v>
      </c>
      <c r="J77" s="114">
        <v>155</v>
      </c>
      <c r="K77" s="116">
        <v>10669</v>
      </c>
      <c r="L77" s="114">
        <v>3139</v>
      </c>
      <c r="M77" s="116">
        <v>6877702</v>
      </c>
      <c r="N77" s="119">
        <v>3031</v>
      </c>
      <c r="O77" s="122">
        <v>90</v>
      </c>
      <c r="P77" s="122">
        <v>7</v>
      </c>
      <c r="Q77" s="123">
        <v>3128</v>
      </c>
      <c r="R77" s="14" t="s">
        <v>85</v>
      </c>
    </row>
    <row r="78" spans="1:18" ht="18.75" customHeight="1">
      <c r="A78" s="13" t="s">
        <v>86</v>
      </c>
      <c r="B78" s="119">
        <f>_xlfn.COMPOUNDVALUE(593)</f>
        <v>4739</v>
      </c>
      <c r="C78" s="120">
        <v>20441533</v>
      </c>
      <c r="D78" s="119">
        <f>_xlfn.COMPOUNDVALUE(594)</f>
        <v>2015</v>
      </c>
      <c r="E78" s="120">
        <v>1078924</v>
      </c>
      <c r="F78" s="119">
        <f>_xlfn.COMPOUNDVALUE(595)</f>
        <v>6754</v>
      </c>
      <c r="G78" s="120">
        <v>21520456</v>
      </c>
      <c r="H78" s="119">
        <f>_xlfn.COMPOUNDVALUE(596)</f>
        <v>348</v>
      </c>
      <c r="I78" s="121">
        <v>3903190</v>
      </c>
      <c r="J78" s="119">
        <v>559</v>
      </c>
      <c r="K78" s="121">
        <v>165565</v>
      </c>
      <c r="L78" s="119">
        <v>7266</v>
      </c>
      <c r="M78" s="121">
        <v>17782831</v>
      </c>
      <c r="N78" s="119">
        <v>7576</v>
      </c>
      <c r="O78" s="122">
        <v>226</v>
      </c>
      <c r="P78" s="122">
        <v>19</v>
      </c>
      <c r="Q78" s="123">
        <v>7821</v>
      </c>
      <c r="R78" s="14" t="s">
        <v>86</v>
      </c>
    </row>
    <row r="79" spans="1:18" ht="18.75" customHeight="1">
      <c r="A79" s="13" t="s">
        <v>87</v>
      </c>
      <c r="B79" s="119">
        <f>_xlfn.COMPOUNDVALUE(597)</f>
        <v>2222</v>
      </c>
      <c r="C79" s="120">
        <v>8307690</v>
      </c>
      <c r="D79" s="119">
        <f>_xlfn.COMPOUNDVALUE(598)</f>
        <v>1412</v>
      </c>
      <c r="E79" s="120">
        <v>698003</v>
      </c>
      <c r="F79" s="119">
        <f>_xlfn.COMPOUNDVALUE(599)</f>
        <v>3634</v>
      </c>
      <c r="G79" s="120">
        <v>9005693</v>
      </c>
      <c r="H79" s="119">
        <f>_xlfn.COMPOUNDVALUE(600)</f>
        <v>154</v>
      </c>
      <c r="I79" s="121">
        <v>964666</v>
      </c>
      <c r="J79" s="119">
        <v>275</v>
      </c>
      <c r="K79" s="121">
        <v>54183</v>
      </c>
      <c r="L79" s="119">
        <v>3868</v>
      </c>
      <c r="M79" s="121">
        <v>8095210</v>
      </c>
      <c r="N79" s="119">
        <v>3985</v>
      </c>
      <c r="O79" s="122">
        <v>77</v>
      </c>
      <c r="P79" s="122">
        <v>7</v>
      </c>
      <c r="Q79" s="123">
        <v>4069</v>
      </c>
      <c r="R79" s="14" t="s">
        <v>87</v>
      </c>
    </row>
    <row r="80" spans="1:18" ht="18.75" customHeight="1">
      <c r="A80" s="13" t="s">
        <v>88</v>
      </c>
      <c r="B80" s="119">
        <f>_xlfn.COMPOUNDVALUE(601)</f>
        <v>1057</v>
      </c>
      <c r="C80" s="120">
        <v>3030806</v>
      </c>
      <c r="D80" s="119">
        <f>_xlfn.COMPOUNDVALUE(602)</f>
        <v>632</v>
      </c>
      <c r="E80" s="120">
        <v>288807</v>
      </c>
      <c r="F80" s="119">
        <f>_xlfn.COMPOUNDVALUE(603)</f>
        <v>1689</v>
      </c>
      <c r="G80" s="120">
        <v>3319613</v>
      </c>
      <c r="H80" s="119">
        <f>_xlfn.COMPOUNDVALUE(604)</f>
        <v>74</v>
      </c>
      <c r="I80" s="121">
        <v>109280</v>
      </c>
      <c r="J80" s="119">
        <v>76</v>
      </c>
      <c r="K80" s="121">
        <v>19096</v>
      </c>
      <c r="L80" s="119">
        <v>1788</v>
      </c>
      <c r="M80" s="121">
        <v>3229429</v>
      </c>
      <c r="N80" s="119">
        <v>1784</v>
      </c>
      <c r="O80" s="122">
        <v>42</v>
      </c>
      <c r="P80" s="122">
        <v>2</v>
      </c>
      <c r="Q80" s="123">
        <v>1828</v>
      </c>
      <c r="R80" s="14" t="s">
        <v>88</v>
      </c>
    </row>
    <row r="81" spans="1:18" ht="18.75" customHeight="1">
      <c r="A81" s="13" t="s">
        <v>89</v>
      </c>
      <c r="B81" s="119">
        <f>_xlfn.COMPOUNDVALUE(605)</f>
        <v>1142</v>
      </c>
      <c r="C81" s="120">
        <v>4302798</v>
      </c>
      <c r="D81" s="119">
        <f>_xlfn.COMPOUNDVALUE(606)</f>
        <v>554</v>
      </c>
      <c r="E81" s="120">
        <v>252208</v>
      </c>
      <c r="F81" s="119">
        <f>_xlfn.COMPOUNDVALUE(607)</f>
        <v>1696</v>
      </c>
      <c r="G81" s="120">
        <v>4555006</v>
      </c>
      <c r="H81" s="119">
        <f>_xlfn.COMPOUNDVALUE(608)</f>
        <v>185</v>
      </c>
      <c r="I81" s="121">
        <v>672049</v>
      </c>
      <c r="J81" s="119">
        <v>104</v>
      </c>
      <c r="K81" s="121">
        <v>9378</v>
      </c>
      <c r="L81" s="119">
        <v>1909</v>
      </c>
      <c r="M81" s="121">
        <v>3892335</v>
      </c>
      <c r="N81" s="119">
        <v>1883</v>
      </c>
      <c r="O81" s="122">
        <v>75</v>
      </c>
      <c r="P81" s="122">
        <v>11</v>
      </c>
      <c r="Q81" s="123">
        <v>1969</v>
      </c>
      <c r="R81" s="14" t="s">
        <v>89</v>
      </c>
    </row>
    <row r="82" spans="1:18" ht="18.75" customHeight="1">
      <c r="A82" s="13" t="s">
        <v>90</v>
      </c>
      <c r="B82" s="119">
        <f>_xlfn.COMPOUNDVALUE(609)</f>
        <v>2055</v>
      </c>
      <c r="C82" s="120">
        <v>8614635</v>
      </c>
      <c r="D82" s="119">
        <f>_xlfn.COMPOUNDVALUE(610)</f>
        <v>1048</v>
      </c>
      <c r="E82" s="120">
        <v>510162</v>
      </c>
      <c r="F82" s="119">
        <f>_xlfn.COMPOUNDVALUE(611)</f>
        <v>3103</v>
      </c>
      <c r="G82" s="120">
        <v>9124797</v>
      </c>
      <c r="H82" s="119">
        <f>_xlfn.COMPOUNDVALUE(612)</f>
        <v>172</v>
      </c>
      <c r="I82" s="121">
        <v>671455</v>
      </c>
      <c r="J82" s="119">
        <v>188</v>
      </c>
      <c r="K82" s="121">
        <v>45978</v>
      </c>
      <c r="L82" s="119">
        <v>3336</v>
      </c>
      <c r="M82" s="121">
        <v>8499320</v>
      </c>
      <c r="N82" s="119">
        <v>3169</v>
      </c>
      <c r="O82" s="122">
        <v>106</v>
      </c>
      <c r="P82" s="122">
        <v>9</v>
      </c>
      <c r="Q82" s="123">
        <v>3284</v>
      </c>
      <c r="R82" s="14" t="s">
        <v>90</v>
      </c>
    </row>
    <row r="83" spans="1:18" ht="18.75" customHeight="1">
      <c r="A83" s="13" t="s">
        <v>91</v>
      </c>
      <c r="B83" s="119">
        <f>_xlfn.COMPOUNDVALUE(613)</f>
        <v>764</v>
      </c>
      <c r="C83" s="120">
        <v>2956397</v>
      </c>
      <c r="D83" s="119">
        <f>_xlfn.COMPOUNDVALUE(614)</f>
        <v>382</v>
      </c>
      <c r="E83" s="120">
        <v>184104</v>
      </c>
      <c r="F83" s="119">
        <f>_xlfn.COMPOUNDVALUE(615)</f>
        <v>1146</v>
      </c>
      <c r="G83" s="120">
        <v>3140500</v>
      </c>
      <c r="H83" s="119">
        <f>_xlfn.COMPOUNDVALUE(616)</f>
        <v>44</v>
      </c>
      <c r="I83" s="121">
        <v>466818</v>
      </c>
      <c r="J83" s="119">
        <v>110</v>
      </c>
      <c r="K83" s="121">
        <v>8563</v>
      </c>
      <c r="L83" s="119">
        <v>1202</v>
      </c>
      <c r="M83" s="121">
        <v>2682245</v>
      </c>
      <c r="N83" s="119">
        <v>1267</v>
      </c>
      <c r="O83" s="122">
        <v>39</v>
      </c>
      <c r="P83" s="122">
        <v>5</v>
      </c>
      <c r="Q83" s="123">
        <v>1311</v>
      </c>
      <c r="R83" s="14" t="s">
        <v>91</v>
      </c>
    </row>
    <row r="84" spans="1:18" ht="18.75" customHeight="1">
      <c r="A84" s="13" t="s">
        <v>92</v>
      </c>
      <c r="B84" s="119">
        <f>_xlfn.COMPOUNDVALUE(617)</f>
        <v>1452</v>
      </c>
      <c r="C84" s="120">
        <v>5107521</v>
      </c>
      <c r="D84" s="119">
        <f>_xlfn.COMPOUNDVALUE(618)</f>
        <v>853</v>
      </c>
      <c r="E84" s="120">
        <v>377361</v>
      </c>
      <c r="F84" s="119">
        <f>_xlfn.COMPOUNDVALUE(619)</f>
        <v>2305</v>
      </c>
      <c r="G84" s="120">
        <v>5484882</v>
      </c>
      <c r="H84" s="119">
        <f>_xlfn.COMPOUNDVALUE(620)</f>
        <v>67</v>
      </c>
      <c r="I84" s="121">
        <v>113168</v>
      </c>
      <c r="J84" s="119">
        <v>197</v>
      </c>
      <c r="K84" s="121">
        <v>38079</v>
      </c>
      <c r="L84" s="119">
        <v>2417</v>
      </c>
      <c r="M84" s="121">
        <v>5409793</v>
      </c>
      <c r="N84" s="119">
        <v>2456</v>
      </c>
      <c r="O84" s="122">
        <v>66</v>
      </c>
      <c r="P84" s="122">
        <v>2</v>
      </c>
      <c r="Q84" s="123">
        <v>2524</v>
      </c>
      <c r="R84" s="14" t="s">
        <v>92</v>
      </c>
    </row>
    <row r="85" spans="1:18" s="17" customFormat="1" ht="18.75" customHeight="1">
      <c r="A85" s="15" t="s">
        <v>93</v>
      </c>
      <c r="B85" s="124">
        <v>72952</v>
      </c>
      <c r="C85" s="125">
        <v>407472176</v>
      </c>
      <c r="D85" s="124">
        <v>37316</v>
      </c>
      <c r="E85" s="125">
        <v>19623363</v>
      </c>
      <c r="F85" s="124">
        <v>110268</v>
      </c>
      <c r="G85" s="125">
        <v>427095539</v>
      </c>
      <c r="H85" s="124">
        <v>8767</v>
      </c>
      <c r="I85" s="126">
        <v>79613232</v>
      </c>
      <c r="J85" s="124">
        <v>8818</v>
      </c>
      <c r="K85" s="126">
        <v>1261602</v>
      </c>
      <c r="L85" s="124">
        <v>121400</v>
      </c>
      <c r="M85" s="126">
        <v>348743909</v>
      </c>
      <c r="N85" s="124">
        <v>125588</v>
      </c>
      <c r="O85" s="127">
        <v>4947</v>
      </c>
      <c r="P85" s="127">
        <v>408</v>
      </c>
      <c r="Q85" s="128">
        <v>130943</v>
      </c>
      <c r="R85" s="16" t="s">
        <v>123</v>
      </c>
    </row>
    <row r="86" spans="1:18" s="30" customFormat="1" ht="18.75" customHeight="1">
      <c r="A86" s="23"/>
      <c r="B86" s="129"/>
      <c r="C86" s="130"/>
      <c r="D86" s="129"/>
      <c r="E86" s="130"/>
      <c r="F86" s="131"/>
      <c r="G86" s="130"/>
      <c r="H86" s="131"/>
      <c r="I86" s="130"/>
      <c r="J86" s="131"/>
      <c r="K86" s="130"/>
      <c r="L86" s="131"/>
      <c r="M86" s="130"/>
      <c r="N86" s="132"/>
      <c r="O86" s="133"/>
      <c r="P86" s="133"/>
      <c r="Q86" s="134"/>
      <c r="R86" s="36" t="s">
        <v>119</v>
      </c>
    </row>
    <row r="87" spans="1:18" ht="18.75" customHeight="1">
      <c r="A87" s="13" t="s">
        <v>94</v>
      </c>
      <c r="B87" s="119">
        <f>_xlfn.COMPOUNDVALUE(621)</f>
        <v>7457</v>
      </c>
      <c r="C87" s="120">
        <v>27993093</v>
      </c>
      <c r="D87" s="119">
        <f>_xlfn.COMPOUNDVALUE(622)</f>
        <v>4147</v>
      </c>
      <c r="E87" s="120">
        <v>2137563</v>
      </c>
      <c r="F87" s="119">
        <f>_xlfn.COMPOUNDVALUE(623)</f>
        <v>11604</v>
      </c>
      <c r="G87" s="120">
        <v>30130657</v>
      </c>
      <c r="H87" s="119">
        <f>_xlfn.COMPOUNDVALUE(624)</f>
        <v>815</v>
      </c>
      <c r="I87" s="121">
        <v>4799462</v>
      </c>
      <c r="J87" s="119">
        <v>866</v>
      </c>
      <c r="K87" s="121">
        <v>157392</v>
      </c>
      <c r="L87" s="119">
        <v>12643</v>
      </c>
      <c r="M87" s="121">
        <v>25488587</v>
      </c>
      <c r="N87" s="138">
        <v>13234</v>
      </c>
      <c r="O87" s="139">
        <v>454</v>
      </c>
      <c r="P87" s="139">
        <v>40</v>
      </c>
      <c r="Q87" s="140">
        <v>13728</v>
      </c>
      <c r="R87" s="25" t="s">
        <v>94</v>
      </c>
    </row>
    <row r="88" spans="1:18" ht="18.75" customHeight="1">
      <c r="A88" s="13" t="s">
        <v>95</v>
      </c>
      <c r="B88" s="119">
        <f>_xlfn.COMPOUNDVALUE(625)</f>
        <v>5925</v>
      </c>
      <c r="C88" s="120">
        <v>19798773</v>
      </c>
      <c r="D88" s="119">
        <f>_xlfn.COMPOUNDVALUE(626)</f>
        <v>2995</v>
      </c>
      <c r="E88" s="120">
        <v>1427439</v>
      </c>
      <c r="F88" s="119">
        <f>_xlfn.COMPOUNDVALUE(627)</f>
        <v>8920</v>
      </c>
      <c r="G88" s="120">
        <v>21226212</v>
      </c>
      <c r="H88" s="119">
        <f>_xlfn.COMPOUNDVALUE(628)</f>
        <v>509</v>
      </c>
      <c r="I88" s="121">
        <v>1068017</v>
      </c>
      <c r="J88" s="119">
        <v>582</v>
      </c>
      <c r="K88" s="121">
        <v>125087</v>
      </c>
      <c r="L88" s="119">
        <v>9621</v>
      </c>
      <c r="M88" s="121">
        <v>20283282</v>
      </c>
      <c r="N88" s="119">
        <v>9662</v>
      </c>
      <c r="O88" s="122">
        <v>297</v>
      </c>
      <c r="P88" s="122">
        <v>18</v>
      </c>
      <c r="Q88" s="123">
        <v>9977</v>
      </c>
      <c r="R88" s="14" t="s">
        <v>95</v>
      </c>
    </row>
    <row r="89" spans="1:18" ht="18.75" customHeight="1">
      <c r="A89" s="13" t="s">
        <v>96</v>
      </c>
      <c r="B89" s="119">
        <f>_xlfn.COMPOUNDVALUE(629)</f>
        <v>2061</v>
      </c>
      <c r="C89" s="120">
        <v>6048433</v>
      </c>
      <c r="D89" s="119">
        <f>_xlfn.COMPOUNDVALUE(630)</f>
        <v>855</v>
      </c>
      <c r="E89" s="120">
        <v>381822</v>
      </c>
      <c r="F89" s="119">
        <f>_xlfn.COMPOUNDVALUE(631)</f>
        <v>2916</v>
      </c>
      <c r="G89" s="120">
        <v>6430255</v>
      </c>
      <c r="H89" s="119">
        <f>_xlfn.COMPOUNDVALUE(632)</f>
        <v>134</v>
      </c>
      <c r="I89" s="121">
        <v>523674</v>
      </c>
      <c r="J89" s="119">
        <v>228</v>
      </c>
      <c r="K89" s="121">
        <v>12160</v>
      </c>
      <c r="L89" s="119">
        <v>3108</v>
      </c>
      <c r="M89" s="121">
        <v>5918741</v>
      </c>
      <c r="N89" s="119">
        <v>3332</v>
      </c>
      <c r="O89" s="122">
        <v>79</v>
      </c>
      <c r="P89" s="122">
        <v>10</v>
      </c>
      <c r="Q89" s="123">
        <v>3421</v>
      </c>
      <c r="R89" s="14" t="s">
        <v>96</v>
      </c>
    </row>
    <row r="90" spans="1:18" ht="18.75" customHeight="1">
      <c r="A90" s="13" t="s">
        <v>97</v>
      </c>
      <c r="B90" s="119">
        <f>_xlfn.COMPOUNDVALUE(633)</f>
        <v>788</v>
      </c>
      <c r="C90" s="120">
        <v>2397178</v>
      </c>
      <c r="D90" s="119">
        <f>_xlfn.COMPOUNDVALUE(634)</f>
        <v>487</v>
      </c>
      <c r="E90" s="120">
        <v>213030</v>
      </c>
      <c r="F90" s="119">
        <f>_xlfn.COMPOUNDVALUE(635)</f>
        <v>1275</v>
      </c>
      <c r="G90" s="120">
        <v>2610208</v>
      </c>
      <c r="H90" s="119">
        <f>_xlfn.COMPOUNDVALUE(636)</f>
        <v>43</v>
      </c>
      <c r="I90" s="121">
        <v>97918</v>
      </c>
      <c r="J90" s="119">
        <v>115</v>
      </c>
      <c r="K90" s="121">
        <v>9845</v>
      </c>
      <c r="L90" s="119">
        <v>1332</v>
      </c>
      <c r="M90" s="121">
        <v>2522135</v>
      </c>
      <c r="N90" s="119">
        <v>1567</v>
      </c>
      <c r="O90" s="122">
        <v>31</v>
      </c>
      <c r="P90" s="122">
        <v>3</v>
      </c>
      <c r="Q90" s="123">
        <v>1601</v>
      </c>
      <c r="R90" s="14" t="s">
        <v>97</v>
      </c>
    </row>
    <row r="91" spans="1:18" s="17" customFormat="1" ht="18.75" customHeight="1">
      <c r="A91" s="15" t="s">
        <v>98</v>
      </c>
      <c r="B91" s="124">
        <v>16231</v>
      </c>
      <c r="C91" s="125">
        <v>56237478</v>
      </c>
      <c r="D91" s="124">
        <v>8484</v>
      </c>
      <c r="E91" s="125">
        <v>4159854</v>
      </c>
      <c r="F91" s="124">
        <v>24715</v>
      </c>
      <c r="G91" s="125">
        <v>60397332</v>
      </c>
      <c r="H91" s="124">
        <v>1501</v>
      </c>
      <c r="I91" s="126">
        <v>6489071</v>
      </c>
      <c r="J91" s="124">
        <v>1791</v>
      </c>
      <c r="K91" s="126">
        <v>304484</v>
      </c>
      <c r="L91" s="124">
        <v>26704</v>
      </c>
      <c r="M91" s="126">
        <v>54212745</v>
      </c>
      <c r="N91" s="124">
        <v>27795</v>
      </c>
      <c r="O91" s="127">
        <v>861</v>
      </c>
      <c r="P91" s="127">
        <v>71</v>
      </c>
      <c r="Q91" s="128">
        <v>28727</v>
      </c>
      <c r="R91" s="16" t="s">
        <v>124</v>
      </c>
    </row>
    <row r="92" spans="1:18" s="30" customFormat="1" ht="18.75" customHeight="1">
      <c r="A92" s="23"/>
      <c r="B92" s="129"/>
      <c r="C92" s="130"/>
      <c r="D92" s="129"/>
      <c r="E92" s="130"/>
      <c r="F92" s="131"/>
      <c r="G92" s="130"/>
      <c r="H92" s="131"/>
      <c r="I92" s="130"/>
      <c r="J92" s="131"/>
      <c r="K92" s="130"/>
      <c r="L92" s="131"/>
      <c r="M92" s="130"/>
      <c r="N92" s="141"/>
      <c r="O92" s="142"/>
      <c r="P92" s="142"/>
      <c r="Q92" s="143"/>
      <c r="R92" s="34" t="s">
        <v>119</v>
      </c>
    </row>
    <row r="93" spans="1:18" ht="18.75" customHeight="1">
      <c r="A93" s="11" t="s">
        <v>99</v>
      </c>
      <c r="B93" s="114">
        <f>_xlfn.COMPOUNDVALUE(637)</f>
        <v>5607</v>
      </c>
      <c r="C93" s="115">
        <v>27717404</v>
      </c>
      <c r="D93" s="114">
        <f>_xlfn.COMPOUNDVALUE(638)</f>
        <v>2903</v>
      </c>
      <c r="E93" s="115">
        <v>1499133</v>
      </c>
      <c r="F93" s="114">
        <f>_xlfn.COMPOUNDVALUE(639)</f>
        <v>8510</v>
      </c>
      <c r="G93" s="115">
        <v>29216537</v>
      </c>
      <c r="H93" s="114">
        <f>_xlfn.COMPOUNDVALUE(640)</f>
        <v>315</v>
      </c>
      <c r="I93" s="116">
        <v>2307210</v>
      </c>
      <c r="J93" s="114">
        <v>668</v>
      </c>
      <c r="K93" s="116">
        <v>156985</v>
      </c>
      <c r="L93" s="114">
        <v>8999</v>
      </c>
      <c r="M93" s="116">
        <v>27066312</v>
      </c>
      <c r="N93" s="138">
        <v>8956</v>
      </c>
      <c r="O93" s="139">
        <v>183</v>
      </c>
      <c r="P93" s="139">
        <v>17</v>
      </c>
      <c r="Q93" s="140">
        <v>9156</v>
      </c>
      <c r="R93" s="25" t="s">
        <v>99</v>
      </c>
    </row>
    <row r="94" spans="1:18" ht="18.75" customHeight="1">
      <c r="A94" s="13" t="s">
        <v>100</v>
      </c>
      <c r="B94" s="119">
        <f>_xlfn.COMPOUNDVALUE(641)</f>
        <v>1006</v>
      </c>
      <c r="C94" s="120">
        <v>3720483</v>
      </c>
      <c r="D94" s="119">
        <f>_xlfn.COMPOUNDVALUE(642)</f>
        <v>594</v>
      </c>
      <c r="E94" s="120">
        <v>233850</v>
      </c>
      <c r="F94" s="119">
        <f>_xlfn.COMPOUNDVALUE(643)</f>
        <v>1600</v>
      </c>
      <c r="G94" s="120">
        <v>3954333</v>
      </c>
      <c r="H94" s="119">
        <f>_xlfn.COMPOUNDVALUE(644)</f>
        <v>50</v>
      </c>
      <c r="I94" s="121">
        <v>179966</v>
      </c>
      <c r="J94" s="119">
        <v>150</v>
      </c>
      <c r="K94" s="121">
        <v>24569</v>
      </c>
      <c r="L94" s="119">
        <v>1671</v>
      </c>
      <c r="M94" s="121">
        <v>3798936</v>
      </c>
      <c r="N94" s="114">
        <v>1588</v>
      </c>
      <c r="O94" s="117">
        <v>30</v>
      </c>
      <c r="P94" s="117">
        <v>3</v>
      </c>
      <c r="Q94" s="135">
        <v>1621</v>
      </c>
      <c r="R94" s="12" t="s">
        <v>100</v>
      </c>
    </row>
    <row r="95" spans="1:18" ht="18.75" customHeight="1">
      <c r="A95" s="13" t="s">
        <v>101</v>
      </c>
      <c r="B95" s="119">
        <f>_xlfn.COMPOUNDVALUE(645)</f>
        <v>1242</v>
      </c>
      <c r="C95" s="120">
        <v>3270840</v>
      </c>
      <c r="D95" s="119">
        <f>_xlfn.COMPOUNDVALUE(646)</f>
        <v>1189</v>
      </c>
      <c r="E95" s="120">
        <v>466939</v>
      </c>
      <c r="F95" s="119">
        <f>_xlfn.COMPOUNDVALUE(647)</f>
        <v>2431</v>
      </c>
      <c r="G95" s="120">
        <v>3737779</v>
      </c>
      <c r="H95" s="119">
        <f>_xlfn.COMPOUNDVALUE(648)</f>
        <v>61</v>
      </c>
      <c r="I95" s="121">
        <v>598689</v>
      </c>
      <c r="J95" s="119">
        <v>117</v>
      </c>
      <c r="K95" s="121">
        <v>17509</v>
      </c>
      <c r="L95" s="119">
        <v>2524</v>
      </c>
      <c r="M95" s="121">
        <v>3156599</v>
      </c>
      <c r="N95" s="114">
        <v>2604</v>
      </c>
      <c r="O95" s="117">
        <v>54</v>
      </c>
      <c r="P95" s="117">
        <v>5</v>
      </c>
      <c r="Q95" s="135">
        <v>2663</v>
      </c>
      <c r="R95" s="12" t="s">
        <v>101</v>
      </c>
    </row>
    <row r="96" spans="1:18" ht="18.75" customHeight="1">
      <c r="A96" s="13" t="s">
        <v>102</v>
      </c>
      <c r="B96" s="119">
        <f>_xlfn.COMPOUNDVALUE(649)</f>
        <v>1762</v>
      </c>
      <c r="C96" s="120">
        <v>5667606</v>
      </c>
      <c r="D96" s="119">
        <f>_xlfn.COMPOUNDVALUE(650)</f>
        <v>1397</v>
      </c>
      <c r="E96" s="120">
        <v>666057</v>
      </c>
      <c r="F96" s="119">
        <f>_xlfn.COMPOUNDVALUE(651)</f>
        <v>3159</v>
      </c>
      <c r="G96" s="120">
        <v>6333664</v>
      </c>
      <c r="H96" s="119">
        <f>_xlfn.COMPOUNDVALUE(652)</f>
        <v>137</v>
      </c>
      <c r="I96" s="121">
        <v>424280</v>
      </c>
      <c r="J96" s="119">
        <v>216</v>
      </c>
      <c r="K96" s="121">
        <v>30890</v>
      </c>
      <c r="L96" s="119">
        <v>3323</v>
      </c>
      <c r="M96" s="121">
        <v>5940274</v>
      </c>
      <c r="N96" s="114">
        <v>3704</v>
      </c>
      <c r="O96" s="117">
        <v>84</v>
      </c>
      <c r="P96" s="117">
        <v>6</v>
      </c>
      <c r="Q96" s="135">
        <v>3794</v>
      </c>
      <c r="R96" s="12" t="s">
        <v>102</v>
      </c>
    </row>
    <row r="97" spans="1:18" ht="18.75" customHeight="1">
      <c r="A97" s="13" t="s">
        <v>103</v>
      </c>
      <c r="B97" s="119">
        <f>_xlfn.COMPOUNDVALUE(653)</f>
        <v>1092</v>
      </c>
      <c r="C97" s="120">
        <v>2247246</v>
      </c>
      <c r="D97" s="119">
        <f>_xlfn.COMPOUNDVALUE(654)</f>
        <v>652</v>
      </c>
      <c r="E97" s="120">
        <v>291049</v>
      </c>
      <c r="F97" s="119">
        <f>_xlfn.COMPOUNDVALUE(655)</f>
        <v>1744</v>
      </c>
      <c r="G97" s="120">
        <v>2538295</v>
      </c>
      <c r="H97" s="119">
        <f>_xlfn.COMPOUNDVALUE(656)</f>
        <v>73</v>
      </c>
      <c r="I97" s="121">
        <v>242135</v>
      </c>
      <c r="J97" s="119">
        <v>109</v>
      </c>
      <c r="K97" s="121">
        <v>3127</v>
      </c>
      <c r="L97" s="119">
        <v>1852</v>
      </c>
      <c r="M97" s="121">
        <v>2299287</v>
      </c>
      <c r="N97" s="114">
        <v>1878</v>
      </c>
      <c r="O97" s="117">
        <v>42</v>
      </c>
      <c r="P97" s="117">
        <v>4</v>
      </c>
      <c r="Q97" s="135">
        <v>1924</v>
      </c>
      <c r="R97" s="12" t="s">
        <v>103</v>
      </c>
    </row>
    <row r="98" spans="1:18" ht="18.75" customHeight="1">
      <c r="A98" s="13" t="s">
        <v>104</v>
      </c>
      <c r="B98" s="119">
        <f>_xlfn.COMPOUNDVALUE(657)</f>
        <v>2291</v>
      </c>
      <c r="C98" s="120">
        <v>6358120</v>
      </c>
      <c r="D98" s="119">
        <f>_xlfn.COMPOUNDVALUE(658)</f>
        <v>1368</v>
      </c>
      <c r="E98" s="120">
        <v>635219</v>
      </c>
      <c r="F98" s="119">
        <f>_xlfn.COMPOUNDVALUE(659)</f>
        <v>3659</v>
      </c>
      <c r="G98" s="120">
        <v>6993339</v>
      </c>
      <c r="H98" s="119">
        <f>_xlfn.COMPOUNDVALUE(660)</f>
        <v>134</v>
      </c>
      <c r="I98" s="121">
        <v>391845</v>
      </c>
      <c r="J98" s="119">
        <v>265</v>
      </c>
      <c r="K98" s="121">
        <v>13387</v>
      </c>
      <c r="L98" s="119">
        <v>3852</v>
      </c>
      <c r="M98" s="121">
        <v>6614881</v>
      </c>
      <c r="N98" s="114">
        <v>3892</v>
      </c>
      <c r="O98" s="117">
        <v>86</v>
      </c>
      <c r="P98" s="117">
        <v>4</v>
      </c>
      <c r="Q98" s="135">
        <v>3982</v>
      </c>
      <c r="R98" s="12" t="s">
        <v>104</v>
      </c>
    </row>
    <row r="99" spans="1:18" ht="18.75" customHeight="1">
      <c r="A99" s="13" t="s">
        <v>105</v>
      </c>
      <c r="B99" s="119">
        <f>_xlfn.COMPOUNDVALUE(661)</f>
        <v>1220</v>
      </c>
      <c r="C99" s="120">
        <v>4503337</v>
      </c>
      <c r="D99" s="119">
        <f>_xlfn.COMPOUNDVALUE(662)</f>
        <v>1422</v>
      </c>
      <c r="E99" s="120">
        <v>512831</v>
      </c>
      <c r="F99" s="119">
        <f>_xlfn.COMPOUNDVALUE(663)</f>
        <v>2642</v>
      </c>
      <c r="G99" s="120">
        <v>5016169</v>
      </c>
      <c r="H99" s="119">
        <f>_xlfn.COMPOUNDVALUE(664)</f>
        <v>55</v>
      </c>
      <c r="I99" s="121">
        <v>65524</v>
      </c>
      <c r="J99" s="119">
        <v>145</v>
      </c>
      <c r="K99" s="121">
        <v>50451</v>
      </c>
      <c r="L99" s="119">
        <v>2744</v>
      </c>
      <c r="M99" s="121">
        <v>5001096</v>
      </c>
      <c r="N99" s="114">
        <v>2744</v>
      </c>
      <c r="O99" s="117">
        <v>34</v>
      </c>
      <c r="P99" s="117">
        <v>6</v>
      </c>
      <c r="Q99" s="135">
        <v>2784</v>
      </c>
      <c r="R99" s="12" t="s">
        <v>105</v>
      </c>
    </row>
    <row r="100" spans="1:18" ht="18.75" customHeight="1">
      <c r="A100" s="15" t="s">
        <v>106</v>
      </c>
      <c r="B100" s="124">
        <v>14220</v>
      </c>
      <c r="C100" s="125">
        <v>53485037</v>
      </c>
      <c r="D100" s="124">
        <v>9525</v>
      </c>
      <c r="E100" s="125">
        <v>4305078</v>
      </c>
      <c r="F100" s="124">
        <v>23745</v>
      </c>
      <c r="G100" s="125">
        <v>57790115</v>
      </c>
      <c r="H100" s="124">
        <v>825</v>
      </c>
      <c r="I100" s="126">
        <v>4209650</v>
      </c>
      <c r="J100" s="124">
        <v>1670</v>
      </c>
      <c r="K100" s="126">
        <v>296918</v>
      </c>
      <c r="L100" s="124">
        <v>24965</v>
      </c>
      <c r="M100" s="126">
        <v>53877383</v>
      </c>
      <c r="N100" s="124">
        <v>25366</v>
      </c>
      <c r="O100" s="127">
        <v>513</v>
      </c>
      <c r="P100" s="127">
        <v>45</v>
      </c>
      <c r="Q100" s="128">
        <v>25924</v>
      </c>
      <c r="R100" s="16" t="s">
        <v>125</v>
      </c>
    </row>
    <row r="101" spans="1:18" ht="18.75" customHeight="1" thickBot="1">
      <c r="A101" s="18"/>
      <c r="B101" s="144"/>
      <c r="C101" s="145"/>
      <c r="D101" s="144"/>
      <c r="E101" s="145"/>
      <c r="F101" s="146"/>
      <c r="G101" s="145"/>
      <c r="H101" s="146"/>
      <c r="I101" s="145"/>
      <c r="J101" s="146"/>
      <c r="K101" s="145"/>
      <c r="L101" s="146"/>
      <c r="M101" s="145"/>
      <c r="N101" s="141"/>
      <c r="O101" s="142"/>
      <c r="P101" s="142"/>
      <c r="Q101" s="143"/>
      <c r="R101" s="34" t="s">
        <v>119</v>
      </c>
    </row>
    <row r="102" spans="1:18" ht="18.75" customHeight="1" thickBot="1" thickTop="1">
      <c r="A102" s="21" t="s">
        <v>118</v>
      </c>
      <c r="B102" s="147">
        <v>325220</v>
      </c>
      <c r="C102" s="148">
        <v>2280862225</v>
      </c>
      <c r="D102" s="147">
        <v>154342</v>
      </c>
      <c r="E102" s="148">
        <v>82429403</v>
      </c>
      <c r="F102" s="147">
        <v>479562</v>
      </c>
      <c r="G102" s="148">
        <v>2363291628</v>
      </c>
      <c r="H102" s="147">
        <v>36509</v>
      </c>
      <c r="I102" s="149">
        <v>632696892</v>
      </c>
      <c r="J102" s="147">
        <v>36579</v>
      </c>
      <c r="K102" s="149">
        <v>8652305</v>
      </c>
      <c r="L102" s="147">
        <v>525922</v>
      </c>
      <c r="M102" s="149">
        <v>1739247041</v>
      </c>
      <c r="N102" s="150">
        <v>544533</v>
      </c>
      <c r="O102" s="151">
        <v>19000</v>
      </c>
      <c r="P102" s="151">
        <v>2228</v>
      </c>
      <c r="Q102" s="152">
        <v>565761</v>
      </c>
      <c r="R102" s="35" t="s">
        <v>118</v>
      </c>
    </row>
    <row r="103" spans="1:11" ht="13.5">
      <c r="A103" s="193" t="s">
        <v>168</v>
      </c>
      <c r="B103" s="193"/>
      <c r="C103" s="193"/>
      <c r="D103" s="193"/>
      <c r="E103" s="193"/>
      <c r="F103" s="193"/>
      <c r="G103" s="193"/>
      <c r="H103" s="193"/>
      <c r="I103" s="193"/>
      <c r="J103" s="193"/>
      <c r="K103" s="193"/>
    </row>
  </sheetData>
  <sheetProtection/>
  <mergeCells count="16">
    <mergeCell ref="A2:I2"/>
    <mergeCell ref="A3:A5"/>
    <mergeCell ref="B3:G3"/>
    <mergeCell ref="H3:I4"/>
    <mergeCell ref="R3:R5"/>
    <mergeCell ref="B4:C4"/>
    <mergeCell ref="D4:E4"/>
    <mergeCell ref="F4:G4"/>
    <mergeCell ref="N4:N5"/>
    <mergeCell ref="A103:K103"/>
    <mergeCell ref="O4:O5"/>
    <mergeCell ref="P4:P5"/>
    <mergeCell ref="Q4:Q5"/>
    <mergeCell ref="J3:K4"/>
    <mergeCell ref="L3:M4"/>
    <mergeCell ref="N3:Q3"/>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68" r:id="rId1"/>
  <headerFooter alignWithMargins="0">
    <oddFooter>&amp;R&amp;12大阪国税局
消費税
(H30)</oddFooter>
  </headerFooter>
  <rowBreaks count="2" manualBreakCount="2">
    <brk id="38" max="255" man="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行政情報化プロジェクト</dc:creator>
  <cp:keywords/>
  <dc:description/>
  <cp:lastModifiedBy>国税庁</cp:lastModifiedBy>
  <cp:lastPrinted>2020-01-21T02:39:17Z</cp:lastPrinted>
  <dcterms:created xsi:type="dcterms:W3CDTF">2011-12-09T10:59:54Z</dcterms:created>
  <dcterms:modified xsi:type="dcterms:W3CDTF">2020-01-21T02:39:38Z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
  </property>
  <property fmtid="{D5CDD505-2E9C-101B-9397-08002B2CF9AE}" pid="4" name="ContentType">
    <vt:lpwstr>ドキュメント</vt:lpwstr>
  </property>
</Properties>
</file>