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2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<sst xmlns="http://schemas.openxmlformats.org/spreadsheetml/2006/main" count="741" uniqueCount="182">
  <si>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</si>
  <si>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</si>
  <si>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</si>
  <si>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</si>
  <si>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</si>
  <si>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</si>
  <si>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</si>
  <si>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</si>
  <si>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</si>
  <si>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</si>
  <si>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</si>
  <si>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</si>
  <si>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</si>
  <si>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</si>
  <si>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</si>
  <si>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</si>
  <si>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</si>
  <si>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</si>
  <si>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</si>
  <si>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</si>
  <si>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</si>
  <si>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</si>
  <si>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</si>
  <si>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</si>
  <si>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</si>
  <si>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</si>
  <si>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</si>
  <si>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</si>
  <si>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</si>
  <si>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</si>
  <si>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</si>
  <si>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</si>
  <si>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</si>
  <si>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</si>
  <si>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</si>
  <si>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</si>
  <si>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</si>
  <si>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</si>
  <si>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</si>
  <si>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</si>
  <si>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</si>
  <si>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</si>
  <si>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</si>
  <si>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</si>
  <si>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</si>
  <si>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</si>
  <si>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</si>
  <si>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</si>
  <si>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</si>
  <si>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</si>
  <si>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</si>
  <si>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</si>
  <si>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</si>
  <si>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</si>
  <si>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</si>
  <si>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</si>
  <si>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</si>
  <si>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</si>
  <si>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</si>
  <si>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</si>
  <si>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</si>
  <si>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</si>
  <si>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</si>
  <si>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</si>
  <si>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</si>
  <si>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</si>
  <si>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</si>
  <si>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</si>
  <si>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</si>
  <si>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</si>
  <si>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</si>
  <si>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</si>
  <si>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</si>
  <si>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</si>
  <si>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</si>
  <si>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</si>
  <si>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</si>
  <si>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</si>
  <si>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</si>
  <si>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</si>
  <si>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</si>
  <si>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</si>
  <si>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</si>
  <si>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</si>
  <si>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</si>
  <si>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</si>
  <si>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</si>
  <si>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</si>
  <si>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</si>
  <si>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</si>
  <si>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</si>
  <si>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</si>
  <si>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</si>
  <si>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</si>
  <si>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</si>
  <si>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</si>
  <si>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</si>
  <si>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</si>
  <si>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</si>
  <si>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</si>
  <si>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</si>
  <si>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</si>
  <si>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</si>
  <si>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</si>
  <si>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</si>
  <si>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</si>
  <si>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</si>
  <si>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　ロ　法　　　人</t>
  </si>
  <si>
    <t>税務署名</t>
  </si>
  <si>
    <t>滋賀県計</t>
  </si>
  <si>
    <t>　ハ　個人事業者と法人の合計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</si>
  <si>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</si>
  <si>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</si>
  <si>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</si>
  <si>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</si>
  <si>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</si>
  <si>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</si>
  <si>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</si>
  <si>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</si>
  <si>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</si>
  <si>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</si>
  <si>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</si>
  <si>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</si>
  <si>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</si>
  <si>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</si>
  <si>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</si>
  <si>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</si>
  <si>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７　消　費　税</t>
  </si>
  <si>
    <t>区　　　分</t>
  </si>
  <si>
    <t>個　人　事　業　者</t>
  </si>
  <si>
    <t>件　　　数</t>
  </si>
  <si>
    <t>税　　　額</t>
  </si>
  <si>
    <t>件</t>
  </si>
  <si>
    <t>千円</t>
  </si>
  <si>
    <t>差引計</t>
  </si>
  <si>
    <t>実</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</si>
  <si>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</si>
  <si>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</si>
  <si>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</si>
  <si>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</si>
  <si>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</si>
  <si>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</si>
  <si>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</si>
  <si>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</si>
  <si>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</si>
  <si>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</si>
  <si>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</si>
  <si>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</si>
  <si>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</si>
  <si>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平成24年度</t>
  </si>
  <si>
    <t>平成25年度</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</si>
  <si>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</si>
  <si>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</si>
  <si>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</si>
  <si>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</si>
  <si>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</si>
  <si>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</si>
  <si>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</si>
  <si>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</si>
  <si>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</si>
  <si>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</si>
  <si>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</si>
  <si>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</si>
  <si>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</si>
  <si>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</si>
  <si>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</si>
  <si>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</si>
  <si>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</si>
  <si>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</si>
  <si>
    <t>平成26年度</t>
  </si>
  <si>
    <t>（注）１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</si>
  <si>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</si>
  <si>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</si>
  <si>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調査対象等：　「現年分」は、平成28年４月１日から平成29年３月31日までに終了した課税期間について、平成29年６
　　　　　　月30日現在の申告（国・地方公共団体等については平成29年９月30日までの申告を含む。）及び処理（更
　　　　　　正、決定等）による課税事績を「申告書及び決議書」に基づいて作成した。</t>
  </si>
  <si>
    <t>　　　　　　　「既往年分」は、平成28年３月31日以前に終了した課税期間について、平成28年７月１日から平成29年
　　　　　　６月30日までの間の申告（平成28年７月１日から同年９月30日までの間の国・地方公共団体等に係る申告
　　　　　　を除く。）及び処理（更正、決定等）による課税事績を「申告書及び決議書」に基づいて作成した。</t>
  </si>
  <si>
    <t>平成27年度</t>
  </si>
  <si>
    <t>平成28年度</t>
  </si>
  <si>
    <t>調査対象等：　平成28年度末（平成29年３月31日現在）の届出件数を示している。</t>
  </si>
  <si>
    <t>実件</t>
  </si>
  <si>
    <t>(4)　税務署別課税状況等</t>
  </si>
  <si>
    <t>(4)　税務署別課税状況等（続）</t>
  </si>
  <si>
    <t>　　　２  「件数」欄の「実」は、実件数を示す。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</si>
</sst>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right/>
      <top style="medium"/>
      <bottom/>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2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0" borderId="37" xfId="60" applyNumberFormat="1" applyFont="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0" fontId="8" fillId="0" borderId="39" xfId="60" applyFont="1" applyBorder="1" applyAlignment="1">
      <alignment horizontal="distributed" vertical="center"/>
      <protection/>
    </xf>
    <xf numFmtId="0" fontId="8" fillId="0" borderId="37" xfId="60" applyFont="1" applyBorder="1" applyAlignment="1">
      <alignment horizontal="right" vertical="center"/>
      <protection/>
    </xf>
    <xf numFmtId="0" fontId="8" fillId="0" borderId="0" xfId="60" applyFont="1" applyAlignment="1">
      <alignment horizontal="left" vertical="top"/>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1"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2" xfId="60" applyNumberFormat="1" applyFont="1" applyFill="1" applyBorder="1" applyAlignment="1">
      <alignment horizontal="right" vertical="center"/>
      <protection/>
    </xf>
    <xf numFmtId="0" fontId="3" fillId="0" borderId="39" xfId="60" applyFont="1" applyBorder="1" applyAlignment="1">
      <alignment horizontal="distributed" vertical="center" wrapText="1"/>
      <protection/>
    </xf>
    <xf numFmtId="0" fontId="3" fillId="0" borderId="37" xfId="60" applyFont="1" applyBorder="1" applyAlignment="1">
      <alignment horizontal="center" vertical="center"/>
      <protection/>
    </xf>
    <xf numFmtId="3" fontId="3" fillId="0" borderId="37" xfId="60" applyNumberFormat="1" applyFont="1" applyBorder="1" applyAlignment="1">
      <alignment horizontal="center" vertical="center"/>
      <protection/>
    </xf>
    <xf numFmtId="0" fontId="8" fillId="0" borderId="43" xfId="60" applyFont="1" applyBorder="1" applyAlignment="1">
      <alignment horizontal="right" vertical="center"/>
      <protection/>
    </xf>
    <xf numFmtId="0" fontId="3" fillId="0" borderId="44" xfId="60" applyFont="1" applyBorder="1" applyAlignment="1">
      <alignment horizontal="right" vertical="center"/>
      <protection/>
    </xf>
    <xf numFmtId="3" fontId="3" fillId="0" borderId="44" xfId="60" applyNumberFormat="1" applyFont="1" applyBorder="1" applyAlignment="1">
      <alignment horizontal="right" vertical="center"/>
      <protection/>
    </xf>
    <xf numFmtId="0" fontId="3" fillId="0" borderId="0" xfId="60" applyFont="1" applyAlignment="1" quotePrefix="1">
      <alignment horizontal="left" vertical="top"/>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7"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8" xfId="60" applyNumberFormat="1" applyFont="1" applyFill="1" applyBorder="1" applyAlignment="1">
      <alignment horizontal="right" vertical="center"/>
      <protection/>
    </xf>
    <xf numFmtId="3" fontId="3" fillId="35" borderId="40"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0" fontId="3" fillId="0" borderId="41" xfId="60" applyFont="1" applyBorder="1" applyAlignment="1">
      <alignment horizontal="distributed" vertical="center"/>
      <protection/>
    </xf>
    <xf numFmtId="3" fontId="3" fillId="34"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2" xfId="60" applyFont="1" applyBorder="1" applyAlignment="1">
      <alignment horizontal="distributed" vertical="center"/>
      <protection/>
    </xf>
    <xf numFmtId="0" fontId="3" fillId="0" borderId="53" xfId="60" applyFont="1" applyBorder="1" applyAlignment="1">
      <alignment horizontal="distributed" vertical="center"/>
      <protection/>
    </xf>
    <xf numFmtId="0" fontId="3" fillId="0" borderId="54" xfId="60" applyFont="1" applyBorder="1" applyAlignment="1">
      <alignment horizontal="center" vertical="center"/>
      <protection/>
    </xf>
    <xf numFmtId="0" fontId="3" fillId="0" borderId="55" xfId="60" applyFont="1" applyBorder="1" applyAlignment="1">
      <alignment horizontal="distributed" vertical="center" indent="1"/>
      <protection/>
    </xf>
    <xf numFmtId="0" fontId="5" fillId="34" borderId="56" xfId="60" applyFont="1" applyFill="1" applyBorder="1" applyAlignment="1">
      <alignment horizontal="right"/>
      <protection/>
    </xf>
    <xf numFmtId="0" fontId="5" fillId="34" borderId="57" xfId="60" applyFont="1" applyFill="1" applyBorder="1" applyAlignment="1">
      <alignment horizontal="right"/>
      <protection/>
    </xf>
    <xf numFmtId="0" fontId="5" fillId="34" borderId="58"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59" xfId="60" applyNumberFormat="1" applyFont="1" applyFill="1" applyBorder="1" applyAlignment="1">
      <alignment horizontal="right" vertical="center"/>
      <protection/>
    </xf>
    <xf numFmtId="3" fontId="3" fillId="34" borderId="60"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61" xfId="60" applyNumberFormat="1" applyFont="1" applyFill="1" applyBorder="1" applyAlignment="1">
      <alignment horizontal="right" vertical="center"/>
      <protection/>
    </xf>
    <xf numFmtId="3" fontId="8" fillId="34" borderId="60" xfId="60" applyNumberFormat="1" applyFont="1" applyFill="1" applyBorder="1" applyAlignment="1">
      <alignment horizontal="right" vertical="center"/>
      <protection/>
    </xf>
    <xf numFmtId="3" fontId="8" fillId="35" borderId="39"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4" borderId="64" xfId="60" applyNumberFormat="1" applyFont="1" applyFill="1" applyBorder="1" applyAlignment="1">
      <alignment horizontal="right" vertical="center"/>
      <protection/>
    </xf>
    <xf numFmtId="3" fontId="3" fillId="34" borderId="64" xfId="60" applyNumberFormat="1" applyFont="1" applyFill="1" applyBorder="1" applyAlignment="1">
      <alignment vertical="center"/>
      <protection/>
    </xf>
    <xf numFmtId="3" fontId="3" fillId="34" borderId="60" xfId="60" applyNumberFormat="1" applyFont="1" applyFill="1" applyBorder="1" applyAlignment="1">
      <alignment vertical="center"/>
      <protection/>
    </xf>
    <xf numFmtId="3" fontId="8" fillId="34" borderId="65" xfId="60" applyNumberFormat="1" applyFont="1" applyFill="1" applyBorder="1" applyAlignment="1">
      <alignment horizontal="right" vertical="center"/>
      <protection/>
    </xf>
    <xf numFmtId="3" fontId="8" fillId="35" borderId="66"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176" fontId="3" fillId="34" borderId="47"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4" borderId="59"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5" borderId="39" xfId="60" applyNumberFormat="1" applyFont="1" applyFill="1" applyBorder="1" applyAlignment="1">
      <alignment horizontal="right" vertical="center"/>
      <protection/>
    </xf>
    <xf numFmtId="176" fontId="3" fillId="35" borderId="73"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8" fillId="34" borderId="74" xfId="60" applyNumberFormat="1" applyFont="1" applyFill="1" applyBorder="1" applyAlignment="1">
      <alignment horizontal="right" vertical="center"/>
      <protection/>
    </xf>
    <xf numFmtId="176" fontId="8" fillId="35" borderId="75"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176" fontId="10" fillId="0" borderId="78" xfId="60" applyNumberFormat="1" applyFont="1" applyFill="1" applyBorder="1" applyAlignment="1">
      <alignment horizontal="right" vertical="center"/>
      <protection/>
    </xf>
    <xf numFmtId="176" fontId="10" fillId="0"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3" fillId="0" borderId="81" xfId="60" applyNumberFormat="1" applyFont="1" applyFill="1" applyBorder="1" applyAlignment="1">
      <alignment horizontal="right"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28" borderId="71" xfId="60" applyNumberFormat="1" applyFont="1" applyFill="1" applyBorder="1" applyAlignment="1">
      <alignment horizontal="right" vertical="center"/>
      <protection/>
    </xf>
    <xf numFmtId="176" fontId="3" fillId="34" borderId="85"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8" fillId="34" borderId="44" xfId="60" applyNumberFormat="1" applyFont="1" applyFill="1" applyBorder="1" applyAlignment="1">
      <alignment horizontal="right" vertical="center"/>
      <protection/>
    </xf>
    <xf numFmtId="176" fontId="8" fillId="35" borderId="69" xfId="60" applyNumberFormat="1" applyFont="1" applyFill="1" applyBorder="1" applyAlignment="1">
      <alignment horizontal="right" vertical="center"/>
      <protection/>
    </xf>
    <xf numFmtId="176" fontId="8" fillId="35" borderId="94" xfId="60" applyNumberFormat="1" applyFont="1" applyFill="1" applyBorder="1" applyAlignment="1">
      <alignment horizontal="right" vertical="center"/>
      <protection/>
    </xf>
    <xf numFmtId="176" fontId="8" fillId="34" borderId="95"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4" borderId="97" xfId="60" applyNumberFormat="1" applyFont="1" applyFill="1" applyBorder="1" applyAlignment="1">
      <alignment horizontal="right" vertical="center"/>
      <protection/>
    </xf>
    <xf numFmtId="3" fontId="3" fillId="34" borderId="98"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5" borderId="99"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100" xfId="60" applyNumberFormat="1" applyFont="1" applyFill="1" applyBorder="1" applyAlignment="1">
      <alignment vertical="center"/>
      <protection/>
    </xf>
    <xf numFmtId="3" fontId="3" fillId="34" borderId="101" xfId="60" applyNumberFormat="1" applyFont="1" applyFill="1" applyBorder="1" applyAlignment="1">
      <alignment vertical="center"/>
      <protection/>
    </xf>
    <xf numFmtId="3" fontId="3" fillId="34" borderId="102"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11" xfId="60" applyFont="1" applyBorder="1" applyAlignment="1">
      <alignment horizontal="distributed" vertical="center" wrapText="1"/>
      <protection/>
    </xf>
    <xf numFmtId="0" fontId="3" fillId="0" borderId="111" xfId="60" applyFont="1" applyBorder="1" applyAlignment="1">
      <alignment horizontal="distributed" vertical="center"/>
      <protection/>
    </xf>
    <xf numFmtId="0" fontId="3" fillId="0" borderId="112" xfId="60" applyFont="1" applyBorder="1" applyAlignment="1">
      <alignment horizontal="distributed" vertical="center"/>
      <protection/>
    </xf>
    <xf numFmtId="0" fontId="3" fillId="0" borderId="113" xfId="60" applyFont="1" applyBorder="1" applyAlignment="1">
      <alignment horizontal="distributed" vertical="center" wrapText="1"/>
      <protection/>
    </xf>
    <xf numFmtId="0" fontId="3" fillId="0" borderId="114" xfId="60" applyFont="1" applyBorder="1" applyAlignment="1">
      <alignment horizontal="distributed" vertical="center"/>
      <protection/>
    </xf>
    <xf numFmtId="0" fontId="8" fillId="0" borderId="115" xfId="60" applyFont="1" applyBorder="1" applyAlignment="1">
      <alignment horizontal="distributed" vertical="center"/>
      <protection/>
    </xf>
    <xf numFmtId="0" fontId="8" fillId="0" borderId="116"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17" xfId="60" applyFont="1" applyBorder="1" applyAlignment="1">
      <alignment horizontal="distributed" vertical="center"/>
      <protection/>
    </xf>
    <xf numFmtId="0" fontId="3" fillId="0" borderId="118" xfId="60" applyFont="1" applyBorder="1" applyAlignment="1">
      <alignment vertical="top" wrapText="1"/>
      <protection/>
    </xf>
    <xf numFmtId="0" fontId="3" fillId="0" borderId="0" xfId="60" applyFont="1" applyAlignment="1">
      <alignment vertical="top" wrapText="1"/>
      <protection/>
    </xf>
    <xf numFmtId="0" fontId="3" fillId="0" borderId="119"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18" xfId="60" applyFont="1" applyBorder="1" applyAlignment="1">
      <alignment horizontal="left" vertical="center"/>
      <protection/>
    </xf>
    <xf numFmtId="0" fontId="3" fillId="0" borderId="0" xfId="60" applyFont="1" applyAlignment="1">
      <alignment horizontal="left" vertical="center"/>
      <protection/>
    </xf>
    <xf numFmtId="0" fontId="3" fillId="0" borderId="55" xfId="60" applyFont="1" applyBorder="1" applyAlignment="1">
      <alignment horizontal="distributed" vertical="center" wrapText="1"/>
      <protection/>
    </xf>
    <xf numFmtId="0" fontId="3" fillId="0" borderId="125" xfId="60" applyFont="1" applyBorder="1" applyAlignment="1">
      <alignment horizontal="distributed" vertical="center" wrapText="1"/>
      <protection/>
    </xf>
    <xf numFmtId="0" fontId="3" fillId="0" borderId="126" xfId="60" applyFont="1" applyBorder="1" applyAlignment="1">
      <alignment horizontal="distributed" vertical="center" wrapText="1"/>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wrapText="1"/>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103" xfId="60" applyFont="1" applyBorder="1" applyAlignment="1">
      <alignment horizontal="distributed" vertical="center"/>
      <protection/>
    </xf>
    <xf numFmtId="0" fontId="3" fillId="0" borderId="105" xfId="60" applyFont="1" applyBorder="1" applyAlignment="1">
      <alignment horizontal="distributed" vertical="center"/>
      <protection/>
    </xf>
    <xf numFmtId="0" fontId="3" fillId="0" borderId="133" xfId="60" applyFont="1" applyBorder="1" applyAlignment="1">
      <alignment horizontal="distributed"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left"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protection/>
    </xf>
    <xf numFmtId="0" fontId="3" fillId="0" borderId="140" xfId="60" applyFont="1" applyBorder="1" applyAlignment="1">
      <alignment horizontal="distributed" vertical="center" wrapText="1"/>
      <protection/>
    </xf>
    <xf numFmtId="0" fontId="3" fillId="0" borderId="141"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34" xfId="60" applyFont="1" applyBorder="1" applyAlignment="1">
      <alignment horizontal="center" vertical="center" wrapText="1"/>
      <protection/>
    </xf>
    <xf numFmtId="0" fontId="3" fillId="0" borderId="142" xfId="60" applyFont="1" applyBorder="1" applyAlignment="1">
      <alignment horizontal="center" vertical="center"/>
      <protection/>
    </xf>
    <xf numFmtId="0" fontId="3" fillId="0" borderId="14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SheetLayoutView="100" workbookViewId="0" topLeftCell="A1">
      <selection activeCell="A1" sqref="A1:K1"/>
    </sheetView>
  </sheetViews>
  <sheetFormatPr defaultColWidth="5.8515625" defaultRowHeight="15"/>
  <cols>
    <col min="1" max="1" width="9.8515625" style="2" customWidth="1"/>
    <col min="2" max="2" width="17.28125" style="2" customWidth="1"/>
    <col min="3" max="3" width="2.8515625" style="2" customWidth="1"/>
    <col min="4" max="4" width="7.421875" style="2" customWidth="1"/>
    <col min="5" max="5" width="12.57421875" style="2" customWidth="1"/>
    <col min="6" max="6" width="2.8515625" style="2" customWidth="1"/>
    <col min="7" max="7" width="7.421875" style="2" customWidth="1"/>
    <col min="8" max="8" width="12.57421875" style="2" customWidth="1"/>
    <col min="9" max="9" width="2.8515625" style="2" customWidth="1"/>
    <col min="10" max="10" width="7.421875" style="2" customWidth="1"/>
    <col min="11" max="11" width="12.57421875" style="2" customWidth="1"/>
    <col min="12" max="16384" width="5.8515625" style="2" customWidth="1"/>
  </cols>
  <sheetData>
    <row r="1" spans="1:11" ht="15">
      <c r="A1" s="161" t="s">
        <v>127</v>
      </c>
      <c r="B1" s="161"/>
      <c r="C1" s="161"/>
      <c r="D1" s="161"/>
      <c r="E1" s="161"/>
      <c r="F1" s="161"/>
      <c r="G1" s="161"/>
      <c r="H1" s="161"/>
      <c r="I1" s="161"/>
      <c r="J1" s="161"/>
      <c r="K1" s="161"/>
    </row>
    <row r="2" spans="1:11" ht="15">
      <c r="A2" s="43"/>
      <c r="B2" s="43"/>
      <c r="C2" s="43"/>
      <c r="D2" s="43"/>
      <c r="E2" s="43"/>
      <c r="F2" s="43"/>
      <c r="G2" s="43"/>
      <c r="H2" s="43"/>
      <c r="I2" s="43"/>
      <c r="J2" s="43"/>
      <c r="K2" s="43"/>
    </row>
    <row r="3" spans="1:11" ht="12" thickBot="1">
      <c r="A3" s="162" t="s">
        <v>151</v>
      </c>
      <c r="B3" s="162"/>
      <c r="C3" s="162"/>
      <c r="D3" s="162"/>
      <c r="E3" s="162"/>
      <c r="F3" s="162"/>
      <c r="G3" s="162"/>
      <c r="H3" s="162"/>
      <c r="I3" s="162"/>
      <c r="J3" s="162"/>
      <c r="K3" s="162"/>
    </row>
    <row r="4" spans="1:11" ht="24" customHeight="1">
      <c r="A4" s="163" t="s">
        <v>128</v>
      </c>
      <c r="B4" s="164"/>
      <c r="C4" s="167" t="s">
        <v>152</v>
      </c>
      <c r="D4" s="168"/>
      <c r="E4" s="169"/>
      <c r="F4" s="167" t="s">
        <v>153</v>
      </c>
      <c r="G4" s="168"/>
      <c r="H4" s="169"/>
      <c r="I4" s="167" t="s">
        <v>154</v>
      </c>
      <c r="J4" s="168"/>
      <c r="K4" s="170"/>
    </row>
    <row r="5" spans="1:11" ht="24" customHeight="1">
      <c r="A5" s="165"/>
      <c r="B5" s="166"/>
      <c r="C5" s="171" t="s">
        <v>130</v>
      </c>
      <c r="D5" s="172"/>
      <c r="E5" s="44" t="s">
        <v>131</v>
      </c>
      <c r="F5" s="171" t="s">
        <v>130</v>
      </c>
      <c r="G5" s="172"/>
      <c r="H5" s="44" t="s">
        <v>131</v>
      </c>
      <c r="I5" s="171" t="s">
        <v>130</v>
      </c>
      <c r="J5" s="172"/>
      <c r="K5" s="45" t="s">
        <v>131</v>
      </c>
    </row>
    <row r="6" spans="1:11" ht="12" customHeight="1">
      <c r="A6" s="46"/>
      <c r="B6" s="47"/>
      <c r="C6" s="48"/>
      <c r="D6" s="32" t="s">
        <v>132</v>
      </c>
      <c r="E6" s="7" t="s">
        <v>133</v>
      </c>
      <c r="F6" s="48"/>
      <c r="G6" s="32" t="s">
        <v>132</v>
      </c>
      <c r="H6" s="7" t="s">
        <v>133</v>
      </c>
      <c r="I6" s="48"/>
      <c r="J6" s="32" t="s">
        <v>132</v>
      </c>
      <c r="K6" s="49" t="s">
        <v>133</v>
      </c>
    </row>
    <row r="7" spans="1:11" ht="30" customHeight="1">
      <c r="A7" s="173" t="s">
        <v>155</v>
      </c>
      <c r="B7" s="50" t="s">
        <v>156</v>
      </c>
      <c r="C7" s="51"/>
      <c r="D7" s="97">
        <v>102135</v>
      </c>
      <c r="E7" s="52">
        <v>60665031</v>
      </c>
      <c r="F7" s="53"/>
      <c r="G7" s="97">
        <v>217975</v>
      </c>
      <c r="H7" s="52">
        <v>2253792714</v>
      </c>
      <c r="I7" s="53"/>
      <c r="J7" s="97">
        <v>320110</v>
      </c>
      <c r="K7" s="54">
        <v>2314457745</v>
      </c>
    </row>
    <row r="8" spans="1:11" ht="30" customHeight="1">
      <c r="A8" s="174"/>
      <c r="B8" s="55" t="s">
        <v>157</v>
      </c>
      <c r="C8" s="51"/>
      <c r="D8" s="98">
        <v>91721</v>
      </c>
      <c r="E8" s="99">
        <v>40704382</v>
      </c>
      <c r="F8" s="53"/>
      <c r="G8" s="98">
        <v>67278</v>
      </c>
      <c r="H8" s="99">
        <v>42161735</v>
      </c>
      <c r="I8" s="53"/>
      <c r="J8" s="98">
        <v>158999</v>
      </c>
      <c r="K8" s="100">
        <v>82866117</v>
      </c>
    </row>
    <row r="9" spans="1:11" s="58" customFormat="1" ht="30" customHeight="1">
      <c r="A9" s="174"/>
      <c r="B9" s="56" t="s">
        <v>158</v>
      </c>
      <c r="C9" s="57"/>
      <c r="D9" s="101">
        <v>193856</v>
      </c>
      <c r="E9" s="102">
        <v>101369413</v>
      </c>
      <c r="F9" s="57"/>
      <c r="G9" s="101">
        <v>285253</v>
      </c>
      <c r="H9" s="102">
        <v>2295954449</v>
      </c>
      <c r="I9" s="57"/>
      <c r="J9" s="101">
        <v>479109</v>
      </c>
      <c r="K9" s="156">
        <v>2397323862</v>
      </c>
    </row>
    <row r="10" spans="1:11" ht="30" customHeight="1">
      <c r="A10" s="175"/>
      <c r="B10" s="59" t="s">
        <v>159</v>
      </c>
      <c r="C10" s="51"/>
      <c r="D10" s="103">
        <v>7562</v>
      </c>
      <c r="E10" s="104">
        <v>6173705</v>
      </c>
      <c r="F10" s="51"/>
      <c r="G10" s="103">
        <v>26565</v>
      </c>
      <c r="H10" s="104">
        <v>593585995</v>
      </c>
      <c r="I10" s="51"/>
      <c r="J10" s="98">
        <v>34127</v>
      </c>
      <c r="K10" s="100">
        <v>599759701</v>
      </c>
    </row>
    <row r="11" spans="1:11" ht="30" customHeight="1">
      <c r="A11" s="176" t="s">
        <v>160</v>
      </c>
      <c r="B11" s="60" t="s">
        <v>161</v>
      </c>
      <c r="C11" s="61"/>
      <c r="D11" s="105">
        <v>14599</v>
      </c>
      <c r="E11" s="62">
        <v>3882640</v>
      </c>
      <c r="F11" s="63"/>
      <c r="G11" s="106">
        <v>16486</v>
      </c>
      <c r="H11" s="62">
        <v>8422460</v>
      </c>
      <c r="I11" s="63"/>
      <c r="J11" s="106">
        <v>31085</v>
      </c>
      <c r="K11" s="64">
        <v>12305100</v>
      </c>
    </row>
    <row r="12" spans="1:11" ht="30" customHeight="1">
      <c r="A12" s="177"/>
      <c r="B12" s="65" t="s">
        <v>162</v>
      </c>
      <c r="C12" s="66"/>
      <c r="D12" s="98">
        <v>1507</v>
      </c>
      <c r="E12" s="99">
        <v>400519</v>
      </c>
      <c r="F12" s="67"/>
      <c r="G12" s="107">
        <v>2704</v>
      </c>
      <c r="H12" s="99">
        <v>3869748</v>
      </c>
      <c r="I12" s="67"/>
      <c r="J12" s="107">
        <v>4211</v>
      </c>
      <c r="K12" s="100">
        <v>4270267</v>
      </c>
    </row>
    <row r="13" spans="1:11" s="58" customFormat="1" ht="30" customHeight="1">
      <c r="A13" s="178" t="s">
        <v>134</v>
      </c>
      <c r="B13" s="179"/>
      <c r="C13" s="68" t="s">
        <v>135</v>
      </c>
      <c r="D13" s="108">
        <v>208121</v>
      </c>
      <c r="E13" s="109">
        <v>98677828</v>
      </c>
      <c r="F13" s="68" t="s">
        <v>135</v>
      </c>
      <c r="G13" s="108">
        <v>314022</v>
      </c>
      <c r="H13" s="109">
        <v>1706921166</v>
      </c>
      <c r="I13" s="68" t="s">
        <v>135</v>
      </c>
      <c r="J13" s="108">
        <v>522143</v>
      </c>
      <c r="K13" s="110">
        <v>1805598994</v>
      </c>
    </row>
    <row r="14" spans="1:11" ht="30" customHeight="1" thickBot="1">
      <c r="A14" s="180" t="s">
        <v>136</v>
      </c>
      <c r="B14" s="181"/>
      <c r="C14" s="69"/>
      <c r="D14" s="111">
        <v>14914</v>
      </c>
      <c r="E14" s="112">
        <v>640113</v>
      </c>
      <c r="F14" s="70"/>
      <c r="G14" s="111">
        <v>13653</v>
      </c>
      <c r="H14" s="112">
        <v>1192127</v>
      </c>
      <c r="I14" s="70"/>
      <c r="J14" s="111">
        <v>28567</v>
      </c>
      <c r="K14" s="113">
        <v>1832240</v>
      </c>
    </row>
    <row r="15" spans="1:11" s="1" customFormat="1" ht="34.5" customHeight="1">
      <c r="A15" s="182" t="s">
        <v>173</v>
      </c>
      <c r="B15" s="182"/>
      <c r="C15" s="182"/>
      <c r="D15" s="182"/>
      <c r="E15" s="182"/>
      <c r="F15" s="182"/>
      <c r="G15" s="182"/>
      <c r="H15" s="182"/>
      <c r="I15" s="182"/>
      <c r="J15" s="182"/>
      <c r="K15" s="182"/>
    </row>
    <row r="16" spans="1:11" ht="35.25" customHeight="1">
      <c r="A16" s="183" t="s">
        <v>174</v>
      </c>
      <c r="B16" s="183"/>
      <c r="C16" s="183"/>
      <c r="D16" s="183"/>
      <c r="E16" s="183"/>
      <c r="F16" s="183"/>
      <c r="G16" s="183"/>
      <c r="H16" s="183"/>
      <c r="I16" s="183"/>
      <c r="J16" s="183"/>
      <c r="K16" s="183"/>
    </row>
    <row r="17" ht="12.75" customHeight="1">
      <c r="A17" s="2" t="s">
        <v>170</v>
      </c>
    </row>
    <row r="18" ht="11.25">
      <c r="A18" s="71" t="s">
        <v>181</v>
      </c>
    </row>
  </sheetData>
  <sheetProtection/>
  <mergeCells count="15">
    <mergeCell ref="A7:A10"/>
    <mergeCell ref="A11:A12"/>
    <mergeCell ref="A13:B13"/>
    <mergeCell ref="A14:B14"/>
    <mergeCell ref="A15:K15"/>
    <mergeCell ref="A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&amp;R&amp;10大阪国税局
消費税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6"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137</v>
      </c>
    </row>
    <row r="2" spans="1:8" s="2" customFormat="1" ht="15" customHeight="1">
      <c r="A2" s="163" t="s">
        <v>128</v>
      </c>
      <c r="B2" s="164"/>
      <c r="C2" s="188" t="s">
        <v>129</v>
      </c>
      <c r="D2" s="188"/>
      <c r="E2" s="188" t="s">
        <v>138</v>
      </c>
      <c r="F2" s="188"/>
      <c r="G2" s="189" t="s">
        <v>139</v>
      </c>
      <c r="H2" s="190"/>
    </row>
    <row r="3" spans="1:8" s="2" customFormat="1" ht="15" customHeight="1">
      <c r="A3" s="165"/>
      <c r="B3" s="166"/>
      <c r="C3" s="61" t="s">
        <v>140</v>
      </c>
      <c r="D3" s="44" t="s">
        <v>141</v>
      </c>
      <c r="E3" s="61" t="s">
        <v>140</v>
      </c>
      <c r="F3" s="72" t="s">
        <v>141</v>
      </c>
      <c r="G3" s="61" t="s">
        <v>140</v>
      </c>
      <c r="H3" s="73" t="s">
        <v>141</v>
      </c>
    </row>
    <row r="4" spans="1:8" s="78" customFormat="1" ht="15" customHeight="1">
      <c r="A4" s="74"/>
      <c r="B4" s="44"/>
      <c r="C4" s="75" t="s">
        <v>15</v>
      </c>
      <c r="D4" s="76" t="s">
        <v>16</v>
      </c>
      <c r="E4" s="75" t="s">
        <v>15</v>
      </c>
      <c r="F4" s="76" t="s">
        <v>16</v>
      </c>
      <c r="G4" s="75" t="s">
        <v>15</v>
      </c>
      <c r="H4" s="77" t="s">
        <v>16</v>
      </c>
    </row>
    <row r="5" spans="1:8" s="80" customFormat="1" ht="30" customHeight="1">
      <c r="A5" s="191" t="s">
        <v>149</v>
      </c>
      <c r="B5" s="50" t="s">
        <v>142</v>
      </c>
      <c r="C5" s="79">
        <v>202559</v>
      </c>
      <c r="D5" s="52">
        <v>66553009</v>
      </c>
      <c r="E5" s="79">
        <v>284893</v>
      </c>
      <c r="F5" s="52">
        <v>1325040445</v>
      </c>
      <c r="G5" s="79">
        <v>487452</v>
      </c>
      <c r="H5" s="54">
        <v>1391593453</v>
      </c>
    </row>
    <row r="6" spans="1:8" s="80" customFormat="1" ht="30" customHeight="1">
      <c r="A6" s="192"/>
      <c r="B6" s="59" t="s">
        <v>3</v>
      </c>
      <c r="C6" s="81">
        <v>6684</v>
      </c>
      <c r="D6" s="82">
        <v>3023372</v>
      </c>
      <c r="E6" s="81">
        <v>22120</v>
      </c>
      <c r="F6" s="82">
        <v>290601699</v>
      </c>
      <c r="G6" s="81">
        <v>28804</v>
      </c>
      <c r="H6" s="83">
        <v>293625071</v>
      </c>
    </row>
    <row r="7" spans="1:8" s="80" customFormat="1" ht="30" customHeight="1">
      <c r="A7" s="184" t="s">
        <v>150</v>
      </c>
      <c r="B7" s="84" t="s">
        <v>142</v>
      </c>
      <c r="C7" s="85">
        <v>198192</v>
      </c>
      <c r="D7" s="62">
        <v>65158565</v>
      </c>
      <c r="E7" s="85">
        <v>283367</v>
      </c>
      <c r="F7" s="62">
        <v>1323465720</v>
      </c>
      <c r="G7" s="85">
        <v>481559</v>
      </c>
      <c r="H7" s="64">
        <v>1388624285</v>
      </c>
    </row>
    <row r="8" spans="1:8" s="80" customFormat="1" ht="30" customHeight="1">
      <c r="A8" s="185"/>
      <c r="B8" s="59" t="s">
        <v>3</v>
      </c>
      <c r="C8" s="81">
        <v>6869</v>
      </c>
      <c r="D8" s="82">
        <v>3382572</v>
      </c>
      <c r="E8" s="81">
        <v>22679</v>
      </c>
      <c r="F8" s="82">
        <v>289985206</v>
      </c>
      <c r="G8" s="81">
        <v>29548</v>
      </c>
      <c r="H8" s="83">
        <v>293367779</v>
      </c>
    </row>
    <row r="9" spans="1:8" s="80" customFormat="1" ht="30" customHeight="1">
      <c r="A9" s="191" t="s">
        <v>169</v>
      </c>
      <c r="B9" s="84" t="s">
        <v>142</v>
      </c>
      <c r="C9" s="85">
        <v>195600</v>
      </c>
      <c r="D9" s="62">
        <v>90720974</v>
      </c>
      <c r="E9" s="85">
        <v>282890</v>
      </c>
      <c r="F9" s="62">
        <v>1880262994</v>
      </c>
      <c r="G9" s="85">
        <v>478490</v>
      </c>
      <c r="H9" s="64">
        <v>1970983967</v>
      </c>
    </row>
    <row r="10" spans="1:8" s="80" customFormat="1" ht="30" customHeight="1">
      <c r="A10" s="192"/>
      <c r="B10" s="59" t="s">
        <v>3</v>
      </c>
      <c r="C10" s="81">
        <v>7342</v>
      </c>
      <c r="D10" s="82">
        <v>5035032</v>
      </c>
      <c r="E10" s="81">
        <v>24440</v>
      </c>
      <c r="F10" s="82">
        <v>521553655</v>
      </c>
      <c r="G10" s="81">
        <v>31782</v>
      </c>
      <c r="H10" s="83">
        <v>526588687</v>
      </c>
    </row>
    <row r="11" spans="1:8" s="80" customFormat="1" ht="30" customHeight="1">
      <c r="A11" s="184" t="s">
        <v>175</v>
      </c>
      <c r="B11" s="84" t="s">
        <v>142</v>
      </c>
      <c r="C11" s="85">
        <v>194470</v>
      </c>
      <c r="D11" s="62">
        <v>100399718</v>
      </c>
      <c r="E11" s="85">
        <v>283438</v>
      </c>
      <c r="F11" s="62">
        <v>2147985077</v>
      </c>
      <c r="G11" s="85">
        <v>477908</v>
      </c>
      <c r="H11" s="64">
        <v>2248384795</v>
      </c>
    </row>
    <row r="12" spans="1:8" s="80" customFormat="1" ht="30" customHeight="1">
      <c r="A12" s="185"/>
      <c r="B12" s="59" t="s">
        <v>3</v>
      </c>
      <c r="C12" s="81">
        <v>7550</v>
      </c>
      <c r="D12" s="82">
        <v>6179978</v>
      </c>
      <c r="E12" s="81">
        <v>25727</v>
      </c>
      <c r="F12" s="82">
        <v>536553648</v>
      </c>
      <c r="G12" s="81">
        <v>33277</v>
      </c>
      <c r="H12" s="83">
        <v>542733626</v>
      </c>
    </row>
    <row r="13" spans="1:8" s="2" customFormat="1" ht="30" customHeight="1">
      <c r="A13" s="186" t="s">
        <v>176</v>
      </c>
      <c r="B13" s="84" t="s">
        <v>142</v>
      </c>
      <c r="C13" s="85">
        <v>193856</v>
      </c>
      <c r="D13" s="62">
        <v>101369413</v>
      </c>
      <c r="E13" s="85">
        <v>285253</v>
      </c>
      <c r="F13" s="62">
        <v>2295954449</v>
      </c>
      <c r="G13" s="85">
        <v>479109</v>
      </c>
      <c r="H13" s="64">
        <v>2397323862</v>
      </c>
    </row>
    <row r="14" spans="1:8" s="2" customFormat="1" ht="30" customHeight="1" thickBot="1">
      <c r="A14" s="187"/>
      <c r="B14" s="86" t="s">
        <v>3</v>
      </c>
      <c r="C14" s="153">
        <v>7562</v>
      </c>
      <c r="D14" s="154">
        <v>6173705</v>
      </c>
      <c r="E14" s="153">
        <v>26565</v>
      </c>
      <c r="F14" s="154">
        <v>593585995</v>
      </c>
      <c r="G14" s="153">
        <v>34127</v>
      </c>
      <c r="H14" s="155">
        <v>599759701</v>
      </c>
    </row>
    <row r="15" spans="5:7" s="2" customFormat="1" ht="11.25">
      <c r="E15" s="87"/>
      <c r="G15" s="87"/>
    </row>
    <row r="16" spans="5:7" s="2" customFormat="1" ht="11.25">
      <c r="E16" s="87"/>
      <c r="G16" s="87"/>
    </row>
    <row r="17" spans="5:7" s="2" customFormat="1" ht="11.25">
      <c r="E17" s="87"/>
      <c r="G17" s="87"/>
    </row>
    <row r="18" spans="5:7" s="2" customFormat="1" ht="11.25">
      <c r="E18" s="87"/>
      <c r="G18" s="87"/>
    </row>
    <row r="19" spans="5:7" s="2" customFormat="1" ht="11.25">
      <c r="E19" s="87"/>
      <c r="G19" s="87"/>
    </row>
    <row r="20" spans="5:7" s="2" customFormat="1" ht="11.25">
      <c r="E20" s="87"/>
      <c r="G20" s="87"/>
    </row>
    <row r="21" spans="5:7" s="2" customFormat="1" ht="11.25">
      <c r="E21" s="87"/>
      <c r="G21" s="87"/>
    </row>
    <row r="22" spans="5:7" s="2" customFormat="1" ht="11.25">
      <c r="E22" s="87"/>
      <c r="G22" s="87"/>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zoomScaleSheetLayoutView="175"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143</v>
      </c>
    </row>
    <row r="2" spans="1:4" s="1" customFormat="1" ht="19.5" customHeight="1">
      <c r="A2" s="88" t="s">
        <v>144</v>
      </c>
      <c r="B2" s="89" t="s">
        <v>145</v>
      </c>
      <c r="C2" s="90" t="s">
        <v>146</v>
      </c>
      <c r="D2" s="91" t="s">
        <v>147</v>
      </c>
    </row>
    <row r="3" spans="1:4" s="78" customFormat="1" ht="15" customHeight="1">
      <c r="A3" s="92" t="s">
        <v>15</v>
      </c>
      <c r="B3" s="93" t="s">
        <v>15</v>
      </c>
      <c r="C3" s="94" t="s">
        <v>15</v>
      </c>
      <c r="D3" s="95" t="s">
        <v>15</v>
      </c>
    </row>
    <row r="4" spans="1:9" s="1" customFormat="1" ht="30" customHeight="1" thickBot="1">
      <c r="A4" s="157">
        <v>533225</v>
      </c>
      <c r="B4" s="158">
        <v>17232</v>
      </c>
      <c r="C4" s="159">
        <v>2163</v>
      </c>
      <c r="D4" s="160">
        <v>552620</v>
      </c>
      <c r="E4" s="96"/>
      <c r="G4" s="96"/>
      <c r="I4" s="96"/>
    </row>
    <row r="5" spans="1:4" s="1" customFormat="1" ht="15" customHeight="1">
      <c r="A5" s="193" t="s">
        <v>177</v>
      </c>
      <c r="B5" s="193"/>
      <c r="C5" s="193"/>
      <c r="D5" s="193"/>
    </row>
    <row r="6" spans="1:4" s="1" customFormat="1" ht="15" customHeight="1">
      <c r="A6" s="194" t="s">
        <v>148</v>
      </c>
      <c r="B6" s="194"/>
      <c r="C6" s="194"/>
      <c r="D6" s="19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zoomScaleSheetLayoutView="85"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179</v>
      </c>
      <c r="B1" s="1"/>
      <c r="C1" s="1"/>
      <c r="D1" s="1"/>
      <c r="E1" s="1"/>
      <c r="F1" s="1"/>
      <c r="G1" s="1"/>
      <c r="H1" s="2"/>
      <c r="I1" s="2"/>
      <c r="J1" s="2"/>
      <c r="K1" s="2"/>
      <c r="L1" s="2"/>
      <c r="M1" s="2"/>
      <c r="N1" s="2"/>
    </row>
    <row r="2" spans="1:14" ht="14.25" thickBot="1">
      <c r="A2" s="194" t="s">
        <v>0</v>
      </c>
      <c r="B2" s="194"/>
      <c r="C2" s="194"/>
      <c r="D2" s="194"/>
      <c r="E2" s="194"/>
      <c r="F2" s="194"/>
      <c r="G2" s="194"/>
      <c r="H2" s="2"/>
      <c r="I2" s="2"/>
      <c r="J2" s="2"/>
      <c r="K2" s="2"/>
      <c r="L2" s="2"/>
      <c r="M2" s="2"/>
      <c r="N2" s="2"/>
    </row>
    <row r="3" spans="1:14" ht="19.5" customHeight="1">
      <c r="A3" s="205" t="s">
        <v>1</v>
      </c>
      <c r="B3" s="208" t="s">
        <v>2</v>
      </c>
      <c r="C3" s="208"/>
      <c r="D3" s="208"/>
      <c r="E3" s="208"/>
      <c r="F3" s="208"/>
      <c r="G3" s="208"/>
      <c r="H3" s="204" t="s">
        <v>3</v>
      </c>
      <c r="I3" s="202"/>
      <c r="J3" s="201" t="s">
        <v>4</v>
      </c>
      <c r="K3" s="202"/>
      <c r="L3" s="204" t="s">
        <v>5</v>
      </c>
      <c r="M3" s="202"/>
      <c r="N3" s="195" t="s">
        <v>6</v>
      </c>
    </row>
    <row r="4" spans="1:14" ht="17.25" customHeight="1">
      <c r="A4" s="206"/>
      <c r="B4" s="198" t="s">
        <v>7</v>
      </c>
      <c r="C4" s="198"/>
      <c r="D4" s="199" t="s">
        <v>8</v>
      </c>
      <c r="E4" s="200"/>
      <c r="F4" s="199" t="s">
        <v>9</v>
      </c>
      <c r="G4" s="200"/>
      <c r="H4" s="199"/>
      <c r="I4" s="203"/>
      <c r="J4" s="199"/>
      <c r="K4" s="203"/>
      <c r="L4" s="199"/>
      <c r="M4" s="203"/>
      <c r="N4" s="196"/>
    </row>
    <row r="5" spans="1:14" s="4" customFormat="1" ht="28.5" customHeight="1">
      <c r="A5" s="207"/>
      <c r="B5" s="37" t="s">
        <v>10</v>
      </c>
      <c r="C5" s="38" t="s">
        <v>11</v>
      </c>
      <c r="D5" s="37" t="s">
        <v>10</v>
      </c>
      <c r="E5" s="38" t="s">
        <v>11</v>
      </c>
      <c r="F5" s="37" t="s">
        <v>10</v>
      </c>
      <c r="G5" s="41" t="s">
        <v>12</v>
      </c>
      <c r="H5" s="37" t="s">
        <v>116</v>
      </c>
      <c r="I5" s="40" t="s">
        <v>13</v>
      </c>
      <c r="J5" s="37" t="s">
        <v>116</v>
      </c>
      <c r="K5" s="40" t="s">
        <v>14</v>
      </c>
      <c r="L5" s="37" t="s">
        <v>116</v>
      </c>
      <c r="M5" s="39" t="s">
        <v>117</v>
      </c>
      <c r="N5" s="197"/>
    </row>
    <row r="6" spans="1:14" s="10" customFormat="1" ht="10.5">
      <c r="A6" s="5"/>
      <c r="B6" s="6" t="s">
        <v>15</v>
      </c>
      <c r="C6" s="7" t="s">
        <v>16</v>
      </c>
      <c r="D6" s="6" t="s">
        <v>15</v>
      </c>
      <c r="E6" s="7" t="s">
        <v>16</v>
      </c>
      <c r="F6" s="6" t="s">
        <v>15</v>
      </c>
      <c r="G6" s="7" t="s">
        <v>16</v>
      </c>
      <c r="H6" s="6" t="s">
        <v>15</v>
      </c>
      <c r="I6" s="8" t="s">
        <v>16</v>
      </c>
      <c r="J6" s="6" t="s">
        <v>15</v>
      </c>
      <c r="K6" s="8" t="s">
        <v>16</v>
      </c>
      <c r="L6" s="6" t="s">
        <v>178</v>
      </c>
      <c r="M6" s="8" t="s">
        <v>16</v>
      </c>
      <c r="N6" s="9"/>
    </row>
    <row r="7" spans="1:14" s="17" customFormat="1" ht="15.75" customHeight="1">
      <c r="A7" s="11" t="s">
        <v>18</v>
      </c>
      <c r="B7" s="114">
        <f>_xlfn.COMPOUNDVALUE(1)</f>
        <v>1287</v>
      </c>
      <c r="C7" s="115">
        <v>709393</v>
      </c>
      <c r="D7" s="114">
        <f>_xlfn.COMPOUNDVALUE(2)</f>
        <v>1260</v>
      </c>
      <c r="E7" s="115">
        <v>535805</v>
      </c>
      <c r="F7" s="114">
        <f>_xlfn.COMPOUNDVALUE(3)</f>
        <v>2547</v>
      </c>
      <c r="G7" s="115">
        <v>1245198</v>
      </c>
      <c r="H7" s="114">
        <f>_xlfn.COMPOUNDVALUE(4)</f>
        <v>100</v>
      </c>
      <c r="I7" s="116">
        <v>63919</v>
      </c>
      <c r="J7" s="114">
        <v>216</v>
      </c>
      <c r="K7" s="116">
        <v>56345</v>
      </c>
      <c r="L7" s="114">
        <v>2724</v>
      </c>
      <c r="M7" s="116">
        <v>1237624</v>
      </c>
      <c r="N7" s="12" t="s">
        <v>18</v>
      </c>
    </row>
    <row r="8" spans="1:14" s="17" customFormat="1" ht="15.75" customHeight="1">
      <c r="A8" s="13" t="s">
        <v>19</v>
      </c>
      <c r="B8" s="119">
        <f>_xlfn.COMPOUNDVALUE(5)</f>
        <v>670</v>
      </c>
      <c r="C8" s="120">
        <v>358154</v>
      </c>
      <c r="D8" s="119">
        <f>_xlfn.COMPOUNDVALUE(6)</f>
        <v>711</v>
      </c>
      <c r="E8" s="120">
        <v>292060</v>
      </c>
      <c r="F8" s="119">
        <f>_xlfn.COMPOUNDVALUE(7)</f>
        <v>1381</v>
      </c>
      <c r="G8" s="120">
        <v>650214</v>
      </c>
      <c r="H8" s="119">
        <f>_xlfn.COMPOUNDVALUE(8)</f>
        <v>55</v>
      </c>
      <c r="I8" s="121">
        <v>19049</v>
      </c>
      <c r="J8" s="119">
        <v>78</v>
      </c>
      <c r="K8" s="121">
        <v>13143</v>
      </c>
      <c r="L8" s="119">
        <v>1456</v>
      </c>
      <c r="M8" s="121">
        <v>644309</v>
      </c>
      <c r="N8" s="14" t="s">
        <v>19</v>
      </c>
    </row>
    <row r="9" spans="1:14" s="17" customFormat="1" ht="15.75" customHeight="1">
      <c r="A9" s="13" t="s">
        <v>20</v>
      </c>
      <c r="B9" s="119">
        <f>_xlfn.COMPOUNDVALUE(9)</f>
        <v>758</v>
      </c>
      <c r="C9" s="120">
        <v>412173</v>
      </c>
      <c r="D9" s="119">
        <f>_xlfn.COMPOUNDVALUE(10)</f>
        <v>664</v>
      </c>
      <c r="E9" s="120">
        <v>261164</v>
      </c>
      <c r="F9" s="119">
        <f>_xlfn.COMPOUNDVALUE(11)</f>
        <v>1422</v>
      </c>
      <c r="G9" s="120">
        <v>673337</v>
      </c>
      <c r="H9" s="119">
        <f>_xlfn.COMPOUNDVALUE(12)</f>
        <v>38</v>
      </c>
      <c r="I9" s="121">
        <v>29683</v>
      </c>
      <c r="J9" s="119">
        <v>96</v>
      </c>
      <c r="K9" s="121">
        <v>17933</v>
      </c>
      <c r="L9" s="119">
        <v>1488</v>
      </c>
      <c r="M9" s="121">
        <v>661588</v>
      </c>
      <c r="N9" s="14" t="s">
        <v>20</v>
      </c>
    </row>
    <row r="10" spans="1:14" s="17" customFormat="1" ht="15.75" customHeight="1">
      <c r="A10" s="13" t="s">
        <v>21</v>
      </c>
      <c r="B10" s="119">
        <f>_xlfn.COMPOUNDVALUE(13)</f>
        <v>1117</v>
      </c>
      <c r="C10" s="120">
        <v>611329</v>
      </c>
      <c r="D10" s="119">
        <f>_xlfn.COMPOUNDVALUE(14)</f>
        <v>1169</v>
      </c>
      <c r="E10" s="120">
        <v>444390</v>
      </c>
      <c r="F10" s="119">
        <f>_xlfn.COMPOUNDVALUE(15)</f>
        <v>2286</v>
      </c>
      <c r="G10" s="120">
        <v>1055719</v>
      </c>
      <c r="H10" s="119">
        <f>_xlfn.COMPOUNDVALUE(16)</f>
        <v>90</v>
      </c>
      <c r="I10" s="121">
        <v>60002</v>
      </c>
      <c r="J10" s="119">
        <v>197</v>
      </c>
      <c r="K10" s="121">
        <v>34087</v>
      </c>
      <c r="L10" s="119">
        <v>2452</v>
      </c>
      <c r="M10" s="121">
        <v>1029804</v>
      </c>
      <c r="N10" s="14" t="s">
        <v>21</v>
      </c>
    </row>
    <row r="11" spans="1:14" s="17" customFormat="1" ht="15.75" customHeight="1">
      <c r="A11" s="13" t="s">
        <v>22</v>
      </c>
      <c r="B11" s="119">
        <f>_xlfn.COMPOUNDVALUE(17)</f>
        <v>1261</v>
      </c>
      <c r="C11" s="120">
        <v>1228009</v>
      </c>
      <c r="D11" s="119">
        <f>_xlfn.COMPOUNDVALUE(18)</f>
        <v>1235</v>
      </c>
      <c r="E11" s="120">
        <v>560367</v>
      </c>
      <c r="F11" s="119">
        <f>_xlfn.COMPOUNDVALUE(19)</f>
        <v>2496</v>
      </c>
      <c r="G11" s="120">
        <v>1788376</v>
      </c>
      <c r="H11" s="119">
        <f>_xlfn.COMPOUNDVALUE(20)</f>
        <v>127</v>
      </c>
      <c r="I11" s="121">
        <v>56888</v>
      </c>
      <c r="J11" s="119">
        <v>133</v>
      </c>
      <c r="K11" s="121">
        <v>25780</v>
      </c>
      <c r="L11" s="119">
        <v>2682</v>
      </c>
      <c r="M11" s="121">
        <v>1757268</v>
      </c>
      <c r="N11" s="14" t="s">
        <v>22</v>
      </c>
    </row>
    <row r="12" spans="1:14" s="17" customFormat="1" ht="15.75" customHeight="1">
      <c r="A12" s="13" t="s">
        <v>23</v>
      </c>
      <c r="B12" s="119">
        <f>_xlfn.COMPOUNDVALUE(21)</f>
        <v>604</v>
      </c>
      <c r="C12" s="120">
        <v>353878</v>
      </c>
      <c r="D12" s="119">
        <f>_xlfn.COMPOUNDVALUE(22)</f>
        <v>652</v>
      </c>
      <c r="E12" s="120">
        <v>248085</v>
      </c>
      <c r="F12" s="119">
        <f>_xlfn.COMPOUNDVALUE(23)</f>
        <v>1256</v>
      </c>
      <c r="G12" s="120">
        <v>601963</v>
      </c>
      <c r="H12" s="119">
        <f>_xlfn.COMPOUNDVALUE(24)</f>
        <v>41</v>
      </c>
      <c r="I12" s="121">
        <v>44913</v>
      </c>
      <c r="J12" s="119">
        <v>71</v>
      </c>
      <c r="K12" s="121">
        <v>18980</v>
      </c>
      <c r="L12" s="119">
        <v>1337</v>
      </c>
      <c r="M12" s="121">
        <v>576031</v>
      </c>
      <c r="N12" s="14" t="s">
        <v>23</v>
      </c>
    </row>
    <row r="13" spans="1:14" s="17" customFormat="1" ht="15.75" customHeight="1">
      <c r="A13" s="13" t="s">
        <v>24</v>
      </c>
      <c r="B13" s="119">
        <f>_xlfn.COMPOUNDVALUE(25)</f>
        <v>297</v>
      </c>
      <c r="C13" s="120">
        <v>155829</v>
      </c>
      <c r="D13" s="119">
        <f>_xlfn.COMPOUNDVALUE(26)</f>
        <v>331</v>
      </c>
      <c r="E13" s="120">
        <v>122818</v>
      </c>
      <c r="F13" s="119">
        <f>_xlfn.COMPOUNDVALUE(27)</f>
        <v>628</v>
      </c>
      <c r="G13" s="120">
        <v>278646</v>
      </c>
      <c r="H13" s="119">
        <f>_xlfn.COMPOUNDVALUE(28)</f>
        <v>19</v>
      </c>
      <c r="I13" s="121">
        <v>8876</v>
      </c>
      <c r="J13" s="119">
        <v>59</v>
      </c>
      <c r="K13" s="121">
        <v>8964</v>
      </c>
      <c r="L13" s="119">
        <v>663</v>
      </c>
      <c r="M13" s="121">
        <v>278734</v>
      </c>
      <c r="N13" s="14" t="s">
        <v>24</v>
      </c>
    </row>
    <row r="14" spans="1:14" s="17" customFormat="1" ht="15.75" customHeight="1">
      <c r="A14" s="15" t="s">
        <v>25</v>
      </c>
      <c r="B14" s="124">
        <v>5994</v>
      </c>
      <c r="C14" s="125">
        <v>3828766</v>
      </c>
      <c r="D14" s="124">
        <v>6022</v>
      </c>
      <c r="E14" s="125">
        <v>2464688</v>
      </c>
      <c r="F14" s="124">
        <v>12016</v>
      </c>
      <c r="G14" s="125">
        <v>6293453</v>
      </c>
      <c r="H14" s="124">
        <v>470</v>
      </c>
      <c r="I14" s="126">
        <v>283328</v>
      </c>
      <c r="J14" s="124">
        <v>850</v>
      </c>
      <c r="K14" s="126">
        <v>175233</v>
      </c>
      <c r="L14" s="124">
        <v>12802</v>
      </c>
      <c r="M14" s="126">
        <v>6185359</v>
      </c>
      <c r="N14" s="16" t="s">
        <v>121</v>
      </c>
    </row>
    <row r="15" spans="1:14" s="17" customFormat="1" ht="15.75" customHeight="1">
      <c r="A15" s="26"/>
      <c r="B15" s="129"/>
      <c r="C15" s="130"/>
      <c r="D15" s="129"/>
      <c r="E15" s="130"/>
      <c r="F15" s="131"/>
      <c r="G15" s="130"/>
      <c r="H15" s="131"/>
      <c r="I15" s="130"/>
      <c r="J15" s="131"/>
      <c r="K15" s="130"/>
      <c r="L15" s="131"/>
      <c r="M15" s="130"/>
      <c r="N15" s="24"/>
    </row>
    <row r="16" spans="1:14" s="17" customFormat="1" ht="15.75" customHeight="1">
      <c r="A16" s="11" t="s">
        <v>26</v>
      </c>
      <c r="B16" s="114">
        <f>_xlfn.COMPOUNDVALUE(29)</f>
        <v>1158</v>
      </c>
      <c r="C16" s="115">
        <v>744746</v>
      </c>
      <c r="D16" s="114">
        <f>_xlfn.COMPOUNDVALUE(30)</f>
        <v>1206</v>
      </c>
      <c r="E16" s="115">
        <v>523647</v>
      </c>
      <c r="F16" s="114">
        <f>_xlfn.COMPOUNDVALUE(31)</f>
        <v>2364</v>
      </c>
      <c r="G16" s="115">
        <v>1268393</v>
      </c>
      <c r="H16" s="114">
        <f>_xlfn.COMPOUNDVALUE(32)</f>
        <v>96</v>
      </c>
      <c r="I16" s="116">
        <v>62627</v>
      </c>
      <c r="J16" s="114">
        <v>116</v>
      </c>
      <c r="K16" s="116">
        <v>15102</v>
      </c>
      <c r="L16" s="114">
        <v>2499</v>
      </c>
      <c r="M16" s="116">
        <v>1220868</v>
      </c>
      <c r="N16" s="25" t="s">
        <v>26</v>
      </c>
    </row>
    <row r="17" spans="1:14" s="17" customFormat="1" ht="15.75" customHeight="1">
      <c r="A17" s="11" t="s">
        <v>27</v>
      </c>
      <c r="B17" s="114">
        <f>_xlfn.COMPOUNDVALUE(33)</f>
        <v>810</v>
      </c>
      <c r="C17" s="115">
        <v>727218</v>
      </c>
      <c r="D17" s="114">
        <f>_xlfn.COMPOUNDVALUE(34)</f>
        <v>859</v>
      </c>
      <c r="E17" s="115">
        <v>395722</v>
      </c>
      <c r="F17" s="114">
        <f>_xlfn.COMPOUNDVALUE(35)</f>
        <v>1669</v>
      </c>
      <c r="G17" s="115">
        <v>1122939</v>
      </c>
      <c r="H17" s="114">
        <f>_xlfn.COMPOUNDVALUE(36)</f>
        <v>74</v>
      </c>
      <c r="I17" s="116">
        <v>39949</v>
      </c>
      <c r="J17" s="114">
        <v>89</v>
      </c>
      <c r="K17" s="116">
        <v>22497</v>
      </c>
      <c r="L17" s="114">
        <v>1767</v>
      </c>
      <c r="M17" s="116">
        <v>1105488</v>
      </c>
      <c r="N17" s="12" t="s">
        <v>27</v>
      </c>
    </row>
    <row r="18" spans="1:14" s="17" customFormat="1" ht="15.75" customHeight="1">
      <c r="A18" s="11" t="s">
        <v>28</v>
      </c>
      <c r="B18" s="114">
        <f>_xlfn.COMPOUNDVALUE(37)</f>
        <v>889</v>
      </c>
      <c r="C18" s="115">
        <v>679443</v>
      </c>
      <c r="D18" s="114">
        <f>_xlfn.COMPOUNDVALUE(38)</f>
        <v>1084</v>
      </c>
      <c r="E18" s="115">
        <v>559909</v>
      </c>
      <c r="F18" s="114">
        <f>_xlfn.COMPOUNDVALUE(39)</f>
        <v>1973</v>
      </c>
      <c r="G18" s="115">
        <v>1239352</v>
      </c>
      <c r="H18" s="114">
        <f>_xlfn.COMPOUNDVALUE(40)</f>
        <v>78</v>
      </c>
      <c r="I18" s="116">
        <v>107876</v>
      </c>
      <c r="J18" s="114">
        <v>134</v>
      </c>
      <c r="K18" s="116">
        <v>25472</v>
      </c>
      <c r="L18" s="114">
        <v>2105</v>
      </c>
      <c r="M18" s="116">
        <v>1156949</v>
      </c>
      <c r="N18" s="12" t="s">
        <v>28</v>
      </c>
    </row>
    <row r="19" spans="1:14" s="17" customFormat="1" ht="15.75" customHeight="1">
      <c r="A19" s="11" t="s">
        <v>29</v>
      </c>
      <c r="B19" s="114">
        <f>_xlfn.COMPOUNDVALUE(41)</f>
        <v>1122</v>
      </c>
      <c r="C19" s="115">
        <v>681185</v>
      </c>
      <c r="D19" s="114">
        <f>_xlfn.COMPOUNDVALUE(42)</f>
        <v>1021</v>
      </c>
      <c r="E19" s="115">
        <v>441389</v>
      </c>
      <c r="F19" s="114">
        <f>_xlfn.COMPOUNDVALUE(43)</f>
        <v>2143</v>
      </c>
      <c r="G19" s="115">
        <v>1122575</v>
      </c>
      <c r="H19" s="114">
        <f>_xlfn.COMPOUNDVALUE(44)</f>
        <v>87</v>
      </c>
      <c r="I19" s="116">
        <v>78956</v>
      </c>
      <c r="J19" s="114">
        <v>181</v>
      </c>
      <c r="K19" s="116">
        <v>53145</v>
      </c>
      <c r="L19" s="114">
        <v>2327</v>
      </c>
      <c r="M19" s="116">
        <v>1096763</v>
      </c>
      <c r="N19" s="12" t="s">
        <v>29</v>
      </c>
    </row>
    <row r="20" spans="1:14" s="17" customFormat="1" ht="15.75" customHeight="1">
      <c r="A20" s="11" t="s">
        <v>30</v>
      </c>
      <c r="B20" s="114">
        <f>_xlfn.COMPOUNDVALUE(45)</f>
        <v>1029</v>
      </c>
      <c r="C20" s="115">
        <v>733419</v>
      </c>
      <c r="D20" s="114">
        <f>_xlfn.COMPOUNDVALUE(46)</f>
        <v>1139</v>
      </c>
      <c r="E20" s="115">
        <v>523743</v>
      </c>
      <c r="F20" s="114">
        <f>_xlfn.COMPOUNDVALUE(47)</f>
        <v>2168</v>
      </c>
      <c r="G20" s="115">
        <v>1257162</v>
      </c>
      <c r="H20" s="114">
        <f>_xlfn.COMPOUNDVALUE(48)</f>
        <v>90</v>
      </c>
      <c r="I20" s="116">
        <v>100504</v>
      </c>
      <c r="J20" s="114">
        <v>151</v>
      </c>
      <c r="K20" s="116">
        <v>40979</v>
      </c>
      <c r="L20" s="114">
        <v>2334</v>
      </c>
      <c r="M20" s="116">
        <v>1197637</v>
      </c>
      <c r="N20" s="12" t="s">
        <v>30</v>
      </c>
    </row>
    <row r="21" spans="1:14" s="17" customFormat="1" ht="15.75" customHeight="1">
      <c r="A21" s="11" t="s">
        <v>31</v>
      </c>
      <c r="B21" s="114">
        <f>_xlfn.COMPOUNDVALUE(49)</f>
        <v>2189</v>
      </c>
      <c r="C21" s="115">
        <v>1140825</v>
      </c>
      <c r="D21" s="114">
        <f>_xlfn.COMPOUNDVALUE(50)</f>
        <v>2051</v>
      </c>
      <c r="E21" s="115">
        <v>903790</v>
      </c>
      <c r="F21" s="114">
        <f>_xlfn.COMPOUNDVALUE(51)</f>
        <v>4240</v>
      </c>
      <c r="G21" s="115">
        <v>2044615</v>
      </c>
      <c r="H21" s="114">
        <f>_xlfn.COMPOUNDVALUE(52)</f>
        <v>160</v>
      </c>
      <c r="I21" s="116">
        <v>127538</v>
      </c>
      <c r="J21" s="114">
        <v>387</v>
      </c>
      <c r="K21" s="116">
        <v>79077</v>
      </c>
      <c r="L21" s="114">
        <v>4567</v>
      </c>
      <c r="M21" s="116">
        <v>1996154</v>
      </c>
      <c r="N21" s="12" t="s">
        <v>31</v>
      </c>
    </row>
    <row r="22" spans="1:14" s="17" customFormat="1" ht="15.75" customHeight="1">
      <c r="A22" s="13" t="s">
        <v>32</v>
      </c>
      <c r="B22" s="119">
        <f>_xlfn.COMPOUNDVALUE(53)</f>
        <v>1187</v>
      </c>
      <c r="C22" s="120">
        <v>594846</v>
      </c>
      <c r="D22" s="119">
        <f>_xlfn.COMPOUNDVALUE(54)</f>
        <v>1120</v>
      </c>
      <c r="E22" s="120">
        <v>520237</v>
      </c>
      <c r="F22" s="119">
        <f>_xlfn.COMPOUNDVALUE(55)</f>
        <v>2307</v>
      </c>
      <c r="G22" s="120">
        <v>1115083</v>
      </c>
      <c r="H22" s="119">
        <f>_xlfn.COMPOUNDVALUE(56)</f>
        <v>87</v>
      </c>
      <c r="I22" s="121">
        <v>53140</v>
      </c>
      <c r="J22" s="119">
        <v>190</v>
      </c>
      <c r="K22" s="121">
        <v>36581</v>
      </c>
      <c r="L22" s="119">
        <v>2483</v>
      </c>
      <c r="M22" s="121">
        <v>1098524</v>
      </c>
      <c r="N22" s="14" t="s">
        <v>32</v>
      </c>
    </row>
    <row r="23" spans="1:14" s="17" customFormat="1" ht="15.75" customHeight="1">
      <c r="A23" s="13" t="s">
        <v>33</v>
      </c>
      <c r="B23" s="119">
        <f>_xlfn.COMPOUNDVALUE(57)</f>
        <v>484</v>
      </c>
      <c r="C23" s="120">
        <v>249285</v>
      </c>
      <c r="D23" s="119">
        <f>_xlfn.COMPOUNDVALUE(58)</f>
        <v>477</v>
      </c>
      <c r="E23" s="120">
        <v>184983</v>
      </c>
      <c r="F23" s="119">
        <f>_xlfn.COMPOUNDVALUE(59)</f>
        <v>961</v>
      </c>
      <c r="G23" s="120">
        <v>434268</v>
      </c>
      <c r="H23" s="119">
        <f>_xlfn.COMPOUNDVALUE(60)</f>
        <v>22</v>
      </c>
      <c r="I23" s="121">
        <v>24560</v>
      </c>
      <c r="J23" s="119">
        <v>83</v>
      </c>
      <c r="K23" s="121">
        <v>24544</v>
      </c>
      <c r="L23" s="119">
        <v>1026</v>
      </c>
      <c r="M23" s="121">
        <v>434252</v>
      </c>
      <c r="N23" s="14" t="s">
        <v>33</v>
      </c>
    </row>
    <row r="24" spans="1:14" s="17" customFormat="1" ht="15.75" customHeight="1">
      <c r="A24" s="13" t="s">
        <v>34</v>
      </c>
      <c r="B24" s="119">
        <f>_xlfn.COMPOUNDVALUE(61)</f>
        <v>338</v>
      </c>
      <c r="C24" s="120">
        <v>162073</v>
      </c>
      <c r="D24" s="119">
        <f>_xlfn.COMPOUNDVALUE(62)</f>
        <v>358</v>
      </c>
      <c r="E24" s="120">
        <v>140217</v>
      </c>
      <c r="F24" s="119">
        <f>_xlfn.COMPOUNDVALUE(63)</f>
        <v>696</v>
      </c>
      <c r="G24" s="120">
        <v>302290</v>
      </c>
      <c r="H24" s="119">
        <f>_xlfn.COMPOUNDVALUE(64)</f>
        <v>23</v>
      </c>
      <c r="I24" s="121">
        <v>6995</v>
      </c>
      <c r="J24" s="119">
        <v>46</v>
      </c>
      <c r="K24" s="121">
        <v>9693</v>
      </c>
      <c r="L24" s="119">
        <v>747</v>
      </c>
      <c r="M24" s="121">
        <v>304987</v>
      </c>
      <c r="N24" s="14" t="s">
        <v>34</v>
      </c>
    </row>
    <row r="25" spans="1:14" s="17" customFormat="1" ht="15.75" customHeight="1">
      <c r="A25" s="13" t="s">
        <v>35</v>
      </c>
      <c r="B25" s="119">
        <f>_xlfn.COMPOUNDVALUE(65)</f>
        <v>2384</v>
      </c>
      <c r="C25" s="120">
        <v>1273161</v>
      </c>
      <c r="D25" s="119">
        <f>_xlfn.COMPOUNDVALUE(66)</f>
        <v>2157</v>
      </c>
      <c r="E25" s="120">
        <v>886686</v>
      </c>
      <c r="F25" s="119">
        <f>_xlfn.COMPOUNDVALUE(67)</f>
        <v>4541</v>
      </c>
      <c r="G25" s="120">
        <v>2159847</v>
      </c>
      <c r="H25" s="119">
        <f>_xlfn.COMPOUNDVALUE(68)</f>
        <v>202</v>
      </c>
      <c r="I25" s="121">
        <v>151596</v>
      </c>
      <c r="J25" s="119">
        <v>292</v>
      </c>
      <c r="K25" s="121">
        <v>45991</v>
      </c>
      <c r="L25" s="119">
        <v>4821</v>
      </c>
      <c r="M25" s="121">
        <v>2054242</v>
      </c>
      <c r="N25" s="14" t="s">
        <v>35</v>
      </c>
    </row>
    <row r="26" spans="1:14" s="17" customFormat="1" ht="15.75" customHeight="1">
      <c r="A26" s="13" t="s">
        <v>36</v>
      </c>
      <c r="B26" s="119">
        <f>_xlfn.COMPOUNDVALUE(69)</f>
        <v>315</v>
      </c>
      <c r="C26" s="120">
        <v>165195</v>
      </c>
      <c r="D26" s="119">
        <f>_xlfn.COMPOUNDVALUE(70)</f>
        <v>277</v>
      </c>
      <c r="E26" s="120">
        <v>96793</v>
      </c>
      <c r="F26" s="119">
        <f>_xlfn.COMPOUNDVALUE(71)</f>
        <v>592</v>
      </c>
      <c r="G26" s="120">
        <v>261988</v>
      </c>
      <c r="H26" s="119">
        <f>_xlfn.COMPOUNDVALUE(72)</f>
        <v>12</v>
      </c>
      <c r="I26" s="121">
        <v>2963</v>
      </c>
      <c r="J26" s="119">
        <v>54</v>
      </c>
      <c r="K26" s="121">
        <v>7773</v>
      </c>
      <c r="L26" s="119">
        <v>617</v>
      </c>
      <c r="M26" s="121">
        <v>266798</v>
      </c>
      <c r="N26" s="14" t="s">
        <v>36</v>
      </c>
    </row>
    <row r="27" spans="1:14" s="17" customFormat="1" ht="15.75" customHeight="1">
      <c r="A27" s="13" t="s">
        <v>37</v>
      </c>
      <c r="B27" s="119">
        <f>_xlfn.COMPOUNDVALUE(73)</f>
        <v>679</v>
      </c>
      <c r="C27" s="120">
        <v>346517</v>
      </c>
      <c r="D27" s="119">
        <f>_xlfn.COMPOUNDVALUE(74)</f>
        <v>582</v>
      </c>
      <c r="E27" s="120">
        <v>219801</v>
      </c>
      <c r="F27" s="119">
        <f>_xlfn.COMPOUNDVALUE(75)</f>
        <v>1261</v>
      </c>
      <c r="G27" s="120">
        <v>566318</v>
      </c>
      <c r="H27" s="119">
        <f>_xlfn.COMPOUNDVALUE(76)</f>
        <v>55</v>
      </c>
      <c r="I27" s="121">
        <v>26446</v>
      </c>
      <c r="J27" s="119">
        <v>108</v>
      </c>
      <c r="K27" s="121">
        <v>20957</v>
      </c>
      <c r="L27" s="119">
        <v>1354</v>
      </c>
      <c r="M27" s="121">
        <v>560829</v>
      </c>
      <c r="N27" s="14" t="s">
        <v>37</v>
      </c>
    </row>
    <row r="28" spans="1:14" s="17" customFormat="1" ht="15.75" customHeight="1">
      <c r="A28" s="13" t="s">
        <v>38</v>
      </c>
      <c r="B28" s="119">
        <f>_xlfn.COMPOUNDVALUE(77)</f>
        <v>484</v>
      </c>
      <c r="C28" s="120">
        <v>307573</v>
      </c>
      <c r="D28" s="119">
        <f>_xlfn.COMPOUNDVALUE(78)</f>
        <v>345</v>
      </c>
      <c r="E28" s="120">
        <v>135669</v>
      </c>
      <c r="F28" s="119">
        <f>_xlfn.COMPOUNDVALUE(79)</f>
        <v>829</v>
      </c>
      <c r="G28" s="120">
        <v>443242</v>
      </c>
      <c r="H28" s="119">
        <f>_xlfn.COMPOUNDVALUE(80)</f>
        <v>19</v>
      </c>
      <c r="I28" s="121">
        <v>12155</v>
      </c>
      <c r="J28" s="119">
        <v>49</v>
      </c>
      <c r="K28" s="121">
        <v>7361</v>
      </c>
      <c r="L28" s="119">
        <v>857</v>
      </c>
      <c r="M28" s="121">
        <v>438448</v>
      </c>
      <c r="N28" s="14" t="s">
        <v>38</v>
      </c>
    </row>
    <row r="29" spans="1:14" s="17" customFormat="1" ht="15.75" customHeight="1">
      <c r="A29" s="15" t="s">
        <v>39</v>
      </c>
      <c r="B29" s="124">
        <v>13068</v>
      </c>
      <c r="C29" s="125">
        <v>7805485</v>
      </c>
      <c r="D29" s="124">
        <v>12676</v>
      </c>
      <c r="E29" s="125">
        <v>5532586</v>
      </c>
      <c r="F29" s="124">
        <v>25744</v>
      </c>
      <c r="G29" s="125">
        <v>13338070</v>
      </c>
      <c r="H29" s="124">
        <v>1005</v>
      </c>
      <c r="I29" s="126">
        <v>795305</v>
      </c>
      <c r="J29" s="124">
        <v>1880</v>
      </c>
      <c r="K29" s="126">
        <v>389172</v>
      </c>
      <c r="L29" s="124">
        <v>27504</v>
      </c>
      <c r="M29" s="126">
        <v>12931937</v>
      </c>
      <c r="N29" s="16" t="s">
        <v>122</v>
      </c>
    </row>
    <row r="30" spans="1:14" s="17" customFormat="1" ht="15.75" customHeight="1">
      <c r="A30" s="23"/>
      <c r="B30" s="129"/>
      <c r="C30" s="130"/>
      <c r="D30" s="129"/>
      <c r="E30" s="130"/>
      <c r="F30" s="131"/>
      <c r="G30" s="130"/>
      <c r="H30" s="131"/>
      <c r="I30" s="130"/>
      <c r="J30" s="131"/>
      <c r="K30" s="130"/>
      <c r="L30" s="131"/>
      <c r="M30" s="130"/>
      <c r="N30" s="24"/>
    </row>
    <row r="31" spans="1:14" s="17" customFormat="1" ht="15.75" customHeight="1">
      <c r="A31" s="11" t="s">
        <v>40</v>
      </c>
      <c r="B31" s="114">
        <f>_xlfn.COMPOUNDVALUE(81)</f>
        <v>819</v>
      </c>
      <c r="C31" s="115">
        <v>418669</v>
      </c>
      <c r="D31" s="114">
        <f>_xlfn.COMPOUNDVALUE(82)</f>
        <v>562</v>
      </c>
      <c r="E31" s="115">
        <v>256369</v>
      </c>
      <c r="F31" s="114">
        <f>_xlfn.COMPOUNDVALUE(83)</f>
        <v>1381</v>
      </c>
      <c r="G31" s="115">
        <v>675037</v>
      </c>
      <c r="H31" s="114">
        <f>_xlfn.COMPOUNDVALUE(84)</f>
        <v>46</v>
      </c>
      <c r="I31" s="116">
        <v>11964</v>
      </c>
      <c r="J31" s="114">
        <v>139</v>
      </c>
      <c r="K31" s="116">
        <v>31232</v>
      </c>
      <c r="L31" s="114">
        <v>1497</v>
      </c>
      <c r="M31" s="116">
        <v>694304</v>
      </c>
      <c r="N31" s="25" t="s">
        <v>40</v>
      </c>
    </row>
    <row r="32" spans="1:14" s="17" customFormat="1" ht="15.75" customHeight="1">
      <c r="A32" s="11" t="s">
        <v>41</v>
      </c>
      <c r="B32" s="114">
        <f>_xlfn.COMPOUNDVALUE(85)</f>
        <v>969</v>
      </c>
      <c r="C32" s="115">
        <v>611590</v>
      </c>
      <c r="D32" s="114">
        <f>_xlfn.COMPOUNDVALUE(86)</f>
        <v>648</v>
      </c>
      <c r="E32" s="115">
        <v>308860</v>
      </c>
      <c r="F32" s="114">
        <f>_xlfn.COMPOUNDVALUE(87)</f>
        <v>1617</v>
      </c>
      <c r="G32" s="115">
        <v>920450</v>
      </c>
      <c r="H32" s="114">
        <f>_xlfn.COMPOUNDVALUE(88)</f>
        <v>96</v>
      </c>
      <c r="I32" s="116">
        <v>47617</v>
      </c>
      <c r="J32" s="114">
        <v>189</v>
      </c>
      <c r="K32" s="116">
        <v>98869</v>
      </c>
      <c r="L32" s="114">
        <v>1838</v>
      </c>
      <c r="M32" s="116">
        <v>971703</v>
      </c>
      <c r="N32" s="12" t="s">
        <v>41</v>
      </c>
    </row>
    <row r="33" spans="1:14" s="17" customFormat="1" ht="15.75" customHeight="1">
      <c r="A33" s="11" t="s">
        <v>42</v>
      </c>
      <c r="B33" s="114">
        <f>_xlfn.COMPOUNDVALUE(89)</f>
        <v>842</v>
      </c>
      <c r="C33" s="115">
        <v>678759</v>
      </c>
      <c r="D33" s="114">
        <f>_xlfn.COMPOUNDVALUE(90)</f>
        <v>655</v>
      </c>
      <c r="E33" s="115">
        <v>252815</v>
      </c>
      <c r="F33" s="114">
        <f>_xlfn.COMPOUNDVALUE(91)</f>
        <v>1497</v>
      </c>
      <c r="G33" s="115">
        <v>931574</v>
      </c>
      <c r="H33" s="114">
        <f>_xlfn.COMPOUNDVALUE(92)</f>
        <v>44</v>
      </c>
      <c r="I33" s="116">
        <v>26027</v>
      </c>
      <c r="J33" s="114">
        <v>216</v>
      </c>
      <c r="K33" s="116">
        <v>34410</v>
      </c>
      <c r="L33" s="114">
        <v>1615</v>
      </c>
      <c r="M33" s="116">
        <v>939956</v>
      </c>
      <c r="N33" s="12" t="s">
        <v>42</v>
      </c>
    </row>
    <row r="34" spans="1:14" s="17" customFormat="1" ht="15.75" customHeight="1">
      <c r="A34" s="11" t="s">
        <v>43</v>
      </c>
      <c r="B34" s="114">
        <f>_xlfn.COMPOUNDVALUE(93)</f>
        <v>505</v>
      </c>
      <c r="C34" s="115">
        <v>398931</v>
      </c>
      <c r="D34" s="114">
        <f>_xlfn.COMPOUNDVALUE(94)</f>
        <v>533</v>
      </c>
      <c r="E34" s="115">
        <v>298479</v>
      </c>
      <c r="F34" s="114">
        <f>_xlfn.COMPOUNDVALUE(95)</f>
        <v>1038</v>
      </c>
      <c r="G34" s="115">
        <v>697410</v>
      </c>
      <c r="H34" s="114">
        <f>_xlfn.COMPOUNDVALUE(96)</f>
        <v>71</v>
      </c>
      <c r="I34" s="116">
        <v>74930</v>
      </c>
      <c r="J34" s="114">
        <v>58</v>
      </c>
      <c r="K34" s="116">
        <v>5850</v>
      </c>
      <c r="L34" s="114">
        <v>1137</v>
      </c>
      <c r="M34" s="116">
        <v>628330</v>
      </c>
      <c r="N34" s="12" t="s">
        <v>43</v>
      </c>
    </row>
    <row r="35" spans="1:14" s="17" customFormat="1" ht="15.75" customHeight="1">
      <c r="A35" s="11" t="s">
        <v>44</v>
      </c>
      <c r="B35" s="114">
        <f>_xlfn.COMPOUNDVALUE(97)</f>
        <v>536</v>
      </c>
      <c r="C35" s="115">
        <v>360633</v>
      </c>
      <c r="D35" s="114">
        <f>_xlfn.COMPOUNDVALUE(98)</f>
        <v>306</v>
      </c>
      <c r="E35" s="115">
        <v>151063</v>
      </c>
      <c r="F35" s="114">
        <f>_xlfn.COMPOUNDVALUE(99)</f>
        <v>842</v>
      </c>
      <c r="G35" s="115">
        <v>511696</v>
      </c>
      <c r="H35" s="114">
        <f>_xlfn.COMPOUNDVALUE(100)</f>
        <v>56</v>
      </c>
      <c r="I35" s="116">
        <v>29414</v>
      </c>
      <c r="J35" s="114">
        <v>60</v>
      </c>
      <c r="K35" s="116">
        <v>14089</v>
      </c>
      <c r="L35" s="114">
        <v>924</v>
      </c>
      <c r="M35" s="116">
        <v>496371</v>
      </c>
      <c r="N35" s="12" t="s">
        <v>44</v>
      </c>
    </row>
    <row r="36" spans="1:14" s="17" customFormat="1" ht="15.75" customHeight="1">
      <c r="A36" s="11" t="s">
        <v>45</v>
      </c>
      <c r="B36" s="114">
        <f>_xlfn.COMPOUNDVALUE(101)</f>
        <v>430</v>
      </c>
      <c r="C36" s="115">
        <v>256150</v>
      </c>
      <c r="D36" s="114">
        <f>_xlfn.COMPOUNDVALUE(102)</f>
        <v>396</v>
      </c>
      <c r="E36" s="115">
        <v>152768</v>
      </c>
      <c r="F36" s="114">
        <f>_xlfn.COMPOUNDVALUE(103)</f>
        <v>826</v>
      </c>
      <c r="G36" s="115">
        <v>408918</v>
      </c>
      <c r="H36" s="114">
        <f>_xlfn.COMPOUNDVALUE(104)</f>
        <v>29</v>
      </c>
      <c r="I36" s="116">
        <v>8353</v>
      </c>
      <c r="J36" s="114">
        <v>85</v>
      </c>
      <c r="K36" s="116">
        <v>15216</v>
      </c>
      <c r="L36" s="114">
        <v>877</v>
      </c>
      <c r="M36" s="116">
        <v>415781</v>
      </c>
      <c r="N36" s="12" t="s">
        <v>45</v>
      </c>
    </row>
    <row r="37" spans="1:14" s="17" customFormat="1" ht="15.75" customHeight="1">
      <c r="A37" s="11" t="s">
        <v>46</v>
      </c>
      <c r="B37" s="114">
        <f>_xlfn.COMPOUNDVALUE(105)</f>
        <v>469</v>
      </c>
      <c r="C37" s="115">
        <v>276879</v>
      </c>
      <c r="D37" s="114">
        <f>_xlfn.COMPOUNDVALUE(106)</f>
        <v>510</v>
      </c>
      <c r="E37" s="115">
        <v>201953</v>
      </c>
      <c r="F37" s="114">
        <f>_xlfn.COMPOUNDVALUE(107)</f>
        <v>979</v>
      </c>
      <c r="G37" s="115">
        <v>478832</v>
      </c>
      <c r="H37" s="114">
        <f>_xlfn.COMPOUNDVALUE(108)</f>
        <v>38</v>
      </c>
      <c r="I37" s="116">
        <v>55946</v>
      </c>
      <c r="J37" s="114">
        <v>98</v>
      </c>
      <c r="K37" s="116">
        <v>20354</v>
      </c>
      <c r="L37" s="114">
        <v>1070</v>
      </c>
      <c r="M37" s="116">
        <v>443241</v>
      </c>
      <c r="N37" s="12" t="s">
        <v>46</v>
      </c>
    </row>
    <row r="38" spans="1:14" s="17" customFormat="1" ht="15.75" customHeight="1">
      <c r="A38" s="11" t="s">
        <v>47</v>
      </c>
      <c r="B38" s="114">
        <f>_xlfn.COMPOUNDVALUE(109)</f>
        <v>922</v>
      </c>
      <c r="C38" s="115">
        <v>554131</v>
      </c>
      <c r="D38" s="114">
        <f>_xlfn.COMPOUNDVALUE(110)</f>
        <v>950</v>
      </c>
      <c r="E38" s="115">
        <v>377772</v>
      </c>
      <c r="F38" s="114">
        <f>_xlfn.COMPOUNDVALUE(111)</f>
        <v>1872</v>
      </c>
      <c r="G38" s="115">
        <v>931903</v>
      </c>
      <c r="H38" s="114">
        <f>_xlfn.COMPOUNDVALUE(112)</f>
        <v>51</v>
      </c>
      <c r="I38" s="116">
        <v>26329</v>
      </c>
      <c r="J38" s="114">
        <v>162</v>
      </c>
      <c r="K38" s="116">
        <v>47279</v>
      </c>
      <c r="L38" s="114">
        <v>1981</v>
      </c>
      <c r="M38" s="116">
        <v>952853</v>
      </c>
      <c r="N38" s="12" t="s">
        <v>47</v>
      </c>
    </row>
    <row r="39" spans="1:14" s="17" customFormat="1" ht="15.75" customHeight="1">
      <c r="A39" s="11" t="s">
        <v>48</v>
      </c>
      <c r="B39" s="114">
        <f>_xlfn.COMPOUNDVALUE(113)</f>
        <v>896</v>
      </c>
      <c r="C39" s="115">
        <v>459190</v>
      </c>
      <c r="D39" s="114">
        <f>_xlfn.COMPOUNDVALUE(114)</f>
        <v>781</v>
      </c>
      <c r="E39" s="115">
        <v>344268</v>
      </c>
      <c r="F39" s="114">
        <f>_xlfn.COMPOUNDVALUE(115)</f>
        <v>1677</v>
      </c>
      <c r="G39" s="115">
        <v>803458</v>
      </c>
      <c r="H39" s="114">
        <f>_xlfn.COMPOUNDVALUE(116)</f>
        <v>80</v>
      </c>
      <c r="I39" s="116">
        <v>24829</v>
      </c>
      <c r="J39" s="114">
        <v>158</v>
      </c>
      <c r="K39" s="116">
        <v>32129</v>
      </c>
      <c r="L39" s="114">
        <v>1836</v>
      </c>
      <c r="M39" s="116">
        <v>810759</v>
      </c>
      <c r="N39" s="12" t="s">
        <v>48</v>
      </c>
    </row>
    <row r="40" spans="1:14" s="17" customFormat="1" ht="15.75" customHeight="1">
      <c r="A40" s="11" t="s">
        <v>49</v>
      </c>
      <c r="B40" s="114">
        <f>_xlfn.COMPOUNDVALUE(117)</f>
        <v>1210</v>
      </c>
      <c r="C40" s="115">
        <v>564544</v>
      </c>
      <c r="D40" s="114">
        <f>_xlfn.COMPOUNDVALUE(118)</f>
        <v>986</v>
      </c>
      <c r="E40" s="115">
        <v>437710</v>
      </c>
      <c r="F40" s="114">
        <f>_xlfn.COMPOUNDVALUE(119)</f>
        <v>2196</v>
      </c>
      <c r="G40" s="115">
        <v>1002254</v>
      </c>
      <c r="H40" s="114">
        <f>_xlfn.COMPOUNDVALUE(120)</f>
        <v>86</v>
      </c>
      <c r="I40" s="116">
        <v>66717</v>
      </c>
      <c r="J40" s="114">
        <v>239</v>
      </c>
      <c r="K40" s="116">
        <v>57597</v>
      </c>
      <c r="L40" s="114">
        <v>2427</v>
      </c>
      <c r="M40" s="116">
        <v>993133</v>
      </c>
      <c r="N40" s="12" t="s">
        <v>49</v>
      </c>
    </row>
    <row r="41" spans="1:14" s="17" customFormat="1" ht="15.75" customHeight="1">
      <c r="A41" s="11" t="s">
        <v>50</v>
      </c>
      <c r="B41" s="114">
        <f>_xlfn.COMPOUNDVALUE(121)</f>
        <v>505</v>
      </c>
      <c r="C41" s="115">
        <v>310251</v>
      </c>
      <c r="D41" s="114">
        <f>_xlfn.COMPOUNDVALUE(122)</f>
        <v>547</v>
      </c>
      <c r="E41" s="115">
        <v>279729</v>
      </c>
      <c r="F41" s="114">
        <f>_xlfn.COMPOUNDVALUE(123)</f>
        <v>1052</v>
      </c>
      <c r="G41" s="115">
        <v>589980</v>
      </c>
      <c r="H41" s="114">
        <f>_xlfn.COMPOUNDVALUE(124)</f>
        <v>48</v>
      </c>
      <c r="I41" s="116">
        <v>59890</v>
      </c>
      <c r="J41" s="114">
        <v>65</v>
      </c>
      <c r="K41" s="116">
        <v>9986</v>
      </c>
      <c r="L41" s="114">
        <v>1116</v>
      </c>
      <c r="M41" s="116">
        <v>540075</v>
      </c>
      <c r="N41" s="12" t="s">
        <v>50</v>
      </c>
    </row>
    <row r="42" spans="1:14" s="17" customFormat="1" ht="15.75" customHeight="1">
      <c r="A42" s="11" t="s">
        <v>51</v>
      </c>
      <c r="B42" s="114">
        <f>_xlfn.COMPOUNDVALUE(125)</f>
        <v>1245</v>
      </c>
      <c r="C42" s="115">
        <v>607538</v>
      </c>
      <c r="D42" s="114">
        <f>_xlfn.COMPOUNDVALUE(126)</f>
        <v>915</v>
      </c>
      <c r="E42" s="115">
        <v>404280</v>
      </c>
      <c r="F42" s="114">
        <f>_xlfn.COMPOUNDVALUE(127)</f>
        <v>2160</v>
      </c>
      <c r="G42" s="115">
        <v>1011818</v>
      </c>
      <c r="H42" s="114">
        <f>_xlfn.COMPOUNDVALUE(128)</f>
        <v>103</v>
      </c>
      <c r="I42" s="116">
        <v>40527</v>
      </c>
      <c r="J42" s="114">
        <v>193</v>
      </c>
      <c r="K42" s="116">
        <v>61322</v>
      </c>
      <c r="L42" s="114">
        <v>2385</v>
      </c>
      <c r="M42" s="116">
        <v>1032613</v>
      </c>
      <c r="N42" s="12" t="s">
        <v>51</v>
      </c>
    </row>
    <row r="43" spans="1:14" s="17" customFormat="1" ht="15.75" customHeight="1">
      <c r="A43" s="11" t="s">
        <v>52</v>
      </c>
      <c r="B43" s="114">
        <f>_xlfn.COMPOUNDVALUE(129)</f>
        <v>1840</v>
      </c>
      <c r="C43" s="115">
        <v>1015417</v>
      </c>
      <c r="D43" s="114">
        <f>_xlfn.COMPOUNDVALUE(130)</f>
        <v>1617</v>
      </c>
      <c r="E43" s="115">
        <v>701316</v>
      </c>
      <c r="F43" s="114">
        <f>_xlfn.COMPOUNDVALUE(131)</f>
        <v>3457</v>
      </c>
      <c r="G43" s="115">
        <v>1716733</v>
      </c>
      <c r="H43" s="114">
        <f>_xlfn.COMPOUNDVALUE(132)</f>
        <v>123</v>
      </c>
      <c r="I43" s="116">
        <v>73037</v>
      </c>
      <c r="J43" s="114">
        <v>347</v>
      </c>
      <c r="K43" s="116">
        <v>74136</v>
      </c>
      <c r="L43" s="114">
        <v>3774</v>
      </c>
      <c r="M43" s="116">
        <v>1717832</v>
      </c>
      <c r="N43" s="12" t="s">
        <v>52</v>
      </c>
    </row>
    <row r="44" spans="1:14" s="17" customFormat="1" ht="15.75" customHeight="1">
      <c r="A44" s="11" t="s">
        <v>53</v>
      </c>
      <c r="B44" s="114">
        <f>_xlfn.COMPOUNDVALUE(133)</f>
        <v>602</v>
      </c>
      <c r="C44" s="115">
        <v>358624</v>
      </c>
      <c r="D44" s="114">
        <f>_xlfn.COMPOUNDVALUE(134)</f>
        <v>415</v>
      </c>
      <c r="E44" s="115">
        <v>198547</v>
      </c>
      <c r="F44" s="114">
        <f>_xlfn.COMPOUNDVALUE(135)</f>
        <v>1017</v>
      </c>
      <c r="G44" s="115">
        <v>557171</v>
      </c>
      <c r="H44" s="114">
        <f>_xlfn.COMPOUNDVALUE(136)</f>
        <v>21</v>
      </c>
      <c r="I44" s="116">
        <v>9473</v>
      </c>
      <c r="J44" s="114">
        <v>119</v>
      </c>
      <c r="K44" s="116">
        <v>66987</v>
      </c>
      <c r="L44" s="114">
        <v>1093</v>
      </c>
      <c r="M44" s="116">
        <v>614685</v>
      </c>
      <c r="N44" s="12" t="s">
        <v>53</v>
      </c>
    </row>
    <row r="45" spans="1:14" s="17" customFormat="1" ht="15.75" customHeight="1">
      <c r="A45" s="11" t="s">
        <v>54</v>
      </c>
      <c r="B45" s="114">
        <f>_xlfn.COMPOUNDVALUE(137)</f>
        <v>1719</v>
      </c>
      <c r="C45" s="115">
        <v>979581</v>
      </c>
      <c r="D45" s="114">
        <f>_xlfn.COMPOUNDVALUE(138)</f>
        <v>1209</v>
      </c>
      <c r="E45" s="115">
        <v>600169</v>
      </c>
      <c r="F45" s="114">
        <f>_xlfn.COMPOUNDVALUE(139)</f>
        <v>2928</v>
      </c>
      <c r="G45" s="115">
        <v>1579750</v>
      </c>
      <c r="H45" s="114">
        <f>_xlfn.COMPOUNDVALUE(140)</f>
        <v>89</v>
      </c>
      <c r="I45" s="116">
        <v>98690</v>
      </c>
      <c r="J45" s="114">
        <v>287</v>
      </c>
      <c r="K45" s="116">
        <v>74964</v>
      </c>
      <c r="L45" s="114">
        <v>3174</v>
      </c>
      <c r="M45" s="116">
        <v>1556024</v>
      </c>
      <c r="N45" s="12" t="s">
        <v>54</v>
      </c>
    </row>
    <row r="46" spans="1:14" s="17" customFormat="1" ht="15.75" customHeight="1">
      <c r="A46" s="11" t="s">
        <v>55</v>
      </c>
      <c r="B46" s="114">
        <f>_xlfn.COMPOUNDVALUE(141)</f>
        <v>1299</v>
      </c>
      <c r="C46" s="115">
        <v>1459400</v>
      </c>
      <c r="D46" s="114">
        <f>_xlfn.COMPOUNDVALUE(142)</f>
        <v>1361</v>
      </c>
      <c r="E46" s="115">
        <v>887138</v>
      </c>
      <c r="F46" s="114">
        <f>_xlfn.COMPOUNDVALUE(143)</f>
        <v>2660</v>
      </c>
      <c r="G46" s="115">
        <v>2346538</v>
      </c>
      <c r="H46" s="114">
        <f>_xlfn.COMPOUNDVALUE(144)</f>
        <v>86</v>
      </c>
      <c r="I46" s="116">
        <v>52261</v>
      </c>
      <c r="J46" s="114">
        <v>205</v>
      </c>
      <c r="K46" s="116">
        <v>83398</v>
      </c>
      <c r="L46" s="114">
        <v>2820</v>
      </c>
      <c r="M46" s="116">
        <v>2377674</v>
      </c>
      <c r="N46" s="12" t="s">
        <v>55</v>
      </c>
    </row>
    <row r="47" spans="1:14" s="17" customFormat="1" ht="15.75" customHeight="1">
      <c r="A47" s="11" t="s">
        <v>56</v>
      </c>
      <c r="B47" s="114">
        <f>_xlfn.COMPOUNDVALUE(145)</f>
        <v>601</v>
      </c>
      <c r="C47" s="115">
        <v>466082</v>
      </c>
      <c r="D47" s="114">
        <f>_xlfn.COMPOUNDVALUE(146)</f>
        <v>487</v>
      </c>
      <c r="E47" s="115">
        <v>262587</v>
      </c>
      <c r="F47" s="114">
        <f>_xlfn.COMPOUNDVALUE(147)</f>
        <v>1088</v>
      </c>
      <c r="G47" s="115">
        <v>728669</v>
      </c>
      <c r="H47" s="114">
        <f>_xlfn.COMPOUNDVALUE(148)</f>
        <v>77</v>
      </c>
      <c r="I47" s="116">
        <v>61613</v>
      </c>
      <c r="J47" s="114">
        <v>75</v>
      </c>
      <c r="K47" s="116">
        <v>17880</v>
      </c>
      <c r="L47" s="114">
        <v>1198</v>
      </c>
      <c r="M47" s="116">
        <v>684937</v>
      </c>
      <c r="N47" s="12" t="s">
        <v>56</v>
      </c>
    </row>
    <row r="48" spans="1:14" s="17" customFormat="1" ht="15.75" customHeight="1">
      <c r="A48" s="11" t="s">
        <v>57</v>
      </c>
      <c r="B48" s="114">
        <f>_xlfn.COMPOUNDVALUE(149)</f>
        <v>930</v>
      </c>
      <c r="C48" s="115">
        <v>1000358</v>
      </c>
      <c r="D48" s="114">
        <f>_xlfn.COMPOUNDVALUE(150)</f>
        <v>962</v>
      </c>
      <c r="E48" s="115">
        <v>634612</v>
      </c>
      <c r="F48" s="114">
        <f>_xlfn.COMPOUNDVALUE(151)</f>
        <v>1892</v>
      </c>
      <c r="G48" s="115">
        <v>1634970</v>
      </c>
      <c r="H48" s="114">
        <f>_xlfn.COMPOUNDVALUE(152)</f>
        <v>106</v>
      </c>
      <c r="I48" s="116">
        <v>257393</v>
      </c>
      <c r="J48" s="114">
        <v>138</v>
      </c>
      <c r="K48" s="116">
        <v>37610</v>
      </c>
      <c r="L48" s="114">
        <v>2029</v>
      </c>
      <c r="M48" s="116">
        <v>1415186</v>
      </c>
      <c r="N48" s="12" t="s">
        <v>57</v>
      </c>
    </row>
    <row r="49" spans="1:14" s="17" customFormat="1" ht="15.75" customHeight="1">
      <c r="A49" s="11" t="s">
        <v>58</v>
      </c>
      <c r="B49" s="114">
        <f>_xlfn.COMPOUNDVALUE(153)</f>
        <v>989</v>
      </c>
      <c r="C49" s="115">
        <v>826695</v>
      </c>
      <c r="D49" s="114">
        <f>_xlfn.COMPOUNDVALUE(154)</f>
        <v>717</v>
      </c>
      <c r="E49" s="115">
        <v>394303</v>
      </c>
      <c r="F49" s="114">
        <f>_xlfn.COMPOUNDVALUE(155)</f>
        <v>1706</v>
      </c>
      <c r="G49" s="115">
        <v>1220998</v>
      </c>
      <c r="H49" s="114">
        <f>_xlfn.COMPOUNDVALUE(156)</f>
        <v>69</v>
      </c>
      <c r="I49" s="116">
        <v>30750</v>
      </c>
      <c r="J49" s="114">
        <v>142</v>
      </c>
      <c r="K49" s="116">
        <v>82355</v>
      </c>
      <c r="L49" s="114">
        <v>1837</v>
      </c>
      <c r="M49" s="116">
        <v>1272604</v>
      </c>
      <c r="N49" s="12" t="s">
        <v>58</v>
      </c>
    </row>
    <row r="50" spans="1:14" s="17" customFormat="1" ht="15.75" customHeight="1">
      <c r="A50" s="11" t="s">
        <v>59</v>
      </c>
      <c r="B50" s="114">
        <f>_xlfn.COMPOUNDVALUE(157)</f>
        <v>4015</v>
      </c>
      <c r="C50" s="115">
        <v>2060955</v>
      </c>
      <c r="D50" s="114">
        <f>_xlfn.COMPOUNDVALUE(158)</f>
        <v>2909</v>
      </c>
      <c r="E50" s="115">
        <v>1317397</v>
      </c>
      <c r="F50" s="114">
        <f>_xlfn.COMPOUNDVALUE(159)</f>
        <v>6924</v>
      </c>
      <c r="G50" s="115">
        <v>3378352</v>
      </c>
      <c r="H50" s="114">
        <f>_xlfn.COMPOUNDVALUE(160)</f>
        <v>251</v>
      </c>
      <c r="I50" s="116">
        <v>145130</v>
      </c>
      <c r="J50" s="114">
        <v>530</v>
      </c>
      <c r="K50" s="116">
        <v>132242</v>
      </c>
      <c r="L50" s="114">
        <v>7501</v>
      </c>
      <c r="M50" s="116">
        <v>3365465</v>
      </c>
      <c r="N50" s="12" t="s">
        <v>59</v>
      </c>
    </row>
    <row r="51" spans="1:14" s="17" customFormat="1" ht="15.75" customHeight="1">
      <c r="A51" s="11" t="s">
        <v>60</v>
      </c>
      <c r="B51" s="114">
        <f>_xlfn.COMPOUNDVALUE(161)</f>
        <v>1606</v>
      </c>
      <c r="C51" s="115">
        <v>815620</v>
      </c>
      <c r="D51" s="114">
        <f>_xlfn.COMPOUNDVALUE(162)</f>
        <v>1104</v>
      </c>
      <c r="E51" s="115">
        <v>459882</v>
      </c>
      <c r="F51" s="114">
        <f>_xlfn.COMPOUNDVALUE(163)</f>
        <v>2710</v>
      </c>
      <c r="G51" s="115">
        <v>1275502</v>
      </c>
      <c r="H51" s="114">
        <f>_xlfn.COMPOUNDVALUE(164)</f>
        <v>85</v>
      </c>
      <c r="I51" s="116">
        <v>36157</v>
      </c>
      <c r="J51" s="114">
        <v>266</v>
      </c>
      <c r="K51" s="116">
        <v>38965</v>
      </c>
      <c r="L51" s="114">
        <v>2877</v>
      </c>
      <c r="M51" s="116">
        <v>1278310</v>
      </c>
      <c r="N51" s="12" t="s">
        <v>60</v>
      </c>
    </row>
    <row r="52" spans="1:14" s="17" customFormat="1" ht="15.75" customHeight="1">
      <c r="A52" s="11" t="s">
        <v>61</v>
      </c>
      <c r="B52" s="114">
        <f>_xlfn.COMPOUNDVALUE(165)</f>
        <v>2733</v>
      </c>
      <c r="C52" s="115">
        <v>1748726</v>
      </c>
      <c r="D52" s="114">
        <f>_xlfn.COMPOUNDVALUE(166)</f>
        <v>2678</v>
      </c>
      <c r="E52" s="115">
        <v>1261142</v>
      </c>
      <c r="F52" s="114">
        <f>_xlfn.COMPOUNDVALUE(167)</f>
        <v>5411</v>
      </c>
      <c r="G52" s="115">
        <v>3009868</v>
      </c>
      <c r="H52" s="114">
        <f>_xlfn.COMPOUNDVALUE(168)</f>
        <v>230</v>
      </c>
      <c r="I52" s="116">
        <v>145456</v>
      </c>
      <c r="J52" s="114">
        <v>510</v>
      </c>
      <c r="K52" s="116">
        <v>106309</v>
      </c>
      <c r="L52" s="114">
        <v>5868</v>
      </c>
      <c r="M52" s="116">
        <v>2970722</v>
      </c>
      <c r="N52" s="12" t="s">
        <v>61</v>
      </c>
    </row>
    <row r="53" spans="1:14" s="17" customFormat="1" ht="15.75" customHeight="1">
      <c r="A53" s="11" t="s">
        <v>62</v>
      </c>
      <c r="B53" s="114">
        <f>_xlfn.COMPOUNDVALUE(169)</f>
        <v>1761</v>
      </c>
      <c r="C53" s="115">
        <v>1013045</v>
      </c>
      <c r="D53" s="114">
        <f>_xlfn.COMPOUNDVALUE(170)</f>
        <v>1607</v>
      </c>
      <c r="E53" s="115">
        <v>810287</v>
      </c>
      <c r="F53" s="114">
        <f>_xlfn.COMPOUNDVALUE(171)</f>
        <v>3368</v>
      </c>
      <c r="G53" s="115">
        <v>1823331</v>
      </c>
      <c r="H53" s="114">
        <f>_xlfn.COMPOUNDVALUE(172)</f>
        <v>182</v>
      </c>
      <c r="I53" s="116">
        <v>95963</v>
      </c>
      <c r="J53" s="114">
        <v>394</v>
      </c>
      <c r="K53" s="116">
        <v>77089</v>
      </c>
      <c r="L53" s="114">
        <v>3682</v>
      </c>
      <c r="M53" s="116">
        <v>1804458</v>
      </c>
      <c r="N53" s="12" t="s">
        <v>62</v>
      </c>
    </row>
    <row r="54" spans="1:14" s="17" customFormat="1" ht="15.75" customHeight="1">
      <c r="A54" s="11" t="s">
        <v>63</v>
      </c>
      <c r="B54" s="114">
        <f>_xlfn.COMPOUNDVALUE(173)</f>
        <v>1623</v>
      </c>
      <c r="C54" s="115">
        <v>774287</v>
      </c>
      <c r="D54" s="114">
        <f>_xlfn.COMPOUNDVALUE(174)</f>
        <v>1074</v>
      </c>
      <c r="E54" s="115">
        <v>457781</v>
      </c>
      <c r="F54" s="114">
        <f>_xlfn.COMPOUNDVALUE(175)</f>
        <v>2697</v>
      </c>
      <c r="G54" s="115">
        <v>1232068</v>
      </c>
      <c r="H54" s="114">
        <f>_xlfn.COMPOUNDVALUE(176)</f>
        <v>117</v>
      </c>
      <c r="I54" s="116">
        <v>70791</v>
      </c>
      <c r="J54" s="114">
        <v>287</v>
      </c>
      <c r="K54" s="116">
        <v>44251</v>
      </c>
      <c r="L54" s="114">
        <v>2911</v>
      </c>
      <c r="M54" s="116">
        <v>1205528</v>
      </c>
      <c r="N54" s="12" t="s">
        <v>63</v>
      </c>
    </row>
    <row r="55" spans="1:14" s="17" customFormat="1" ht="15.75" customHeight="1">
      <c r="A55" s="13" t="s">
        <v>64</v>
      </c>
      <c r="B55" s="119">
        <f>_xlfn.COMPOUNDVALUE(177)</f>
        <v>2855</v>
      </c>
      <c r="C55" s="120">
        <v>1393122</v>
      </c>
      <c r="D55" s="119">
        <f>_xlfn.COMPOUNDVALUE(178)</f>
        <v>2231</v>
      </c>
      <c r="E55" s="120">
        <v>1027140</v>
      </c>
      <c r="F55" s="119">
        <f>_xlfn.COMPOUNDVALUE(179)</f>
        <v>5086</v>
      </c>
      <c r="G55" s="120">
        <v>2420262</v>
      </c>
      <c r="H55" s="119">
        <f>_xlfn.COMPOUNDVALUE(180)</f>
        <v>201</v>
      </c>
      <c r="I55" s="121">
        <v>178974</v>
      </c>
      <c r="J55" s="119">
        <v>445</v>
      </c>
      <c r="K55" s="121">
        <v>81410</v>
      </c>
      <c r="L55" s="119">
        <v>5494</v>
      </c>
      <c r="M55" s="121">
        <v>2322698</v>
      </c>
      <c r="N55" s="14" t="s">
        <v>64</v>
      </c>
    </row>
    <row r="56" spans="1:14" s="17" customFormat="1" ht="15.75" customHeight="1">
      <c r="A56" s="13" t="s">
        <v>65</v>
      </c>
      <c r="B56" s="119">
        <f>_xlfn.COMPOUNDVALUE(181)</f>
        <v>2136</v>
      </c>
      <c r="C56" s="120">
        <v>1237856</v>
      </c>
      <c r="D56" s="119">
        <f>_xlfn.COMPOUNDVALUE(182)</f>
        <v>1865</v>
      </c>
      <c r="E56" s="120">
        <v>869881</v>
      </c>
      <c r="F56" s="119">
        <f>_xlfn.COMPOUNDVALUE(183)</f>
        <v>4001</v>
      </c>
      <c r="G56" s="120">
        <v>2107737</v>
      </c>
      <c r="H56" s="119">
        <f>_xlfn.COMPOUNDVALUE(184)</f>
        <v>120</v>
      </c>
      <c r="I56" s="121">
        <v>99138</v>
      </c>
      <c r="J56" s="119">
        <v>402</v>
      </c>
      <c r="K56" s="121">
        <v>106438</v>
      </c>
      <c r="L56" s="119">
        <v>4294</v>
      </c>
      <c r="M56" s="121">
        <v>2115038</v>
      </c>
      <c r="N56" s="14" t="s">
        <v>65</v>
      </c>
    </row>
    <row r="57" spans="1:14" s="17" customFormat="1" ht="15.75" customHeight="1">
      <c r="A57" s="13" t="s">
        <v>66</v>
      </c>
      <c r="B57" s="119">
        <f>_xlfn.COMPOUNDVALUE(185)</f>
        <v>2577</v>
      </c>
      <c r="C57" s="120">
        <v>1281926</v>
      </c>
      <c r="D57" s="119">
        <f>_xlfn.COMPOUNDVALUE(186)</f>
        <v>2090</v>
      </c>
      <c r="E57" s="120">
        <v>907499</v>
      </c>
      <c r="F57" s="119">
        <f>_xlfn.COMPOUNDVALUE(187)</f>
        <v>4667</v>
      </c>
      <c r="G57" s="120">
        <v>2189425</v>
      </c>
      <c r="H57" s="119">
        <f>_xlfn.COMPOUNDVALUE(188)</f>
        <v>154</v>
      </c>
      <c r="I57" s="121">
        <v>167905</v>
      </c>
      <c r="J57" s="119">
        <v>429</v>
      </c>
      <c r="K57" s="121">
        <v>71924</v>
      </c>
      <c r="L57" s="119">
        <v>4976</v>
      </c>
      <c r="M57" s="121">
        <v>2093444</v>
      </c>
      <c r="N57" s="14" t="s">
        <v>66</v>
      </c>
    </row>
    <row r="58" spans="1:14" s="17" customFormat="1" ht="15.75" customHeight="1">
      <c r="A58" s="13" t="s">
        <v>67</v>
      </c>
      <c r="B58" s="119">
        <f>_xlfn.COMPOUNDVALUE(189)</f>
        <v>1383</v>
      </c>
      <c r="C58" s="120">
        <v>701523</v>
      </c>
      <c r="D58" s="119">
        <f>_xlfn.COMPOUNDVALUE(190)</f>
        <v>971</v>
      </c>
      <c r="E58" s="120">
        <v>404999</v>
      </c>
      <c r="F58" s="119">
        <f>_xlfn.COMPOUNDVALUE(191)</f>
        <v>2354</v>
      </c>
      <c r="G58" s="120">
        <v>1106522</v>
      </c>
      <c r="H58" s="119">
        <f>_xlfn.COMPOUNDVALUE(192)</f>
        <v>95</v>
      </c>
      <c r="I58" s="121">
        <v>53944</v>
      </c>
      <c r="J58" s="119">
        <v>223</v>
      </c>
      <c r="K58" s="121">
        <v>64490</v>
      </c>
      <c r="L58" s="119">
        <v>2508</v>
      </c>
      <c r="M58" s="121">
        <v>1117068</v>
      </c>
      <c r="N58" s="14" t="s">
        <v>67</v>
      </c>
    </row>
    <row r="59" spans="1:14" s="17" customFormat="1" ht="15.75" customHeight="1">
      <c r="A59" s="13" t="s">
        <v>68</v>
      </c>
      <c r="B59" s="119">
        <f>_xlfn.COMPOUNDVALUE(193)</f>
        <v>2424</v>
      </c>
      <c r="C59" s="120">
        <v>1474071</v>
      </c>
      <c r="D59" s="119">
        <f>_xlfn.COMPOUNDVALUE(194)</f>
        <v>1762</v>
      </c>
      <c r="E59" s="120">
        <v>754442</v>
      </c>
      <c r="F59" s="119">
        <f>_xlfn.COMPOUNDVALUE(195)</f>
        <v>4186</v>
      </c>
      <c r="G59" s="120">
        <v>2228514</v>
      </c>
      <c r="H59" s="119">
        <f>_xlfn.COMPOUNDVALUE(196)</f>
        <v>146</v>
      </c>
      <c r="I59" s="121">
        <v>77505</v>
      </c>
      <c r="J59" s="119">
        <v>331</v>
      </c>
      <c r="K59" s="121">
        <v>79493</v>
      </c>
      <c r="L59" s="119">
        <v>4487</v>
      </c>
      <c r="M59" s="121">
        <v>2230502</v>
      </c>
      <c r="N59" s="14" t="s">
        <v>68</v>
      </c>
    </row>
    <row r="60" spans="1:14" s="17" customFormat="1" ht="15.75" customHeight="1">
      <c r="A60" s="13" t="s">
        <v>69</v>
      </c>
      <c r="B60" s="119">
        <f>_xlfn.COMPOUNDVALUE(197)</f>
        <v>2389</v>
      </c>
      <c r="C60" s="120">
        <v>1169557</v>
      </c>
      <c r="D60" s="119">
        <f>_xlfn.COMPOUNDVALUE(198)</f>
        <v>1831</v>
      </c>
      <c r="E60" s="120">
        <v>836145</v>
      </c>
      <c r="F60" s="119">
        <f>_xlfn.COMPOUNDVALUE(199)</f>
        <v>4220</v>
      </c>
      <c r="G60" s="120">
        <v>2005702</v>
      </c>
      <c r="H60" s="119">
        <f>_xlfn.COMPOUNDVALUE(200)</f>
        <v>129</v>
      </c>
      <c r="I60" s="121">
        <v>99479</v>
      </c>
      <c r="J60" s="119">
        <v>402</v>
      </c>
      <c r="K60" s="121">
        <v>87227</v>
      </c>
      <c r="L60" s="119">
        <v>4599</v>
      </c>
      <c r="M60" s="121">
        <v>1993451</v>
      </c>
      <c r="N60" s="14" t="s">
        <v>69</v>
      </c>
    </row>
    <row r="61" spans="1:14" s="17" customFormat="1" ht="15.75" customHeight="1">
      <c r="A61" s="13" t="s">
        <v>70</v>
      </c>
      <c r="B61" s="119">
        <f>_xlfn.COMPOUNDVALUE(201)</f>
        <v>2907</v>
      </c>
      <c r="C61" s="120">
        <v>1764806</v>
      </c>
      <c r="D61" s="119">
        <f>_xlfn.COMPOUNDVALUE(202)</f>
        <v>2887</v>
      </c>
      <c r="E61" s="120">
        <v>1297573</v>
      </c>
      <c r="F61" s="119">
        <f>_xlfn.COMPOUNDVALUE(203)</f>
        <v>5794</v>
      </c>
      <c r="G61" s="120">
        <v>3062379</v>
      </c>
      <c r="H61" s="119">
        <f>_xlfn.COMPOUNDVALUE(204)</f>
        <v>157</v>
      </c>
      <c r="I61" s="121">
        <v>86605</v>
      </c>
      <c r="J61" s="119">
        <v>469</v>
      </c>
      <c r="K61" s="121">
        <v>107836</v>
      </c>
      <c r="L61" s="119">
        <v>6153</v>
      </c>
      <c r="M61" s="121">
        <v>3083610</v>
      </c>
      <c r="N61" s="14" t="s">
        <v>70</v>
      </c>
    </row>
    <row r="62" spans="1:14" s="17" customFormat="1" ht="15.75" customHeight="1">
      <c r="A62" s="15" t="s">
        <v>71</v>
      </c>
      <c r="B62" s="124">
        <v>45737</v>
      </c>
      <c r="C62" s="125">
        <v>27038916</v>
      </c>
      <c r="D62" s="124">
        <v>37566</v>
      </c>
      <c r="E62" s="125">
        <v>17548905</v>
      </c>
      <c r="F62" s="124">
        <v>83303</v>
      </c>
      <c r="G62" s="125">
        <v>44587821</v>
      </c>
      <c r="H62" s="124">
        <v>3186</v>
      </c>
      <c r="I62" s="126">
        <v>2312805</v>
      </c>
      <c r="J62" s="124">
        <v>7663</v>
      </c>
      <c r="K62" s="126">
        <v>1863336</v>
      </c>
      <c r="L62" s="124">
        <v>89978</v>
      </c>
      <c r="M62" s="126">
        <v>44138353</v>
      </c>
      <c r="N62" s="16" t="s">
        <v>123</v>
      </c>
    </row>
    <row r="63" spans="1:14" s="17" customFormat="1" ht="15.75" customHeight="1">
      <c r="A63" s="23"/>
      <c r="B63" s="129"/>
      <c r="C63" s="130"/>
      <c r="D63" s="129"/>
      <c r="E63" s="130"/>
      <c r="F63" s="131"/>
      <c r="G63" s="130"/>
      <c r="H63" s="131"/>
      <c r="I63" s="130"/>
      <c r="J63" s="131"/>
      <c r="K63" s="130"/>
      <c r="L63" s="131"/>
      <c r="M63" s="130"/>
      <c r="N63" s="24"/>
    </row>
    <row r="64" spans="1:14" s="17" customFormat="1" ht="15.75" customHeight="1">
      <c r="A64" s="11" t="s">
        <v>72</v>
      </c>
      <c r="B64" s="114">
        <f>_xlfn.COMPOUNDVALUE(205)</f>
        <v>597</v>
      </c>
      <c r="C64" s="115">
        <v>328947</v>
      </c>
      <c r="D64" s="114">
        <f>_xlfn.COMPOUNDVALUE(206)</f>
        <v>535</v>
      </c>
      <c r="E64" s="115">
        <v>236606</v>
      </c>
      <c r="F64" s="114">
        <f>_xlfn.COMPOUNDVALUE(207)</f>
        <v>1132</v>
      </c>
      <c r="G64" s="115">
        <v>565553</v>
      </c>
      <c r="H64" s="114">
        <f>_xlfn.COMPOUNDVALUE(208)</f>
        <v>61</v>
      </c>
      <c r="I64" s="116">
        <v>35205</v>
      </c>
      <c r="J64" s="114">
        <v>78</v>
      </c>
      <c r="K64" s="116">
        <v>24113</v>
      </c>
      <c r="L64" s="114">
        <v>1217</v>
      </c>
      <c r="M64" s="116">
        <v>554461</v>
      </c>
      <c r="N64" s="25" t="s">
        <v>72</v>
      </c>
    </row>
    <row r="65" spans="1:14" s="17" customFormat="1" ht="15.75" customHeight="1">
      <c r="A65" s="11" t="s">
        <v>73</v>
      </c>
      <c r="B65" s="114">
        <f>_xlfn.COMPOUNDVALUE(209)</f>
        <v>1535</v>
      </c>
      <c r="C65" s="115">
        <v>825360</v>
      </c>
      <c r="D65" s="114">
        <f>_xlfn.COMPOUNDVALUE(210)</f>
        <v>1222</v>
      </c>
      <c r="E65" s="115">
        <v>521031</v>
      </c>
      <c r="F65" s="114">
        <f>_xlfn.COMPOUNDVALUE(211)</f>
        <v>2757</v>
      </c>
      <c r="G65" s="115">
        <v>1346391</v>
      </c>
      <c r="H65" s="114">
        <f>_xlfn.COMPOUNDVALUE(212)</f>
        <v>172</v>
      </c>
      <c r="I65" s="116">
        <v>275259</v>
      </c>
      <c r="J65" s="114">
        <v>287</v>
      </c>
      <c r="K65" s="116">
        <v>49312</v>
      </c>
      <c r="L65" s="114">
        <v>3064</v>
      </c>
      <c r="M65" s="116">
        <v>1120443</v>
      </c>
      <c r="N65" s="12" t="s">
        <v>73</v>
      </c>
    </row>
    <row r="66" spans="1:14" s="17" customFormat="1" ht="15.75" customHeight="1">
      <c r="A66" s="11" t="s">
        <v>74</v>
      </c>
      <c r="B66" s="114">
        <f>_xlfn.COMPOUNDVALUE(213)</f>
        <v>646</v>
      </c>
      <c r="C66" s="115">
        <v>358678</v>
      </c>
      <c r="D66" s="114">
        <f>_xlfn.COMPOUNDVALUE(214)</f>
        <v>455</v>
      </c>
      <c r="E66" s="115">
        <v>176896</v>
      </c>
      <c r="F66" s="114">
        <f>_xlfn.COMPOUNDVALUE(215)</f>
        <v>1101</v>
      </c>
      <c r="G66" s="115">
        <v>535574</v>
      </c>
      <c r="H66" s="114">
        <f>_xlfn.COMPOUNDVALUE(216)</f>
        <v>34</v>
      </c>
      <c r="I66" s="116">
        <v>18481</v>
      </c>
      <c r="J66" s="114">
        <v>71</v>
      </c>
      <c r="K66" s="116">
        <v>12455</v>
      </c>
      <c r="L66" s="114">
        <v>1166</v>
      </c>
      <c r="M66" s="116">
        <v>529549</v>
      </c>
      <c r="N66" s="12" t="s">
        <v>74</v>
      </c>
    </row>
    <row r="67" spans="1:14" s="17" customFormat="1" ht="15.75" customHeight="1">
      <c r="A67" s="11" t="s">
        <v>75</v>
      </c>
      <c r="B67" s="114">
        <f>_xlfn.COMPOUNDVALUE(217)</f>
        <v>1183</v>
      </c>
      <c r="C67" s="115">
        <v>527854</v>
      </c>
      <c r="D67" s="114">
        <f>_xlfn.COMPOUNDVALUE(218)</f>
        <v>1026</v>
      </c>
      <c r="E67" s="115">
        <v>470070</v>
      </c>
      <c r="F67" s="114">
        <f>_xlfn.COMPOUNDVALUE(219)</f>
        <v>2209</v>
      </c>
      <c r="G67" s="115">
        <v>997924</v>
      </c>
      <c r="H67" s="114">
        <f>_xlfn.COMPOUNDVALUE(220)</f>
        <v>130</v>
      </c>
      <c r="I67" s="116">
        <v>51043</v>
      </c>
      <c r="J67" s="114">
        <v>210</v>
      </c>
      <c r="K67" s="116">
        <v>35419</v>
      </c>
      <c r="L67" s="114">
        <v>2439</v>
      </c>
      <c r="M67" s="116">
        <v>982300</v>
      </c>
      <c r="N67" s="12" t="s">
        <v>75</v>
      </c>
    </row>
    <row r="68" spans="1:14" s="17" customFormat="1" ht="15.75" customHeight="1">
      <c r="A68" s="11" t="s">
        <v>76</v>
      </c>
      <c r="B68" s="114">
        <f>_xlfn.COMPOUNDVALUE(221)</f>
        <v>1158</v>
      </c>
      <c r="C68" s="115">
        <v>868318</v>
      </c>
      <c r="D68" s="114">
        <f>_xlfn.COMPOUNDVALUE(222)</f>
        <v>1130</v>
      </c>
      <c r="E68" s="115">
        <v>604065</v>
      </c>
      <c r="F68" s="114">
        <f>_xlfn.COMPOUNDVALUE(223)</f>
        <v>2288</v>
      </c>
      <c r="G68" s="115">
        <v>1472383</v>
      </c>
      <c r="H68" s="114">
        <f>_xlfn.COMPOUNDVALUE(224)</f>
        <v>361</v>
      </c>
      <c r="I68" s="116">
        <v>349628</v>
      </c>
      <c r="J68" s="114">
        <v>94</v>
      </c>
      <c r="K68" s="116">
        <v>18203</v>
      </c>
      <c r="L68" s="114">
        <v>2694</v>
      </c>
      <c r="M68" s="116">
        <v>1140959</v>
      </c>
      <c r="N68" s="12" t="s">
        <v>76</v>
      </c>
    </row>
    <row r="69" spans="1:14" s="17" customFormat="1" ht="15.75" customHeight="1">
      <c r="A69" s="11" t="s">
        <v>77</v>
      </c>
      <c r="B69" s="114">
        <f>_xlfn.COMPOUNDVALUE(225)</f>
        <v>3171</v>
      </c>
      <c r="C69" s="115">
        <v>2024031</v>
      </c>
      <c r="D69" s="114">
        <f>_xlfn.COMPOUNDVALUE(226)</f>
        <v>2518</v>
      </c>
      <c r="E69" s="115">
        <v>1128082</v>
      </c>
      <c r="F69" s="114">
        <f>_xlfn.COMPOUNDVALUE(227)</f>
        <v>5689</v>
      </c>
      <c r="G69" s="115">
        <v>3152113</v>
      </c>
      <c r="H69" s="114">
        <f>_xlfn.COMPOUNDVALUE(228)</f>
        <v>164</v>
      </c>
      <c r="I69" s="116">
        <v>123063</v>
      </c>
      <c r="J69" s="114">
        <v>430</v>
      </c>
      <c r="K69" s="116">
        <v>71359</v>
      </c>
      <c r="L69" s="114">
        <v>6022</v>
      </c>
      <c r="M69" s="116">
        <v>3100408</v>
      </c>
      <c r="N69" s="12" t="s">
        <v>77</v>
      </c>
    </row>
    <row r="70" spans="1:14" s="17" customFormat="1" ht="15.75" customHeight="1">
      <c r="A70" s="11" t="s">
        <v>78</v>
      </c>
      <c r="B70" s="114">
        <f>_xlfn.COMPOUNDVALUE(229)</f>
        <v>2021</v>
      </c>
      <c r="C70" s="115">
        <v>1126202</v>
      </c>
      <c r="D70" s="114">
        <f>_xlfn.COMPOUNDVALUE(230)</f>
        <v>1815</v>
      </c>
      <c r="E70" s="115">
        <v>814946</v>
      </c>
      <c r="F70" s="114">
        <f>_xlfn.COMPOUNDVALUE(231)</f>
        <v>3836</v>
      </c>
      <c r="G70" s="115">
        <v>1941149</v>
      </c>
      <c r="H70" s="114">
        <f>_xlfn.COMPOUNDVALUE(232)</f>
        <v>92</v>
      </c>
      <c r="I70" s="116">
        <v>45528</v>
      </c>
      <c r="J70" s="114">
        <v>330</v>
      </c>
      <c r="K70" s="116">
        <v>86588</v>
      </c>
      <c r="L70" s="114">
        <v>4088</v>
      </c>
      <c r="M70" s="116">
        <v>1982209</v>
      </c>
      <c r="N70" s="12" t="s">
        <v>78</v>
      </c>
    </row>
    <row r="71" spans="1:14" s="17" customFormat="1" ht="15.75" customHeight="1">
      <c r="A71" s="11" t="s">
        <v>79</v>
      </c>
      <c r="B71" s="114">
        <f>_xlfn.COMPOUNDVALUE(233)</f>
        <v>1679</v>
      </c>
      <c r="C71" s="115">
        <v>795002</v>
      </c>
      <c r="D71" s="114">
        <f>_xlfn.COMPOUNDVALUE(234)</f>
        <v>2074</v>
      </c>
      <c r="E71" s="115">
        <v>883059</v>
      </c>
      <c r="F71" s="114">
        <f>_xlfn.COMPOUNDVALUE(235)</f>
        <v>3753</v>
      </c>
      <c r="G71" s="115">
        <v>1678061</v>
      </c>
      <c r="H71" s="114">
        <f>_xlfn.COMPOUNDVALUE(236)</f>
        <v>157</v>
      </c>
      <c r="I71" s="116">
        <v>148884</v>
      </c>
      <c r="J71" s="114">
        <v>235</v>
      </c>
      <c r="K71" s="116">
        <v>48068</v>
      </c>
      <c r="L71" s="114">
        <v>4048</v>
      </c>
      <c r="M71" s="116">
        <v>1577245</v>
      </c>
      <c r="N71" s="12" t="s">
        <v>79</v>
      </c>
    </row>
    <row r="72" spans="1:14" s="17" customFormat="1" ht="15.75" customHeight="1">
      <c r="A72" s="11" t="s">
        <v>80</v>
      </c>
      <c r="B72" s="114">
        <f>_xlfn.COMPOUNDVALUE(237)</f>
        <v>2352</v>
      </c>
      <c r="C72" s="115">
        <v>1637205</v>
      </c>
      <c r="D72" s="114">
        <f>_xlfn.COMPOUNDVALUE(238)</f>
        <v>2609</v>
      </c>
      <c r="E72" s="115">
        <v>1296021</v>
      </c>
      <c r="F72" s="114">
        <f>_xlfn.COMPOUNDVALUE(239)</f>
        <v>4961</v>
      </c>
      <c r="G72" s="115">
        <v>2933226</v>
      </c>
      <c r="H72" s="114">
        <f>_xlfn.COMPOUNDVALUE(240)</f>
        <v>266</v>
      </c>
      <c r="I72" s="116">
        <v>825075</v>
      </c>
      <c r="J72" s="114">
        <v>253</v>
      </c>
      <c r="K72" s="116">
        <v>44117</v>
      </c>
      <c r="L72" s="114">
        <v>5343</v>
      </c>
      <c r="M72" s="116">
        <v>2152268</v>
      </c>
      <c r="N72" s="12" t="s">
        <v>80</v>
      </c>
    </row>
    <row r="73" spans="1:14" s="17" customFormat="1" ht="15.75" customHeight="1">
      <c r="A73" s="11" t="s">
        <v>81</v>
      </c>
      <c r="B73" s="114">
        <f>_xlfn.COMPOUNDVALUE(241)</f>
        <v>969</v>
      </c>
      <c r="C73" s="115">
        <v>657867</v>
      </c>
      <c r="D73" s="114">
        <f>_xlfn.COMPOUNDVALUE(242)</f>
        <v>1556</v>
      </c>
      <c r="E73" s="115">
        <v>576852</v>
      </c>
      <c r="F73" s="114">
        <f>_xlfn.COMPOUNDVALUE(243)</f>
        <v>2525</v>
      </c>
      <c r="G73" s="115">
        <v>1234718</v>
      </c>
      <c r="H73" s="114">
        <f>_xlfn.COMPOUNDVALUE(244)</f>
        <v>62</v>
      </c>
      <c r="I73" s="116">
        <v>36238</v>
      </c>
      <c r="J73" s="114">
        <v>185</v>
      </c>
      <c r="K73" s="116">
        <v>31781</v>
      </c>
      <c r="L73" s="114">
        <v>2634</v>
      </c>
      <c r="M73" s="116">
        <v>1230261</v>
      </c>
      <c r="N73" s="12" t="s">
        <v>81</v>
      </c>
    </row>
    <row r="74" spans="1:14" s="17" customFormat="1" ht="15.75" customHeight="1">
      <c r="A74" s="11" t="s">
        <v>82</v>
      </c>
      <c r="B74" s="114">
        <f>_xlfn.COMPOUNDVALUE(245)</f>
        <v>1131</v>
      </c>
      <c r="C74" s="115">
        <v>899947</v>
      </c>
      <c r="D74" s="114">
        <f>_xlfn.COMPOUNDVALUE(246)</f>
        <v>1172</v>
      </c>
      <c r="E74" s="115">
        <v>612636</v>
      </c>
      <c r="F74" s="114">
        <f>_xlfn.COMPOUNDVALUE(247)</f>
        <v>2303</v>
      </c>
      <c r="G74" s="115">
        <v>1512583</v>
      </c>
      <c r="H74" s="114">
        <f>_xlfn.COMPOUNDVALUE(248)</f>
        <v>163</v>
      </c>
      <c r="I74" s="116">
        <v>87621</v>
      </c>
      <c r="J74" s="114">
        <v>159</v>
      </c>
      <c r="K74" s="116">
        <v>5425</v>
      </c>
      <c r="L74" s="114">
        <v>2498</v>
      </c>
      <c r="M74" s="116">
        <v>1430386</v>
      </c>
      <c r="N74" s="12" t="s">
        <v>82</v>
      </c>
    </row>
    <row r="75" spans="1:14" s="17" customFormat="1" ht="15.75" customHeight="1">
      <c r="A75" s="11" t="s">
        <v>83</v>
      </c>
      <c r="B75" s="114">
        <f>_xlfn.COMPOUNDVALUE(249)</f>
        <v>1383</v>
      </c>
      <c r="C75" s="115">
        <v>653125</v>
      </c>
      <c r="D75" s="114">
        <f>_xlfn.COMPOUNDVALUE(250)</f>
        <v>1333</v>
      </c>
      <c r="E75" s="115">
        <v>580259</v>
      </c>
      <c r="F75" s="114">
        <f>_xlfn.COMPOUNDVALUE(251)</f>
        <v>2716</v>
      </c>
      <c r="G75" s="115">
        <v>1233384</v>
      </c>
      <c r="H75" s="114">
        <f>_xlfn.COMPOUNDVALUE(252)</f>
        <v>85</v>
      </c>
      <c r="I75" s="116">
        <v>54405</v>
      </c>
      <c r="J75" s="114">
        <v>302</v>
      </c>
      <c r="K75" s="116">
        <v>72577</v>
      </c>
      <c r="L75" s="114">
        <v>2918</v>
      </c>
      <c r="M75" s="116">
        <v>1251555</v>
      </c>
      <c r="N75" s="12" t="s">
        <v>83</v>
      </c>
    </row>
    <row r="76" spans="1:14" s="17" customFormat="1" ht="15.75" customHeight="1">
      <c r="A76" s="11" t="s">
        <v>84</v>
      </c>
      <c r="B76" s="114">
        <f>_xlfn.COMPOUNDVALUE(253)</f>
        <v>462</v>
      </c>
      <c r="C76" s="115">
        <v>273892</v>
      </c>
      <c r="D76" s="114">
        <f>_xlfn.COMPOUNDVALUE(254)</f>
        <v>453</v>
      </c>
      <c r="E76" s="115">
        <v>177632</v>
      </c>
      <c r="F76" s="114">
        <f>_xlfn.COMPOUNDVALUE(255)</f>
        <v>915</v>
      </c>
      <c r="G76" s="115">
        <v>451524</v>
      </c>
      <c r="H76" s="114">
        <f>_xlfn.COMPOUNDVALUE(256)</f>
        <v>27</v>
      </c>
      <c r="I76" s="116">
        <v>36906</v>
      </c>
      <c r="J76" s="114">
        <v>62</v>
      </c>
      <c r="K76" s="116">
        <v>9631</v>
      </c>
      <c r="L76" s="114">
        <v>970</v>
      </c>
      <c r="M76" s="116">
        <v>424250</v>
      </c>
      <c r="N76" s="12" t="s">
        <v>84</v>
      </c>
    </row>
    <row r="77" spans="1:14" s="17" customFormat="1" ht="15.75" customHeight="1">
      <c r="A77" s="11" t="s">
        <v>85</v>
      </c>
      <c r="B77" s="114">
        <f>_xlfn.COMPOUNDVALUE(257)</f>
        <v>840</v>
      </c>
      <c r="C77" s="115">
        <v>635931</v>
      </c>
      <c r="D77" s="114">
        <f>_xlfn.COMPOUNDVALUE(258)</f>
        <v>792</v>
      </c>
      <c r="E77" s="115">
        <v>306528</v>
      </c>
      <c r="F77" s="114">
        <f>_xlfn.COMPOUNDVALUE(259)</f>
        <v>1632</v>
      </c>
      <c r="G77" s="115">
        <v>942459</v>
      </c>
      <c r="H77" s="114">
        <f>_xlfn.COMPOUNDVALUE(260)</f>
        <v>40</v>
      </c>
      <c r="I77" s="116">
        <v>27435</v>
      </c>
      <c r="J77" s="114">
        <v>131</v>
      </c>
      <c r="K77" s="116">
        <v>14543</v>
      </c>
      <c r="L77" s="114">
        <v>1700</v>
      </c>
      <c r="M77" s="116">
        <v>929566</v>
      </c>
      <c r="N77" s="12" t="s">
        <v>85</v>
      </c>
    </row>
    <row r="78" spans="1:14" s="17" customFormat="1" ht="15.75" customHeight="1">
      <c r="A78" s="13" t="s">
        <v>86</v>
      </c>
      <c r="B78" s="119">
        <f>_xlfn.COMPOUNDVALUE(261)</f>
        <v>1760</v>
      </c>
      <c r="C78" s="120">
        <v>903347</v>
      </c>
      <c r="D78" s="119">
        <f>_xlfn.COMPOUNDVALUE(262)</f>
        <v>1226</v>
      </c>
      <c r="E78" s="120">
        <v>531696</v>
      </c>
      <c r="F78" s="119">
        <f>_xlfn.COMPOUNDVALUE(263)</f>
        <v>2986</v>
      </c>
      <c r="G78" s="120">
        <v>1435043</v>
      </c>
      <c r="H78" s="119">
        <f>_xlfn.COMPOUNDVALUE(264)</f>
        <v>102</v>
      </c>
      <c r="I78" s="121">
        <v>53449</v>
      </c>
      <c r="J78" s="119">
        <v>328</v>
      </c>
      <c r="K78" s="121">
        <v>58751</v>
      </c>
      <c r="L78" s="119">
        <v>3205</v>
      </c>
      <c r="M78" s="121">
        <v>1440345</v>
      </c>
      <c r="N78" s="14" t="s">
        <v>86</v>
      </c>
    </row>
    <row r="79" spans="1:14" s="17" customFormat="1" ht="15.75" customHeight="1">
      <c r="A79" s="13" t="s">
        <v>87</v>
      </c>
      <c r="B79" s="119">
        <f>_xlfn.COMPOUNDVALUE(265)</f>
        <v>918</v>
      </c>
      <c r="C79" s="120">
        <v>628564</v>
      </c>
      <c r="D79" s="119">
        <f>_xlfn.COMPOUNDVALUE(266)</f>
        <v>1008</v>
      </c>
      <c r="E79" s="120">
        <v>440848</v>
      </c>
      <c r="F79" s="119">
        <f>_xlfn.COMPOUNDVALUE(267)</f>
        <v>1926</v>
      </c>
      <c r="G79" s="120">
        <v>1069412</v>
      </c>
      <c r="H79" s="119">
        <f>_xlfn.COMPOUNDVALUE(268)</f>
        <v>47</v>
      </c>
      <c r="I79" s="121">
        <v>18349</v>
      </c>
      <c r="J79" s="119">
        <v>248</v>
      </c>
      <c r="K79" s="121">
        <v>48206</v>
      </c>
      <c r="L79" s="119">
        <v>2028</v>
      </c>
      <c r="M79" s="121">
        <v>1099269</v>
      </c>
      <c r="N79" s="14" t="s">
        <v>87</v>
      </c>
    </row>
    <row r="80" spans="1:14" s="17" customFormat="1" ht="15.75" customHeight="1">
      <c r="A80" s="13" t="s">
        <v>88</v>
      </c>
      <c r="B80" s="119">
        <f>_xlfn.COMPOUNDVALUE(269)</f>
        <v>428</v>
      </c>
      <c r="C80" s="120">
        <v>247211</v>
      </c>
      <c r="D80" s="119">
        <f>_xlfn.COMPOUNDVALUE(270)</f>
        <v>389</v>
      </c>
      <c r="E80" s="120">
        <v>157602</v>
      </c>
      <c r="F80" s="119">
        <f>_xlfn.COMPOUNDVALUE(271)</f>
        <v>817</v>
      </c>
      <c r="G80" s="120">
        <v>404813</v>
      </c>
      <c r="H80" s="119">
        <f>_xlfn.COMPOUNDVALUE(272)</f>
        <v>23</v>
      </c>
      <c r="I80" s="121">
        <v>28046</v>
      </c>
      <c r="J80" s="119">
        <v>32</v>
      </c>
      <c r="K80" s="121">
        <v>3951</v>
      </c>
      <c r="L80" s="119">
        <v>851</v>
      </c>
      <c r="M80" s="121">
        <v>380718</v>
      </c>
      <c r="N80" s="14" t="s">
        <v>88</v>
      </c>
    </row>
    <row r="81" spans="1:14" s="17" customFormat="1" ht="15.75" customHeight="1">
      <c r="A81" s="13" t="s">
        <v>89</v>
      </c>
      <c r="B81" s="119">
        <f>_xlfn.COMPOUNDVALUE(273)</f>
        <v>402</v>
      </c>
      <c r="C81" s="120">
        <v>225521</v>
      </c>
      <c r="D81" s="119">
        <f>_xlfn.COMPOUNDVALUE(274)</f>
        <v>359</v>
      </c>
      <c r="E81" s="120">
        <v>138261</v>
      </c>
      <c r="F81" s="119">
        <f>_xlfn.COMPOUNDVALUE(275)</f>
        <v>761</v>
      </c>
      <c r="G81" s="120">
        <v>363782</v>
      </c>
      <c r="H81" s="119">
        <f>_xlfn.COMPOUNDVALUE(276)</f>
        <v>35</v>
      </c>
      <c r="I81" s="121">
        <v>40023</v>
      </c>
      <c r="J81" s="119">
        <v>63</v>
      </c>
      <c r="K81" s="121">
        <v>20643</v>
      </c>
      <c r="L81" s="119">
        <v>826</v>
      </c>
      <c r="M81" s="121">
        <v>344402</v>
      </c>
      <c r="N81" s="14" t="s">
        <v>89</v>
      </c>
    </row>
    <row r="82" spans="1:14" s="17" customFormat="1" ht="15.75" customHeight="1">
      <c r="A82" s="13" t="s">
        <v>90</v>
      </c>
      <c r="B82" s="119">
        <f>_xlfn.COMPOUNDVALUE(277)</f>
        <v>674</v>
      </c>
      <c r="C82" s="120">
        <v>377883</v>
      </c>
      <c r="D82" s="119">
        <f>_xlfn.COMPOUNDVALUE(278)</f>
        <v>642</v>
      </c>
      <c r="E82" s="120">
        <v>258322</v>
      </c>
      <c r="F82" s="119">
        <f>_xlfn.COMPOUNDVALUE(279)</f>
        <v>1316</v>
      </c>
      <c r="G82" s="120">
        <v>636205</v>
      </c>
      <c r="H82" s="119">
        <f>_xlfn.COMPOUNDVALUE(280)</f>
        <v>56</v>
      </c>
      <c r="I82" s="121">
        <v>38015</v>
      </c>
      <c r="J82" s="119">
        <v>91</v>
      </c>
      <c r="K82" s="121">
        <v>13225</v>
      </c>
      <c r="L82" s="119">
        <v>1414</v>
      </c>
      <c r="M82" s="121">
        <v>611415</v>
      </c>
      <c r="N82" s="14" t="s">
        <v>90</v>
      </c>
    </row>
    <row r="83" spans="1:14" s="17" customFormat="1" ht="15.75" customHeight="1">
      <c r="A83" s="13" t="s">
        <v>91</v>
      </c>
      <c r="B83" s="119">
        <f>_xlfn.COMPOUNDVALUE(281)</f>
        <v>284</v>
      </c>
      <c r="C83" s="120">
        <v>155822</v>
      </c>
      <c r="D83" s="119">
        <f>_xlfn.COMPOUNDVALUE(282)</f>
        <v>250</v>
      </c>
      <c r="E83" s="120">
        <v>95187</v>
      </c>
      <c r="F83" s="119">
        <f>_xlfn.COMPOUNDVALUE(283)</f>
        <v>534</v>
      </c>
      <c r="G83" s="120">
        <v>251009</v>
      </c>
      <c r="H83" s="119">
        <f>_xlfn.COMPOUNDVALUE(284)</f>
        <v>22</v>
      </c>
      <c r="I83" s="121">
        <v>10225</v>
      </c>
      <c r="J83" s="119">
        <v>61</v>
      </c>
      <c r="K83" s="121">
        <v>7812</v>
      </c>
      <c r="L83" s="119">
        <v>564</v>
      </c>
      <c r="M83" s="121">
        <v>248596</v>
      </c>
      <c r="N83" s="14" t="s">
        <v>91</v>
      </c>
    </row>
    <row r="84" spans="1:14" s="17" customFormat="1" ht="15.75" customHeight="1">
      <c r="A84" s="13" t="s">
        <v>92</v>
      </c>
      <c r="B84" s="119">
        <f>_xlfn.COMPOUNDVALUE(285)</f>
        <v>520</v>
      </c>
      <c r="C84" s="120">
        <v>287818</v>
      </c>
      <c r="D84" s="119">
        <f>_xlfn.COMPOUNDVALUE(286)</f>
        <v>562</v>
      </c>
      <c r="E84" s="120">
        <v>209478</v>
      </c>
      <c r="F84" s="119">
        <f>_xlfn.COMPOUNDVALUE(287)</f>
        <v>1082</v>
      </c>
      <c r="G84" s="120">
        <v>497296</v>
      </c>
      <c r="H84" s="119">
        <f>_xlfn.COMPOUNDVALUE(288)</f>
        <v>31</v>
      </c>
      <c r="I84" s="121">
        <v>16890</v>
      </c>
      <c r="J84" s="119">
        <v>106</v>
      </c>
      <c r="K84" s="121">
        <v>10127</v>
      </c>
      <c r="L84" s="119">
        <v>1136</v>
      </c>
      <c r="M84" s="121">
        <v>490533</v>
      </c>
      <c r="N84" s="14" t="s">
        <v>92</v>
      </c>
    </row>
    <row r="85" spans="1:14" s="17" customFormat="1" ht="15.75" customHeight="1">
      <c r="A85" s="15" t="s">
        <v>93</v>
      </c>
      <c r="B85" s="124">
        <v>24113</v>
      </c>
      <c r="C85" s="125">
        <v>14438525</v>
      </c>
      <c r="D85" s="124">
        <v>23126</v>
      </c>
      <c r="E85" s="125">
        <v>10216074</v>
      </c>
      <c r="F85" s="124">
        <v>47239</v>
      </c>
      <c r="G85" s="125">
        <v>24654599</v>
      </c>
      <c r="H85" s="124">
        <v>2130</v>
      </c>
      <c r="I85" s="126">
        <v>2319766</v>
      </c>
      <c r="J85" s="124">
        <v>3756</v>
      </c>
      <c r="K85" s="126">
        <v>686306</v>
      </c>
      <c r="L85" s="124">
        <v>50825</v>
      </c>
      <c r="M85" s="126">
        <v>23021139</v>
      </c>
      <c r="N85" s="16" t="s">
        <v>124</v>
      </c>
    </row>
    <row r="86" spans="1:14" s="20" customFormat="1"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_xlfn.COMPOUNDVALUE(289)</f>
        <v>2961</v>
      </c>
      <c r="C87" s="120">
        <v>1679470</v>
      </c>
      <c r="D87" s="119">
        <f>_xlfn.COMPOUNDVALUE(290)</f>
        <v>2622</v>
      </c>
      <c r="E87" s="120">
        <v>1197731</v>
      </c>
      <c r="F87" s="119">
        <f>_xlfn.COMPOUNDVALUE(291)</f>
        <v>5583</v>
      </c>
      <c r="G87" s="120">
        <v>2877201</v>
      </c>
      <c r="H87" s="119">
        <f>_xlfn.COMPOUNDVALUE(292)</f>
        <v>213</v>
      </c>
      <c r="I87" s="121">
        <v>169605</v>
      </c>
      <c r="J87" s="119">
        <v>469</v>
      </c>
      <c r="K87" s="121">
        <v>90008</v>
      </c>
      <c r="L87" s="119">
        <v>5970</v>
      </c>
      <c r="M87" s="121">
        <v>2797604</v>
      </c>
      <c r="N87" s="14" t="s">
        <v>94</v>
      </c>
    </row>
    <row r="88" spans="1:14" ht="15.75" customHeight="1">
      <c r="A88" s="13" t="s">
        <v>95</v>
      </c>
      <c r="B88" s="119">
        <f>_xlfn.COMPOUNDVALUE(293)</f>
        <v>2673</v>
      </c>
      <c r="C88" s="120">
        <v>1446994</v>
      </c>
      <c r="D88" s="119">
        <f>_xlfn.COMPOUNDVALUE(294)</f>
        <v>2044</v>
      </c>
      <c r="E88" s="120">
        <v>863737</v>
      </c>
      <c r="F88" s="119">
        <f>_xlfn.COMPOUNDVALUE(295)</f>
        <v>4717</v>
      </c>
      <c r="G88" s="120">
        <v>2310731</v>
      </c>
      <c r="H88" s="119">
        <f>_xlfn.COMPOUNDVALUE(296)</f>
        <v>189</v>
      </c>
      <c r="I88" s="121">
        <v>115677</v>
      </c>
      <c r="J88" s="119">
        <v>283</v>
      </c>
      <c r="K88" s="121">
        <v>71764</v>
      </c>
      <c r="L88" s="119">
        <v>5019</v>
      </c>
      <c r="M88" s="121">
        <v>2266818</v>
      </c>
      <c r="N88" s="14" t="s">
        <v>95</v>
      </c>
    </row>
    <row r="89" spans="1:14" ht="15.75" customHeight="1">
      <c r="A89" s="13" t="s">
        <v>96</v>
      </c>
      <c r="B89" s="119">
        <f>_xlfn.COMPOUNDVALUE(297)</f>
        <v>1026</v>
      </c>
      <c r="C89" s="120">
        <v>535356</v>
      </c>
      <c r="D89" s="119">
        <f>_xlfn.COMPOUNDVALUE(298)</f>
        <v>574</v>
      </c>
      <c r="E89" s="120">
        <v>202905</v>
      </c>
      <c r="F89" s="119">
        <f>_xlfn.COMPOUNDVALUE(299)</f>
        <v>1600</v>
      </c>
      <c r="G89" s="120">
        <v>738261</v>
      </c>
      <c r="H89" s="119">
        <f>_xlfn.COMPOUNDVALUE(300)</f>
        <v>58</v>
      </c>
      <c r="I89" s="121">
        <v>40295</v>
      </c>
      <c r="J89" s="119">
        <v>149</v>
      </c>
      <c r="K89" s="121">
        <v>28609</v>
      </c>
      <c r="L89" s="119">
        <v>1710</v>
      </c>
      <c r="M89" s="121">
        <v>726575</v>
      </c>
      <c r="N89" s="14" t="s">
        <v>96</v>
      </c>
    </row>
    <row r="90" spans="1:14" ht="15.75" customHeight="1">
      <c r="A90" s="13" t="s">
        <v>97</v>
      </c>
      <c r="B90" s="119">
        <f>_xlfn.COMPOUNDVALUE(301)</f>
        <v>345</v>
      </c>
      <c r="C90" s="120">
        <v>217384</v>
      </c>
      <c r="D90" s="119">
        <f>_xlfn.COMPOUNDVALUE(302)</f>
        <v>418</v>
      </c>
      <c r="E90" s="120">
        <v>162460</v>
      </c>
      <c r="F90" s="119">
        <f>_xlfn.COMPOUNDVALUE(303)</f>
        <v>763</v>
      </c>
      <c r="G90" s="120">
        <v>379844</v>
      </c>
      <c r="H90" s="119">
        <f>_xlfn.COMPOUNDVALUE(304)</f>
        <v>14</v>
      </c>
      <c r="I90" s="121">
        <v>2375</v>
      </c>
      <c r="J90" s="119">
        <v>85</v>
      </c>
      <c r="K90" s="121">
        <v>10351</v>
      </c>
      <c r="L90" s="119">
        <v>796</v>
      </c>
      <c r="M90" s="121">
        <v>387821</v>
      </c>
      <c r="N90" s="14" t="s">
        <v>97</v>
      </c>
    </row>
    <row r="91" spans="1:14" s="17" customFormat="1" ht="15.75" customHeight="1">
      <c r="A91" s="15" t="s">
        <v>98</v>
      </c>
      <c r="B91" s="124">
        <v>7005</v>
      </c>
      <c r="C91" s="125">
        <v>3879204</v>
      </c>
      <c r="D91" s="124">
        <v>5658</v>
      </c>
      <c r="E91" s="125">
        <v>2426833</v>
      </c>
      <c r="F91" s="124">
        <v>12663</v>
      </c>
      <c r="G91" s="125">
        <v>6306037</v>
      </c>
      <c r="H91" s="124">
        <v>474</v>
      </c>
      <c r="I91" s="126">
        <v>327952</v>
      </c>
      <c r="J91" s="124">
        <v>986</v>
      </c>
      <c r="K91" s="126">
        <v>200733</v>
      </c>
      <c r="L91" s="124">
        <v>13495</v>
      </c>
      <c r="M91" s="126">
        <v>6178818</v>
      </c>
      <c r="N91" s="16" t="s">
        <v>125</v>
      </c>
    </row>
    <row r="92" spans="1:14" s="17" customFormat="1" ht="15.75" customHeight="1">
      <c r="A92" s="23"/>
      <c r="B92" s="129"/>
      <c r="C92" s="130"/>
      <c r="D92" s="129"/>
      <c r="E92" s="130"/>
      <c r="F92" s="131"/>
      <c r="G92" s="130"/>
      <c r="H92" s="131"/>
      <c r="I92" s="130"/>
      <c r="J92" s="131"/>
      <c r="K92" s="130"/>
      <c r="L92" s="131"/>
      <c r="M92" s="130"/>
      <c r="N92" s="24"/>
    </row>
    <row r="93" spans="1:14" s="17" customFormat="1" ht="15.75" customHeight="1">
      <c r="A93" s="11" t="s">
        <v>99</v>
      </c>
      <c r="B93" s="114">
        <f>_xlfn.COMPOUNDVALUE(305)</f>
        <v>2037</v>
      </c>
      <c r="C93" s="115">
        <v>1214817</v>
      </c>
      <c r="D93" s="114">
        <f>_xlfn.COMPOUNDVALUE(306)</f>
        <v>1753</v>
      </c>
      <c r="E93" s="115">
        <v>773150</v>
      </c>
      <c r="F93" s="114">
        <f>_xlfn.COMPOUNDVALUE(307)</f>
        <v>3790</v>
      </c>
      <c r="G93" s="115">
        <v>1987967</v>
      </c>
      <c r="H93" s="114">
        <f>_xlfn.COMPOUNDVALUE(308)</f>
        <v>122</v>
      </c>
      <c r="I93" s="116">
        <v>42075</v>
      </c>
      <c r="J93" s="114">
        <v>269</v>
      </c>
      <c r="K93" s="116">
        <v>56712</v>
      </c>
      <c r="L93" s="114">
        <v>4011</v>
      </c>
      <c r="M93" s="116">
        <v>2002604</v>
      </c>
      <c r="N93" s="25" t="s">
        <v>99</v>
      </c>
    </row>
    <row r="94" spans="1:14" s="17" customFormat="1" ht="15.75" customHeight="1">
      <c r="A94" s="13" t="s">
        <v>100</v>
      </c>
      <c r="B94" s="119">
        <f>_xlfn.COMPOUNDVALUE(309)</f>
        <v>406</v>
      </c>
      <c r="C94" s="120">
        <v>255568</v>
      </c>
      <c r="D94" s="119">
        <f>_xlfn.COMPOUNDVALUE(310)</f>
        <v>431</v>
      </c>
      <c r="E94" s="120">
        <v>147479</v>
      </c>
      <c r="F94" s="119">
        <f>_xlfn.COMPOUNDVALUE(311)</f>
        <v>837</v>
      </c>
      <c r="G94" s="120">
        <v>403047</v>
      </c>
      <c r="H94" s="119">
        <f>_xlfn.COMPOUNDVALUE(312)</f>
        <v>17</v>
      </c>
      <c r="I94" s="121">
        <v>5369</v>
      </c>
      <c r="J94" s="119">
        <v>99</v>
      </c>
      <c r="K94" s="121">
        <v>15279</v>
      </c>
      <c r="L94" s="119">
        <v>869</v>
      </c>
      <c r="M94" s="121">
        <v>412957</v>
      </c>
      <c r="N94" s="14" t="s">
        <v>100</v>
      </c>
    </row>
    <row r="95" spans="1:14" s="17" customFormat="1" ht="15.75" customHeight="1">
      <c r="A95" s="13" t="s">
        <v>101</v>
      </c>
      <c r="B95" s="119">
        <f>_xlfn.COMPOUNDVALUE(313)</f>
        <v>599</v>
      </c>
      <c r="C95" s="120">
        <v>360496</v>
      </c>
      <c r="D95" s="119">
        <f>_xlfn.COMPOUNDVALUE(314)</f>
        <v>947</v>
      </c>
      <c r="E95" s="120">
        <v>335850</v>
      </c>
      <c r="F95" s="119">
        <f>_xlfn.COMPOUNDVALUE(315)</f>
        <v>1546</v>
      </c>
      <c r="G95" s="120">
        <v>696346</v>
      </c>
      <c r="H95" s="119">
        <f>_xlfn.COMPOUNDVALUE(316)</f>
        <v>29</v>
      </c>
      <c r="I95" s="121">
        <v>13885</v>
      </c>
      <c r="J95" s="119">
        <v>61</v>
      </c>
      <c r="K95" s="121">
        <v>16273</v>
      </c>
      <c r="L95" s="119">
        <v>1603</v>
      </c>
      <c r="M95" s="121">
        <v>698734</v>
      </c>
      <c r="N95" s="14" t="s">
        <v>101</v>
      </c>
    </row>
    <row r="96" spans="1:14" s="17" customFormat="1" ht="15.75" customHeight="1">
      <c r="A96" s="13" t="s">
        <v>102</v>
      </c>
      <c r="B96" s="119">
        <f>_xlfn.COMPOUNDVALUE(317)</f>
        <v>842</v>
      </c>
      <c r="C96" s="120">
        <v>511099</v>
      </c>
      <c r="D96" s="119">
        <f>_xlfn.COMPOUNDVALUE(318)</f>
        <v>954</v>
      </c>
      <c r="E96" s="120">
        <v>361789</v>
      </c>
      <c r="F96" s="119">
        <f>_xlfn.COMPOUNDVALUE(319)</f>
        <v>1796</v>
      </c>
      <c r="G96" s="120">
        <v>872888</v>
      </c>
      <c r="H96" s="119">
        <f>_xlfn.COMPOUNDVALUE(320)</f>
        <v>35</v>
      </c>
      <c r="I96" s="121">
        <v>8804</v>
      </c>
      <c r="J96" s="119">
        <v>111</v>
      </c>
      <c r="K96" s="121">
        <v>13791</v>
      </c>
      <c r="L96" s="119">
        <v>1869</v>
      </c>
      <c r="M96" s="121">
        <v>877876</v>
      </c>
      <c r="N96" s="14" t="s">
        <v>102</v>
      </c>
    </row>
    <row r="97" spans="1:14" s="17" customFormat="1" ht="15.75" customHeight="1">
      <c r="A97" s="13" t="s">
        <v>103</v>
      </c>
      <c r="B97" s="119">
        <f>_xlfn.COMPOUNDVALUE(321)</f>
        <v>581</v>
      </c>
      <c r="C97" s="120">
        <v>340061</v>
      </c>
      <c r="D97" s="119">
        <f>_xlfn.COMPOUNDVALUE(322)</f>
        <v>526</v>
      </c>
      <c r="E97" s="120">
        <v>181277</v>
      </c>
      <c r="F97" s="119">
        <f>_xlfn.COMPOUNDVALUE(323)</f>
        <v>1107</v>
      </c>
      <c r="G97" s="120">
        <v>521338</v>
      </c>
      <c r="H97" s="119">
        <f>_xlfn.COMPOUNDVALUE(324)</f>
        <v>26</v>
      </c>
      <c r="I97" s="121">
        <v>13841</v>
      </c>
      <c r="J97" s="119">
        <v>111</v>
      </c>
      <c r="K97" s="121">
        <v>22666</v>
      </c>
      <c r="L97" s="119">
        <v>1180</v>
      </c>
      <c r="M97" s="121">
        <v>530163</v>
      </c>
      <c r="N97" s="14" t="s">
        <v>103</v>
      </c>
    </row>
    <row r="98" spans="1:14" s="17" customFormat="1" ht="15.75" customHeight="1">
      <c r="A98" s="13" t="s">
        <v>104</v>
      </c>
      <c r="B98" s="119">
        <f>_xlfn.COMPOUNDVALUE(325)</f>
        <v>1114</v>
      </c>
      <c r="C98" s="120">
        <v>585959</v>
      </c>
      <c r="D98" s="119">
        <f>_xlfn.COMPOUNDVALUE(326)</f>
        <v>995</v>
      </c>
      <c r="E98" s="120">
        <v>354454</v>
      </c>
      <c r="F98" s="119">
        <f>_xlfn.COMPOUNDVALUE(327)</f>
        <v>2109</v>
      </c>
      <c r="G98" s="120">
        <v>940412</v>
      </c>
      <c r="H98" s="119">
        <f>_xlfn.COMPOUNDVALUE(328)</f>
        <v>50</v>
      </c>
      <c r="I98" s="121">
        <v>38887</v>
      </c>
      <c r="J98" s="119">
        <v>208</v>
      </c>
      <c r="K98" s="121">
        <v>24827</v>
      </c>
      <c r="L98" s="119">
        <v>2215</v>
      </c>
      <c r="M98" s="121">
        <v>926352</v>
      </c>
      <c r="N98" s="14" t="s">
        <v>104</v>
      </c>
    </row>
    <row r="99" spans="1:14" s="17" customFormat="1" ht="15.75" customHeight="1">
      <c r="A99" s="13" t="s">
        <v>105</v>
      </c>
      <c r="B99" s="119">
        <f>_xlfn.COMPOUNDVALUE(329)</f>
        <v>639</v>
      </c>
      <c r="C99" s="120">
        <v>406136</v>
      </c>
      <c r="D99" s="119">
        <f>_xlfn.COMPOUNDVALUE(330)</f>
        <v>1067</v>
      </c>
      <c r="E99" s="120">
        <v>361298</v>
      </c>
      <c r="F99" s="119">
        <f>_xlfn.COMPOUNDVALUE(331)</f>
        <v>1706</v>
      </c>
      <c r="G99" s="120">
        <v>767434</v>
      </c>
      <c r="H99" s="119">
        <f>_xlfn.COMPOUNDVALUE(332)</f>
        <v>18</v>
      </c>
      <c r="I99" s="121">
        <v>11689</v>
      </c>
      <c r="J99" s="119">
        <v>112</v>
      </c>
      <c r="K99" s="121">
        <v>17792</v>
      </c>
      <c r="L99" s="119">
        <v>1770</v>
      </c>
      <c r="M99" s="121">
        <v>773537</v>
      </c>
      <c r="N99" s="14" t="s">
        <v>105</v>
      </c>
    </row>
    <row r="100" spans="1:14" s="17" customFormat="1" ht="15.75" customHeight="1">
      <c r="A100" s="15" t="s">
        <v>106</v>
      </c>
      <c r="B100" s="124">
        <v>6218</v>
      </c>
      <c r="C100" s="125">
        <v>3674136</v>
      </c>
      <c r="D100" s="124">
        <v>6673</v>
      </c>
      <c r="E100" s="125">
        <v>2515296</v>
      </c>
      <c r="F100" s="124">
        <v>12891</v>
      </c>
      <c r="G100" s="125">
        <v>6189432</v>
      </c>
      <c r="H100" s="124">
        <v>297</v>
      </c>
      <c r="I100" s="126">
        <v>134549</v>
      </c>
      <c r="J100" s="124">
        <v>971</v>
      </c>
      <c r="K100" s="126">
        <v>167341</v>
      </c>
      <c r="L100" s="124">
        <v>13517</v>
      </c>
      <c r="M100" s="126">
        <v>6222223</v>
      </c>
      <c r="N100" s="16" t="s">
        <v>126</v>
      </c>
    </row>
    <row r="101" spans="1:14" s="17" customFormat="1" ht="15.75" customHeight="1" thickBot="1">
      <c r="A101" s="18"/>
      <c r="B101" s="144"/>
      <c r="C101" s="145"/>
      <c r="D101" s="144"/>
      <c r="E101" s="145"/>
      <c r="F101" s="146"/>
      <c r="G101" s="145"/>
      <c r="H101" s="146"/>
      <c r="I101" s="145"/>
      <c r="J101" s="146"/>
      <c r="K101" s="145"/>
      <c r="L101" s="146"/>
      <c r="M101" s="145"/>
      <c r="N101" s="19"/>
    </row>
    <row r="102" spans="1:14" s="17" customFormat="1" ht="15.75" customHeight="1" thickBot="1" thickTop="1">
      <c r="A102" s="21" t="s">
        <v>17</v>
      </c>
      <c r="B102" s="147">
        <v>102135</v>
      </c>
      <c r="C102" s="148">
        <v>60665031</v>
      </c>
      <c r="D102" s="147">
        <v>91721</v>
      </c>
      <c r="E102" s="148">
        <v>40704382</v>
      </c>
      <c r="F102" s="147">
        <v>193856</v>
      </c>
      <c r="G102" s="148">
        <v>101369413</v>
      </c>
      <c r="H102" s="147">
        <v>7562</v>
      </c>
      <c r="I102" s="149">
        <v>6173705</v>
      </c>
      <c r="J102" s="147">
        <v>16106</v>
      </c>
      <c r="K102" s="149">
        <v>3482121</v>
      </c>
      <c r="L102" s="147">
        <v>208121</v>
      </c>
      <c r="M102" s="149">
        <v>98677828</v>
      </c>
      <c r="N102" s="22" t="s">
        <v>119</v>
      </c>
    </row>
    <row r="103" spans="1:14" ht="13.5">
      <c r="A103" s="193" t="s">
        <v>171</v>
      </c>
      <c r="B103" s="193"/>
      <c r="C103" s="193"/>
      <c r="D103" s="193"/>
      <c r="E103" s="193"/>
      <c r="F103" s="193"/>
      <c r="G103" s="193"/>
      <c r="H103" s="193"/>
      <c r="I103" s="193"/>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A103:I103"/>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zoomScaleSheetLayoutView="85"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180</v>
      </c>
      <c r="B1" s="1"/>
      <c r="C1" s="1"/>
      <c r="D1" s="1"/>
      <c r="E1" s="1"/>
      <c r="F1" s="1"/>
      <c r="G1" s="1"/>
      <c r="H1" s="1"/>
      <c r="I1" s="1"/>
      <c r="J1" s="1"/>
      <c r="K1" s="1"/>
      <c r="L1" s="2"/>
      <c r="M1" s="2"/>
    </row>
    <row r="2" spans="1:13" ht="14.25" thickBot="1">
      <c r="A2" s="209" t="s">
        <v>107</v>
      </c>
      <c r="B2" s="209"/>
      <c r="C2" s="209"/>
      <c r="D2" s="209"/>
      <c r="E2" s="209"/>
      <c r="F2" s="209"/>
      <c r="G2" s="209"/>
      <c r="H2" s="209"/>
      <c r="I2" s="209"/>
      <c r="J2" s="27"/>
      <c r="K2" s="27"/>
      <c r="L2" s="2"/>
      <c r="M2" s="2"/>
    </row>
    <row r="3" spans="1:14" ht="19.5" customHeight="1">
      <c r="A3" s="205" t="s">
        <v>1</v>
      </c>
      <c r="B3" s="208" t="s">
        <v>2</v>
      </c>
      <c r="C3" s="208"/>
      <c r="D3" s="208"/>
      <c r="E3" s="208"/>
      <c r="F3" s="208"/>
      <c r="G3" s="208"/>
      <c r="H3" s="204" t="s">
        <v>3</v>
      </c>
      <c r="I3" s="202"/>
      <c r="J3" s="201" t="s">
        <v>4</v>
      </c>
      <c r="K3" s="202"/>
      <c r="L3" s="204" t="s">
        <v>5</v>
      </c>
      <c r="M3" s="202"/>
      <c r="N3" s="195" t="s">
        <v>108</v>
      </c>
    </row>
    <row r="4" spans="1:14" ht="17.25" customHeight="1">
      <c r="A4" s="206"/>
      <c r="B4" s="199" t="s">
        <v>7</v>
      </c>
      <c r="C4" s="200"/>
      <c r="D4" s="199" t="s">
        <v>8</v>
      </c>
      <c r="E4" s="200"/>
      <c r="F4" s="199" t="s">
        <v>9</v>
      </c>
      <c r="G4" s="200"/>
      <c r="H4" s="199"/>
      <c r="I4" s="203"/>
      <c r="J4" s="199"/>
      <c r="K4" s="203"/>
      <c r="L4" s="199"/>
      <c r="M4" s="203"/>
      <c r="N4" s="196"/>
    </row>
    <row r="5" spans="1:14" ht="28.5" customHeight="1">
      <c r="A5" s="207"/>
      <c r="B5" s="37" t="s">
        <v>10</v>
      </c>
      <c r="C5" s="38" t="s">
        <v>11</v>
      </c>
      <c r="D5" s="37" t="s">
        <v>10</v>
      </c>
      <c r="E5" s="38" t="s">
        <v>11</v>
      </c>
      <c r="F5" s="37" t="s">
        <v>10</v>
      </c>
      <c r="G5" s="41" t="s">
        <v>12</v>
      </c>
      <c r="H5" s="37" t="s">
        <v>116</v>
      </c>
      <c r="I5" s="40" t="s">
        <v>13</v>
      </c>
      <c r="J5" s="37" t="s">
        <v>116</v>
      </c>
      <c r="K5" s="40" t="s">
        <v>14</v>
      </c>
      <c r="L5" s="37" t="s">
        <v>116</v>
      </c>
      <c r="M5" s="39" t="s">
        <v>117</v>
      </c>
      <c r="N5" s="197"/>
    </row>
    <row r="6" spans="1:14" s="29" customFormat="1" ht="10.5">
      <c r="A6" s="5"/>
      <c r="B6" s="6" t="s">
        <v>15</v>
      </c>
      <c r="C6" s="7" t="s">
        <v>16</v>
      </c>
      <c r="D6" s="6" t="s">
        <v>15</v>
      </c>
      <c r="E6" s="7" t="s">
        <v>16</v>
      </c>
      <c r="F6" s="6" t="s">
        <v>15</v>
      </c>
      <c r="G6" s="7" t="s">
        <v>16</v>
      </c>
      <c r="H6" s="6" t="s">
        <v>15</v>
      </c>
      <c r="I6" s="8" t="s">
        <v>16</v>
      </c>
      <c r="J6" s="6" t="s">
        <v>15</v>
      </c>
      <c r="K6" s="8" t="s">
        <v>16</v>
      </c>
      <c r="L6" s="6" t="s">
        <v>178</v>
      </c>
      <c r="M6" s="8" t="s">
        <v>16</v>
      </c>
      <c r="N6" s="9"/>
    </row>
    <row r="7" spans="1:14" ht="15.75" customHeight="1">
      <c r="A7" s="11" t="s">
        <v>18</v>
      </c>
      <c r="B7" s="114">
        <f>_xlfn.COMPOUNDVALUE(333)</f>
        <v>2324</v>
      </c>
      <c r="C7" s="115">
        <v>14762887</v>
      </c>
      <c r="D7" s="114">
        <f>_xlfn.COMPOUNDVALUE(334)</f>
        <v>851</v>
      </c>
      <c r="E7" s="115">
        <v>535485</v>
      </c>
      <c r="F7" s="114">
        <f>_xlfn.COMPOUNDVALUE(335)</f>
        <v>3175</v>
      </c>
      <c r="G7" s="115">
        <v>15298372</v>
      </c>
      <c r="H7" s="114">
        <f>_xlfn.COMPOUNDVALUE(336)</f>
        <v>181</v>
      </c>
      <c r="I7" s="116">
        <v>6234529</v>
      </c>
      <c r="J7" s="114">
        <v>231</v>
      </c>
      <c r="K7" s="116">
        <v>20271</v>
      </c>
      <c r="L7" s="114">
        <v>3374</v>
      </c>
      <c r="M7" s="116">
        <v>9084114</v>
      </c>
      <c r="N7" s="12" t="s">
        <v>18</v>
      </c>
    </row>
    <row r="8" spans="1:14" ht="15.75" customHeight="1">
      <c r="A8" s="13" t="s">
        <v>19</v>
      </c>
      <c r="B8" s="119">
        <f>_xlfn.COMPOUNDVALUE(337)</f>
        <v>1330</v>
      </c>
      <c r="C8" s="120">
        <v>13601579</v>
      </c>
      <c r="D8" s="119">
        <f>_xlfn.COMPOUNDVALUE(338)</f>
        <v>405</v>
      </c>
      <c r="E8" s="120">
        <v>245367</v>
      </c>
      <c r="F8" s="119">
        <f>_xlfn.COMPOUNDVALUE(339)</f>
        <v>1735</v>
      </c>
      <c r="G8" s="120">
        <v>13846946</v>
      </c>
      <c r="H8" s="119">
        <f>_xlfn.COMPOUNDVALUE(340)</f>
        <v>107</v>
      </c>
      <c r="I8" s="121">
        <v>2629019</v>
      </c>
      <c r="J8" s="119">
        <v>84</v>
      </c>
      <c r="K8" s="121">
        <v>17590</v>
      </c>
      <c r="L8" s="119">
        <v>1850</v>
      </c>
      <c r="M8" s="121">
        <v>11235517</v>
      </c>
      <c r="N8" s="14" t="s">
        <v>19</v>
      </c>
    </row>
    <row r="9" spans="1:14" ht="15.75" customHeight="1">
      <c r="A9" s="13" t="s">
        <v>20</v>
      </c>
      <c r="B9" s="119">
        <f>_xlfn.COMPOUNDVALUE(341)</f>
        <v>1403</v>
      </c>
      <c r="C9" s="120">
        <v>8597536</v>
      </c>
      <c r="D9" s="119">
        <f>_xlfn.COMPOUNDVALUE(342)</f>
        <v>489</v>
      </c>
      <c r="E9" s="120">
        <v>264089</v>
      </c>
      <c r="F9" s="119">
        <f>_xlfn.COMPOUNDVALUE(343)</f>
        <v>1892</v>
      </c>
      <c r="G9" s="120">
        <v>8861625</v>
      </c>
      <c r="H9" s="119">
        <f>_xlfn.COMPOUNDVALUE(344)</f>
        <v>95</v>
      </c>
      <c r="I9" s="121">
        <v>278737</v>
      </c>
      <c r="J9" s="119">
        <v>67</v>
      </c>
      <c r="K9" s="121">
        <v>37698</v>
      </c>
      <c r="L9" s="119">
        <v>1989</v>
      </c>
      <c r="M9" s="121">
        <v>8620585</v>
      </c>
      <c r="N9" s="14" t="s">
        <v>20</v>
      </c>
    </row>
    <row r="10" spans="1:14" ht="15.75" customHeight="1">
      <c r="A10" s="13" t="s">
        <v>21</v>
      </c>
      <c r="B10" s="119">
        <f>_xlfn.COMPOUNDVALUE(345)</f>
        <v>1691</v>
      </c>
      <c r="C10" s="120">
        <v>9668581</v>
      </c>
      <c r="D10" s="119">
        <f>_xlfn.COMPOUNDVALUE(346)</f>
        <v>509</v>
      </c>
      <c r="E10" s="120">
        <v>310277</v>
      </c>
      <c r="F10" s="119">
        <f>_xlfn.COMPOUNDVALUE(347)</f>
        <v>2200</v>
      </c>
      <c r="G10" s="120">
        <v>9978858</v>
      </c>
      <c r="H10" s="119">
        <f>_xlfn.COMPOUNDVALUE(348)</f>
        <v>224</v>
      </c>
      <c r="I10" s="121">
        <v>1514758</v>
      </c>
      <c r="J10" s="119">
        <v>83</v>
      </c>
      <c r="K10" s="121">
        <v>5725</v>
      </c>
      <c r="L10" s="119">
        <v>2433</v>
      </c>
      <c r="M10" s="121">
        <v>8469825</v>
      </c>
      <c r="N10" s="14" t="s">
        <v>21</v>
      </c>
    </row>
    <row r="11" spans="1:14" ht="15.75" customHeight="1">
      <c r="A11" s="13" t="s">
        <v>22</v>
      </c>
      <c r="B11" s="119">
        <f>_xlfn.COMPOUNDVALUE(349)</f>
        <v>2364</v>
      </c>
      <c r="C11" s="120">
        <v>16385221</v>
      </c>
      <c r="D11" s="119">
        <f>_xlfn.COMPOUNDVALUE(350)</f>
        <v>868</v>
      </c>
      <c r="E11" s="120">
        <v>576688</v>
      </c>
      <c r="F11" s="119">
        <f>_xlfn.COMPOUNDVALUE(351)</f>
        <v>3232</v>
      </c>
      <c r="G11" s="120">
        <v>16961909</v>
      </c>
      <c r="H11" s="119">
        <f>_xlfn.COMPOUNDVALUE(352)</f>
        <v>221</v>
      </c>
      <c r="I11" s="121">
        <v>1863740</v>
      </c>
      <c r="J11" s="119">
        <v>157</v>
      </c>
      <c r="K11" s="121">
        <v>33808</v>
      </c>
      <c r="L11" s="119">
        <v>3475</v>
      </c>
      <c r="M11" s="121">
        <v>15131978</v>
      </c>
      <c r="N11" s="14" t="s">
        <v>22</v>
      </c>
    </row>
    <row r="12" spans="1:14" ht="15.75" customHeight="1">
      <c r="A12" s="13" t="s">
        <v>23</v>
      </c>
      <c r="B12" s="119">
        <f>_xlfn.COMPOUNDVALUE(353)</f>
        <v>1199</v>
      </c>
      <c r="C12" s="120">
        <v>12896441</v>
      </c>
      <c r="D12" s="119">
        <f>_xlfn.COMPOUNDVALUE(354)</f>
        <v>329</v>
      </c>
      <c r="E12" s="120">
        <v>202146</v>
      </c>
      <c r="F12" s="119">
        <f>_xlfn.COMPOUNDVALUE(355)</f>
        <v>1528</v>
      </c>
      <c r="G12" s="120">
        <v>13098586</v>
      </c>
      <c r="H12" s="119">
        <f>_xlfn.COMPOUNDVALUE(356)</f>
        <v>89</v>
      </c>
      <c r="I12" s="121">
        <v>286297</v>
      </c>
      <c r="J12" s="119">
        <v>55</v>
      </c>
      <c r="K12" s="121">
        <v>-11300</v>
      </c>
      <c r="L12" s="119">
        <v>1624</v>
      </c>
      <c r="M12" s="121">
        <v>12800989</v>
      </c>
      <c r="N12" s="14" t="s">
        <v>23</v>
      </c>
    </row>
    <row r="13" spans="1:14" ht="15.75" customHeight="1">
      <c r="A13" s="13" t="s">
        <v>24</v>
      </c>
      <c r="B13" s="119">
        <f>_xlfn.COMPOUNDVALUE(357)</f>
        <v>528</v>
      </c>
      <c r="C13" s="120">
        <v>2454145</v>
      </c>
      <c r="D13" s="119">
        <f>_xlfn.COMPOUNDVALUE(358)</f>
        <v>160</v>
      </c>
      <c r="E13" s="120">
        <v>87302</v>
      </c>
      <c r="F13" s="119">
        <f>_xlfn.COMPOUNDVALUE(359)</f>
        <v>688</v>
      </c>
      <c r="G13" s="120">
        <v>2541446</v>
      </c>
      <c r="H13" s="119">
        <f>_xlfn.COMPOUNDVALUE(360)</f>
        <v>35</v>
      </c>
      <c r="I13" s="121">
        <v>463964</v>
      </c>
      <c r="J13" s="119">
        <v>51</v>
      </c>
      <c r="K13" s="121">
        <v>15985</v>
      </c>
      <c r="L13" s="119">
        <v>733</v>
      </c>
      <c r="M13" s="121">
        <v>2093467</v>
      </c>
      <c r="N13" s="14" t="s">
        <v>24</v>
      </c>
    </row>
    <row r="14" spans="1:14" ht="15.75" customHeight="1">
      <c r="A14" s="15" t="s">
        <v>109</v>
      </c>
      <c r="B14" s="124">
        <v>10839</v>
      </c>
      <c r="C14" s="125">
        <v>78366389</v>
      </c>
      <c r="D14" s="124">
        <v>3611</v>
      </c>
      <c r="E14" s="125">
        <v>2221353</v>
      </c>
      <c r="F14" s="124">
        <v>14450</v>
      </c>
      <c r="G14" s="125">
        <v>80587742</v>
      </c>
      <c r="H14" s="124">
        <v>952</v>
      </c>
      <c r="I14" s="126">
        <v>13271043</v>
      </c>
      <c r="J14" s="124">
        <v>728</v>
      </c>
      <c r="K14" s="126">
        <v>119776</v>
      </c>
      <c r="L14" s="124">
        <v>15478</v>
      </c>
      <c r="M14" s="126">
        <v>67436475</v>
      </c>
      <c r="N14" s="16" t="s">
        <v>121</v>
      </c>
    </row>
    <row r="15" spans="1:14" ht="15.75" customHeight="1">
      <c r="A15" s="26"/>
      <c r="B15" s="129"/>
      <c r="C15" s="130"/>
      <c r="D15" s="129"/>
      <c r="E15" s="130"/>
      <c r="F15" s="131"/>
      <c r="G15" s="130"/>
      <c r="H15" s="131"/>
      <c r="I15" s="130"/>
      <c r="J15" s="131"/>
      <c r="K15" s="130"/>
      <c r="L15" s="131"/>
      <c r="M15" s="130"/>
      <c r="N15" s="24"/>
    </row>
    <row r="16" spans="1:14" ht="15.75" customHeight="1">
      <c r="A16" s="11" t="s">
        <v>26</v>
      </c>
      <c r="B16" s="114">
        <f>_xlfn.COMPOUNDVALUE(361)</f>
        <v>2263</v>
      </c>
      <c r="C16" s="115">
        <v>16846183</v>
      </c>
      <c r="D16" s="114">
        <f>_xlfn.COMPOUNDVALUE(362)</f>
        <v>1029</v>
      </c>
      <c r="E16" s="115">
        <v>542570</v>
      </c>
      <c r="F16" s="114">
        <f>_xlfn.COMPOUNDVALUE(363)</f>
        <v>3292</v>
      </c>
      <c r="G16" s="115">
        <v>17388753</v>
      </c>
      <c r="H16" s="114">
        <f>_xlfn.COMPOUNDVALUE(364)</f>
        <v>216</v>
      </c>
      <c r="I16" s="116">
        <v>9884263</v>
      </c>
      <c r="J16" s="114">
        <v>139</v>
      </c>
      <c r="K16" s="116">
        <v>4744</v>
      </c>
      <c r="L16" s="114">
        <v>3517</v>
      </c>
      <c r="M16" s="116">
        <v>7509234</v>
      </c>
      <c r="N16" s="25" t="s">
        <v>26</v>
      </c>
    </row>
    <row r="17" spans="1:14" ht="15.75" customHeight="1">
      <c r="A17" s="11" t="s">
        <v>27</v>
      </c>
      <c r="B17" s="114">
        <f>_xlfn.COMPOUNDVALUE(365)</f>
        <v>1573</v>
      </c>
      <c r="C17" s="115">
        <v>7743105</v>
      </c>
      <c r="D17" s="114">
        <f>_xlfn.COMPOUNDVALUE(366)</f>
        <v>653</v>
      </c>
      <c r="E17" s="115">
        <v>378621</v>
      </c>
      <c r="F17" s="114">
        <f>_xlfn.COMPOUNDVALUE(367)</f>
        <v>2226</v>
      </c>
      <c r="G17" s="115">
        <v>8121725</v>
      </c>
      <c r="H17" s="114">
        <f>_xlfn.COMPOUNDVALUE(368)</f>
        <v>183</v>
      </c>
      <c r="I17" s="116">
        <v>1035211</v>
      </c>
      <c r="J17" s="114">
        <v>94</v>
      </c>
      <c r="K17" s="116">
        <v>14629</v>
      </c>
      <c r="L17" s="114">
        <v>2426</v>
      </c>
      <c r="M17" s="116">
        <v>7101143</v>
      </c>
      <c r="N17" s="12" t="s">
        <v>27</v>
      </c>
    </row>
    <row r="18" spans="1:14" ht="15.75" customHeight="1">
      <c r="A18" s="11" t="s">
        <v>28</v>
      </c>
      <c r="B18" s="114">
        <f>_xlfn.COMPOUNDVALUE(369)</f>
        <v>2930</v>
      </c>
      <c r="C18" s="115">
        <v>27283846</v>
      </c>
      <c r="D18" s="114">
        <f>_xlfn.COMPOUNDVALUE(370)</f>
        <v>1032</v>
      </c>
      <c r="E18" s="115">
        <v>626496</v>
      </c>
      <c r="F18" s="114">
        <f>_xlfn.COMPOUNDVALUE(371)</f>
        <v>3962</v>
      </c>
      <c r="G18" s="115">
        <v>27910342</v>
      </c>
      <c r="H18" s="114">
        <f>_xlfn.COMPOUNDVALUE(372)</f>
        <v>315</v>
      </c>
      <c r="I18" s="116">
        <v>6086773</v>
      </c>
      <c r="J18" s="114">
        <v>176</v>
      </c>
      <c r="K18" s="116">
        <v>15976</v>
      </c>
      <c r="L18" s="114">
        <v>4303</v>
      </c>
      <c r="M18" s="116">
        <v>21839545</v>
      </c>
      <c r="N18" s="12" t="s">
        <v>28</v>
      </c>
    </row>
    <row r="19" spans="1:14" ht="15.75" customHeight="1">
      <c r="A19" s="11" t="s">
        <v>29</v>
      </c>
      <c r="B19" s="114">
        <f>_xlfn.COMPOUNDVALUE(373)</f>
        <v>2004</v>
      </c>
      <c r="C19" s="115">
        <v>12492766</v>
      </c>
      <c r="D19" s="114">
        <f>_xlfn.COMPOUNDVALUE(374)</f>
        <v>765</v>
      </c>
      <c r="E19" s="115">
        <v>435561</v>
      </c>
      <c r="F19" s="114">
        <f>_xlfn.COMPOUNDVALUE(375)</f>
        <v>2769</v>
      </c>
      <c r="G19" s="115">
        <v>12928327</v>
      </c>
      <c r="H19" s="114">
        <f>_xlfn.COMPOUNDVALUE(376)</f>
        <v>167</v>
      </c>
      <c r="I19" s="116">
        <v>494131</v>
      </c>
      <c r="J19" s="114">
        <v>154</v>
      </c>
      <c r="K19" s="116">
        <v>15147</v>
      </c>
      <c r="L19" s="114">
        <v>2955</v>
      </c>
      <c r="M19" s="116">
        <v>12449343</v>
      </c>
      <c r="N19" s="12" t="s">
        <v>29</v>
      </c>
    </row>
    <row r="20" spans="1:14" ht="15.75" customHeight="1">
      <c r="A20" s="11" t="s">
        <v>30</v>
      </c>
      <c r="B20" s="114">
        <f>_xlfn.COMPOUNDVALUE(377)</f>
        <v>4614</v>
      </c>
      <c r="C20" s="115">
        <v>76523823</v>
      </c>
      <c r="D20" s="114">
        <f>_xlfn.COMPOUNDVALUE(378)</f>
        <v>1210</v>
      </c>
      <c r="E20" s="115">
        <v>793815</v>
      </c>
      <c r="F20" s="114">
        <f>_xlfn.COMPOUNDVALUE(379)</f>
        <v>5824</v>
      </c>
      <c r="G20" s="115">
        <v>77317638</v>
      </c>
      <c r="H20" s="114">
        <f>_xlfn.COMPOUNDVALUE(380)</f>
        <v>460</v>
      </c>
      <c r="I20" s="116">
        <v>11072369</v>
      </c>
      <c r="J20" s="114">
        <v>399</v>
      </c>
      <c r="K20" s="116">
        <v>42445</v>
      </c>
      <c r="L20" s="114">
        <v>6334</v>
      </c>
      <c r="M20" s="116">
        <v>66287715</v>
      </c>
      <c r="N20" s="12" t="s">
        <v>30</v>
      </c>
    </row>
    <row r="21" spans="1:14" ht="15.75" customHeight="1">
      <c r="A21" s="11" t="s">
        <v>31</v>
      </c>
      <c r="B21" s="114">
        <f>_xlfn.COMPOUNDVALUE(381)</f>
        <v>3828</v>
      </c>
      <c r="C21" s="115">
        <v>22916497</v>
      </c>
      <c r="D21" s="114">
        <f>_xlfn.COMPOUNDVALUE(382)</f>
        <v>1303</v>
      </c>
      <c r="E21" s="115">
        <v>733342</v>
      </c>
      <c r="F21" s="114">
        <f>_xlfn.COMPOUNDVALUE(383)</f>
        <v>5131</v>
      </c>
      <c r="G21" s="115">
        <v>23649839</v>
      </c>
      <c r="H21" s="114">
        <f>_xlfn.COMPOUNDVALUE(384)</f>
        <v>320</v>
      </c>
      <c r="I21" s="116">
        <v>49291614</v>
      </c>
      <c r="J21" s="114">
        <v>255</v>
      </c>
      <c r="K21" s="116">
        <v>31385</v>
      </c>
      <c r="L21" s="114">
        <v>5492</v>
      </c>
      <c r="M21" s="116">
        <v>-25610389</v>
      </c>
      <c r="N21" s="12" t="s">
        <v>31</v>
      </c>
    </row>
    <row r="22" spans="1:14" ht="15.75" customHeight="1">
      <c r="A22" s="13" t="s">
        <v>32</v>
      </c>
      <c r="B22" s="119">
        <f>_xlfn.COMPOUNDVALUE(385)</f>
        <v>2519</v>
      </c>
      <c r="C22" s="120">
        <v>22832916</v>
      </c>
      <c r="D22" s="119">
        <f>_xlfn.COMPOUNDVALUE(386)</f>
        <v>811</v>
      </c>
      <c r="E22" s="120">
        <v>543307</v>
      </c>
      <c r="F22" s="119">
        <f>_xlfn.COMPOUNDVALUE(387)</f>
        <v>3330</v>
      </c>
      <c r="G22" s="120">
        <v>23376223</v>
      </c>
      <c r="H22" s="119">
        <f>_xlfn.COMPOUNDVALUE(388)</f>
        <v>220</v>
      </c>
      <c r="I22" s="121">
        <v>6991230</v>
      </c>
      <c r="J22" s="119">
        <v>142</v>
      </c>
      <c r="K22" s="121">
        <v>97242</v>
      </c>
      <c r="L22" s="119">
        <v>3568</v>
      </c>
      <c r="M22" s="121">
        <v>16482234</v>
      </c>
      <c r="N22" s="14" t="s">
        <v>32</v>
      </c>
    </row>
    <row r="23" spans="1:14" ht="15.75" customHeight="1">
      <c r="A23" s="13" t="s">
        <v>33</v>
      </c>
      <c r="B23" s="119">
        <f>_xlfn.COMPOUNDVALUE(389)</f>
        <v>985</v>
      </c>
      <c r="C23" s="120">
        <v>7073352</v>
      </c>
      <c r="D23" s="119">
        <f>_xlfn.COMPOUNDVALUE(390)</f>
        <v>348</v>
      </c>
      <c r="E23" s="120">
        <v>185552</v>
      </c>
      <c r="F23" s="119">
        <f>_xlfn.COMPOUNDVALUE(391)</f>
        <v>1333</v>
      </c>
      <c r="G23" s="120">
        <v>7258904</v>
      </c>
      <c r="H23" s="119">
        <f>_xlfn.COMPOUNDVALUE(392)</f>
        <v>44</v>
      </c>
      <c r="I23" s="121">
        <v>528061</v>
      </c>
      <c r="J23" s="119">
        <v>50</v>
      </c>
      <c r="K23" s="121">
        <v>25281</v>
      </c>
      <c r="L23" s="119">
        <v>1383</v>
      </c>
      <c r="M23" s="121">
        <v>6756124</v>
      </c>
      <c r="N23" s="14" t="s">
        <v>33</v>
      </c>
    </row>
    <row r="24" spans="1:14" ht="15.75" customHeight="1">
      <c r="A24" s="13" t="s">
        <v>34</v>
      </c>
      <c r="B24" s="119">
        <f>_xlfn.COMPOUNDVALUE(393)</f>
        <v>796</v>
      </c>
      <c r="C24" s="120">
        <v>3181626</v>
      </c>
      <c r="D24" s="119">
        <f>_xlfn.COMPOUNDVALUE(394)</f>
        <v>257</v>
      </c>
      <c r="E24" s="120">
        <v>152288</v>
      </c>
      <c r="F24" s="119">
        <f>_xlfn.COMPOUNDVALUE(395)</f>
        <v>1053</v>
      </c>
      <c r="G24" s="120">
        <v>3333913</v>
      </c>
      <c r="H24" s="119">
        <f>_xlfn.COMPOUNDVALUE(396)</f>
        <v>49</v>
      </c>
      <c r="I24" s="121">
        <v>79846</v>
      </c>
      <c r="J24" s="119">
        <v>85</v>
      </c>
      <c r="K24" s="121">
        <v>12790</v>
      </c>
      <c r="L24" s="119">
        <v>1128</v>
      </c>
      <c r="M24" s="121">
        <v>3266857</v>
      </c>
      <c r="N24" s="14" t="s">
        <v>34</v>
      </c>
    </row>
    <row r="25" spans="1:14" ht="15.75" customHeight="1">
      <c r="A25" s="13" t="s">
        <v>35</v>
      </c>
      <c r="B25" s="119">
        <f>_xlfn.COMPOUNDVALUE(397)</f>
        <v>4187</v>
      </c>
      <c r="C25" s="120">
        <v>24735163</v>
      </c>
      <c r="D25" s="119">
        <f>_xlfn.COMPOUNDVALUE(398)</f>
        <v>1199</v>
      </c>
      <c r="E25" s="120">
        <v>714928</v>
      </c>
      <c r="F25" s="119">
        <f>_xlfn.COMPOUNDVALUE(399)</f>
        <v>5386</v>
      </c>
      <c r="G25" s="120">
        <v>25450091</v>
      </c>
      <c r="H25" s="119">
        <f>_xlfn.COMPOUNDVALUE(400)</f>
        <v>390</v>
      </c>
      <c r="I25" s="121">
        <v>1403160</v>
      </c>
      <c r="J25" s="119">
        <v>318</v>
      </c>
      <c r="K25" s="121">
        <v>12276</v>
      </c>
      <c r="L25" s="119">
        <v>5808</v>
      </c>
      <c r="M25" s="121">
        <v>24059207</v>
      </c>
      <c r="N25" s="14" t="s">
        <v>35</v>
      </c>
    </row>
    <row r="26" spans="1:14" ht="15.75" customHeight="1">
      <c r="A26" s="13" t="s">
        <v>36</v>
      </c>
      <c r="B26" s="119">
        <f>_xlfn.COMPOUNDVALUE(401)</f>
        <v>374</v>
      </c>
      <c r="C26" s="120">
        <v>1670467</v>
      </c>
      <c r="D26" s="119">
        <f>_xlfn.COMPOUNDVALUE(402)</f>
        <v>139</v>
      </c>
      <c r="E26" s="120">
        <v>67359</v>
      </c>
      <c r="F26" s="119">
        <f>_xlfn.COMPOUNDVALUE(403)</f>
        <v>513</v>
      </c>
      <c r="G26" s="120">
        <v>1737826</v>
      </c>
      <c r="H26" s="119">
        <f>_xlfn.COMPOUNDVALUE(404)</f>
        <v>14</v>
      </c>
      <c r="I26" s="121">
        <v>105104</v>
      </c>
      <c r="J26" s="119">
        <v>28</v>
      </c>
      <c r="K26" s="121">
        <v>9958</v>
      </c>
      <c r="L26" s="119">
        <v>528</v>
      </c>
      <c r="M26" s="121">
        <v>1642679</v>
      </c>
      <c r="N26" s="14" t="s">
        <v>36</v>
      </c>
    </row>
    <row r="27" spans="1:14" ht="15.75" customHeight="1">
      <c r="A27" s="13" t="s">
        <v>37</v>
      </c>
      <c r="B27" s="119">
        <f>_xlfn.COMPOUNDVALUE(405)</f>
        <v>1118</v>
      </c>
      <c r="C27" s="120">
        <v>4871342</v>
      </c>
      <c r="D27" s="119">
        <f>_xlfn.COMPOUNDVALUE(406)</f>
        <v>308</v>
      </c>
      <c r="E27" s="120">
        <v>174031</v>
      </c>
      <c r="F27" s="119">
        <f>_xlfn.COMPOUNDVALUE(407)</f>
        <v>1426</v>
      </c>
      <c r="G27" s="120">
        <v>5045373</v>
      </c>
      <c r="H27" s="119">
        <f>_xlfn.COMPOUNDVALUE(408)</f>
        <v>71</v>
      </c>
      <c r="I27" s="121">
        <v>341134</v>
      </c>
      <c r="J27" s="119">
        <v>97</v>
      </c>
      <c r="K27" s="121">
        <v>12418</v>
      </c>
      <c r="L27" s="119">
        <v>1509</v>
      </c>
      <c r="M27" s="121">
        <v>4716656</v>
      </c>
      <c r="N27" s="14" t="s">
        <v>37</v>
      </c>
    </row>
    <row r="28" spans="1:14" ht="15.75" customHeight="1">
      <c r="A28" s="13" t="s">
        <v>38</v>
      </c>
      <c r="B28" s="119">
        <f>_xlfn.COMPOUNDVALUE(409)</f>
        <v>481</v>
      </c>
      <c r="C28" s="120">
        <v>2148845</v>
      </c>
      <c r="D28" s="119">
        <f>_xlfn.COMPOUNDVALUE(410)</f>
        <v>123</v>
      </c>
      <c r="E28" s="120">
        <v>72284</v>
      </c>
      <c r="F28" s="119">
        <f>_xlfn.COMPOUNDVALUE(411)</f>
        <v>604</v>
      </c>
      <c r="G28" s="120">
        <v>2221128</v>
      </c>
      <c r="H28" s="119">
        <f>_xlfn.COMPOUNDVALUE(412)</f>
        <v>23</v>
      </c>
      <c r="I28" s="121">
        <v>254254</v>
      </c>
      <c r="J28" s="119">
        <v>103</v>
      </c>
      <c r="K28" s="121">
        <v>9605</v>
      </c>
      <c r="L28" s="119">
        <v>628</v>
      </c>
      <c r="M28" s="121">
        <v>1976479</v>
      </c>
      <c r="N28" s="14" t="s">
        <v>38</v>
      </c>
    </row>
    <row r="29" spans="1:14" ht="15.75" customHeight="1">
      <c r="A29" s="15" t="s">
        <v>163</v>
      </c>
      <c r="B29" s="124">
        <v>27672</v>
      </c>
      <c r="C29" s="125">
        <v>230319930</v>
      </c>
      <c r="D29" s="124">
        <v>9177</v>
      </c>
      <c r="E29" s="125">
        <v>5420152</v>
      </c>
      <c r="F29" s="124">
        <v>36849</v>
      </c>
      <c r="G29" s="125">
        <v>235740082</v>
      </c>
      <c r="H29" s="124">
        <v>2472</v>
      </c>
      <c r="I29" s="126">
        <v>87567150</v>
      </c>
      <c r="J29" s="124">
        <v>2040</v>
      </c>
      <c r="K29" s="126">
        <v>303894</v>
      </c>
      <c r="L29" s="124">
        <v>39579</v>
      </c>
      <c r="M29" s="126">
        <v>148476826</v>
      </c>
      <c r="N29" s="16" t="s">
        <v>122</v>
      </c>
    </row>
    <row r="30" spans="1:14" ht="15.75" customHeight="1">
      <c r="A30" s="23"/>
      <c r="B30" s="129"/>
      <c r="C30" s="130"/>
      <c r="D30" s="129"/>
      <c r="E30" s="130"/>
      <c r="F30" s="131"/>
      <c r="G30" s="130"/>
      <c r="H30" s="131"/>
      <c r="I30" s="130"/>
      <c r="J30" s="131"/>
      <c r="K30" s="130"/>
      <c r="L30" s="131"/>
      <c r="M30" s="130"/>
      <c r="N30" s="24"/>
    </row>
    <row r="31" spans="1:14" ht="15.75" customHeight="1">
      <c r="A31" s="11" t="s">
        <v>40</v>
      </c>
      <c r="B31" s="114">
        <f>_xlfn.COMPOUNDVALUE(413)</f>
        <v>2659</v>
      </c>
      <c r="C31" s="115">
        <v>39725269</v>
      </c>
      <c r="D31" s="114">
        <f>_xlfn.COMPOUNDVALUE(414)</f>
        <v>650</v>
      </c>
      <c r="E31" s="115">
        <v>438010</v>
      </c>
      <c r="F31" s="114">
        <f>_xlfn.COMPOUNDVALUE(415)</f>
        <v>3309</v>
      </c>
      <c r="G31" s="115">
        <v>40163280</v>
      </c>
      <c r="H31" s="114">
        <f>_xlfn.COMPOUNDVALUE(416)</f>
        <v>421</v>
      </c>
      <c r="I31" s="116">
        <v>2407018</v>
      </c>
      <c r="J31" s="114">
        <v>261</v>
      </c>
      <c r="K31" s="116">
        <v>88358</v>
      </c>
      <c r="L31" s="114">
        <v>3760</v>
      </c>
      <c r="M31" s="116">
        <v>37844619</v>
      </c>
      <c r="N31" s="25" t="s">
        <v>40</v>
      </c>
    </row>
    <row r="32" spans="1:14" ht="15.75" customHeight="1">
      <c r="A32" s="11" t="s">
        <v>41</v>
      </c>
      <c r="B32" s="114">
        <f>_xlfn.COMPOUNDVALUE(417)</f>
        <v>5534</v>
      </c>
      <c r="C32" s="115">
        <v>81891480</v>
      </c>
      <c r="D32" s="114">
        <f>_xlfn.COMPOUNDVALUE(418)</f>
        <v>1177</v>
      </c>
      <c r="E32" s="115">
        <v>940854</v>
      </c>
      <c r="F32" s="114">
        <f>_xlfn.COMPOUNDVALUE(419)</f>
        <v>6711</v>
      </c>
      <c r="G32" s="115">
        <v>82832334</v>
      </c>
      <c r="H32" s="114">
        <f>_xlfn.COMPOUNDVALUE(420)</f>
        <v>1139</v>
      </c>
      <c r="I32" s="116">
        <v>114403331</v>
      </c>
      <c r="J32" s="114">
        <v>579</v>
      </c>
      <c r="K32" s="116">
        <v>153781</v>
      </c>
      <c r="L32" s="114">
        <v>7902</v>
      </c>
      <c r="M32" s="116">
        <v>-31417216</v>
      </c>
      <c r="N32" s="12" t="s">
        <v>41</v>
      </c>
    </row>
    <row r="33" spans="1:14" ht="15.75" customHeight="1">
      <c r="A33" s="11" t="s">
        <v>42</v>
      </c>
      <c r="B33" s="114">
        <f>_xlfn.COMPOUNDVALUE(421)</f>
        <v>2252</v>
      </c>
      <c r="C33" s="115">
        <v>19283460</v>
      </c>
      <c r="D33" s="114">
        <f>_xlfn.COMPOUNDVALUE(422)</f>
        <v>552</v>
      </c>
      <c r="E33" s="115">
        <v>327860</v>
      </c>
      <c r="F33" s="114">
        <f>_xlfn.COMPOUNDVALUE(423)</f>
        <v>2804</v>
      </c>
      <c r="G33" s="115">
        <v>19611319</v>
      </c>
      <c r="H33" s="114">
        <f>_xlfn.COMPOUNDVALUE(424)</f>
        <v>215</v>
      </c>
      <c r="I33" s="116">
        <v>1776505</v>
      </c>
      <c r="J33" s="114">
        <v>206</v>
      </c>
      <c r="K33" s="116">
        <v>42463</v>
      </c>
      <c r="L33" s="114">
        <v>3037</v>
      </c>
      <c r="M33" s="116">
        <v>17877276</v>
      </c>
      <c r="N33" s="12" t="s">
        <v>42</v>
      </c>
    </row>
    <row r="34" spans="1:14" ht="15.75" customHeight="1">
      <c r="A34" s="11" t="s">
        <v>43</v>
      </c>
      <c r="B34" s="114">
        <f>_xlfn.COMPOUNDVALUE(425)</f>
        <v>2013</v>
      </c>
      <c r="C34" s="115">
        <v>27843424</v>
      </c>
      <c r="D34" s="114">
        <f>_xlfn.COMPOUNDVALUE(426)</f>
        <v>606</v>
      </c>
      <c r="E34" s="115">
        <v>382750</v>
      </c>
      <c r="F34" s="114">
        <f>_xlfn.COMPOUNDVALUE(427)</f>
        <v>2619</v>
      </c>
      <c r="G34" s="115">
        <v>28226174</v>
      </c>
      <c r="H34" s="114">
        <f>_xlfn.COMPOUNDVALUE(428)</f>
        <v>321</v>
      </c>
      <c r="I34" s="116">
        <v>1413481</v>
      </c>
      <c r="J34" s="114">
        <v>192</v>
      </c>
      <c r="K34" s="116">
        <v>26967</v>
      </c>
      <c r="L34" s="114">
        <v>2961</v>
      </c>
      <c r="M34" s="116">
        <v>26839660</v>
      </c>
      <c r="N34" s="12" t="s">
        <v>43</v>
      </c>
    </row>
    <row r="35" spans="1:14" ht="15.75" customHeight="1">
      <c r="A35" s="11" t="s">
        <v>44</v>
      </c>
      <c r="B35" s="114">
        <f>_xlfn.COMPOUNDVALUE(429)</f>
        <v>2230</v>
      </c>
      <c r="C35" s="115">
        <v>26385575</v>
      </c>
      <c r="D35" s="114">
        <f>_xlfn.COMPOUNDVALUE(430)</f>
        <v>511</v>
      </c>
      <c r="E35" s="115">
        <v>343072</v>
      </c>
      <c r="F35" s="114">
        <f>_xlfn.COMPOUNDVALUE(431)</f>
        <v>2741</v>
      </c>
      <c r="G35" s="115">
        <v>26728647</v>
      </c>
      <c r="H35" s="114">
        <f>_xlfn.COMPOUNDVALUE(432)</f>
        <v>482</v>
      </c>
      <c r="I35" s="116">
        <v>17829469</v>
      </c>
      <c r="J35" s="114">
        <v>196</v>
      </c>
      <c r="K35" s="116">
        <v>42248</v>
      </c>
      <c r="L35" s="114">
        <v>3251</v>
      </c>
      <c r="M35" s="116">
        <v>8941425</v>
      </c>
      <c r="N35" s="12" t="s">
        <v>44</v>
      </c>
    </row>
    <row r="36" spans="1:14" ht="15.75" customHeight="1">
      <c r="A36" s="11" t="s">
        <v>45</v>
      </c>
      <c r="B36" s="114">
        <f>_xlfn.COMPOUNDVALUE(433)</f>
        <v>1435</v>
      </c>
      <c r="C36" s="115">
        <v>17822586</v>
      </c>
      <c r="D36" s="114">
        <f>_xlfn.COMPOUNDVALUE(434)</f>
        <v>379</v>
      </c>
      <c r="E36" s="115">
        <v>230094</v>
      </c>
      <c r="F36" s="114">
        <f>_xlfn.COMPOUNDVALUE(435)</f>
        <v>1814</v>
      </c>
      <c r="G36" s="115">
        <v>18052679</v>
      </c>
      <c r="H36" s="114">
        <f>_xlfn.COMPOUNDVALUE(436)</f>
        <v>167</v>
      </c>
      <c r="I36" s="116">
        <v>1936856</v>
      </c>
      <c r="J36" s="114">
        <v>144</v>
      </c>
      <c r="K36" s="116">
        <v>20152</v>
      </c>
      <c r="L36" s="114">
        <v>2010</v>
      </c>
      <c r="M36" s="116">
        <v>16135975</v>
      </c>
      <c r="N36" s="12" t="s">
        <v>45</v>
      </c>
    </row>
    <row r="37" spans="1:14" ht="15.75" customHeight="1">
      <c r="A37" s="11" t="s">
        <v>46</v>
      </c>
      <c r="B37" s="114">
        <f>_xlfn.COMPOUNDVALUE(437)</f>
        <v>1580</v>
      </c>
      <c r="C37" s="115">
        <v>14955067</v>
      </c>
      <c r="D37" s="114">
        <f>_xlfn.COMPOUNDVALUE(438)</f>
        <v>516</v>
      </c>
      <c r="E37" s="115">
        <v>296833</v>
      </c>
      <c r="F37" s="114">
        <f>_xlfn.COMPOUNDVALUE(439)</f>
        <v>2096</v>
      </c>
      <c r="G37" s="115">
        <v>15251900</v>
      </c>
      <c r="H37" s="114">
        <f>_xlfn.COMPOUNDVALUE(440)</f>
        <v>189</v>
      </c>
      <c r="I37" s="116">
        <v>993208</v>
      </c>
      <c r="J37" s="114">
        <v>135</v>
      </c>
      <c r="K37" s="116">
        <v>22219</v>
      </c>
      <c r="L37" s="114">
        <v>2296</v>
      </c>
      <c r="M37" s="116">
        <v>14280911</v>
      </c>
      <c r="N37" s="12" t="s">
        <v>46</v>
      </c>
    </row>
    <row r="38" spans="1:14" ht="15.75" customHeight="1">
      <c r="A38" s="11" t="s">
        <v>47</v>
      </c>
      <c r="B38" s="114">
        <f>_xlfn.COMPOUNDVALUE(441)</f>
        <v>1759</v>
      </c>
      <c r="C38" s="115">
        <v>12383440</v>
      </c>
      <c r="D38" s="114">
        <f>_xlfn.COMPOUNDVALUE(442)</f>
        <v>618</v>
      </c>
      <c r="E38" s="115">
        <v>335787</v>
      </c>
      <c r="F38" s="114">
        <f>_xlfn.COMPOUNDVALUE(443)</f>
        <v>2377</v>
      </c>
      <c r="G38" s="115">
        <v>12719227</v>
      </c>
      <c r="H38" s="114">
        <f>_xlfn.COMPOUNDVALUE(444)</f>
        <v>252</v>
      </c>
      <c r="I38" s="116">
        <v>520128</v>
      </c>
      <c r="J38" s="114">
        <v>107</v>
      </c>
      <c r="K38" s="116">
        <v>960</v>
      </c>
      <c r="L38" s="114">
        <v>2653</v>
      </c>
      <c r="M38" s="116">
        <v>12200058</v>
      </c>
      <c r="N38" s="12" t="s">
        <v>47</v>
      </c>
    </row>
    <row r="39" spans="1:14" ht="15.75" customHeight="1">
      <c r="A39" s="11" t="s">
        <v>48</v>
      </c>
      <c r="B39" s="114">
        <f>_xlfn.COMPOUNDVALUE(445)</f>
        <v>2271</v>
      </c>
      <c r="C39" s="115">
        <v>14836503</v>
      </c>
      <c r="D39" s="114">
        <f>_xlfn.COMPOUNDVALUE(446)</f>
        <v>754</v>
      </c>
      <c r="E39" s="115">
        <v>451602</v>
      </c>
      <c r="F39" s="114">
        <f>_xlfn.COMPOUNDVALUE(447)</f>
        <v>3025</v>
      </c>
      <c r="G39" s="115">
        <v>15288104</v>
      </c>
      <c r="H39" s="114">
        <f>_xlfn.COMPOUNDVALUE(448)</f>
        <v>233</v>
      </c>
      <c r="I39" s="116">
        <v>998706</v>
      </c>
      <c r="J39" s="114">
        <v>172</v>
      </c>
      <c r="K39" s="116">
        <v>52371</v>
      </c>
      <c r="L39" s="114">
        <v>3281</v>
      </c>
      <c r="M39" s="116">
        <v>14341770</v>
      </c>
      <c r="N39" s="12" t="s">
        <v>48</v>
      </c>
    </row>
    <row r="40" spans="1:14" ht="15.75" customHeight="1">
      <c r="A40" s="11" t="s">
        <v>49</v>
      </c>
      <c r="B40" s="114">
        <f>_xlfn.COMPOUNDVALUE(449)</f>
        <v>2701</v>
      </c>
      <c r="C40" s="115">
        <v>22391831</v>
      </c>
      <c r="D40" s="114">
        <f>_xlfn.COMPOUNDVALUE(450)</f>
        <v>886</v>
      </c>
      <c r="E40" s="115">
        <v>526248</v>
      </c>
      <c r="F40" s="114">
        <f>_xlfn.COMPOUNDVALUE(451)</f>
        <v>3587</v>
      </c>
      <c r="G40" s="115">
        <v>22918079</v>
      </c>
      <c r="H40" s="114">
        <f>_xlfn.COMPOUNDVALUE(452)</f>
        <v>221</v>
      </c>
      <c r="I40" s="116">
        <v>1522539</v>
      </c>
      <c r="J40" s="114">
        <v>286</v>
      </c>
      <c r="K40" s="116">
        <v>65694</v>
      </c>
      <c r="L40" s="114">
        <v>3842</v>
      </c>
      <c r="M40" s="116">
        <v>21461234</v>
      </c>
      <c r="N40" s="12" t="s">
        <v>49</v>
      </c>
    </row>
    <row r="41" spans="1:14" ht="15.75" customHeight="1">
      <c r="A41" s="11" t="s">
        <v>50</v>
      </c>
      <c r="B41" s="114">
        <f>_xlfn.COMPOUNDVALUE(453)</f>
        <v>1226</v>
      </c>
      <c r="C41" s="115">
        <v>10256833</v>
      </c>
      <c r="D41" s="114">
        <f>_xlfn.COMPOUNDVALUE(454)</f>
        <v>461</v>
      </c>
      <c r="E41" s="115">
        <v>289845</v>
      </c>
      <c r="F41" s="114">
        <f>_xlfn.COMPOUNDVALUE(455)</f>
        <v>1687</v>
      </c>
      <c r="G41" s="115">
        <v>10546678</v>
      </c>
      <c r="H41" s="114">
        <f>_xlfn.COMPOUNDVALUE(456)</f>
        <v>175</v>
      </c>
      <c r="I41" s="116">
        <v>5309900</v>
      </c>
      <c r="J41" s="114">
        <v>88</v>
      </c>
      <c r="K41" s="116">
        <v>-19871</v>
      </c>
      <c r="L41" s="114">
        <v>1872</v>
      </c>
      <c r="M41" s="116">
        <v>5216907</v>
      </c>
      <c r="N41" s="12" t="s">
        <v>50</v>
      </c>
    </row>
    <row r="42" spans="1:14" ht="15.75" customHeight="1">
      <c r="A42" s="11" t="s">
        <v>51</v>
      </c>
      <c r="B42" s="114">
        <f>_xlfn.COMPOUNDVALUE(457)</f>
        <v>2709</v>
      </c>
      <c r="C42" s="115">
        <v>22373774</v>
      </c>
      <c r="D42" s="114">
        <f>_xlfn.COMPOUNDVALUE(458)</f>
        <v>786</v>
      </c>
      <c r="E42" s="115">
        <v>507141</v>
      </c>
      <c r="F42" s="114">
        <f>_xlfn.COMPOUNDVALUE(459)</f>
        <v>3495</v>
      </c>
      <c r="G42" s="115">
        <v>22880915</v>
      </c>
      <c r="H42" s="114">
        <f>_xlfn.COMPOUNDVALUE(460)</f>
        <v>375</v>
      </c>
      <c r="I42" s="116">
        <v>2551907</v>
      </c>
      <c r="J42" s="114">
        <v>258</v>
      </c>
      <c r="K42" s="116">
        <v>42459</v>
      </c>
      <c r="L42" s="114">
        <v>3892</v>
      </c>
      <c r="M42" s="116">
        <v>20371467</v>
      </c>
      <c r="N42" s="12" t="s">
        <v>51</v>
      </c>
    </row>
    <row r="43" spans="1:14" ht="15.75" customHeight="1">
      <c r="A43" s="11" t="s">
        <v>52</v>
      </c>
      <c r="B43" s="114">
        <f>_xlfn.COMPOUNDVALUE(461)</f>
        <v>4019</v>
      </c>
      <c r="C43" s="115">
        <v>19775469</v>
      </c>
      <c r="D43" s="114">
        <f>_xlfn.COMPOUNDVALUE(462)</f>
        <v>1283</v>
      </c>
      <c r="E43" s="115">
        <v>790182</v>
      </c>
      <c r="F43" s="114">
        <f>_xlfn.COMPOUNDVALUE(463)</f>
        <v>5302</v>
      </c>
      <c r="G43" s="115">
        <v>20565650</v>
      </c>
      <c r="H43" s="114">
        <f>_xlfn.COMPOUNDVALUE(464)</f>
        <v>394</v>
      </c>
      <c r="I43" s="116">
        <v>1938780</v>
      </c>
      <c r="J43" s="114">
        <v>351</v>
      </c>
      <c r="K43" s="116">
        <v>42666</v>
      </c>
      <c r="L43" s="114">
        <v>5746</v>
      </c>
      <c r="M43" s="116">
        <v>18669537</v>
      </c>
      <c r="N43" s="12" t="s">
        <v>52</v>
      </c>
    </row>
    <row r="44" spans="1:14" ht="15.75" customHeight="1">
      <c r="A44" s="11" t="s">
        <v>53</v>
      </c>
      <c r="B44" s="114">
        <f>_xlfn.COMPOUNDVALUE(465)</f>
        <v>1168</v>
      </c>
      <c r="C44" s="115">
        <v>9393421</v>
      </c>
      <c r="D44" s="114">
        <f>_xlfn.COMPOUNDVALUE(466)</f>
        <v>333</v>
      </c>
      <c r="E44" s="115">
        <v>196841</v>
      </c>
      <c r="F44" s="114">
        <f>_xlfn.COMPOUNDVALUE(467)</f>
        <v>1501</v>
      </c>
      <c r="G44" s="115">
        <v>9590262</v>
      </c>
      <c r="H44" s="114">
        <f>_xlfn.COMPOUNDVALUE(468)</f>
        <v>163</v>
      </c>
      <c r="I44" s="116">
        <v>552923</v>
      </c>
      <c r="J44" s="114">
        <v>113</v>
      </c>
      <c r="K44" s="116">
        <v>67286</v>
      </c>
      <c r="L44" s="114">
        <v>1675</v>
      </c>
      <c r="M44" s="116">
        <v>9104624</v>
      </c>
      <c r="N44" s="12" t="s">
        <v>53</v>
      </c>
    </row>
    <row r="45" spans="1:14" ht="15.75" customHeight="1">
      <c r="A45" s="11" t="s">
        <v>54</v>
      </c>
      <c r="B45" s="114">
        <f>_xlfn.COMPOUNDVALUE(469)</f>
        <v>5463</v>
      </c>
      <c r="C45" s="115">
        <v>76435825</v>
      </c>
      <c r="D45" s="114">
        <f>_xlfn.COMPOUNDVALUE(470)</f>
        <v>1588</v>
      </c>
      <c r="E45" s="115">
        <v>1049044</v>
      </c>
      <c r="F45" s="114">
        <f>_xlfn.COMPOUNDVALUE(471)</f>
        <v>7051</v>
      </c>
      <c r="G45" s="115">
        <v>77484869</v>
      </c>
      <c r="H45" s="114">
        <f>_xlfn.COMPOUNDVALUE(472)</f>
        <v>708</v>
      </c>
      <c r="I45" s="116">
        <v>9889686</v>
      </c>
      <c r="J45" s="114">
        <v>582</v>
      </c>
      <c r="K45" s="116">
        <v>35193</v>
      </c>
      <c r="L45" s="114">
        <v>7794</v>
      </c>
      <c r="M45" s="116">
        <v>67630377</v>
      </c>
      <c r="N45" s="12" t="s">
        <v>54</v>
      </c>
    </row>
    <row r="46" spans="1:14" ht="15.75" customHeight="1">
      <c r="A46" s="11" t="s">
        <v>55</v>
      </c>
      <c r="B46" s="114">
        <f>_xlfn.COMPOUNDVALUE(473)</f>
        <v>5781</v>
      </c>
      <c r="C46" s="115">
        <v>161489661</v>
      </c>
      <c r="D46" s="114">
        <f>_xlfn.COMPOUNDVALUE(474)</f>
        <v>1324</v>
      </c>
      <c r="E46" s="115">
        <v>985901</v>
      </c>
      <c r="F46" s="114">
        <f>_xlfn.COMPOUNDVALUE(475)</f>
        <v>7105</v>
      </c>
      <c r="G46" s="115">
        <v>162475562</v>
      </c>
      <c r="H46" s="114">
        <f>_xlfn.COMPOUNDVALUE(476)</f>
        <v>1036</v>
      </c>
      <c r="I46" s="116">
        <v>79177564</v>
      </c>
      <c r="J46" s="114">
        <v>640</v>
      </c>
      <c r="K46" s="116">
        <v>61927</v>
      </c>
      <c r="L46" s="114">
        <v>8259</v>
      </c>
      <c r="M46" s="116">
        <v>83359926</v>
      </c>
      <c r="N46" s="12" t="s">
        <v>55</v>
      </c>
    </row>
    <row r="47" spans="1:14" ht="15.75" customHeight="1">
      <c r="A47" s="11" t="s">
        <v>56</v>
      </c>
      <c r="B47" s="114">
        <f>_xlfn.COMPOUNDVALUE(477)</f>
        <v>2746</v>
      </c>
      <c r="C47" s="115">
        <v>93778174</v>
      </c>
      <c r="D47" s="114">
        <f>_xlfn.COMPOUNDVALUE(478)</f>
        <v>702</v>
      </c>
      <c r="E47" s="115">
        <v>476374</v>
      </c>
      <c r="F47" s="114">
        <f>_xlfn.COMPOUNDVALUE(479)</f>
        <v>3448</v>
      </c>
      <c r="G47" s="115">
        <v>94254548</v>
      </c>
      <c r="H47" s="114">
        <f>_xlfn.COMPOUNDVALUE(480)</f>
        <v>426</v>
      </c>
      <c r="I47" s="116">
        <v>14515817</v>
      </c>
      <c r="J47" s="114">
        <v>220</v>
      </c>
      <c r="K47" s="116">
        <v>79220</v>
      </c>
      <c r="L47" s="114">
        <v>3910</v>
      </c>
      <c r="M47" s="116">
        <v>79817951</v>
      </c>
      <c r="N47" s="12" t="s">
        <v>56</v>
      </c>
    </row>
    <row r="48" spans="1:14" ht="15.75" customHeight="1">
      <c r="A48" s="11" t="s">
        <v>57</v>
      </c>
      <c r="B48" s="114">
        <f>_xlfn.COMPOUNDVALUE(481)</f>
        <v>8123</v>
      </c>
      <c r="C48" s="115">
        <v>248696857</v>
      </c>
      <c r="D48" s="114">
        <f>_xlfn.COMPOUNDVALUE(482)</f>
        <v>1740</v>
      </c>
      <c r="E48" s="115">
        <v>1310045</v>
      </c>
      <c r="F48" s="114">
        <f>_xlfn.COMPOUNDVALUE(483)</f>
        <v>9863</v>
      </c>
      <c r="G48" s="115">
        <v>250006902</v>
      </c>
      <c r="H48" s="114">
        <f>_xlfn.COMPOUNDVALUE(484)</f>
        <v>2324</v>
      </c>
      <c r="I48" s="116">
        <v>51230482</v>
      </c>
      <c r="J48" s="114">
        <v>790</v>
      </c>
      <c r="K48" s="116">
        <v>236463</v>
      </c>
      <c r="L48" s="114">
        <v>12263</v>
      </c>
      <c r="M48" s="116">
        <v>199012882</v>
      </c>
      <c r="N48" s="12" t="s">
        <v>57</v>
      </c>
    </row>
    <row r="49" spans="1:14" ht="15.75" customHeight="1">
      <c r="A49" s="11" t="s">
        <v>58</v>
      </c>
      <c r="B49" s="114">
        <f>_xlfn.COMPOUNDVALUE(485)</f>
        <v>4430</v>
      </c>
      <c r="C49" s="115">
        <v>56586468</v>
      </c>
      <c r="D49" s="114">
        <f>_xlfn.COMPOUNDVALUE(486)</f>
        <v>1135</v>
      </c>
      <c r="E49" s="115">
        <v>772507</v>
      </c>
      <c r="F49" s="114">
        <f>_xlfn.COMPOUNDVALUE(487)</f>
        <v>5565</v>
      </c>
      <c r="G49" s="115">
        <v>57358975</v>
      </c>
      <c r="H49" s="114">
        <f>_xlfn.COMPOUNDVALUE(488)</f>
        <v>957</v>
      </c>
      <c r="I49" s="116">
        <v>12121728</v>
      </c>
      <c r="J49" s="114">
        <v>527</v>
      </c>
      <c r="K49" s="116">
        <v>555157</v>
      </c>
      <c r="L49" s="114">
        <v>6620</v>
      </c>
      <c r="M49" s="116">
        <v>45792404</v>
      </c>
      <c r="N49" s="12" t="s">
        <v>58</v>
      </c>
    </row>
    <row r="50" spans="1:14" ht="15.75" customHeight="1">
      <c r="A50" s="11" t="s">
        <v>59</v>
      </c>
      <c r="B50" s="114">
        <f>_xlfn.COMPOUNDVALUE(489)</f>
        <v>7971</v>
      </c>
      <c r="C50" s="115">
        <v>59567715</v>
      </c>
      <c r="D50" s="114">
        <f>_xlfn.COMPOUNDVALUE(490)</f>
        <v>2269</v>
      </c>
      <c r="E50" s="115">
        <v>1438135</v>
      </c>
      <c r="F50" s="114">
        <f>_xlfn.COMPOUNDVALUE(491)</f>
        <v>10240</v>
      </c>
      <c r="G50" s="115">
        <v>61005851</v>
      </c>
      <c r="H50" s="114">
        <f>_xlfn.COMPOUNDVALUE(492)</f>
        <v>882</v>
      </c>
      <c r="I50" s="116">
        <v>29729730</v>
      </c>
      <c r="J50" s="114">
        <v>634</v>
      </c>
      <c r="K50" s="116">
        <v>63329</v>
      </c>
      <c r="L50" s="114">
        <v>11185</v>
      </c>
      <c r="M50" s="116">
        <v>31339449</v>
      </c>
      <c r="N50" s="12" t="s">
        <v>59</v>
      </c>
    </row>
    <row r="51" spans="1:14" ht="15.75" customHeight="1">
      <c r="A51" s="11" t="s">
        <v>60</v>
      </c>
      <c r="B51" s="114">
        <f>_xlfn.COMPOUNDVALUE(493)</f>
        <v>2530</v>
      </c>
      <c r="C51" s="115">
        <v>14102398</v>
      </c>
      <c r="D51" s="114">
        <f>_xlfn.COMPOUNDVALUE(494)</f>
        <v>645</v>
      </c>
      <c r="E51" s="115">
        <v>409208</v>
      </c>
      <c r="F51" s="114">
        <f>_xlfn.COMPOUNDVALUE(495)</f>
        <v>3175</v>
      </c>
      <c r="G51" s="115">
        <v>14511606</v>
      </c>
      <c r="H51" s="114">
        <f>_xlfn.COMPOUNDVALUE(496)</f>
        <v>232</v>
      </c>
      <c r="I51" s="116">
        <v>1217713</v>
      </c>
      <c r="J51" s="114">
        <v>222</v>
      </c>
      <c r="K51" s="116">
        <v>28005</v>
      </c>
      <c r="L51" s="114">
        <v>3427</v>
      </c>
      <c r="M51" s="116">
        <v>13321898</v>
      </c>
      <c r="N51" s="12" t="s">
        <v>60</v>
      </c>
    </row>
    <row r="52" spans="1:14" ht="15.75" customHeight="1">
      <c r="A52" s="11" t="s">
        <v>61</v>
      </c>
      <c r="B52" s="114">
        <f>_xlfn.COMPOUNDVALUE(497)</f>
        <v>5310</v>
      </c>
      <c r="C52" s="115">
        <v>45483118</v>
      </c>
      <c r="D52" s="114">
        <f>_xlfn.COMPOUNDVALUE(498)</f>
        <v>2102</v>
      </c>
      <c r="E52" s="115">
        <v>1299964</v>
      </c>
      <c r="F52" s="114">
        <f>_xlfn.COMPOUNDVALUE(499)</f>
        <v>7412</v>
      </c>
      <c r="G52" s="115">
        <v>46783082</v>
      </c>
      <c r="H52" s="114">
        <f>_xlfn.COMPOUNDVALUE(500)</f>
        <v>628</v>
      </c>
      <c r="I52" s="116">
        <v>2319165</v>
      </c>
      <c r="J52" s="114">
        <v>558</v>
      </c>
      <c r="K52" s="116">
        <v>100806</v>
      </c>
      <c r="L52" s="114">
        <v>8090</v>
      </c>
      <c r="M52" s="116">
        <v>44564723</v>
      </c>
      <c r="N52" s="12" t="s">
        <v>61</v>
      </c>
    </row>
    <row r="53" spans="1:14" ht="15.75" customHeight="1">
      <c r="A53" s="11" t="s">
        <v>62</v>
      </c>
      <c r="B53" s="114">
        <f>_xlfn.COMPOUNDVALUE(501)</f>
        <v>4271</v>
      </c>
      <c r="C53" s="115">
        <v>39179537</v>
      </c>
      <c r="D53" s="114">
        <f>_xlfn.COMPOUNDVALUE(502)</f>
        <v>1494</v>
      </c>
      <c r="E53" s="115">
        <v>1019037</v>
      </c>
      <c r="F53" s="114">
        <f>_xlfn.COMPOUNDVALUE(503)</f>
        <v>5765</v>
      </c>
      <c r="G53" s="115">
        <v>40198574</v>
      </c>
      <c r="H53" s="114">
        <f>_xlfn.COMPOUNDVALUE(504)</f>
        <v>423</v>
      </c>
      <c r="I53" s="116">
        <v>2976221</v>
      </c>
      <c r="J53" s="114">
        <v>330</v>
      </c>
      <c r="K53" s="116">
        <v>32238</v>
      </c>
      <c r="L53" s="114">
        <v>6229</v>
      </c>
      <c r="M53" s="116">
        <v>37254591</v>
      </c>
      <c r="N53" s="12" t="s">
        <v>62</v>
      </c>
    </row>
    <row r="54" spans="1:14" ht="15.75" customHeight="1">
      <c r="A54" s="11" t="s">
        <v>63</v>
      </c>
      <c r="B54" s="114">
        <f>_xlfn.COMPOUNDVALUE(505)</f>
        <v>2676</v>
      </c>
      <c r="C54" s="115">
        <v>23605332</v>
      </c>
      <c r="D54" s="114">
        <f>_xlfn.COMPOUNDVALUE(506)</f>
        <v>711</v>
      </c>
      <c r="E54" s="115">
        <v>457706</v>
      </c>
      <c r="F54" s="114">
        <f>_xlfn.COMPOUNDVALUE(507)</f>
        <v>3387</v>
      </c>
      <c r="G54" s="115">
        <v>24063038</v>
      </c>
      <c r="H54" s="114">
        <f>_xlfn.COMPOUNDVALUE(508)</f>
        <v>373</v>
      </c>
      <c r="I54" s="116">
        <v>3578483</v>
      </c>
      <c r="J54" s="114">
        <v>311</v>
      </c>
      <c r="K54" s="116">
        <v>48407</v>
      </c>
      <c r="L54" s="114">
        <v>3791</v>
      </c>
      <c r="M54" s="116">
        <v>20532962</v>
      </c>
      <c r="N54" s="12" t="s">
        <v>63</v>
      </c>
    </row>
    <row r="55" spans="1:14" ht="15.75" customHeight="1">
      <c r="A55" s="13" t="s">
        <v>64</v>
      </c>
      <c r="B55" s="119">
        <f>_xlfn.COMPOUNDVALUE(509)</f>
        <v>4439</v>
      </c>
      <c r="C55" s="120">
        <v>26779611</v>
      </c>
      <c r="D55" s="119">
        <f>_xlfn.COMPOUNDVALUE(510)</f>
        <v>1385</v>
      </c>
      <c r="E55" s="120">
        <v>888228</v>
      </c>
      <c r="F55" s="119">
        <f>_xlfn.COMPOUNDVALUE(511)</f>
        <v>5824</v>
      </c>
      <c r="G55" s="120">
        <v>27667839</v>
      </c>
      <c r="H55" s="119">
        <f>_xlfn.COMPOUNDVALUE(512)</f>
        <v>422</v>
      </c>
      <c r="I55" s="121">
        <v>2590857</v>
      </c>
      <c r="J55" s="119">
        <v>314</v>
      </c>
      <c r="K55" s="121">
        <v>264858</v>
      </c>
      <c r="L55" s="119">
        <v>6301</v>
      </c>
      <c r="M55" s="121">
        <v>25341839</v>
      </c>
      <c r="N55" s="14" t="s">
        <v>64</v>
      </c>
    </row>
    <row r="56" spans="1:14" ht="15.75" customHeight="1">
      <c r="A56" s="13" t="s">
        <v>65</v>
      </c>
      <c r="B56" s="119">
        <f>_xlfn.COMPOUNDVALUE(513)</f>
        <v>4297</v>
      </c>
      <c r="C56" s="120">
        <v>35217806</v>
      </c>
      <c r="D56" s="119">
        <f>_xlfn.COMPOUNDVALUE(514)</f>
        <v>1518</v>
      </c>
      <c r="E56" s="120">
        <v>978303</v>
      </c>
      <c r="F56" s="119">
        <f>_xlfn.COMPOUNDVALUE(515)</f>
        <v>5815</v>
      </c>
      <c r="G56" s="120">
        <v>36196109</v>
      </c>
      <c r="H56" s="119">
        <f>_xlfn.COMPOUNDVALUE(516)</f>
        <v>375</v>
      </c>
      <c r="I56" s="121">
        <v>14862128</v>
      </c>
      <c r="J56" s="119">
        <v>310</v>
      </c>
      <c r="K56" s="121">
        <v>49754</v>
      </c>
      <c r="L56" s="119">
        <v>6233</v>
      </c>
      <c r="M56" s="121">
        <v>21383735</v>
      </c>
      <c r="N56" s="14" t="s">
        <v>65</v>
      </c>
    </row>
    <row r="57" spans="1:14" ht="15.75" customHeight="1">
      <c r="A57" s="13" t="s">
        <v>66</v>
      </c>
      <c r="B57" s="119">
        <f>_xlfn.COMPOUNDVALUE(517)</f>
        <v>5050</v>
      </c>
      <c r="C57" s="120">
        <v>31237035</v>
      </c>
      <c r="D57" s="119">
        <f>_xlfn.COMPOUNDVALUE(518)</f>
        <v>1629</v>
      </c>
      <c r="E57" s="120">
        <v>1018728</v>
      </c>
      <c r="F57" s="119">
        <f>_xlfn.COMPOUNDVALUE(519)</f>
        <v>6679</v>
      </c>
      <c r="G57" s="120">
        <v>32255763</v>
      </c>
      <c r="H57" s="119">
        <f>_xlfn.COMPOUNDVALUE(520)</f>
        <v>402</v>
      </c>
      <c r="I57" s="121">
        <v>2783247</v>
      </c>
      <c r="J57" s="119">
        <v>366</v>
      </c>
      <c r="K57" s="121">
        <v>24345</v>
      </c>
      <c r="L57" s="119">
        <v>7109</v>
      </c>
      <c r="M57" s="121">
        <v>29496862</v>
      </c>
      <c r="N57" s="14" t="s">
        <v>66</v>
      </c>
    </row>
    <row r="58" spans="1:14" ht="15.75" customHeight="1">
      <c r="A58" s="13" t="s">
        <v>67</v>
      </c>
      <c r="B58" s="119">
        <f>_xlfn.COMPOUNDVALUE(521)</f>
        <v>2077</v>
      </c>
      <c r="C58" s="120">
        <v>104519019</v>
      </c>
      <c r="D58" s="119">
        <f>_xlfn.COMPOUNDVALUE(522)</f>
        <v>581</v>
      </c>
      <c r="E58" s="120">
        <v>358249</v>
      </c>
      <c r="F58" s="119">
        <f>_xlfn.COMPOUNDVALUE(523)</f>
        <v>2658</v>
      </c>
      <c r="G58" s="120">
        <v>104877269</v>
      </c>
      <c r="H58" s="119">
        <f>_xlfn.COMPOUNDVALUE(524)</f>
        <v>219</v>
      </c>
      <c r="I58" s="121">
        <v>1555903</v>
      </c>
      <c r="J58" s="119">
        <v>216</v>
      </c>
      <c r="K58" s="121">
        <v>251240</v>
      </c>
      <c r="L58" s="119">
        <v>2894</v>
      </c>
      <c r="M58" s="121">
        <v>103572606</v>
      </c>
      <c r="N58" s="14" t="s">
        <v>67</v>
      </c>
    </row>
    <row r="59" spans="1:14" ht="15.75" customHeight="1">
      <c r="A59" s="13" t="s">
        <v>68</v>
      </c>
      <c r="B59" s="119">
        <f>_xlfn.COMPOUNDVALUE(525)</f>
        <v>3446</v>
      </c>
      <c r="C59" s="120">
        <v>18317292</v>
      </c>
      <c r="D59" s="119">
        <f>_xlfn.COMPOUNDVALUE(526)</f>
        <v>1188</v>
      </c>
      <c r="E59" s="120">
        <v>707950</v>
      </c>
      <c r="F59" s="119">
        <f>_xlfn.COMPOUNDVALUE(527)</f>
        <v>4634</v>
      </c>
      <c r="G59" s="120">
        <v>19025242</v>
      </c>
      <c r="H59" s="119">
        <f>_xlfn.COMPOUNDVALUE(528)</f>
        <v>273</v>
      </c>
      <c r="I59" s="121">
        <v>720224</v>
      </c>
      <c r="J59" s="119">
        <v>331</v>
      </c>
      <c r="K59" s="121">
        <v>4528</v>
      </c>
      <c r="L59" s="119">
        <v>4941</v>
      </c>
      <c r="M59" s="121">
        <v>18309547</v>
      </c>
      <c r="N59" s="14" t="s">
        <v>68</v>
      </c>
    </row>
    <row r="60" spans="1:14" ht="15.75" customHeight="1">
      <c r="A60" s="13" t="s">
        <v>69</v>
      </c>
      <c r="B60" s="119">
        <f>_xlfn.COMPOUNDVALUE(529)</f>
        <v>4755</v>
      </c>
      <c r="C60" s="120">
        <v>37110507</v>
      </c>
      <c r="D60" s="119">
        <f>_xlfn.COMPOUNDVALUE(530)</f>
        <v>1616</v>
      </c>
      <c r="E60" s="120">
        <v>1020954</v>
      </c>
      <c r="F60" s="119">
        <f>_xlfn.COMPOUNDVALUE(531)</f>
        <v>6371</v>
      </c>
      <c r="G60" s="120">
        <v>38131461</v>
      </c>
      <c r="H60" s="119">
        <f>_xlfn.COMPOUNDVALUE(532)</f>
        <v>363</v>
      </c>
      <c r="I60" s="121">
        <v>31897712</v>
      </c>
      <c r="J60" s="119">
        <v>418</v>
      </c>
      <c r="K60" s="121">
        <v>99787</v>
      </c>
      <c r="L60" s="119">
        <v>6776</v>
      </c>
      <c r="M60" s="121">
        <v>6333536</v>
      </c>
      <c r="N60" s="14" t="s">
        <v>69</v>
      </c>
    </row>
    <row r="61" spans="1:14" ht="15.75" customHeight="1">
      <c r="A61" s="13" t="s">
        <v>70</v>
      </c>
      <c r="B61" s="119">
        <f>_xlfn.COMPOUNDVALUE(533)</f>
        <v>7397</v>
      </c>
      <c r="C61" s="120">
        <v>47767566</v>
      </c>
      <c r="D61" s="119">
        <f>_xlfn.COMPOUNDVALUE(534)</f>
        <v>2310</v>
      </c>
      <c r="E61" s="120">
        <v>1455456</v>
      </c>
      <c r="F61" s="119">
        <f>_xlfn.COMPOUNDVALUE(535)</f>
        <v>9707</v>
      </c>
      <c r="G61" s="120">
        <v>49223022</v>
      </c>
      <c r="H61" s="119">
        <f>_xlfn.COMPOUNDVALUE(536)</f>
        <v>563</v>
      </c>
      <c r="I61" s="121">
        <v>2491921</v>
      </c>
      <c r="J61" s="119">
        <v>660</v>
      </c>
      <c r="K61" s="121">
        <v>88375</v>
      </c>
      <c r="L61" s="119">
        <v>10333</v>
      </c>
      <c r="M61" s="121">
        <v>46819476</v>
      </c>
      <c r="N61" s="14" t="s">
        <v>70</v>
      </c>
    </row>
    <row r="62" spans="1:14" ht="15.75" customHeight="1">
      <c r="A62" s="15" t="s">
        <v>164</v>
      </c>
      <c r="B62" s="124">
        <v>114318</v>
      </c>
      <c r="C62" s="125">
        <v>1459192052</v>
      </c>
      <c r="D62" s="124">
        <v>33449</v>
      </c>
      <c r="E62" s="125">
        <v>21702909</v>
      </c>
      <c r="F62" s="124">
        <v>147767</v>
      </c>
      <c r="G62" s="125">
        <v>1480894960</v>
      </c>
      <c r="H62" s="124">
        <v>15353</v>
      </c>
      <c r="I62" s="126">
        <v>417813333</v>
      </c>
      <c r="J62" s="124">
        <v>10517</v>
      </c>
      <c r="K62" s="126">
        <v>2671385</v>
      </c>
      <c r="L62" s="124">
        <v>164333</v>
      </c>
      <c r="M62" s="126">
        <v>1065753012</v>
      </c>
      <c r="N62" s="16" t="s">
        <v>123</v>
      </c>
    </row>
    <row r="63" spans="1:14" ht="15.75" customHeight="1">
      <c r="A63" s="23"/>
      <c r="B63" s="129"/>
      <c r="C63" s="130"/>
      <c r="D63" s="129"/>
      <c r="E63" s="130"/>
      <c r="F63" s="131"/>
      <c r="G63" s="130"/>
      <c r="H63" s="131"/>
      <c r="I63" s="130"/>
      <c r="J63" s="131"/>
      <c r="K63" s="130"/>
      <c r="L63" s="131"/>
      <c r="M63" s="130"/>
      <c r="N63" s="24"/>
    </row>
    <row r="64" spans="1:14" ht="15.75" customHeight="1">
      <c r="A64" s="11" t="s">
        <v>72</v>
      </c>
      <c r="B64" s="114">
        <f>_xlfn.COMPOUNDVALUE(537)</f>
        <v>1172</v>
      </c>
      <c r="C64" s="115">
        <v>12832873</v>
      </c>
      <c r="D64" s="114">
        <f>_xlfn.COMPOUNDVALUE(538)</f>
        <v>426</v>
      </c>
      <c r="E64" s="115">
        <v>269294</v>
      </c>
      <c r="F64" s="114">
        <f>_xlfn.COMPOUNDVALUE(539)</f>
        <v>1598</v>
      </c>
      <c r="G64" s="115">
        <v>13102167</v>
      </c>
      <c r="H64" s="114">
        <f>_xlfn.COMPOUNDVALUE(540)</f>
        <v>256</v>
      </c>
      <c r="I64" s="116">
        <v>1157449</v>
      </c>
      <c r="J64" s="114">
        <v>159</v>
      </c>
      <c r="K64" s="116">
        <v>22464</v>
      </c>
      <c r="L64" s="114">
        <v>1887</v>
      </c>
      <c r="M64" s="116">
        <v>11967181</v>
      </c>
      <c r="N64" s="25" t="s">
        <v>72</v>
      </c>
    </row>
    <row r="65" spans="1:14" ht="15.75" customHeight="1">
      <c r="A65" s="11" t="s">
        <v>73</v>
      </c>
      <c r="B65" s="114">
        <f>_xlfn.COMPOUNDVALUE(541)</f>
        <v>3417</v>
      </c>
      <c r="C65" s="115">
        <v>23450438</v>
      </c>
      <c r="D65" s="114">
        <f>_xlfn.COMPOUNDVALUE(542)</f>
        <v>1073</v>
      </c>
      <c r="E65" s="115">
        <v>624519</v>
      </c>
      <c r="F65" s="114">
        <f>_xlfn.COMPOUNDVALUE(543)</f>
        <v>4490</v>
      </c>
      <c r="G65" s="115">
        <v>24074956</v>
      </c>
      <c r="H65" s="114">
        <f>_xlfn.COMPOUNDVALUE(544)</f>
        <v>425</v>
      </c>
      <c r="I65" s="116">
        <v>3637563</v>
      </c>
      <c r="J65" s="114">
        <v>281</v>
      </c>
      <c r="K65" s="116">
        <v>-16729</v>
      </c>
      <c r="L65" s="114">
        <v>4942</v>
      </c>
      <c r="M65" s="116">
        <v>20420664</v>
      </c>
      <c r="N65" s="12" t="s">
        <v>73</v>
      </c>
    </row>
    <row r="66" spans="1:14" ht="15.75" customHeight="1">
      <c r="A66" s="11" t="s">
        <v>74</v>
      </c>
      <c r="B66" s="114">
        <f>_xlfn.COMPOUNDVALUE(545)</f>
        <v>1296</v>
      </c>
      <c r="C66" s="115">
        <v>8285331</v>
      </c>
      <c r="D66" s="114">
        <f>_xlfn.COMPOUNDVALUE(546)</f>
        <v>378</v>
      </c>
      <c r="E66" s="115">
        <v>220379</v>
      </c>
      <c r="F66" s="114">
        <f>_xlfn.COMPOUNDVALUE(547)</f>
        <v>1674</v>
      </c>
      <c r="G66" s="115">
        <v>8505711</v>
      </c>
      <c r="H66" s="114">
        <f>_xlfn.COMPOUNDVALUE(548)</f>
        <v>147</v>
      </c>
      <c r="I66" s="116">
        <v>275829</v>
      </c>
      <c r="J66" s="114">
        <v>119</v>
      </c>
      <c r="K66" s="116">
        <v>16256</v>
      </c>
      <c r="L66" s="114">
        <v>1833</v>
      </c>
      <c r="M66" s="116">
        <v>8246138</v>
      </c>
      <c r="N66" s="12" t="s">
        <v>74</v>
      </c>
    </row>
    <row r="67" spans="1:14" ht="15.75" customHeight="1">
      <c r="A67" s="11" t="s">
        <v>75</v>
      </c>
      <c r="B67" s="114">
        <f>_xlfn.COMPOUNDVALUE(549)</f>
        <v>1664</v>
      </c>
      <c r="C67" s="115">
        <v>7333161</v>
      </c>
      <c r="D67" s="114">
        <f>_xlfn.COMPOUNDVALUE(550)</f>
        <v>699</v>
      </c>
      <c r="E67" s="115">
        <v>448160</v>
      </c>
      <c r="F67" s="114">
        <f>_xlfn.COMPOUNDVALUE(551)</f>
        <v>2363</v>
      </c>
      <c r="G67" s="115">
        <v>7781321</v>
      </c>
      <c r="H67" s="114">
        <f>_xlfn.COMPOUNDVALUE(552)</f>
        <v>246</v>
      </c>
      <c r="I67" s="116">
        <v>893866</v>
      </c>
      <c r="J67" s="114">
        <v>126</v>
      </c>
      <c r="K67" s="116">
        <v>53802</v>
      </c>
      <c r="L67" s="114">
        <v>2632</v>
      </c>
      <c r="M67" s="116">
        <v>6941256</v>
      </c>
      <c r="N67" s="12" t="s">
        <v>75</v>
      </c>
    </row>
    <row r="68" spans="1:14" ht="15.75" customHeight="1">
      <c r="A68" s="11" t="s">
        <v>76</v>
      </c>
      <c r="B68" s="114">
        <f>_xlfn.COMPOUNDVALUE(553)</f>
        <v>4994</v>
      </c>
      <c r="C68" s="115">
        <v>84585344</v>
      </c>
      <c r="D68" s="114">
        <f>_xlfn.COMPOUNDVALUE(554)</f>
        <v>1424</v>
      </c>
      <c r="E68" s="115">
        <v>924029</v>
      </c>
      <c r="F68" s="114">
        <f>_xlfn.COMPOUNDVALUE(555)</f>
        <v>6418</v>
      </c>
      <c r="G68" s="115">
        <v>85509374</v>
      </c>
      <c r="H68" s="114">
        <f>_xlfn.COMPOUNDVALUE(556)</f>
        <v>1828</v>
      </c>
      <c r="I68" s="116">
        <v>38325028</v>
      </c>
      <c r="J68" s="114">
        <v>584</v>
      </c>
      <c r="K68" s="116">
        <v>55381</v>
      </c>
      <c r="L68" s="114">
        <v>8307</v>
      </c>
      <c r="M68" s="116">
        <v>47239727</v>
      </c>
      <c r="N68" s="12" t="s">
        <v>76</v>
      </c>
    </row>
    <row r="69" spans="1:14" ht="15.75" customHeight="1">
      <c r="A69" s="11" t="s">
        <v>77</v>
      </c>
      <c r="B69" s="114">
        <f>_xlfn.COMPOUNDVALUE(557)</f>
        <v>6050</v>
      </c>
      <c r="C69" s="115">
        <v>47616614</v>
      </c>
      <c r="D69" s="114">
        <f>_xlfn.COMPOUNDVALUE(558)</f>
        <v>1703</v>
      </c>
      <c r="E69" s="115">
        <v>1077287</v>
      </c>
      <c r="F69" s="114">
        <f>_xlfn.COMPOUNDVALUE(559)</f>
        <v>7753</v>
      </c>
      <c r="G69" s="115">
        <v>48693901</v>
      </c>
      <c r="H69" s="114">
        <f>_xlfn.COMPOUNDVALUE(560)</f>
        <v>410</v>
      </c>
      <c r="I69" s="116">
        <v>3067815</v>
      </c>
      <c r="J69" s="114">
        <v>396</v>
      </c>
      <c r="K69" s="116">
        <v>391704</v>
      </c>
      <c r="L69" s="114">
        <v>8210</v>
      </c>
      <c r="M69" s="116">
        <v>46017790</v>
      </c>
      <c r="N69" s="12" t="s">
        <v>77</v>
      </c>
    </row>
    <row r="70" spans="1:14" ht="15.75" customHeight="1">
      <c r="A70" s="11" t="s">
        <v>78</v>
      </c>
      <c r="B70" s="114">
        <f>_xlfn.COMPOUNDVALUE(561)</f>
        <v>4456</v>
      </c>
      <c r="C70" s="115">
        <v>40387471</v>
      </c>
      <c r="D70" s="114">
        <f>_xlfn.COMPOUNDVALUE(562)</f>
        <v>1312</v>
      </c>
      <c r="E70" s="115">
        <v>800588</v>
      </c>
      <c r="F70" s="114">
        <f>_xlfn.COMPOUNDVALUE(563)</f>
        <v>5768</v>
      </c>
      <c r="G70" s="115">
        <v>41188059</v>
      </c>
      <c r="H70" s="114">
        <f>_xlfn.COMPOUNDVALUE(564)</f>
        <v>448</v>
      </c>
      <c r="I70" s="116">
        <v>2230870</v>
      </c>
      <c r="J70" s="114">
        <v>538</v>
      </c>
      <c r="K70" s="116">
        <v>68143</v>
      </c>
      <c r="L70" s="114">
        <v>6255</v>
      </c>
      <c r="M70" s="116">
        <v>39025332</v>
      </c>
      <c r="N70" s="12" t="s">
        <v>78</v>
      </c>
    </row>
    <row r="71" spans="1:14" ht="15.75" customHeight="1">
      <c r="A71" s="11" t="s">
        <v>79</v>
      </c>
      <c r="B71" s="114">
        <f>_xlfn.COMPOUNDVALUE(565)</f>
        <v>3428</v>
      </c>
      <c r="C71" s="115">
        <v>22298677</v>
      </c>
      <c r="D71" s="114">
        <f>_xlfn.COMPOUNDVALUE(566)</f>
        <v>1115</v>
      </c>
      <c r="E71" s="115">
        <v>711654</v>
      </c>
      <c r="F71" s="114">
        <f>_xlfn.COMPOUNDVALUE(567)</f>
        <v>4543</v>
      </c>
      <c r="G71" s="115">
        <v>23010332</v>
      </c>
      <c r="H71" s="114">
        <f>_xlfn.COMPOUNDVALUE(568)</f>
        <v>408</v>
      </c>
      <c r="I71" s="116">
        <v>1849725</v>
      </c>
      <c r="J71" s="114">
        <v>306</v>
      </c>
      <c r="K71" s="116">
        <v>59572</v>
      </c>
      <c r="L71" s="114">
        <v>5002</v>
      </c>
      <c r="M71" s="116">
        <v>21220178</v>
      </c>
      <c r="N71" s="12" t="s">
        <v>79</v>
      </c>
    </row>
    <row r="72" spans="1:14" ht="15.75" customHeight="1">
      <c r="A72" s="11" t="s">
        <v>80</v>
      </c>
      <c r="B72" s="114">
        <f>_xlfn.COMPOUNDVALUE(569)</f>
        <v>4394</v>
      </c>
      <c r="C72" s="115">
        <v>31953943</v>
      </c>
      <c r="D72" s="114">
        <f>_xlfn.COMPOUNDVALUE(570)</f>
        <v>1787</v>
      </c>
      <c r="E72" s="115">
        <v>1140382</v>
      </c>
      <c r="F72" s="114">
        <f>_xlfn.COMPOUNDVALUE(571)</f>
        <v>6181</v>
      </c>
      <c r="G72" s="115">
        <v>33094325</v>
      </c>
      <c r="H72" s="114">
        <f>_xlfn.COMPOUNDVALUE(572)</f>
        <v>564</v>
      </c>
      <c r="I72" s="116">
        <v>2930927</v>
      </c>
      <c r="J72" s="114">
        <v>424</v>
      </c>
      <c r="K72" s="116">
        <v>67881</v>
      </c>
      <c r="L72" s="114">
        <v>6802</v>
      </c>
      <c r="M72" s="116">
        <v>30231279</v>
      </c>
      <c r="N72" s="12" t="s">
        <v>80</v>
      </c>
    </row>
    <row r="73" spans="1:14" ht="15.75" customHeight="1">
      <c r="A73" s="11" t="s">
        <v>81</v>
      </c>
      <c r="B73" s="114">
        <f>_xlfn.COMPOUNDVALUE(573)</f>
        <v>1358</v>
      </c>
      <c r="C73" s="115">
        <v>7491686</v>
      </c>
      <c r="D73" s="114">
        <f>_xlfn.COMPOUNDVALUE(574)</f>
        <v>402</v>
      </c>
      <c r="E73" s="115">
        <v>244012</v>
      </c>
      <c r="F73" s="114">
        <f>_xlfn.COMPOUNDVALUE(575)</f>
        <v>1760</v>
      </c>
      <c r="G73" s="115">
        <v>7735698</v>
      </c>
      <c r="H73" s="114">
        <f>_xlfn.COMPOUNDVALUE(576)</f>
        <v>80</v>
      </c>
      <c r="I73" s="116">
        <v>230533</v>
      </c>
      <c r="J73" s="114">
        <v>114</v>
      </c>
      <c r="K73" s="116">
        <v>15572</v>
      </c>
      <c r="L73" s="114">
        <v>1856</v>
      </c>
      <c r="M73" s="116">
        <v>7520736</v>
      </c>
      <c r="N73" s="12" t="s">
        <v>81</v>
      </c>
    </row>
    <row r="74" spans="1:14" ht="15.75" customHeight="1">
      <c r="A74" s="11" t="s">
        <v>82</v>
      </c>
      <c r="B74" s="114">
        <f>_xlfn.COMPOUNDVALUE(577)</f>
        <v>2648</v>
      </c>
      <c r="C74" s="115">
        <v>24105625</v>
      </c>
      <c r="D74" s="114">
        <f>_xlfn.COMPOUNDVALUE(578)</f>
        <v>946</v>
      </c>
      <c r="E74" s="115">
        <v>582103</v>
      </c>
      <c r="F74" s="114">
        <f>_xlfn.COMPOUNDVALUE(579)</f>
        <v>3594</v>
      </c>
      <c r="G74" s="115">
        <v>24687727</v>
      </c>
      <c r="H74" s="114">
        <f>_xlfn.COMPOUNDVALUE(580)</f>
        <v>510</v>
      </c>
      <c r="I74" s="116">
        <v>3045457</v>
      </c>
      <c r="J74" s="114">
        <v>280</v>
      </c>
      <c r="K74" s="116">
        <v>52361</v>
      </c>
      <c r="L74" s="114">
        <v>4130</v>
      </c>
      <c r="M74" s="116">
        <v>21694632</v>
      </c>
      <c r="N74" s="12" t="s">
        <v>82</v>
      </c>
    </row>
    <row r="75" spans="1:14" ht="15.75" customHeight="1">
      <c r="A75" s="11" t="s">
        <v>83</v>
      </c>
      <c r="B75" s="114">
        <f>_xlfn.COMPOUNDVALUE(581)</f>
        <v>2420</v>
      </c>
      <c r="C75" s="115">
        <v>16758658</v>
      </c>
      <c r="D75" s="114">
        <f>_xlfn.COMPOUNDVALUE(582)</f>
        <v>872</v>
      </c>
      <c r="E75" s="115">
        <v>544766</v>
      </c>
      <c r="F75" s="114">
        <f>_xlfn.COMPOUNDVALUE(583)</f>
        <v>3292</v>
      </c>
      <c r="G75" s="115">
        <v>17303424</v>
      </c>
      <c r="H75" s="114">
        <f>_xlfn.COMPOUNDVALUE(584)</f>
        <v>255</v>
      </c>
      <c r="I75" s="116">
        <v>1202742</v>
      </c>
      <c r="J75" s="114">
        <v>168</v>
      </c>
      <c r="K75" s="116">
        <v>43893</v>
      </c>
      <c r="L75" s="114">
        <v>3560</v>
      </c>
      <c r="M75" s="116">
        <v>16144575</v>
      </c>
      <c r="N75" s="12" t="s">
        <v>83</v>
      </c>
    </row>
    <row r="76" spans="1:14" ht="15.75" customHeight="1">
      <c r="A76" s="11" t="s">
        <v>84</v>
      </c>
      <c r="B76" s="114">
        <f>_xlfn.COMPOUNDVALUE(585)</f>
        <v>830</v>
      </c>
      <c r="C76" s="115">
        <v>4478334</v>
      </c>
      <c r="D76" s="114">
        <f>_xlfn.COMPOUNDVALUE(586)</f>
        <v>275</v>
      </c>
      <c r="E76" s="115">
        <v>163289</v>
      </c>
      <c r="F76" s="114">
        <f>_xlfn.COMPOUNDVALUE(587)</f>
        <v>1105</v>
      </c>
      <c r="G76" s="115">
        <v>4641623</v>
      </c>
      <c r="H76" s="114">
        <f>_xlfn.COMPOUNDVALUE(588)</f>
        <v>39</v>
      </c>
      <c r="I76" s="116">
        <v>124627</v>
      </c>
      <c r="J76" s="114">
        <v>67</v>
      </c>
      <c r="K76" s="116">
        <v>20614</v>
      </c>
      <c r="L76" s="114">
        <v>1152</v>
      </c>
      <c r="M76" s="116">
        <v>4537610</v>
      </c>
      <c r="N76" s="12" t="s">
        <v>84</v>
      </c>
    </row>
    <row r="77" spans="1:14" ht="15.75" customHeight="1">
      <c r="A77" s="11" t="s">
        <v>85</v>
      </c>
      <c r="B77" s="114">
        <f>_xlfn.COMPOUNDVALUE(589)</f>
        <v>1193</v>
      </c>
      <c r="C77" s="115">
        <v>5749055</v>
      </c>
      <c r="D77" s="114">
        <f>_xlfn.COMPOUNDVALUE(590)</f>
        <v>289</v>
      </c>
      <c r="E77" s="115">
        <v>160145</v>
      </c>
      <c r="F77" s="114">
        <f>_xlfn.COMPOUNDVALUE(591)</f>
        <v>1482</v>
      </c>
      <c r="G77" s="115">
        <v>5909200</v>
      </c>
      <c r="H77" s="114">
        <f>_xlfn.COMPOUNDVALUE(592)</f>
        <v>52</v>
      </c>
      <c r="I77" s="116">
        <v>120339</v>
      </c>
      <c r="J77" s="114">
        <v>70</v>
      </c>
      <c r="K77" s="116">
        <v>-9556</v>
      </c>
      <c r="L77" s="114">
        <v>1540</v>
      </c>
      <c r="M77" s="116">
        <v>5779305</v>
      </c>
      <c r="N77" s="12" t="s">
        <v>85</v>
      </c>
    </row>
    <row r="78" spans="1:14" ht="15.75" customHeight="1">
      <c r="A78" s="13" t="s">
        <v>86</v>
      </c>
      <c r="B78" s="119">
        <f>_xlfn.COMPOUNDVALUE(593)</f>
        <v>2927</v>
      </c>
      <c r="C78" s="120">
        <v>18459807</v>
      </c>
      <c r="D78" s="119">
        <f>_xlfn.COMPOUNDVALUE(594)</f>
        <v>891</v>
      </c>
      <c r="E78" s="120">
        <v>546148</v>
      </c>
      <c r="F78" s="119">
        <f>_xlfn.COMPOUNDVALUE(595)</f>
        <v>3818</v>
      </c>
      <c r="G78" s="120">
        <v>19005955</v>
      </c>
      <c r="H78" s="119">
        <f>_xlfn.COMPOUNDVALUE(596)</f>
        <v>213</v>
      </c>
      <c r="I78" s="121">
        <v>3364157</v>
      </c>
      <c r="J78" s="119">
        <v>246</v>
      </c>
      <c r="K78" s="121">
        <v>69677</v>
      </c>
      <c r="L78" s="119">
        <v>4061</v>
      </c>
      <c r="M78" s="121">
        <v>15711475</v>
      </c>
      <c r="N78" s="14" t="s">
        <v>86</v>
      </c>
    </row>
    <row r="79" spans="1:14" ht="15.75" customHeight="1">
      <c r="A79" s="13" t="s">
        <v>87</v>
      </c>
      <c r="B79" s="119">
        <f>_xlfn.COMPOUNDVALUE(597)</f>
        <v>1332</v>
      </c>
      <c r="C79" s="120">
        <v>7534314</v>
      </c>
      <c r="D79" s="119">
        <f>_xlfn.COMPOUNDVALUE(598)</f>
        <v>470</v>
      </c>
      <c r="E79" s="120">
        <v>265311</v>
      </c>
      <c r="F79" s="119">
        <f>_xlfn.COMPOUNDVALUE(599)</f>
        <v>1802</v>
      </c>
      <c r="G79" s="120">
        <v>7799625</v>
      </c>
      <c r="H79" s="119">
        <f>_xlfn.COMPOUNDVALUE(600)</f>
        <v>89</v>
      </c>
      <c r="I79" s="121">
        <v>870349</v>
      </c>
      <c r="J79" s="119">
        <v>98</v>
      </c>
      <c r="K79" s="121">
        <v>19755</v>
      </c>
      <c r="L79" s="119">
        <v>1902</v>
      </c>
      <c r="M79" s="121">
        <v>6949031</v>
      </c>
      <c r="N79" s="14" t="s">
        <v>87</v>
      </c>
    </row>
    <row r="80" spans="1:14" ht="15.75" customHeight="1">
      <c r="A80" s="13" t="s">
        <v>88</v>
      </c>
      <c r="B80" s="119">
        <f>_xlfn.COMPOUNDVALUE(601)</f>
        <v>656</v>
      </c>
      <c r="C80" s="120">
        <v>2859468</v>
      </c>
      <c r="D80" s="119">
        <f>_xlfn.COMPOUNDVALUE(602)</f>
        <v>262</v>
      </c>
      <c r="E80" s="120">
        <v>139726</v>
      </c>
      <c r="F80" s="119">
        <f>_xlfn.COMPOUNDVALUE(603)</f>
        <v>918</v>
      </c>
      <c r="G80" s="120">
        <v>2999193</v>
      </c>
      <c r="H80" s="119">
        <f>_xlfn.COMPOUNDVALUE(604)</f>
        <v>43</v>
      </c>
      <c r="I80" s="121">
        <v>160756</v>
      </c>
      <c r="J80" s="119">
        <v>47</v>
      </c>
      <c r="K80" s="121">
        <v>-13869</v>
      </c>
      <c r="L80" s="119">
        <v>963</v>
      </c>
      <c r="M80" s="121">
        <v>2824568</v>
      </c>
      <c r="N80" s="14" t="s">
        <v>88</v>
      </c>
    </row>
    <row r="81" spans="1:14" ht="15.75" customHeight="1">
      <c r="A81" s="13" t="s">
        <v>89</v>
      </c>
      <c r="B81" s="119">
        <f>_xlfn.COMPOUNDVALUE(605)</f>
        <v>718</v>
      </c>
      <c r="C81" s="120">
        <v>4148097</v>
      </c>
      <c r="D81" s="119">
        <f>_xlfn.COMPOUNDVALUE(606)</f>
        <v>190</v>
      </c>
      <c r="E81" s="120">
        <v>101507</v>
      </c>
      <c r="F81" s="119">
        <f>_xlfn.COMPOUNDVALUE(607)</f>
        <v>908</v>
      </c>
      <c r="G81" s="120">
        <v>4249603</v>
      </c>
      <c r="H81" s="119">
        <f>_xlfn.COMPOUNDVALUE(608)</f>
        <v>148</v>
      </c>
      <c r="I81" s="121">
        <v>1536094</v>
      </c>
      <c r="J81" s="119">
        <v>59</v>
      </c>
      <c r="K81" s="121">
        <v>1552</v>
      </c>
      <c r="L81" s="119">
        <v>1059</v>
      </c>
      <c r="M81" s="121">
        <v>2715061</v>
      </c>
      <c r="N81" s="14" t="s">
        <v>89</v>
      </c>
    </row>
    <row r="82" spans="1:14" ht="15.75" customHeight="1">
      <c r="A82" s="13" t="s">
        <v>90</v>
      </c>
      <c r="B82" s="119">
        <f>_xlfn.COMPOUNDVALUE(609)</f>
        <v>1311</v>
      </c>
      <c r="C82" s="120">
        <v>8054772</v>
      </c>
      <c r="D82" s="119">
        <f>_xlfn.COMPOUNDVALUE(610)</f>
        <v>407</v>
      </c>
      <c r="E82" s="120">
        <v>235732</v>
      </c>
      <c r="F82" s="119">
        <f>_xlfn.COMPOUNDVALUE(611)</f>
        <v>1718</v>
      </c>
      <c r="G82" s="120">
        <v>8290504</v>
      </c>
      <c r="H82" s="119">
        <f>_xlfn.COMPOUNDVALUE(612)</f>
        <v>120</v>
      </c>
      <c r="I82" s="121">
        <v>739125</v>
      </c>
      <c r="J82" s="119">
        <v>97</v>
      </c>
      <c r="K82" s="121">
        <v>610</v>
      </c>
      <c r="L82" s="119">
        <v>1844</v>
      </c>
      <c r="M82" s="121">
        <v>7551989</v>
      </c>
      <c r="N82" s="14" t="s">
        <v>90</v>
      </c>
    </row>
    <row r="83" spans="1:14" ht="15.75" customHeight="1">
      <c r="A83" s="13" t="s">
        <v>91</v>
      </c>
      <c r="B83" s="119">
        <f>_xlfn.COMPOUNDVALUE(613)</f>
        <v>522</v>
      </c>
      <c r="C83" s="120">
        <v>2729820</v>
      </c>
      <c r="D83" s="119">
        <f>_xlfn.COMPOUNDVALUE(614)</f>
        <v>147</v>
      </c>
      <c r="E83" s="120">
        <v>88191</v>
      </c>
      <c r="F83" s="119">
        <f>_xlfn.COMPOUNDVALUE(615)</f>
        <v>669</v>
      </c>
      <c r="G83" s="120">
        <v>2818011</v>
      </c>
      <c r="H83" s="119">
        <f>_xlfn.COMPOUNDVALUE(616)</f>
        <v>17</v>
      </c>
      <c r="I83" s="121">
        <v>212108</v>
      </c>
      <c r="J83" s="119">
        <v>54</v>
      </c>
      <c r="K83" s="121">
        <v>3782</v>
      </c>
      <c r="L83" s="119">
        <v>690</v>
      </c>
      <c r="M83" s="121">
        <v>2609685</v>
      </c>
      <c r="N83" s="14" t="s">
        <v>91</v>
      </c>
    </row>
    <row r="84" spans="1:14" ht="15.75" customHeight="1">
      <c r="A84" s="13" t="s">
        <v>92</v>
      </c>
      <c r="B84" s="119">
        <f>_xlfn.COMPOUNDVALUE(617)</f>
        <v>902</v>
      </c>
      <c r="C84" s="120">
        <v>4649354</v>
      </c>
      <c r="D84" s="119">
        <f>_xlfn.COMPOUNDVALUE(618)</f>
        <v>298</v>
      </c>
      <c r="E84" s="120">
        <v>155886</v>
      </c>
      <c r="F84" s="119">
        <f>_xlfn.COMPOUNDVALUE(619)</f>
        <v>1200</v>
      </c>
      <c r="G84" s="120">
        <v>4805240</v>
      </c>
      <c r="H84" s="119">
        <f>_xlfn.COMPOUNDVALUE(620)</f>
        <v>56</v>
      </c>
      <c r="I84" s="121">
        <v>221452</v>
      </c>
      <c r="J84" s="119">
        <v>53</v>
      </c>
      <c r="K84" s="121">
        <v>12146</v>
      </c>
      <c r="L84" s="119">
        <v>1263</v>
      </c>
      <c r="M84" s="121">
        <v>4595935</v>
      </c>
      <c r="N84" s="14" t="s">
        <v>92</v>
      </c>
    </row>
    <row r="85" spans="1:14" ht="15.75" customHeight="1">
      <c r="A85" s="15" t="s">
        <v>165</v>
      </c>
      <c r="B85" s="124">
        <v>47688</v>
      </c>
      <c r="C85" s="125">
        <v>385762840</v>
      </c>
      <c r="D85" s="124">
        <v>15366</v>
      </c>
      <c r="E85" s="125">
        <v>9443106</v>
      </c>
      <c r="F85" s="124">
        <v>63054</v>
      </c>
      <c r="G85" s="125">
        <v>395205947</v>
      </c>
      <c r="H85" s="124">
        <v>6354</v>
      </c>
      <c r="I85" s="126">
        <v>66196811</v>
      </c>
      <c r="J85" s="124">
        <v>4286</v>
      </c>
      <c r="K85" s="126">
        <v>935011</v>
      </c>
      <c r="L85" s="124">
        <v>69890</v>
      </c>
      <c r="M85" s="126">
        <v>329944147</v>
      </c>
      <c r="N85" s="16" t="s">
        <v>124</v>
      </c>
    </row>
    <row r="86" spans="1:14"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_xlfn.COMPOUNDVALUE(621)</f>
        <v>4388</v>
      </c>
      <c r="C87" s="120">
        <v>25633350</v>
      </c>
      <c r="D87" s="119">
        <f>_xlfn.COMPOUNDVALUE(622)</f>
        <v>1617</v>
      </c>
      <c r="E87" s="120">
        <v>953397</v>
      </c>
      <c r="F87" s="119">
        <f>_xlfn.COMPOUNDVALUE(623)</f>
        <v>6005</v>
      </c>
      <c r="G87" s="120">
        <v>26586747</v>
      </c>
      <c r="H87" s="119">
        <f>_xlfn.COMPOUNDVALUE(624)</f>
        <v>540</v>
      </c>
      <c r="I87" s="121">
        <v>3567536</v>
      </c>
      <c r="J87" s="119">
        <v>457</v>
      </c>
      <c r="K87" s="121">
        <v>105557</v>
      </c>
      <c r="L87" s="119">
        <v>6582</v>
      </c>
      <c r="M87" s="121">
        <v>23124767</v>
      </c>
      <c r="N87" s="14" t="s">
        <v>94</v>
      </c>
    </row>
    <row r="88" spans="1:14" ht="15.75" customHeight="1">
      <c r="A88" s="13" t="s">
        <v>95</v>
      </c>
      <c r="B88" s="119">
        <f>_xlfn.COMPOUNDVALUE(625)</f>
        <v>3283</v>
      </c>
      <c r="C88" s="120">
        <v>16876624</v>
      </c>
      <c r="D88" s="119">
        <f>_xlfn.COMPOUNDVALUE(626)</f>
        <v>1004</v>
      </c>
      <c r="E88" s="120">
        <v>600346</v>
      </c>
      <c r="F88" s="119">
        <f>_xlfn.COMPOUNDVALUE(627)</f>
        <v>4287</v>
      </c>
      <c r="G88" s="120">
        <v>17476970</v>
      </c>
      <c r="H88" s="119">
        <f>_xlfn.COMPOUNDVALUE(628)</f>
        <v>292</v>
      </c>
      <c r="I88" s="121">
        <v>1250223</v>
      </c>
      <c r="J88" s="119">
        <v>232</v>
      </c>
      <c r="K88" s="121">
        <v>376357</v>
      </c>
      <c r="L88" s="119">
        <v>4604</v>
      </c>
      <c r="M88" s="121">
        <v>16603103</v>
      </c>
      <c r="N88" s="14" t="s">
        <v>95</v>
      </c>
    </row>
    <row r="89" spans="1:14" ht="15.75" customHeight="1">
      <c r="A89" s="13" t="s">
        <v>96</v>
      </c>
      <c r="B89" s="119">
        <f>_xlfn.COMPOUNDVALUE(629)</f>
        <v>1079</v>
      </c>
      <c r="C89" s="120">
        <v>5423488</v>
      </c>
      <c r="D89" s="119">
        <f>_xlfn.COMPOUNDVALUE(630)</f>
        <v>260</v>
      </c>
      <c r="E89" s="120">
        <v>165085</v>
      </c>
      <c r="F89" s="119">
        <f>_xlfn.COMPOUNDVALUE(631)</f>
        <v>1339</v>
      </c>
      <c r="G89" s="120">
        <v>5588572</v>
      </c>
      <c r="H89" s="119">
        <f>_xlfn.COMPOUNDVALUE(632)</f>
        <v>62</v>
      </c>
      <c r="I89" s="121">
        <v>231134</v>
      </c>
      <c r="J89" s="119">
        <v>109</v>
      </c>
      <c r="K89" s="121">
        <v>9385</v>
      </c>
      <c r="L89" s="119">
        <v>1415</v>
      </c>
      <c r="M89" s="121">
        <v>5366824</v>
      </c>
      <c r="N89" s="14" t="s">
        <v>96</v>
      </c>
    </row>
    <row r="90" spans="1:14" ht="15.75" customHeight="1">
      <c r="A90" s="13" t="s">
        <v>97</v>
      </c>
      <c r="B90" s="119">
        <f>_xlfn.COMPOUNDVALUE(633)</f>
        <v>469</v>
      </c>
      <c r="C90" s="120">
        <v>2118872</v>
      </c>
      <c r="D90" s="119">
        <f>_xlfn.COMPOUNDVALUE(634)</f>
        <v>118</v>
      </c>
      <c r="E90" s="120">
        <v>67394</v>
      </c>
      <c r="F90" s="119">
        <f>_xlfn.COMPOUNDVALUE(635)</f>
        <v>587</v>
      </c>
      <c r="G90" s="120">
        <v>2186266</v>
      </c>
      <c r="H90" s="119">
        <f>_xlfn.COMPOUNDVALUE(636)</f>
        <v>36</v>
      </c>
      <c r="I90" s="121">
        <v>110089</v>
      </c>
      <c r="J90" s="119">
        <v>40</v>
      </c>
      <c r="K90" s="121">
        <v>-9918</v>
      </c>
      <c r="L90" s="119">
        <v>631</v>
      </c>
      <c r="M90" s="121">
        <v>2066259</v>
      </c>
      <c r="N90" s="14" t="s">
        <v>97</v>
      </c>
    </row>
    <row r="91" spans="1:14" ht="15.75" customHeight="1">
      <c r="A91" s="15" t="s">
        <v>166</v>
      </c>
      <c r="B91" s="124">
        <v>9219</v>
      </c>
      <c r="C91" s="125">
        <v>50052333</v>
      </c>
      <c r="D91" s="124">
        <v>2999</v>
      </c>
      <c r="E91" s="125">
        <v>1786222</v>
      </c>
      <c r="F91" s="124">
        <v>12218</v>
      </c>
      <c r="G91" s="125">
        <v>51838555</v>
      </c>
      <c r="H91" s="124">
        <v>930</v>
      </c>
      <c r="I91" s="126">
        <v>5158982</v>
      </c>
      <c r="J91" s="124">
        <v>838</v>
      </c>
      <c r="K91" s="126">
        <v>481381</v>
      </c>
      <c r="L91" s="124">
        <v>13232</v>
      </c>
      <c r="M91" s="126">
        <v>47160953</v>
      </c>
      <c r="N91" s="16" t="s">
        <v>125</v>
      </c>
    </row>
    <row r="92" spans="1:14" ht="15.75" customHeight="1">
      <c r="A92" s="23"/>
      <c r="B92" s="129"/>
      <c r="C92" s="130"/>
      <c r="D92" s="129"/>
      <c r="E92" s="130"/>
      <c r="F92" s="131"/>
      <c r="G92" s="130"/>
      <c r="H92" s="131"/>
      <c r="I92" s="130"/>
      <c r="J92" s="131"/>
      <c r="K92" s="130"/>
      <c r="L92" s="131"/>
      <c r="M92" s="130"/>
      <c r="N92" s="24"/>
    </row>
    <row r="93" spans="1:14" ht="15.75" customHeight="1">
      <c r="A93" s="11" t="s">
        <v>99</v>
      </c>
      <c r="B93" s="114">
        <f>_xlfn.COMPOUNDVALUE(637)</f>
        <v>3613</v>
      </c>
      <c r="C93" s="115">
        <v>26955783</v>
      </c>
      <c r="D93" s="114">
        <f>_xlfn.COMPOUNDVALUE(638)</f>
        <v>1186</v>
      </c>
      <c r="E93" s="115">
        <v>706048</v>
      </c>
      <c r="F93" s="114">
        <f>_xlfn.COMPOUNDVALUE(639)</f>
        <v>4799</v>
      </c>
      <c r="G93" s="115">
        <v>27661831</v>
      </c>
      <c r="H93" s="114">
        <f>_xlfn.COMPOUNDVALUE(640)</f>
        <v>230</v>
      </c>
      <c r="I93" s="116">
        <v>2435660</v>
      </c>
      <c r="J93" s="114">
        <v>349</v>
      </c>
      <c r="K93" s="116">
        <v>52244</v>
      </c>
      <c r="L93" s="114">
        <v>5071</v>
      </c>
      <c r="M93" s="116">
        <v>25278414</v>
      </c>
      <c r="N93" s="25" t="s">
        <v>99</v>
      </c>
    </row>
    <row r="94" spans="1:14" ht="15.75" customHeight="1">
      <c r="A94" s="13" t="s">
        <v>100</v>
      </c>
      <c r="B94" s="119">
        <f>_xlfn.COMPOUNDVALUE(641)</f>
        <v>622</v>
      </c>
      <c r="C94" s="120">
        <v>3353377</v>
      </c>
      <c r="D94" s="119">
        <f>_xlfn.COMPOUNDVALUE(642)</f>
        <v>181</v>
      </c>
      <c r="E94" s="120">
        <v>89034</v>
      </c>
      <c r="F94" s="119">
        <f>_xlfn.COMPOUNDVALUE(643)</f>
        <v>803</v>
      </c>
      <c r="G94" s="120">
        <v>3442411</v>
      </c>
      <c r="H94" s="119">
        <f>_xlfn.COMPOUNDVALUE(644)</f>
        <v>38</v>
      </c>
      <c r="I94" s="121">
        <v>196559</v>
      </c>
      <c r="J94" s="119">
        <v>63</v>
      </c>
      <c r="K94" s="121">
        <v>-95081</v>
      </c>
      <c r="L94" s="119">
        <v>849</v>
      </c>
      <c r="M94" s="121">
        <v>3150770</v>
      </c>
      <c r="N94" s="14" t="s">
        <v>100</v>
      </c>
    </row>
    <row r="95" spans="1:14" ht="15.75" customHeight="1">
      <c r="A95" s="13" t="s">
        <v>101</v>
      </c>
      <c r="B95" s="119">
        <f>_xlfn.COMPOUNDVALUE(645)</f>
        <v>658</v>
      </c>
      <c r="C95" s="120">
        <v>2921905</v>
      </c>
      <c r="D95" s="119">
        <f>_xlfn.COMPOUNDVALUE(646)</f>
        <v>189</v>
      </c>
      <c r="E95" s="120">
        <v>101644</v>
      </c>
      <c r="F95" s="119">
        <f>_xlfn.COMPOUNDVALUE(647)</f>
        <v>847</v>
      </c>
      <c r="G95" s="120">
        <v>3023549</v>
      </c>
      <c r="H95" s="119">
        <f>_xlfn.COMPOUNDVALUE(648)</f>
        <v>37</v>
      </c>
      <c r="I95" s="121">
        <v>113821</v>
      </c>
      <c r="J95" s="119">
        <v>57</v>
      </c>
      <c r="K95" s="121">
        <v>24708</v>
      </c>
      <c r="L95" s="119">
        <v>893</v>
      </c>
      <c r="M95" s="121">
        <v>2934436</v>
      </c>
      <c r="N95" s="14" t="s">
        <v>101</v>
      </c>
    </row>
    <row r="96" spans="1:14" ht="15.75" customHeight="1">
      <c r="A96" s="13" t="s">
        <v>102</v>
      </c>
      <c r="B96" s="119">
        <f>_xlfn.COMPOUNDVALUE(649)</f>
        <v>1004</v>
      </c>
      <c r="C96" s="120">
        <v>4959892</v>
      </c>
      <c r="D96" s="119">
        <f>_xlfn.COMPOUNDVALUE(650)</f>
        <v>416</v>
      </c>
      <c r="E96" s="120">
        <v>264161</v>
      </c>
      <c r="F96" s="119">
        <f>_xlfn.COMPOUNDVALUE(651)</f>
        <v>1420</v>
      </c>
      <c r="G96" s="120">
        <v>5224053</v>
      </c>
      <c r="H96" s="119">
        <f>_xlfn.COMPOUNDVALUE(652)</f>
        <v>49</v>
      </c>
      <c r="I96" s="121">
        <v>104173</v>
      </c>
      <c r="J96" s="119">
        <v>112</v>
      </c>
      <c r="K96" s="121">
        <v>18971</v>
      </c>
      <c r="L96" s="119">
        <v>1483</v>
      </c>
      <c r="M96" s="121">
        <v>5138851</v>
      </c>
      <c r="N96" s="14" t="s">
        <v>102</v>
      </c>
    </row>
    <row r="97" spans="1:14" ht="15.75" customHeight="1">
      <c r="A97" s="13" t="s">
        <v>103</v>
      </c>
      <c r="B97" s="119">
        <f>_xlfn.COMPOUNDVALUE(653)</f>
        <v>551</v>
      </c>
      <c r="C97" s="120">
        <v>2292283</v>
      </c>
      <c r="D97" s="119">
        <f>_xlfn.COMPOUNDVALUE(654)</f>
        <v>174</v>
      </c>
      <c r="E97" s="120">
        <v>102600</v>
      </c>
      <c r="F97" s="119">
        <f>_xlfn.COMPOUNDVALUE(655)</f>
        <v>725</v>
      </c>
      <c r="G97" s="120">
        <v>2394882</v>
      </c>
      <c r="H97" s="119">
        <f>_xlfn.COMPOUNDVALUE(656)</f>
        <v>41</v>
      </c>
      <c r="I97" s="121">
        <v>332246</v>
      </c>
      <c r="J97" s="119">
        <v>59</v>
      </c>
      <c r="K97" s="121">
        <v>19289</v>
      </c>
      <c r="L97" s="119">
        <v>772</v>
      </c>
      <c r="M97" s="121">
        <v>2081925</v>
      </c>
      <c r="N97" s="14" t="s">
        <v>103</v>
      </c>
    </row>
    <row r="98" spans="1:14" ht="15.75" customHeight="1">
      <c r="A98" s="13" t="s">
        <v>104</v>
      </c>
      <c r="B98" s="119">
        <f>_xlfn.COMPOUNDVALUE(657)</f>
        <v>1206</v>
      </c>
      <c r="C98" s="120">
        <v>5899967</v>
      </c>
      <c r="D98" s="119">
        <f>_xlfn.COMPOUNDVALUE(658)</f>
        <v>358</v>
      </c>
      <c r="E98" s="120">
        <v>222865</v>
      </c>
      <c r="F98" s="119">
        <f>_xlfn.COMPOUNDVALUE(659)</f>
        <v>1564</v>
      </c>
      <c r="G98" s="120">
        <v>6122832</v>
      </c>
      <c r="H98" s="119">
        <f>_xlfn.COMPOUNDVALUE(660)</f>
        <v>82</v>
      </c>
      <c r="I98" s="121">
        <v>269742</v>
      </c>
      <c r="J98" s="119">
        <v>97</v>
      </c>
      <c r="K98" s="121">
        <v>17477</v>
      </c>
      <c r="L98" s="119">
        <v>1653</v>
      </c>
      <c r="M98" s="121">
        <v>5870567</v>
      </c>
      <c r="N98" s="14" t="s">
        <v>104</v>
      </c>
    </row>
    <row r="99" spans="1:14" ht="15.75" customHeight="1">
      <c r="A99" s="13" t="s">
        <v>105</v>
      </c>
      <c r="B99" s="119">
        <f>_xlfn.COMPOUNDVALUE(661)</f>
        <v>585</v>
      </c>
      <c r="C99" s="120">
        <v>3715964</v>
      </c>
      <c r="D99" s="119">
        <f>_xlfn.COMPOUNDVALUE(662)</f>
        <v>172</v>
      </c>
      <c r="E99" s="120">
        <v>101642</v>
      </c>
      <c r="F99" s="119">
        <f>_xlfn.COMPOUNDVALUE(663)</f>
        <v>757</v>
      </c>
      <c r="G99" s="120">
        <v>3817606</v>
      </c>
      <c r="H99" s="119">
        <f>_xlfn.COMPOUNDVALUE(664)</f>
        <v>27</v>
      </c>
      <c r="I99" s="121">
        <v>126474</v>
      </c>
      <c r="J99" s="119">
        <v>44</v>
      </c>
      <c r="K99" s="121">
        <v>3657</v>
      </c>
      <c r="L99" s="119">
        <v>789</v>
      </c>
      <c r="M99" s="121">
        <v>3694789</v>
      </c>
      <c r="N99" s="14" t="s">
        <v>105</v>
      </c>
    </row>
    <row r="100" spans="1:14" ht="15.75" customHeight="1">
      <c r="A100" s="15" t="s">
        <v>167</v>
      </c>
      <c r="B100" s="124">
        <v>8239</v>
      </c>
      <c r="C100" s="125">
        <v>50099170</v>
      </c>
      <c r="D100" s="124">
        <v>2676</v>
      </c>
      <c r="E100" s="125">
        <v>1587994</v>
      </c>
      <c r="F100" s="124">
        <v>10915</v>
      </c>
      <c r="G100" s="125">
        <v>51687164</v>
      </c>
      <c r="H100" s="124">
        <v>504</v>
      </c>
      <c r="I100" s="126">
        <v>3578676</v>
      </c>
      <c r="J100" s="124">
        <v>781</v>
      </c>
      <c r="K100" s="126">
        <v>41264</v>
      </c>
      <c r="L100" s="124">
        <v>11510</v>
      </c>
      <c r="M100" s="126">
        <v>48149752</v>
      </c>
      <c r="N100" s="16" t="s">
        <v>126</v>
      </c>
    </row>
    <row r="101" spans="1:14" ht="15.75" customHeight="1" thickBot="1">
      <c r="A101" s="18"/>
      <c r="B101" s="144"/>
      <c r="C101" s="145"/>
      <c r="D101" s="144"/>
      <c r="E101" s="145"/>
      <c r="F101" s="146"/>
      <c r="G101" s="145"/>
      <c r="H101" s="146"/>
      <c r="I101" s="145"/>
      <c r="J101" s="146"/>
      <c r="K101" s="145"/>
      <c r="L101" s="146"/>
      <c r="M101" s="145"/>
      <c r="N101" s="19"/>
    </row>
    <row r="102" spans="1:14" ht="15.75" customHeight="1" thickBot="1" thickTop="1">
      <c r="A102" s="21" t="s">
        <v>168</v>
      </c>
      <c r="B102" s="147">
        <v>217975</v>
      </c>
      <c r="C102" s="148">
        <v>2253792714</v>
      </c>
      <c r="D102" s="147">
        <v>67278</v>
      </c>
      <c r="E102" s="148">
        <v>42161735</v>
      </c>
      <c r="F102" s="147">
        <v>285253</v>
      </c>
      <c r="G102" s="148">
        <v>2295954449</v>
      </c>
      <c r="H102" s="147">
        <v>26565</v>
      </c>
      <c r="I102" s="149">
        <v>593585995</v>
      </c>
      <c r="J102" s="147">
        <v>19190</v>
      </c>
      <c r="K102" s="149">
        <v>4552712</v>
      </c>
      <c r="L102" s="147">
        <v>314022</v>
      </c>
      <c r="M102" s="149">
        <v>1706921166</v>
      </c>
      <c r="N102" s="22" t="s">
        <v>119</v>
      </c>
    </row>
    <row r="103" spans="1:14" ht="13.5">
      <c r="A103" s="193" t="s">
        <v>171</v>
      </c>
      <c r="B103" s="193"/>
      <c r="C103" s="193"/>
      <c r="D103" s="193"/>
      <c r="E103" s="193"/>
      <c r="F103" s="193"/>
      <c r="G103" s="193"/>
      <c r="H103" s="193"/>
      <c r="I103" s="193"/>
      <c r="J103" s="27"/>
      <c r="K103" s="27"/>
      <c r="L103" s="2"/>
      <c r="M103" s="2"/>
      <c r="N103" s="2"/>
    </row>
  </sheetData>
  <sheetProtection/>
  <mergeCells count="11">
    <mergeCell ref="A103:I103"/>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zoomScaleSheetLayoutView="80" workbookViewId="0" topLeftCell="A1">
      <selection activeCell="A1" sqref="A1"/>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180</v>
      </c>
      <c r="B1" s="1"/>
      <c r="C1" s="1"/>
      <c r="D1" s="1"/>
      <c r="E1" s="1"/>
      <c r="F1" s="1"/>
      <c r="G1" s="1"/>
      <c r="H1" s="1"/>
      <c r="I1" s="1"/>
      <c r="J1" s="1"/>
      <c r="K1" s="1"/>
      <c r="L1" s="2"/>
      <c r="M1" s="2"/>
      <c r="N1" s="2"/>
      <c r="O1" s="2"/>
      <c r="P1" s="2"/>
    </row>
    <row r="2" spans="1:16" ht="14.25" thickBot="1">
      <c r="A2" s="209" t="s">
        <v>110</v>
      </c>
      <c r="B2" s="209"/>
      <c r="C2" s="209"/>
      <c r="D2" s="209"/>
      <c r="E2" s="209"/>
      <c r="F2" s="209"/>
      <c r="G2" s="209"/>
      <c r="H2" s="209"/>
      <c r="I2" s="209"/>
      <c r="J2" s="27"/>
      <c r="K2" s="27"/>
      <c r="L2" s="2"/>
      <c r="M2" s="2"/>
      <c r="N2" s="2"/>
      <c r="O2" s="2"/>
      <c r="P2" s="2"/>
    </row>
    <row r="3" spans="1:18" ht="19.5" customHeight="1">
      <c r="A3" s="205" t="s">
        <v>1</v>
      </c>
      <c r="B3" s="208" t="s">
        <v>2</v>
      </c>
      <c r="C3" s="208"/>
      <c r="D3" s="208"/>
      <c r="E3" s="208"/>
      <c r="F3" s="208"/>
      <c r="G3" s="208"/>
      <c r="H3" s="208" t="s">
        <v>3</v>
      </c>
      <c r="I3" s="208"/>
      <c r="J3" s="217" t="s">
        <v>4</v>
      </c>
      <c r="K3" s="208"/>
      <c r="L3" s="208" t="s">
        <v>5</v>
      </c>
      <c r="M3" s="208"/>
      <c r="N3" s="218" t="s">
        <v>111</v>
      </c>
      <c r="O3" s="219"/>
      <c r="P3" s="219"/>
      <c r="Q3" s="219"/>
      <c r="R3" s="195" t="s">
        <v>108</v>
      </c>
    </row>
    <row r="4" spans="1:18" ht="17.25" customHeight="1">
      <c r="A4" s="206"/>
      <c r="B4" s="198" t="s">
        <v>7</v>
      </c>
      <c r="C4" s="198"/>
      <c r="D4" s="198" t="s">
        <v>8</v>
      </c>
      <c r="E4" s="198"/>
      <c r="F4" s="198" t="s">
        <v>9</v>
      </c>
      <c r="G4" s="198"/>
      <c r="H4" s="198"/>
      <c r="I4" s="198"/>
      <c r="J4" s="198"/>
      <c r="K4" s="198"/>
      <c r="L4" s="198"/>
      <c r="M4" s="198"/>
      <c r="N4" s="210" t="s">
        <v>112</v>
      </c>
      <c r="O4" s="212" t="s">
        <v>113</v>
      </c>
      <c r="P4" s="214" t="s">
        <v>114</v>
      </c>
      <c r="Q4" s="203" t="s">
        <v>115</v>
      </c>
      <c r="R4" s="196"/>
    </row>
    <row r="5" spans="1:18" ht="28.5" customHeight="1">
      <c r="A5" s="207"/>
      <c r="B5" s="37" t="s">
        <v>10</v>
      </c>
      <c r="C5" s="38" t="s">
        <v>11</v>
      </c>
      <c r="D5" s="37" t="s">
        <v>10</v>
      </c>
      <c r="E5" s="38" t="s">
        <v>11</v>
      </c>
      <c r="F5" s="37" t="s">
        <v>10</v>
      </c>
      <c r="G5" s="38" t="s">
        <v>12</v>
      </c>
      <c r="H5" s="37" t="s">
        <v>10</v>
      </c>
      <c r="I5" s="38" t="s">
        <v>13</v>
      </c>
      <c r="J5" s="37" t="s">
        <v>10</v>
      </c>
      <c r="K5" s="38" t="s">
        <v>14</v>
      </c>
      <c r="L5" s="37" t="s">
        <v>10</v>
      </c>
      <c r="M5" s="31" t="s">
        <v>118</v>
      </c>
      <c r="N5" s="211"/>
      <c r="O5" s="213"/>
      <c r="P5" s="215"/>
      <c r="Q5" s="216"/>
      <c r="R5" s="197"/>
    </row>
    <row r="6" spans="1:18" s="29" customFormat="1" ht="12" customHeight="1">
      <c r="A6" s="5"/>
      <c r="B6" s="6" t="s">
        <v>15</v>
      </c>
      <c r="C6" s="7" t="s">
        <v>16</v>
      </c>
      <c r="D6" s="6" t="s">
        <v>15</v>
      </c>
      <c r="E6" s="7" t="s">
        <v>16</v>
      </c>
      <c r="F6" s="6" t="s">
        <v>15</v>
      </c>
      <c r="G6" s="7" t="s">
        <v>16</v>
      </c>
      <c r="H6" s="6" t="s">
        <v>15</v>
      </c>
      <c r="I6" s="7" t="s">
        <v>16</v>
      </c>
      <c r="J6" s="6" t="s">
        <v>15</v>
      </c>
      <c r="K6" s="7" t="s">
        <v>16</v>
      </c>
      <c r="L6" s="6" t="s">
        <v>178</v>
      </c>
      <c r="M6" s="7" t="s">
        <v>16</v>
      </c>
      <c r="N6" s="6" t="s">
        <v>15</v>
      </c>
      <c r="O6" s="32" t="s">
        <v>15</v>
      </c>
      <c r="P6" s="32" t="s">
        <v>15</v>
      </c>
      <c r="Q6" s="33" t="s">
        <v>15</v>
      </c>
      <c r="R6" s="9"/>
    </row>
    <row r="7" spans="1:18" ht="18.75" customHeight="1">
      <c r="A7" s="11" t="s">
        <v>18</v>
      </c>
      <c r="B7" s="114">
        <f>_xlfn.COMPOUNDVALUE(665)</f>
        <v>3611</v>
      </c>
      <c r="C7" s="115">
        <v>15472280</v>
      </c>
      <c r="D7" s="114">
        <f>_xlfn.COMPOUNDVALUE(666)</f>
        <v>2111</v>
      </c>
      <c r="E7" s="115">
        <v>1071290</v>
      </c>
      <c r="F7" s="114">
        <f>_xlfn.COMPOUNDVALUE(667)</f>
        <v>5722</v>
      </c>
      <c r="G7" s="115">
        <v>16543570</v>
      </c>
      <c r="H7" s="114">
        <f>_xlfn.COMPOUNDVALUE(668)</f>
        <v>281</v>
      </c>
      <c r="I7" s="116">
        <v>6298448</v>
      </c>
      <c r="J7" s="114">
        <v>447</v>
      </c>
      <c r="K7" s="116">
        <v>76616</v>
      </c>
      <c r="L7" s="114">
        <v>6098</v>
      </c>
      <c r="M7" s="116">
        <v>10321738</v>
      </c>
      <c r="N7" s="114">
        <v>6204</v>
      </c>
      <c r="O7" s="117">
        <v>189</v>
      </c>
      <c r="P7" s="117">
        <v>22</v>
      </c>
      <c r="Q7" s="118">
        <v>6415</v>
      </c>
      <c r="R7" s="12" t="s">
        <v>18</v>
      </c>
    </row>
    <row r="8" spans="1:18" ht="18.75" customHeight="1">
      <c r="A8" s="13" t="s">
        <v>19</v>
      </c>
      <c r="B8" s="119">
        <f>_xlfn.COMPOUNDVALUE(669)</f>
        <v>2000</v>
      </c>
      <c r="C8" s="120">
        <v>13959733</v>
      </c>
      <c r="D8" s="119">
        <f>_xlfn.COMPOUNDVALUE(670)</f>
        <v>1116</v>
      </c>
      <c r="E8" s="120">
        <v>537427</v>
      </c>
      <c r="F8" s="119">
        <f>_xlfn.COMPOUNDVALUE(671)</f>
        <v>3116</v>
      </c>
      <c r="G8" s="120">
        <v>14497160</v>
      </c>
      <c r="H8" s="119">
        <f>_xlfn.COMPOUNDVALUE(672)</f>
        <v>162</v>
      </c>
      <c r="I8" s="121">
        <v>2648067</v>
      </c>
      <c r="J8" s="119">
        <v>162</v>
      </c>
      <c r="K8" s="121">
        <v>30733</v>
      </c>
      <c r="L8" s="119">
        <v>3306</v>
      </c>
      <c r="M8" s="121">
        <v>11879826</v>
      </c>
      <c r="N8" s="119">
        <v>3482</v>
      </c>
      <c r="O8" s="122">
        <v>112</v>
      </c>
      <c r="P8" s="122">
        <v>12</v>
      </c>
      <c r="Q8" s="123">
        <v>3606</v>
      </c>
      <c r="R8" s="14" t="s">
        <v>19</v>
      </c>
    </row>
    <row r="9" spans="1:18" ht="18.75" customHeight="1">
      <c r="A9" s="13" t="s">
        <v>20</v>
      </c>
      <c r="B9" s="119">
        <f>_xlfn.COMPOUNDVALUE(673)</f>
        <v>2161</v>
      </c>
      <c r="C9" s="120">
        <v>9009709</v>
      </c>
      <c r="D9" s="119">
        <f>_xlfn.COMPOUNDVALUE(674)</f>
        <v>1153</v>
      </c>
      <c r="E9" s="120">
        <v>525253</v>
      </c>
      <c r="F9" s="119">
        <f>_xlfn.COMPOUNDVALUE(675)</f>
        <v>3314</v>
      </c>
      <c r="G9" s="120">
        <v>9534962</v>
      </c>
      <c r="H9" s="119">
        <f>_xlfn.COMPOUNDVALUE(676)</f>
        <v>133</v>
      </c>
      <c r="I9" s="121">
        <v>308421</v>
      </c>
      <c r="J9" s="119">
        <v>163</v>
      </c>
      <c r="K9" s="121">
        <v>55631</v>
      </c>
      <c r="L9" s="119">
        <v>3477</v>
      </c>
      <c r="M9" s="121">
        <v>9282173</v>
      </c>
      <c r="N9" s="119">
        <v>3650</v>
      </c>
      <c r="O9" s="122">
        <v>116</v>
      </c>
      <c r="P9" s="122">
        <v>18</v>
      </c>
      <c r="Q9" s="123">
        <v>3784</v>
      </c>
      <c r="R9" s="14" t="s">
        <v>20</v>
      </c>
    </row>
    <row r="10" spans="1:18" ht="18.75" customHeight="1">
      <c r="A10" s="13" t="s">
        <v>21</v>
      </c>
      <c r="B10" s="119">
        <f>_xlfn.COMPOUNDVALUE(677)</f>
        <v>2808</v>
      </c>
      <c r="C10" s="120">
        <v>10279910</v>
      </c>
      <c r="D10" s="119">
        <f>_xlfn.COMPOUNDVALUE(678)</f>
        <v>1678</v>
      </c>
      <c r="E10" s="120">
        <v>754667</v>
      </c>
      <c r="F10" s="119">
        <f>_xlfn.COMPOUNDVALUE(679)</f>
        <v>4486</v>
      </c>
      <c r="G10" s="120">
        <v>11034577</v>
      </c>
      <c r="H10" s="119">
        <f>_xlfn.COMPOUNDVALUE(680)</f>
        <v>314</v>
      </c>
      <c r="I10" s="121">
        <v>1574759</v>
      </c>
      <c r="J10" s="119">
        <v>280</v>
      </c>
      <c r="K10" s="121">
        <v>39812</v>
      </c>
      <c r="L10" s="119">
        <v>4885</v>
      </c>
      <c r="M10" s="121">
        <v>9499630</v>
      </c>
      <c r="N10" s="119">
        <v>4576</v>
      </c>
      <c r="O10" s="122">
        <v>224</v>
      </c>
      <c r="P10" s="122">
        <v>19</v>
      </c>
      <c r="Q10" s="123">
        <v>4819</v>
      </c>
      <c r="R10" s="14" t="s">
        <v>21</v>
      </c>
    </row>
    <row r="11" spans="1:18" ht="18.75" customHeight="1">
      <c r="A11" s="13" t="s">
        <v>22</v>
      </c>
      <c r="B11" s="119">
        <f>_xlfn.COMPOUNDVALUE(681)</f>
        <v>3625</v>
      </c>
      <c r="C11" s="120">
        <v>17613230</v>
      </c>
      <c r="D11" s="119">
        <f>_xlfn.COMPOUNDVALUE(682)</f>
        <v>2103</v>
      </c>
      <c r="E11" s="120">
        <v>1137055</v>
      </c>
      <c r="F11" s="119">
        <f>_xlfn.COMPOUNDVALUE(683)</f>
        <v>5728</v>
      </c>
      <c r="G11" s="120">
        <v>18750285</v>
      </c>
      <c r="H11" s="119">
        <f>_xlfn.COMPOUNDVALUE(684)</f>
        <v>348</v>
      </c>
      <c r="I11" s="121">
        <v>1920627</v>
      </c>
      <c r="J11" s="119">
        <v>290</v>
      </c>
      <c r="K11" s="121">
        <v>59588</v>
      </c>
      <c r="L11" s="119">
        <v>6157</v>
      </c>
      <c r="M11" s="121">
        <v>16889246</v>
      </c>
      <c r="N11" s="119">
        <v>6487</v>
      </c>
      <c r="O11" s="122">
        <v>172</v>
      </c>
      <c r="P11" s="122">
        <v>12</v>
      </c>
      <c r="Q11" s="123">
        <v>6671</v>
      </c>
      <c r="R11" s="14" t="s">
        <v>22</v>
      </c>
    </row>
    <row r="12" spans="1:18" ht="18.75" customHeight="1">
      <c r="A12" s="13" t="s">
        <v>23</v>
      </c>
      <c r="B12" s="119">
        <f>_xlfn.COMPOUNDVALUE(685)</f>
        <v>1803</v>
      </c>
      <c r="C12" s="120">
        <v>13250319</v>
      </c>
      <c r="D12" s="119">
        <f>_xlfn.COMPOUNDVALUE(686)</f>
        <v>981</v>
      </c>
      <c r="E12" s="120">
        <v>450231</v>
      </c>
      <c r="F12" s="119">
        <f>_xlfn.COMPOUNDVALUE(687)</f>
        <v>2784</v>
      </c>
      <c r="G12" s="120">
        <v>13700549</v>
      </c>
      <c r="H12" s="119">
        <f>_xlfn.COMPOUNDVALUE(688)</f>
        <v>130</v>
      </c>
      <c r="I12" s="121">
        <v>331210</v>
      </c>
      <c r="J12" s="119">
        <v>126</v>
      </c>
      <c r="K12" s="121">
        <v>7681</v>
      </c>
      <c r="L12" s="119">
        <v>2961</v>
      </c>
      <c r="M12" s="121">
        <v>13377020</v>
      </c>
      <c r="N12" s="119">
        <v>2953</v>
      </c>
      <c r="O12" s="122">
        <v>95</v>
      </c>
      <c r="P12" s="122">
        <v>9</v>
      </c>
      <c r="Q12" s="123">
        <v>3057</v>
      </c>
      <c r="R12" s="14" t="s">
        <v>23</v>
      </c>
    </row>
    <row r="13" spans="1:18" ht="18.75" customHeight="1">
      <c r="A13" s="13" t="s">
        <v>24</v>
      </c>
      <c r="B13" s="119">
        <f>_xlfn.COMPOUNDVALUE(689)</f>
        <v>825</v>
      </c>
      <c r="C13" s="120">
        <v>2609973</v>
      </c>
      <c r="D13" s="119">
        <f>_xlfn.COMPOUNDVALUE(690)</f>
        <v>491</v>
      </c>
      <c r="E13" s="120">
        <v>210119</v>
      </c>
      <c r="F13" s="119">
        <f>_xlfn.COMPOUNDVALUE(691)</f>
        <v>1316</v>
      </c>
      <c r="G13" s="120">
        <v>2820092</v>
      </c>
      <c r="H13" s="119">
        <f>_xlfn.COMPOUNDVALUE(692)</f>
        <v>54</v>
      </c>
      <c r="I13" s="121">
        <v>472839</v>
      </c>
      <c r="J13" s="119">
        <v>110</v>
      </c>
      <c r="K13" s="121">
        <v>24949</v>
      </c>
      <c r="L13" s="119">
        <v>1396</v>
      </c>
      <c r="M13" s="121">
        <v>2372201</v>
      </c>
      <c r="N13" s="119">
        <v>1352</v>
      </c>
      <c r="O13" s="122">
        <v>26</v>
      </c>
      <c r="P13" s="122">
        <v>0</v>
      </c>
      <c r="Q13" s="123">
        <v>1378</v>
      </c>
      <c r="R13" s="14" t="s">
        <v>24</v>
      </c>
    </row>
    <row r="14" spans="1:18" ht="18.75" customHeight="1">
      <c r="A14" s="15" t="s">
        <v>25</v>
      </c>
      <c r="B14" s="124">
        <v>16833</v>
      </c>
      <c r="C14" s="125">
        <v>82195155</v>
      </c>
      <c r="D14" s="124">
        <v>9633</v>
      </c>
      <c r="E14" s="125">
        <v>4686041</v>
      </c>
      <c r="F14" s="124">
        <v>26466</v>
      </c>
      <c r="G14" s="125">
        <v>86881195</v>
      </c>
      <c r="H14" s="124">
        <v>1422</v>
      </c>
      <c r="I14" s="126">
        <v>13554371</v>
      </c>
      <c r="J14" s="124">
        <v>1578</v>
      </c>
      <c r="K14" s="126">
        <v>295010</v>
      </c>
      <c r="L14" s="124">
        <v>28280</v>
      </c>
      <c r="M14" s="126">
        <v>73621833</v>
      </c>
      <c r="N14" s="124">
        <v>28704</v>
      </c>
      <c r="O14" s="127">
        <v>934</v>
      </c>
      <c r="P14" s="127">
        <v>92</v>
      </c>
      <c r="Q14" s="128">
        <v>29730</v>
      </c>
      <c r="R14" s="16" t="s">
        <v>121</v>
      </c>
    </row>
    <row r="15" spans="1:18" ht="18.75" customHeight="1">
      <c r="A15" s="26"/>
      <c r="B15" s="129"/>
      <c r="C15" s="130"/>
      <c r="D15" s="129"/>
      <c r="E15" s="130"/>
      <c r="F15" s="131"/>
      <c r="G15" s="130"/>
      <c r="H15" s="131"/>
      <c r="I15" s="130"/>
      <c r="J15" s="131"/>
      <c r="K15" s="130"/>
      <c r="L15" s="131"/>
      <c r="M15" s="130"/>
      <c r="N15" s="132"/>
      <c r="O15" s="133"/>
      <c r="P15" s="133"/>
      <c r="Q15" s="134"/>
      <c r="R15" s="36" t="s">
        <v>120</v>
      </c>
    </row>
    <row r="16" spans="1:18" ht="18.75" customHeight="1">
      <c r="A16" s="11" t="s">
        <v>26</v>
      </c>
      <c r="B16" s="114">
        <f>_xlfn.COMPOUNDVALUE(693)</f>
        <v>3421</v>
      </c>
      <c r="C16" s="115">
        <v>17590929</v>
      </c>
      <c r="D16" s="114">
        <f>_xlfn.COMPOUNDVALUE(694)</f>
        <v>2235</v>
      </c>
      <c r="E16" s="115">
        <v>1066217</v>
      </c>
      <c r="F16" s="114">
        <f>_xlfn.COMPOUNDVALUE(695)</f>
        <v>5656</v>
      </c>
      <c r="G16" s="115">
        <v>18657146</v>
      </c>
      <c r="H16" s="114">
        <f>_xlfn.COMPOUNDVALUE(696)</f>
        <v>312</v>
      </c>
      <c r="I16" s="116">
        <v>9946890</v>
      </c>
      <c r="J16" s="114">
        <v>255</v>
      </c>
      <c r="K16" s="116">
        <v>19845</v>
      </c>
      <c r="L16" s="114">
        <v>6016</v>
      </c>
      <c r="M16" s="116">
        <v>8730101</v>
      </c>
      <c r="N16" s="114">
        <v>6268</v>
      </c>
      <c r="O16" s="117">
        <v>175</v>
      </c>
      <c r="P16" s="117">
        <v>18</v>
      </c>
      <c r="Q16" s="135">
        <v>6461</v>
      </c>
      <c r="R16" s="14" t="s">
        <v>26</v>
      </c>
    </row>
    <row r="17" spans="1:18" ht="18.75" customHeight="1">
      <c r="A17" s="11" t="s">
        <v>27</v>
      </c>
      <c r="B17" s="114">
        <f>_xlfn.COMPOUNDVALUE(697)</f>
        <v>2383</v>
      </c>
      <c r="C17" s="115">
        <v>8470322</v>
      </c>
      <c r="D17" s="114">
        <f>_xlfn.COMPOUNDVALUE(698)</f>
        <v>1512</v>
      </c>
      <c r="E17" s="115">
        <v>774342</v>
      </c>
      <c r="F17" s="114">
        <f>_xlfn.COMPOUNDVALUE(699)</f>
        <v>3895</v>
      </c>
      <c r="G17" s="115">
        <v>9244664</v>
      </c>
      <c r="H17" s="114">
        <f>_xlfn.COMPOUNDVALUE(700)</f>
        <v>257</v>
      </c>
      <c r="I17" s="116">
        <v>1075160</v>
      </c>
      <c r="J17" s="114">
        <v>183</v>
      </c>
      <c r="K17" s="116">
        <v>37126</v>
      </c>
      <c r="L17" s="114">
        <v>4193</v>
      </c>
      <c r="M17" s="116">
        <v>8206630</v>
      </c>
      <c r="N17" s="119">
        <v>4427</v>
      </c>
      <c r="O17" s="122">
        <v>145</v>
      </c>
      <c r="P17" s="122">
        <v>14</v>
      </c>
      <c r="Q17" s="123">
        <v>4586</v>
      </c>
      <c r="R17" s="14" t="s">
        <v>27</v>
      </c>
    </row>
    <row r="18" spans="1:18" ht="18.75" customHeight="1">
      <c r="A18" s="11" t="s">
        <v>28</v>
      </c>
      <c r="B18" s="114">
        <f>_xlfn.COMPOUNDVALUE(701)</f>
        <v>3819</v>
      </c>
      <c r="C18" s="115">
        <v>27963288</v>
      </c>
      <c r="D18" s="114">
        <f>_xlfn.COMPOUNDVALUE(702)</f>
        <v>2116</v>
      </c>
      <c r="E18" s="115">
        <v>1186406</v>
      </c>
      <c r="F18" s="114">
        <f>_xlfn.COMPOUNDVALUE(703)</f>
        <v>5935</v>
      </c>
      <c r="G18" s="115">
        <v>29149694</v>
      </c>
      <c r="H18" s="114">
        <f>_xlfn.COMPOUNDVALUE(704)</f>
        <v>393</v>
      </c>
      <c r="I18" s="116">
        <v>6194649</v>
      </c>
      <c r="J18" s="114">
        <v>310</v>
      </c>
      <c r="K18" s="116">
        <v>41449</v>
      </c>
      <c r="L18" s="114">
        <v>6408</v>
      </c>
      <c r="M18" s="116">
        <v>22996493</v>
      </c>
      <c r="N18" s="119">
        <v>6921</v>
      </c>
      <c r="O18" s="122">
        <v>189</v>
      </c>
      <c r="P18" s="122">
        <v>46</v>
      </c>
      <c r="Q18" s="123">
        <v>7156</v>
      </c>
      <c r="R18" s="14" t="s">
        <v>28</v>
      </c>
    </row>
    <row r="19" spans="1:18" ht="18.75" customHeight="1">
      <c r="A19" s="11" t="s">
        <v>29</v>
      </c>
      <c r="B19" s="114">
        <f>_xlfn.COMPOUNDVALUE(705)</f>
        <v>3126</v>
      </c>
      <c r="C19" s="115">
        <v>13173951</v>
      </c>
      <c r="D19" s="114">
        <f>_xlfn.COMPOUNDVALUE(706)</f>
        <v>1786</v>
      </c>
      <c r="E19" s="115">
        <v>876950</v>
      </c>
      <c r="F19" s="114">
        <f>_xlfn.COMPOUNDVALUE(707)</f>
        <v>4912</v>
      </c>
      <c r="G19" s="115">
        <v>14050901</v>
      </c>
      <c r="H19" s="114">
        <f>_xlfn.COMPOUNDVALUE(708)</f>
        <v>254</v>
      </c>
      <c r="I19" s="116">
        <v>573087</v>
      </c>
      <c r="J19" s="114">
        <v>335</v>
      </c>
      <c r="K19" s="116">
        <v>68292</v>
      </c>
      <c r="L19" s="114">
        <v>5282</v>
      </c>
      <c r="M19" s="116">
        <v>13546106</v>
      </c>
      <c r="N19" s="119">
        <v>5755</v>
      </c>
      <c r="O19" s="122">
        <v>131</v>
      </c>
      <c r="P19" s="122">
        <v>17</v>
      </c>
      <c r="Q19" s="123">
        <v>5903</v>
      </c>
      <c r="R19" s="14" t="s">
        <v>29</v>
      </c>
    </row>
    <row r="20" spans="1:18" ht="18.75" customHeight="1">
      <c r="A20" s="11" t="s">
        <v>30</v>
      </c>
      <c r="B20" s="114">
        <f>_xlfn.COMPOUNDVALUE(709)</f>
        <v>5643</v>
      </c>
      <c r="C20" s="115">
        <v>77257243</v>
      </c>
      <c r="D20" s="114">
        <f>_xlfn.COMPOUNDVALUE(710)</f>
        <v>2349</v>
      </c>
      <c r="E20" s="115">
        <v>1317557</v>
      </c>
      <c r="F20" s="114">
        <f>_xlfn.COMPOUNDVALUE(711)</f>
        <v>7992</v>
      </c>
      <c r="G20" s="115">
        <v>78574800</v>
      </c>
      <c r="H20" s="114">
        <f>_xlfn.COMPOUNDVALUE(712)</f>
        <v>550</v>
      </c>
      <c r="I20" s="116">
        <v>11172872</v>
      </c>
      <c r="J20" s="114">
        <v>550</v>
      </c>
      <c r="K20" s="116">
        <v>83425</v>
      </c>
      <c r="L20" s="114">
        <v>8668</v>
      </c>
      <c r="M20" s="116">
        <v>67485352</v>
      </c>
      <c r="N20" s="119">
        <v>8932</v>
      </c>
      <c r="O20" s="122">
        <v>247</v>
      </c>
      <c r="P20" s="122">
        <v>67</v>
      </c>
      <c r="Q20" s="123">
        <v>9246</v>
      </c>
      <c r="R20" s="14" t="s">
        <v>30</v>
      </c>
    </row>
    <row r="21" spans="1:18" ht="18.75" customHeight="1">
      <c r="A21" s="11" t="s">
        <v>31</v>
      </c>
      <c r="B21" s="114">
        <f>_xlfn.COMPOUNDVALUE(713)</f>
        <v>6017</v>
      </c>
      <c r="C21" s="115">
        <v>24057322</v>
      </c>
      <c r="D21" s="114">
        <f>_xlfn.COMPOUNDVALUE(714)</f>
        <v>3354</v>
      </c>
      <c r="E21" s="115">
        <v>1637132</v>
      </c>
      <c r="F21" s="114">
        <f>_xlfn.COMPOUNDVALUE(715)</f>
        <v>9371</v>
      </c>
      <c r="G21" s="115">
        <v>25694454</v>
      </c>
      <c r="H21" s="114">
        <f>_xlfn.COMPOUNDVALUE(716)</f>
        <v>480</v>
      </c>
      <c r="I21" s="116">
        <v>49419152</v>
      </c>
      <c r="J21" s="114">
        <v>642</v>
      </c>
      <c r="K21" s="116">
        <v>110463</v>
      </c>
      <c r="L21" s="114">
        <v>10059</v>
      </c>
      <c r="M21" s="116">
        <v>-23614236</v>
      </c>
      <c r="N21" s="119">
        <v>9906</v>
      </c>
      <c r="O21" s="122">
        <v>254</v>
      </c>
      <c r="P21" s="122">
        <v>32</v>
      </c>
      <c r="Q21" s="123">
        <v>10192</v>
      </c>
      <c r="R21" s="14" t="s">
        <v>31</v>
      </c>
    </row>
    <row r="22" spans="1:18" ht="18.75" customHeight="1">
      <c r="A22" s="13" t="s">
        <v>32</v>
      </c>
      <c r="B22" s="119">
        <f>_xlfn.COMPOUNDVALUE(717)</f>
        <v>3706</v>
      </c>
      <c r="C22" s="120">
        <v>23427762</v>
      </c>
      <c r="D22" s="119">
        <f>_xlfn.COMPOUNDVALUE(718)</f>
        <v>1931</v>
      </c>
      <c r="E22" s="120">
        <v>1063543</v>
      </c>
      <c r="F22" s="119">
        <f>_xlfn.COMPOUNDVALUE(719)</f>
        <v>5637</v>
      </c>
      <c r="G22" s="120">
        <v>24491305</v>
      </c>
      <c r="H22" s="119">
        <f>_xlfn.COMPOUNDVALUE(720)</f>
        <v>307</v>
      </c>
      <c r="I22" s="121">
        <v>7044370</v>
      </c>
      <c r="J22" s="119">
        <v>332</v>
      </c>
      <c r="K22" s="121">
        <v>133823</v>
      </c>
      <c r="L22" s="119">
        <v>6051</v>
      </c>
      <c r="M22" s="121">
        <v>17580758</v>
      </c>
      <c r="N22" s="119">
        <v>6751</v>
      </c>
      <c r="O22" s="122">
        <v>176</v>
      </c>
      <c r="P22" s="122">
        <v>22</v>
      </c>
      <c r="Q22" s="123">
        <v>6949</v>
      </c>
      <c r="R22" s="14" t="s">
        <v>32</v>
      </c>
    </row>
    <row r="23" spans="1:18" ht="18.75" customHeight="1">
      <c r="A23" s="13" t="s">
        <v>33</v>
      </c>
      <c r="B23" s="119">
        <f>_xlfn.COMPOUNDVALUE(721)</f>
        <v>1469</v>
      </c>
      <c r="C23" s="120">
        <v>7322637</v>
      </c>
      <c r="D23" s="119">
        <f>_xlfn.COMPOUNDVALUE(722)</f>
        <v>825</v>
      </c>
      <c r="E23" s="120">
        <v>370535</v>
      </c>
      <c r="F23" s="119">
        <f>_xlfn.COMPOUNDVALUE(723)</f>
        <v>2294</v>
      </c>
      <c r="G23" s="120">
        <v>7693172</v>
      </c>
      <c r="H23" s="119">
        <f>_xlfn.COMPOUNDVALUE(724)</f>
        <v>66</v>
      </c>
      <c r="I23" s="121">
        <v>552621</v>
      </c>
      <c r="J23" s="119">
        <v>133</v>
      </c>
      <c r="K23" s="121">
        <v>49825</v>
      </c>
      <c r="L23" s="119">
        <v>2409</v>
      </c>
      <c r="M23" s="121">
        <v>7190376</v>
      </c>
      <c r="N23" s="119">
        <v>2472</v>
      </c>
      <c r="O23" s="122">
        <v>55</v>
      </c>
      <c r="P23" s="122">
        <v>2</v>
      </c>
      <c r="Q23" s="123">
        <v>2529</v>
      </c>
      <c r="R23" s="14" t="s">
        <v>33</v>
      </c>
    </row>
    <row r="24" spans="1:18" ht="18.75" customHeight="1">
      <c r="A24" s="13" t="s">
        <v>34</v>
      </c>
      <c r="B24" s="119">
        <f>_xlfn.COMPOUNDVALUE(725)</f>
        <v>1134</v>
      </c>
      <c r="C24" s="120">
        <v>3343698</v>
      </c>
      <c r="D24" s="119">
        <f>_xlfn.COMPOUNDVALUE(726)</f>
        <v>615</v>
      </c>
      <c r="E24" s="120">
        <v>292505</v>
      </c>
      <c r="F24" s="119">
        <f>_xlfn.COMPOUNDVALUE(727)</f>
        <v>1749</v>
      </c>
      <c r="G24" s="120">
        <v>3636203</v>
      </c>
      <c r="H24" s="119">
        <f>_xlfn.COMPOUNDVALUE(728)</f>
        <v>72</v>
      </c>
      <c r="I24" s="121">
        <v>86841</v>
      </c>
      <c r="J24" s="119">
        <v>131</v>
      </c>
      <c r="K24" s="121">
        <v>22483</v>
      </c>
      <c r="L24" s="119">
        <v>1875</v>
      </c>
      <c r="M24" s="121">
        <v>3571844</v>
      </c>
      <c r="N24" s="119">
        <v>1889</v>
      </c>
      <c r="O24" s="122">
        <v>49</v>
      </c>
      <c r="P24" s="122">
        <v>2</v>
      </c>
      <c r="Q24" s="123">
        <v>1940</v>
      </c>
      <c r="R24" s="14" t="s">
        <v>34</v>
      </c>
    </row>
    <row r="25" spans="1:18" ht="18.75" customHeight="1">
      <c r="A25" s="13" t="s">
        <v>35</v>
      </c>
      <c r="B25" s="119">
        <f>_xlfn.COMPOUNDVALUE(729)</f>
        <v>6571</v>
      </c>
      <c r="C25" s="120">
        <v>26008324</v>
      </c>
      <c r="D25" s="119">
        <f>_xlfn.COMPOUNDVALUE(730)</f>
        <v>3356</v>
      </c>
      <c r="E25" s="120">
        <v>1601614</v>
      </c>
      <c r="F25" s="119">
        <f>_xlfn.COMPOUNDVALUE(731)</f>
        <v>9927</v>
      </c>
      <c r="G25" s="120">
        <v>27609938</v>
      </c>
      <c r="H25" s="119">
        <f>_xlfn.COMPOUNDVALUE(732)</f>
        <v>592</v>
      </c>
      <c r="I25" s="121">
        <v>1554755</v>
      </c>
      <c r="J25" s="119">
        <v>610</v>
      </c>
      <c r="K25" s="121">
        <v>58266</v>
      </c>
      <c r="L25" s="119">
        <v>10629</v>
      </c>
      <c r="M25" s="121">
        <v>26113449</v>
      </c>
      <c r="N25" s="119">
        <v>10864</v>
      </c>
      <c r="O25" s="122">
        <v>346</v>
      </c>
      <c r="P25" s="122">
        <v>28</v>
      </c>
      <c r="Q25" s="123">
        <v>11238</v>
      </c>
      <c r="R25" s="14" t="s">
        <v>35</v>
      </c>
    </row>
    <row r="26" spans="1:18" ht="18.75" customHeight="1">
      <c r="A26" s="13" t="s">
        <v>36</v>
      </c>
      <c r="B26" s="119">
        <f>_xlfn.COMPOUNDVALUE(733)</f>
        <v>689</v>
      </c>
      <c r="C26" s="120">
        <v>1835662</v>
      </c>
      <c r="D26" s="119">
        <f>_xlfn.COMPOUNDVALUE(734)</f>
        <v>416</v>
      </c>
      <c r="E26" s="120">
        <v>164152</v>
      </c>
      <c r="F26" s="119">
        <f>_xlfn.COMPOUNDVALUE(735)</f>
        <v>1105</v>
      </c>
      <c r="G26" s="120">
        <v>1999814</v>
      </c>
      <c r="H26" s="119">
        <f>_xlfn.COMPOUNDVALUE(736)</f>
        <v>26</v>
      </c>
      <c r="I26" s="121">
        <v>108067</v>
      </c>
      <c r="J26" s="119">
        <v>82</v>
      </c>
      <c r="K26" s="121">
        <v>17731</v>
      </c>
      <c r="L26" s="119">
        <v>1145</v>
      </c>
      <c r="M26" s="121">
        <v>1909477</v>
      </c>
      <c r="N26" s="119">
        <v>1100</v>
      </c>
      <c r="O26" s="122">
        <v>24</v>
      </c>
      <c r="P26" s="122">
        <v>4</v>
      </c>
      <c r="Q26" s="123">
        <v>1128</v>
      </c>
      <c r="R26" s="14" t="s">
        <v>36</v>
      </c>
    </row>
    <row r="27" spans="1:18" ht="18.75" customHeight="1">
      <c r="A27" s="13" t="s">
        <v>37</v>
      </c>
      <c r="B27" s="119">
        <f>_xlfn.COMPOUNDVALUE(737)</f>
        <v>1797</v>
      </c>
      <c r="C27" s="120">
        <v>5217859</v>
      </c>
      <c r="D27" s="119">
        <f>_xlfn.COMPOUNDVALUE(738)</f>
        <v>890</v>
      </c>
      <c r="E27" s="120">
        <v>393832</v>
      </c>
      <c r="F27" s="119">
        <f>_xlfn.COMPOUNDVALUE(739)</f>
        <v>2687</v>
      </c>
      <c r="G27" s="120">
        <v>5611691</v>
      </c>
      <c r="H27" s="119">
        <f>_xlfn.COMPOUNDVALUE(740)</f>
        <v>126</v>
      </c>
      <c r="I27" s="121">
        <v>367581</v>
      </c>
      <c r="J27" s="119">
        <v>205</v>
      </c>
      <c r="K27" s="121">
        <v>33374</v>
      </c>
      <c r="L27" s="119">
        <v>2863</v>
      </c>
      <c r="M27" s="121">
        <v>5277485</v>
      </c>
      <c r="N27" s="119">
        <v>2892</v>
      </c>
      <c r="O27" s="122">
        <v>89</v>
      </c>
      <c r="P27" s="122">
        <v>2</v>
      </c>
      <c r="Q27" s="123">
        <v>2983</v>
      </c>
      <c r="R27" s="14" t="s">
        <v>37</v>
      </c>
    </row>
    <row r="28" spans="1:18" ht="18.75" customHeight="1">
      <c r="A28" s="13" t="s">
        <v>38</v>
      </c>
      <c r="B28" s="119">
        <f>_xlfn.COMPOUNDVALUE(741)</f>
        <v>965</v>
      </c>
      <c r="C28" s="120">
        <v>2456418</v>
      </c>
      <c r="D28" s="119">
        <f>_xlfn.COMPOUNDVALUE(742)</f>
        <v>468</v>
      </c>
      <c r="E28" s="120">
        <v>207953</v>
      </c>
      <c r="F28" s="119">
        <f>_xlfn.COMPOUNDVALUE(743)</f>
        <v>1433</v>
      </c>
      <c r="G28" s="120">
        <v>2664371</v>
      </c>
      <c r="H28" s="119">
        <f>_xlfn.COMPOUNDVALUE(744)</f>
        <v>42</v>
      </c>
      <c r="I28" s="121">
        <v>266409</v>
      </c>
      <c r="J28" s="119">
        <v>152</v>
      </c>
      <c r="K28" s="121">
        <v>16966</v>
      </c>
      <c r="L28" s="119">
        <v>1485</v>
      </c>
      <c r="M28" s="121">
        <v>2414927</v>
      </c>
      <c r="N28" s="119">
        <v>1496</v>
      </c>
      <c r="O28" s="122">
        <v>58</v>
      </c>
      <c r="P28" s="122">
        <v>1</v>
      </c>
      <c r="Q28" s="123">
        <v>1555</v>
      </c>
      <c r="R28" s="14" t="s">
        <v>38</v>
      </c>
    </row>
    <row r="29" spans="1:18" ht="18.75" customHeight="1">
      <c r="A29" s="15" t="s">
        <v>39</v>
      </c>
      <c r="B29" s="124">
        <v>40740</v>
      </c>
      <c r="C29" s="125">
        <v>238125415</v>
      </c>
      <c r="D29" s="124">
        <v>21853</v>
      </c>
      <c r="E29" s="125">
        <v>10952737</v>
      </c>
      <c r="F29" s="124">
        <v>62593</v>
      </c>
      <c r="G29" s="125">
        <v>249078152</v>
      </c>
      <c r="H29" s="124">
        <v>3477</v>
      </c>
      <c r="I29" s="126">
        <v>88362454</v>
      </c>
      <c r="J29" s="124">
        <v>3920</v>
      </c>
      <c r="K29" s="126">
        <v>693066</v>
      </c>
      <c r="L29" s="124">
        <v>67083</v>
      </c>
      <c r="M29" s="126">
        <v>161408764</v>
      </c>
      <c r="N29" s="124">
        <v>69673</v>
      </c>
      <c r="O29" s="127">
        <v>1938</v>
      </c>
      <c r="P29" s="127">
        <v>255</v>
      </c>
      <c r="Q29" s="128">
        <v>71866</v>
      </c>
      <c r="R29" s="16" t="s">
        <v>122</v>
      </c>
    </row>
    <row r="30" spans="1:18" ht="18.75" customHeight="1">
      <c r="A30" s="23"/>
      <c r="B30" s="129"/>
      <c r="C30" s="130"/>
      <c r="D30" s="129"/>
      <c r="E30" s="130"/>
      <c r="F30" s="131"/>
      <c r="G30" s="130"/>
      <c r="H30" s="131"/>
      <c r="I30" s="130"/>
      <c r="J30" s="131"/>
      <c r="K30" s="130"/>
      <c r="L30" s="131"/>
      <c r="M30" s="130"/>
      <c r="N30" s="132"/>
      <c r="O30" s="133"/>
      <c r="P30" s="133"/>
      <c r="Q30" s="134"/>
      <c r="R30" s="36" t="s">
        <v>120</v>
      </c>
    </row>
    <row r="31" spans="1:18" ht="18.75" customHeight="1">
      <c r="A31" s="11" t="s">
        <v>40</v>
      </c>
      <c r="B31" s="114">
        <f>_xlfn.COMPOUNDVALUE(745)</f>
        <v>3478</v>
      </c>
      <c r="C31" s="115">
        <v>40143938</v>
      </c>
      <c r="D31" s="114">
        <f>_xlfn.COMPOUNDVALUE(746)</f>
        <v>1212</v>
      </c>
      <c r="E31" s="115">
        <v>694379</v>
      </c>
      <c r="F31" s="114">
        <f>_xlfn.COMPOUNDVALUE(747)</f>
        <v>4690</v>
      </c>
      <c r="G31" s="115">
        <v>40838317</v>
      </c>
      <c r="H31" s="114">
        <f>_xlfn.COMPOUNDVALUE(748)</f>
        <v>467</v>
      </c>
      <c r="I31" s="116">
        <v>2418983</v>
      </c>
      <c r="J31" s="114">
        <v>400</v>
      </c>
      <c r="K31" s="116">
        <v>119590</v>
      </c>
      <c r="L31" s="114">
        <v>5257</v>
      </c>
      <c r="M31" s="116">
        <v>38538923</v>
      </c>
      <c r="N31" s="114">
        <v>5132</v>
      </c>
      <c r="O31" s="117">
        <v>190</v>
      </c>
      <c r="P31" s="117">
        <v>29</v>
      </c>
      <c r="Q31" s="135">
        <v>5351</v>
      </c>
      <c r="R31" s="14" t="s">
        <v>40</v>
      </c>
    </row>
    <row r="32" spans="1:18" ht="18.75" customHeight="1">
      <c r="A32" s="11" t="s">
        <v>41</v>
      </c>
      <c r="B32" s="114">
        <f>_xlfn.COMPOUNDVALUE(749)</f>
        <v>6503</v>
      </c>
      <c r="C32" s="115">
        <v>82503070</v>
      </c>
      <c r="D32" s="114">
        <f>_xlfn.COMPOUNDVALUE(750)</f>
        <v>1825</v>
      </c>
      <c r="E32" s="115">
        <v>1249714</v>
      </c>
      <c r="F32" s="114">
        <f>_xlfn.COMPOUNDVALUE(751)</f>
        <v>8328</v>
      </c>
      <c r="G32" s="115">
        <v>83752784</v>
      </c>
      <c r="H32" s="114">
        <f>_xlfn.COMPOUNDVALUE(752)</f>
        <v>1235</v>
      </c>
      <c r="I32" s="116">
        <v>114450947</v>
      </c>
      <c r="J32" s="114">
        <v>768</v>
      </c>
      <c r="K32" s="116">
        <v>252650</v>
      </c>
      <c r="L32" s="114">
        <v>9740</v>
      </c>
      <c r="M32" s="116">
        <v>-30445513</v>
      </c>
      <c r="N32" s="119">
        <v>9657</v>
      </c>
      <c r="O32" s="122">
        <v>372</v>
      </c>
      <c r="P32" s="122">
        <v>90</v>
      </c>
      <c r="Q32" s="123">
        <v>10119</v>
      </c>
      <c r="R32" s="14" t="s">
        <v>41</v>
      </c>
    </row>
    <row r="33" spans="1:18" ht="18.75" customHeight="1">
      <c r="A33" s="11" t="s">
        <v>42</v>
      </c>
      <c r="B33" s="114">
        <f>_xlfn.COMPOUNDVALUE(753)</f>
        <v>3094</v>
      </c>
      <c r="C33" s="115">
        <v>19962218</v>
      </c>
      <c r="D33" s="114">
        <f>_xlfn.COMPOUNDVALUE(754)</f>
        <v>1207</v>
      </c>
      <c r="E33" s="115">
        <v>580674</v>
      </c>
      <c r="F33" s="114">
        <f>_xlfn.COMPOUNDVALUE(755)</f>
        <v>4301</v>
      </c>
      <c r="G33" s="115">
        <v>20542893</v>
      </c>
      <c r="H33" s="114">
        <f>_xlfn.COMPOUNDVALUE(756)</f>
        <v>259</v>
      </c>
      <c r="I33" s="116">
        <v>1802532</v>
      </c>
      <c r="J33" s="114">
        <v>422</v>
      </c>
      <c r="K33" s="116">
        <v>76872</v>
      </c>
      <c r="L33" s="114">
        <v>4652</v>
      </c>
      <c r="M33" s="116">
        <v>18817232</v>
      </c>
      <c r="N33" s="119">
        <v>4700</v>
      </c>
      <c r="O33" s="122">
        <v>122</v>
      </c>
      <c r="P33" s="122">
        <v>22</v>
      </c>
      <c r="Q33" s="123">
        <v>4844</v>
      </c>
      <c r="R33" s="14" t="s">
        <v>42</v>
      </c>
    </row>
    <row r="34" spans="1:18" ht="18.75" customHeight="1">
      <c r="A34" s="11" t="s">
        <v>43</v>
      </c>
      <c r="B34" s="114">
        <f>_xlfn.COMPOUNDVALUE(757)</f>
        <v>2518</v>
      </c>
      <c r="C34" s="115">
        <v>28242356</v>
      </c>
      <c r="D34" s="114">
        <f>_xlfn.COMPOUNDVALUE(758)</f>
        <v>1139</v>
      </c>
      <c r="E34" s="115">
        <v>681229</v>
      </c>
      <c r="F34" s="114">
        <f>_xlfn.COMPOUNDVALUE(759)</f>
        <v>3657</v>
      </c>
      <c r="G34" s="115">
        <v>28923585</v>
      </c>
      <c r="H34" s="114">
        <f>_xlfn.COMPOUNDVALUE(760)</f>
        <v>392</v>
      </c>
      <c r="I34" s="116">
        <v>1488411</v>
      </c>
      <c r="J34" s="114">
        <v>250</v>
      </c>
      <c r="K34" s="116">
        <v>32817</v>
      </c>
      <c r="L34" s="114">
        <v>4098</v>
      </c>
      <c r="M34" s="116">
        <v>27467990</v>
      </c>
      <c r="N34" s="119">
        <v>4238</v>
      </c>
      <c r="O34" s="122">
        <v>193</v>
      </c>
      <c r="P34" s="122">
        <v>17</v>
      </c>
      <c r="Q34" s="123">
        <v>4448</v>
      </c>
      <c r="R34" s="14" t="s">
        <v>43</v>
      </c>
    </row>
    <row r="35" spans="1:18" ht="18.75" customHeight="1">
      <c r="A35" s="11" t="s">
        <v>44</v>
      </c>
      <c r="B35" s="114">
        <f>_xlfn.COMPOUNDVALUE(761)</f>
        <v>2766</v>
      </c>
      <c r="C35" s="115">
        <v>26746208</v>
      </c>
      <c r="D35" s="114">
        <f>_xlfn.COMPOUNDVALUE(762)</f>
        <v>817</v>
      </c>
      <c r="E35" s="115">
        <v>494135</v>
      </c>
      <c r="F35" s="114">
        <f>_xlfn.COMPOUNDVALUE(763)</f>
        <v>3583</v>
      </c>
      <c r="G35" s="115">
        <v>27240343</v>
      </c>
      <c r="H35" s="114">
        <f>_xlfn.COMPOUNDVALUE(764)</f>
        <v>538</v>
      </c>
      <c r="I35" s="116">
        <v>17858883</v>
      </c>
      <c r="J35" s="114">
        <v>256</v>
      </c>
      <c r="K35" s="116">
        <v>56337</v>
      </c>
      <c r="L35" s="114">
        <v>4175</v>
      </c>
      <c r="M35" s="116">
        <v>9437796</v>
      </c>
      <c r="N35" s="119">
        <v>4398</v>
      </c>
      <c r="O35" s="122">
        <v>206</v>
      </c>
      <c r="P35" s="122">
        <v>38</v>
      </c>
      <c r="Q35" s="123">
        <v>4642</v>
      </c>
      <c r="R35" s="14" t="s">
        <v>44</v>
      </c>
    </row>
    <row r="36" spans="1:18" ht="18.75" customHeight="1">
      <c r="A36" s="11" t="s">
        <v>45</v>
      </c>
      <c r="B36" s="114">
        <f>_xlfn.COMPOUNDVALUE(765)</f>
        <v>1865</v>
      </c>
      <c r="C36" s="115">
        <v>18078736</v>
      </c>
      <c r="D36" s="114">
        <f>_xlfn.COMPOUNDVALUE(766)</f>
        <v>775</v>
      </c>
      <c r="E36" s="115">
        <v>382862</v>
      </c>
      <c r="F36" s="114">
        <f>_xlfn.COMPOUNDVALUE(767)</f>
        <v>2640</v>
      </c>
      <c r="G36" s="115">
        <v>18461598</v>
      </c>
      <c r="H36" s="114">
        <f>_xlfn.COMPOUNDVALUE(768)</f>
        <v>196</v>
      </c>
      <c r="I36" s="116">
        <v>1945209</v>
      </c>
      <c r="J36" s="114">
        <v>229</v>
      </c>
      <c r="K36" s="116">
        <v>35368</v>
      </c>
      <c r="L36" s="114">
        <v>2887</v>
      </c>
      <c r="M36" s="116">
        <v>16551756</v>
      </c>
      <c r="N36" s="119">
        <v>3091</v>
      </c>
      <c r="O36" s="122">
        <v>86</v>
      </c>
      <c r="P36" s="122">
        <v>3</v>
      </c>
      <c r="Q36" s="123">
        <v>3180</v>
      </c>
      <c r="R36" s="14" t="s">
        <v>45</v>
      </c>
    </row>
    <row r="37" spans="1:18" ht="18.75" customHeight="1">
      <c r="A37" s="11" t="s">
        <v>46</v>
      </c>
      <c r="B37" s="114">
        <f>_xlfn.COMPOUNDVALUE(769)</f>
        <v>2049</v>
      </c>
      <c r="C37" s="115">
        <v>15231946</v>
      </c>
      <c r="D37" s="114">
        <f>_xlfn.COMPOUNDVALUE(770)</f>
        <v>1026</v>
      </c>
      <c r="E37" s="115">
        <v>498786</v>
      </c>
      <c r="F37" s="114">
        <f>_xlfn.COMPOUNDVALUE(771)</f>
        <v>3075</v>
      </c>
      <c r="G37" s="115">
        <v>15730732</v>
      </c>
      <c r="H37" s="114">
        <f>_xlfn.COMPOUNDVALUE(772)</f>
        <v>227</v>
      </c>
      <c r="I37" s="116">
        <v>1049154</v>
      </c>
      <c r="J37" s="114">
        <v>233</v>
      </c>
      <c r="K37" s="116">
        <v>42573</v>
      </c>
      <c r="L37" s="114">
        <v>3366</v>
      </c>
      <c r="M37" s="116">
        <v>14724151</v>
      </c>
      <c r="N37" s="119">
        <v>3501</v>
      </c>
      <c r="O37" s="122">
        <v>102</v>
      </c>
      <c r="P37" s="122">
        <v>12</v>
      </c>
      <c r="Q37" s="123">
        <v>3615</v>
      </c>
      <c r="R37" s="14" t="s">
        <v>46</v>
      </c>
    </row>
    <row r="38" spans="1:18" ht="18.75" customHeight="1">
      <c r="A38" s="11" t="s">
        <v>47</v>
      </c>
      <c r="B38" s="114">
        <f>_xlfn.COMPOUNDVALUE(773)</f>
        <v>2681</v>
      </c>
      <c r="C38" s="115">
        <v>12937571</v>
      </c>
      <c r="D38" s="114">
        <f>_xlfn.COMPOUNDVALUE(774)</f>
        <v>1568</v>
      </c>
      <c r="E38" s="115">
        <v>713559</v>
      </c>
      <c r="F38" s="114">
        <f>_xlfn.COMPOUNDVALUE(775)</f>
        <v>4249</v>
      </c>
      <c r="G38" s="115">
        <v>13651129</v>
      </c>
      <c r="H38" s="114">
        <f>_xlfn.COMPOUNDVALUE(776)</f>
        <v>303</v>
      </c>
      <c r="I38" s="116">
        <v>546457</v>
      </c>
      <c r="J38" s="114">
        <v>269</v>
      </c>
      <c r="K38" s="116">
        <v>48238</v>
      </c>
      <c r="L38" s="114">
        <v>4634</v>
      </c>
      <c r="M38" s="116">
        <v>13152911</v>
      </c>
      <c r="N38" s="119">
        <v>4758</v>
      </c>
      <c r="O38" s="122">
        <v>148</v>
      </c>
      <c r="P38" s="122">
        <v>7</v>
      </c>
      <c r="Q38" s="123">
        <v>4913</v>
      </c>
      <c r="R38" s="14" t="s">
        <v>47</v>
      </c>
    </row>
    <row r="39" spans="1:18" ht="18.75" customHeight="1">
      <c r="A39" s="11" t="s">
        <v>48</v>
      </c>
      <c r="B39" s="114">
        <f>_xlfn.COMPOUNDVALUE(777)</f>
        <v>3167</v>
      </c>
      <c r="C39" s="115">
        <v>15295692</v>
      </c>
      <c r="D39" s="114">
        <f>_xlfn.COMPOUNDVALUE(778)</f>
        <v>1535</v>
      </c>
      <c r="E39" s="115">
        <v>795870</v>
      </c>
      <c r="F39" s="114">
        <f>_xlfn.COMPOUNDVALUE(779)</f>
        <v>4702</v>
      </c>
      <c r="G39" s="115">
        <v>16091562</v>
      </c>
      <c r="H39" s="114">
        <f>_xlfn.COMPOUNDVALUE(780)</f>
        <v>313</v>
      </c>
      <c r="I39" s="116">
        <v>1023534</v>
      </c>
      <c r="J39" s="114">
        <v>330</v>
      </c>
      <c r="K39" s="116">
        <v>84500</v>
      </c>
      <c r="L39" s="114">
        <v>5117</v>
      </c>
      <c r="M39" s="116">
        <v>15152529</v>
      </c>
      <c r="N39" s="114">
        <v>5759</v>
      </c>
      <c r="O39" s="117">
        <v>160</v>
      </c>
      <c r="P39" s="117">
        <v>18</v>
      </c>
      <c r="Q39" s="135">
        <v>5937</v>
      </c>
      <c r="R39" s="12" t="s">
        <v>48</v>
      </c>
    </row>
    <row r="40" spans="1:18" ht="18.75" customHeight="1">
      <c r="A40" s="11" t="s">
        <v>49</v>
      </c>
      <c r="B40" s="114">
        <f>_xlfn.COMPOUNDVALUE(781)</f>
        <v>3911</v>
      </c>
      <c r="C40" s="115">
        <v>22956375</v>
      </c>
      <c r="D40" s="114">
        <f>_xlfn.COMPOUNDVALUE(782)</f>
        <v>1872</v>
      </c>
      <c r="E40" s="115">
        <v>963958</v>
      </c>
      <c r="F40" s="114">
        <f>_xlfn.COMPOUNDVALUE(783)</f>
        <v>5783</v>
      </c>
      <c r="G40" s="115">
        <v>23920333</v>
      </c>
      <c r="H40" s="114">
        <f>_xlfn.COMPOUNDVALUE(784)</f>
        <v>307</v>
      </c>
      <c r="I40" s="116">
        <v>1589257</v>
      </c>
      <c r="J40" s="114">
        <v>525</v>
      </c>
      <c r="K40" s="116">
        <v>123291</v>
      </c>
      <c r="L40" s="114">
        <v>6269</v>
      </c>
      <c r="M40" s="116">
        <v>22454366</v>
      </c>
      <c r="N40" s="114">
        <v>6765</v>
      </c>
      <c r="O40" s="136">
        <v>167</v>
      </c>
      <c r="P40" s="136">
        <v>12</v>
      </c>
      <c r="Q40" s="137">
        <v>6944</v>
      </c>
      <c r="R40" s="12" t="s">
        <v>49</v>
      </c>
    </row>
    <row r="41" spans="1:18" ht="18.75" customHeight="1">
      <c r="A41" s="11" t="s">
        <v>50</v>
      </c>
      <c r="B41" s="114">
        <f>_xlfn.COMPOUNDVALUE(785)</f>
        <v>1731</v>
      </c>
      <c r="C41" s="115">
        <v>10567084</v>
      </c>
      <c r="D41" s="114">
        <f>_xlfn.COMPOUNDVALUE(786)</f>
        <v>1008</v>
      </c>
      <c r="E41" s="115">
        <v>569573</v>
      </c>
      <c r="F41" s="114">
        <f>_xlfn.COMPOUNDVALUE(787)</f>
        <v>2739</v>
      </c>
      <c r="G41" s="115">
        <v>11136658</v>
      </c>
      <c r="H41" s="114">
        <f>_xlfn.COMPOUNDVALUE(788)</f>
        <v>223</v>
      </c>
      <c r="I41" s="116">
        <v>5369791</v>
      </c>
      <c r="J41" s="114">
        <v>153</v>
      </c>
      <c r="K41" s="116">
        <v>-9884</v>
      </c>
      <c r="L41" s="114">
        <v>2988</v>
      </c>
      <c r="M41" s="116">
        <v>5756982</v>
      </c>
      <c r="N41" s="119">
        <v>2966</v>
      </c>
      <c r="O41" s="122">
        <v>110</v>
      </c>
      <c r="P41" s="122">
        <v>9</v>
      </c>
      <c r="Q41" s="123">
        <v>3085</v>
      </c>
      <c r="R41" s="14" t="s">
        <v>50</v>
      </c>
    </row>
    <row r="42" spans="1:18" ht="18.75" customHeight="1">
      <c r="A42" s="11" t="s">
        <v>51</v>
      </c>
      <c r="B42" s="114">
        <f>_xlfn.COMPOUNDVALUE(789)</f>
        <v>3954</v>
      </c>
      <c r="C42" s="115">
        <v>22981312</v>
      </c>
      <c r="D42" s="114">
        <f>_xlfn.COMPOUNDVALUE(790)</f>
        <v>1701</v>
      </c>
      <c r="E42" s="115">
        <v>911421</v>
      </c>
      <c r="F42" s="114">
        <f>_xlfn.COMPOUNDVALUE(791)</f>
        <v>5655</v>
      </c>
      <c r="G42" s="115">
        <v>23892733</v>
      </c>
      <c r="H42" s="114">
        <f>_xlfn.COMPOUNDVALUE(792)</f>
        <v>478</v>
      </c>
      <c r="I42" s="116">
        <v>2592434</v>
      </c>
      <c r="J42" s="114">
        <v>451</v>
      </c>
      <c r="K42" s="116">
        <v>103781</v>
      </c>
      <c r="L42" s="114">
        <v>6277</v>
      </c>
      <c r="M42" s="116">
        <v>21404080</v>
      </c>
      <c r="N42" s="119">
        <v>6541</v>
      </c>
      <c r="O42" s="122">
        <v>231</v>
      </c>
      <c r="P42" s="122">
        <v>21</v>
      </c>
      <c r="Q42" s="123">
        <v>6793</v>
      </c>
      <c r="R42" s="14" t="s">
        <v>51</v>
      </c>
    </row>
    <row r="43" spans="1:18" ht="18.75" customHeight="1">
      <c r="A43" s="11" t="s">
        <v>52</v>
      </c>
      <c r="B43" s="114">
        <f>_xlfn.COMPOUNDVALUE(793)</f>
        <v>5859</v>
      </c>
      <c r="C43" s="115">
        <v>20790885</v>
      </c>
      <c r="D43" s="114">
        <f>_xlfn.COMPOUNDVALUE(794)</f>
        <v>2900</v>
      </c>
      <c r="E43" s="115">
        <v>1491498</v>
      </c>
      <c r="F43" s="114">
        <f>_xlfn.COMPOUNDVALUE(795)</f>
        <v>8759</v>
      </c>
      <c r="G43" s="115">
        <v>22282383</v>
      </c>
      <c r="H43" s="114">
        <f>_xlfn.COMPOUNDVALUE(796)</f>
        <v>517</v>
      </c>
      <c r="I43" s="116">
        <v>2011817</v>
      </c>
      <c r="J43" s="114">
        <v>698</v>
      </c>
      <c r="K43" s="116">
        <v>116802</v>
      </c>
      <c r="L43" s="114">
        <v>9520</v>
      </c>
      <c r="M43" s="116">
        <v>20387369</v>
      </c>
      <c r="N43" s="119">
        <v>9831</v>
      </c>
      <c r="O43" s="122">
        <v>238</v>
      </c>
      <c r="P43" s="122">
        <v>25</v>
      </c>
      <c r="Q43" s="123">
        <v>10094</v>
      </c>
      <c r="R43" s="14" t="s">
        <v>52</v>
      </c>
    </row>
    <row r="44" spans="1:18" ht="18.75" customHeight="1">
      <c r="A44" s="11" t="s">
        <v>53</v>
      </c>
      <c r="B44" s="114">
        <f>_xlfn.COMPOUNDVALUE(797)</f>
        <v>1770</v>
      </c>
      <c r="C44" s="115">
        <v>9752044</v>
      </c>
      <c r="D44" s="114">
        <f>_xlfn.COMPOUNDVALUE(798)</f>
        <v>748</v>
      </c>
      <c r="E44" s="115">
        <v>395388</v>
      </c>
      <c r="F44" s="114">
        <f>_xlfn.COMPOUNDVALUE(799)</f>
        <v>2518</v>
      </c>
      <c r="G44" s="115">
        <v>10147432</v>
      </c>
      <c r="H44" s="114">
        <f>_xlfn.COMPOUNDVALUE(800)</f>
        <v>184</v>
      </c>
      <c r="I44" s="116">
        <v>562396</v>
      </c>
      <c r="J44" s="114">
        <v>232</v>
      </c>
      <c r="K44" s="116">
        <v>134273</v>
      </c>
      <c r="L44" s="114">
        <v>2768</v>
      </c>
      <c r="M44" s="116">
        <v>9719309</v>
      </c>
      <c r="N44" s="119">
        <v>2782</v>
      </c>
      <c r="O44" s="122">
        <v>72</v>
      </c>
      <c r="P44" s="122">
        <v>15</v>
      </c>
      <c r="Q44" s="123">
        <v>2869</v>
      </c>
      <c r="R44" s="14" t="s">
        <v>53</v>
      </c>
    </row>
    <row r="45" spans="1:18" ht="18.75" customHeight="1">
      <c r="A45" s="11" t="s">
        <v>54</v>
      </c>
      <c r="B45" s="114">
        <f>_xlfn.COMPOUNDVALUE(801)</f>
        <v>7182</v>
      </c>
      <c r="C45" s="115">
        <v>77415406</v>
      </c>
      <c r="D45" s="114">
        <f>_xlfn.COMPOUNDVALUE(802)</f>
        <v>2797</v>
      </c>
      <c r="E45" s="115">
        <v>1649213</v>
      </c>
      <c r="F45" s="114">
        <f>_xlfn.COMPOUNDVALUE(803)</f>
        <v>9979</v>
      </c>
      <c r="G45" s="115">
        <v>79064620</v>
      </c>
      <c r="H45" s="114">
        <f>_xlfn.COMPOUNDVALUE(804)</f>
        <v>797</v>
      </c>
      <c r="I45" s="116">
        <v>9988376</v>
      </c>
      <c r="J45" s="114">
        <v>869</v>
      </c>
      <c r="K45" s="116">
        <v>110157</v>
      </c>
      <c r="L45" s="114">
        <v>10968</v>
      </c>
      <c r="M45" s="116">
        <v>69186401</v>
      </c>
      <c r="N45" s="119">
        <v>11159</v>
      </c>
      <c r="O45" s="122">
        <v>380</v>
      </c>
      <c r="P45" s="122">
        <v>99</v>
      </c>
      <c r="Q45" s="123">
        <v>11638</v>
      </c>
      <c r="R45" s="14" t="s">
        <v>54</v>
      </c>
    </row>
    <row r="46" spans="1:18" ht="18.75" customHeight="1">
      <c r="A46" s="11" t="s">
        <v>55</v>
      </c>
      <c r="B46" s="114">
        <f>_xlfn.COMPOUNDVALUE(805)</f>
        <v>7080</v>
      </c>
      <c r="C46" s="115">
        <v>162949061</v>
      </c>
      <c r="D46" s="114">
        <f>_xlfn.COMPOUNDVALUE(806)</f>
        <v>2685</v>
      </c>
      <c r="E46" s="115">
        <v>1873039</v>
      </c>
      <c r="F46" s="114">
        <f>_xlfn.COMPOUNDVALUE(807)</f>
        <v>9765</v>
      </c>
      <c r="G46" s="115">
        <v>164822100</v>
      </c>
      <c r="H46" s="114">
        <f>_xlfn.COMPOUNDVALUE(808)</f>
        <v>1122</v>
      </c>
      <c r="I46" s="116">
        <v>79229825</v>
      </c>
      <c r="J46" s="114">
        <v>845</v>
      </c>
      <c r="K46" s="116">
        <v>145325</v>
      </c>
      <c r="L46" s="114">
        <v>11079</v>
      </c>
      <c r="M46" s="116">
        <v>85737600</v>
      </c>
      <c r="N46" s="119">
        <v>11048</v>
      </c>
      <c r="O46" s="122">
        <v>542</v>
      </c>
      <c r="P46" s="122">
        <v>148</v>
      </c>
      <c r="Q46" s="123">
        <v>11738</v>
      </c>
      <c r="R46" s="14" t="s">
        <v>55</v>
      </c>
    </row>
    <row r="47" spans="1:18" ht="18.75" customHeight="1">
      <c r="A47" s="11" t="s">
        <v>56</v>
      </c>
      <c r="B47" s="114">
        <f>_xlfn.COMPOUNDVALUE(809)</f>
        <v>3347</v>
      </c>
      <c r="C47" s="115">
        <v>94244256</v>
      </c>
      <c r="D47" s="114">
        <f>_xlfn.COMPOUNDVALUE(810)</f>
        <v>1189</v>
      </c>
      <c r="E47" s="115">
        <v>738961</v>
      </c>
      <c r="F47" s="114">
        <f>_xlfn.COMPOUNDVALUE(811)</f>
        <v>4536</v>
      </c>
      <c r="G47" s="115">
        <v>94983217</v>
      </c>
      <c r="H47" s="114">
        <f>_xlfn.COMPOUNDVALUE(812)</f>
        <v>503</v>
      </c>
      <c r="I47" s="116">
        <v>14577429</v>
      </c>
      <c r="J47" s="114">
        <v>295</v>
      </c>
      <c r="K47" s="116">
        <v>97100</v>
      </c>
      <c r="L47" s="114">
        <v>5108</v>
      </c>
      <c r="M47" s="116">
        <v>80502888</v>
      </c>
      <c r="N47" s="119">
        <v>5468</v>
      </c>
      <c r="O47" s="122">
        <v>202</v>
      </c>
      <c r="P47" s="122">
        <v>53</v>
      </c>
      <c r="Q47" s="123">
        <v>5723</v>
      </c>
      <c r="R47" s="14" t="s">
        <v>56</v>
      </c>
    </row>
    <row r="48" spans="1:18" ht="18.75" customHeight="1">
      <c r="A48" s="11" t="s">
        <v>57</v>
      </c>
      <c r="B48" s="114">
        <f>_xlfn.COMPOUNDVALUE(813)</f>
        <v>9053</v>
      </c>
      <c r="C48" s="115">
        <v>249697215</v>
      </c>
      <c r="D48" s="114">
        <f>_xlfn.COMPOUNDVALUE(814)</f>
        <v>2702</v>
      </c>
      <c r="E48" s="115">
        <v>1944656</v>
      </c>
      <c r="F48" s="114">
        <f>_xlfn.COMPOUNDVALUE(815)</f>
        <v>11755</v>
      </c>
      <c r="G48" s="115">
        <v>251641871</v>
      </c>
      <c r="H48" s="114">
        <f>_xlfn.COMPOUNDVALUE(816)</f>
        <v>2430</v>
      </c>
      <c r="I48" s="116">
        <v>51487875</v>
      </c>
      <c r="J48" s="114">
        <v>928</v>
      </c>
      <c r="K48" s="116">
        <v>274073</v>
      </c>
      <c r="L48" s="114">
        <v>14292</v>
      </c>
      <c r="M48" s="116">
        <v>200428069</v>
      </c>
      <c r="N48" s="119">
        <v>13181</v>
      </c>
      <c r="O48" s="122">
        <v>819</v>
      </c>
      <c r="P48" s="122">
        <v>179</v>
      </c>
      <c r="Q48" s="123">
        <v>14179</v>
      </c>
      <c r="R48" s="14" t="s">
        <v>57</v>
      </c>
    </row>
    <row r="49" spans="1:18" ht="18.75" customHeight="1">
      <c r="A49" s="11" t="s">
        <v>58</v>
      </c>
      <c r="B49" s="114">
        <f>_xlfn.COMPOUNDVALUE(817)</f>
        <v>5419</v>
      </c>
      <c r="C49" s="115">
        <v>57413163</v>
      </c>
      <c r="D49" s="114">
        <f>_xlfn.COMPOUNDVALUE(818)</f>
        <v>1852</v>
      </c>
      <c r="E49" s="115">
        <v>1166811</v>
      </c>
      <c r="F49" s="114">
        <f>_xlfn.COMPOUNDVALUE(819)</f>
        <v>7271</v>
      </c>
      <c r="G49" s="115">
        <v>58579974</v>
      </c>
      <c r="H49" s="114">
        <f>_xlfn.COMPOUNDVALUE(820)</f>
        <v>1026</v>
      </c>
      <c r="I49" s="116">
        <v>12152478</v>
      </c>
      <c r="J49" s="114">
        <v>669</v>
      </c>
      <c r="K49" s="116">
        <v>637512</v>
      </c>
      <c r="L49" s="114">
        <v>8457</v>
      </c>
      <c r="M49" s="116">
        <v>47065008</v>
      </c>
      <c r="N49" s="119">
        <v>8368</v>
      </c>
      <c r="O49" s="122">
        <v>388</v>
      </c>
      <c r="P49" s="122">
        <v>98</v>
      </c>
      <c r="Q49" s="123">
        <v>8854</v>
      </c>
      <c r="R49" s="14" t="s">
        <v>58</v>
      </c>
    </row>
    <row r="50" spans="1:18" ht="18.75" customHeight="1">
      <c r="A50" s="11" t="s">
        <v>59</v>
      </c>
      <c r="B50" s="114">
        <f>_xlfn.COMPOUNDVALUE(821)</f>
        <v>11986</v>
      </c>
      <c r="C50" s="115">
        <v>61628670</v>
      </c>
      <c r="D50" s="114">
        <f>_xlfn.COMPOUNDVALUE(822)</f>
        <v>5178</v>
      </c>
      <c r="E50" s="115">
        <v>2755533</v>
      </c>
      <c r="F50" s="114">
        <f>_xlfn.COMPOUNDVALUE(823)</f>
        <v>17164</v>
      </c>
      <c r="G50" s="115">
        <v>64384203</v>
      </c>
      <c r="H50" s="114">
        <f>_xlfn.COMPOUNDVALUE(824)</f>
        <v>1133</v>
      </c>
      <c r="I50" s="116">
        <v>29874860</v>
      </c>
      <c r="J50" s="114">
        <v>1164</v>
      </c>
      <c r="K50" s="116">
        <v>195571</v>
      </c>
      <c r="L50" s="114">
        <v>18686</v>
      </c>
      <c r="M50" s="116">
        <v>34704914</v>
      </c>
      <c r="N50" s="119">
        <v>18598</v>
      </c>
      <c r="O50" s="122">
        <v>556</v>
      </c>
      <c r="P50" s="122">
        <v>66</v>
      </c>
      <c r="Q50" s="123">
        <v>19220</v>
      </c>
      <c r="R50" s="14" t="s">
        <v>59</v>
      </c>
    </row>
    <row r="51" spans="1:18" ht="18.75" customHeight="1">
      <c r="A51" s="11" t="s">
        <v>60</v>
      </c>
      <c r="B51" s="114">
        <f>_xlfn.COMPOUNDVALUE(825)</f>
        <v>4136</v>
      </c>
      <c r="C51" s="115">
        <v>14918018</v>
      </c>
      <c r="D51" s="114">
        <f>_xlfn.COMPOUNDVALUE(826)</f>
        <v>1749</v>
      </c>
      <c r="E51" s="115">
        <v>869090</v>
      </c>
      <c r="F51" s="114">
        <f>_xlfn.COMPOUNDVALUE(827)</f>
        <v>5885</v>
      </c>
      <c r="G51" s="115">
        <v>15787108</v>
      </c>
      <c r="H51" s="114">
        <f>_xlfn.COMPOUNDVALUE(828)</f>
        <v>317</v>
      </c>
      <c r="I51" s="116">
        <v>1253870</v>
      </c>
      <c r="J51" s="114">
        <v>488</v>
      </c>
      <c r="K51" s="116">
        <v>66969</v>
      </c>
      <c r="L51" s="114">
        <v>6304</v>
      </c>
      <c r="M51" s="116">
        <v>14600208</v>
      </c>
      <c r="N51" s="119">
        <v>6462</v>
      </c>
      <c r="O51" s="122">
        <v>163</v>
      </c>
      <c r="P51" s="122">
        <v>22</v>
      </c>
      <c r="Q51" s="123">
        <v>6647</v>
      </c>
      <c r="R51" s="14" t="s">
        <v>60</v>
      </c>
    </row>
    <row r="52" spans="1:18" ht="18.75" customHeight="1">
      <c r="A52" s="11" t="s">
        <v>61</v>
      </c>
      <c r="B52" s="114">
        <f>_xlfn.COMPOUNDVALUE(829)</f>
        <v>8043</v>
      </c>
      <c r="C52" s="115">
        <v>47231845</v>
      </c>
      <c r="D52" s="114">
        <f>_xlfn.COMPOUNDVALUE(830)</f>
        <v>4780</v>
      </c>
      <c r="E52" s="115">
        <v>2561106</v>
      </c>
      <c r="F52" s="114">
        <f>_xlfn.COMPOUNDVALUE(831)</f>
        <v>12823</v>
      </c>
      <c r="G52" s="115">
        <v>49792951</v>
      </c>
      <c r="H52" s="114">
        <f>_xlfn.COMPOUNDVALUE(832)</f>
        <v>858</v>
      </c>
      <c r="I52" s="116">
        <v>2464621</v>
      </c>
      <c r="J52" s="114">
        <v>1068</v>
      </c>
      <c r="K52" s="116">
        <v>207115</v>
      </c>
      <c r="L52" s="114">
        <v>13958</v>
      </c>
      <c r="M52" s="116">
        <v>47535446</v>
      </c>
      <c r="N52" s="119">
        <v>14402</v>
      </c>
      <c r="O52" s="122">
        <v>468</v>
      </c>
      <c r="P52" s="122">
        <v>38</v>
      </c>
      <c r="Q52" s="123">
        <v>14908</v>
      </c>
      <c r="R52" s="14" t="s">
        <v>61</v>
      </c>
    </row>
    <row r="53" spans="1:18" ht="18.75" customHeight="1">
      <c r="A53" s="11" t="s">
        <v>62</v>
      </c>
      <c r="B53" s="114">
        <f>_xlfn.COMPOUNDVALUE(833)</f>
        <v>6032</v>
      </c>
      <c r="C53" s="115">
        <v>40192582</v>
      </c>
      <c r="D53" s="114">
        <f>_xlfn.COMPOUNDVALUE(834)</f>
        <v>3101</v>
      </c>
      <c r="E53" s="115">
        <v>1829324</v>
      </c>
      <c r="F53" s="114">
        <f>_xlfn.COMPOUNDVALUE(835)</f>
        <v>9133</v>
      </c>
      <c r="G53" s="115">
        <v>42021906</v>
      </c>
      <c r="H53" s="114">
        <f>_xlfn.COMPOUNDVALUE(836)</f>
        <v>605</v>
      </c>
      <c r="I53" s="116">
        <v>3072184</v>
      </c>
      <c r="J53" s="114">
        <v>724</v>
      </c>
      <c r="K53" s="116">
        <v>109327</v>
      </c>
      <c r="L53" s="114">
        <v>9911</v>
      </c>
      <c r="M53" s="116">
        <v>39059049</v>
      </c>
      <c r="N53" s="119">
        <v>10219</v>
      </c>
      <c r="O53" s="122">
        <v>371</v>
      </c>
      <c r="P53" s="122">
        <v>38</v>
      </c>
      <c r="Q53" s="123">
        <v>10628</v>
      </c>
      <c r="R53" s="14" t="s">
        <v>62</v>
      </c>
    </row>
    <row r="54" spans="1:18" ht="18.75" customHeight="1">
      <c r="A54" s="11" t="s">
        <v>63</v>
      </c>
      <c r="B54" s="114">
        <f>_xlfn.COMPOUNDVALUE(837)</f>
        <v>4299</v>
      </c>
      <c r="C54" s="115">
        <v>24379619</v>
      </c>
      <c r="D54" s="114">
        <f>_xlfn.COMPOUNDVALUE(838)</f>
        <v>1785</v>
      </c>
      <c r="E54" s="115">
        <v>915487</v>
      </c>
      <c r="F54" s="114">
        <f>_xlfn.COMPOUNDVALUE(839)</f>
        <v>6084</v>
      </c>
      <c r="G54" s="115">
        <v>25295106</v>
      </c>
      <c r="H54" s="114">
        <f>_xlfn.COMPOUNDVALUE(840)</f>
        <v>490</v>
      </c>
      <c r="I54" s="116">
        <v>3649274</v>
      </c>
      <c r="J54" s="114">
        <v>598</v>
      </c>
      <c r="K54" s="116">
        <v>92659</v>
      </c>
      <c r="L54" s="114">
        <v>6702</v>
      </c>
      <c r="M54" s="116">
        <v>21738490</v>
      </c>
      <c r="N54" s="119">
        <v>6858</v>
      </c>
      <c r="O54" s="122">
        <v>203</v>
      </c>
      <c r="P54" s="122">
        <v>18</v>
      </c>
      <c r="Q54" s="123">
        <v>7079</v>
      </c>
      <c r="R54" s="14" t="s">
        <v>63</v>
      </c>
    </row>
    <row r="55" spans="1:18" ht="18.75" customHeight="1">
      <c r="A55" s="13" t="s">
        <v>64</v>
      </c>
      <c r="B55" s="119">
        <f>_xlfn.COMPOUNDVALUE(841)</f>
        <v>7294</v>
      </c>
      <c r="C55" s="120">
        <v>28172733</v>
      </c>
      <c r="D55" s="119">
        <f>_xlfn.COMPOUNDVALUE(842)</f>
        <v>3616</v>
      </c>
      <c r="E55" s="120">
        <v>1915368</v>
      </c>
      <c r="F55" s="119">
        <f>_xlfn.COMPOUNDVALUE(843)</f>
        <v>10910</v>
      </c>
      <c r="G55" s="120">
        <v>30088101</v>
      </c>
      <c r="H55" s="119">
        <f>_xlfn.COMPOUNDVALUE(844)</f>
        <v>623</v>
      </c>
      <c r="I55" s="121">
        <v>2769831</v>
      </c>
      <c r="J55" s="119">
        <v>759</v>
      </c>
      <c r="K55" s="121">
        <v>346267</v>
      </c>
      <c r="L55" s="119">
        <v>11795</v>
      </c>
      <c r="M55" s="121">
        <v>27664537</v>
      </c>
      <c r="N55" s="119">
        <v>12257</v>
      </c>
      <c r="O55" s="122">
        <v>324</v>
      </c>
      <c r="P55" s="122">
        <v>25</v>
      </c>
      <c r="Q55" s="123">
        <v>12606</v>
      </c>
      <c r="R55" s="14" t="s">
        <v>64</v>
      </c>
    </row>
    <row r="56" spans="1:18" ht="18.75" customHeight="1">
      <c r="A56" s="13" t="s">
        <v>65</v>
      </c>
      <c r="B56" s="119">
        <f>_xlfn.COMPOUNDVALUE(845)</f>
        <v>6433</v>
      </c>
      <c r="C56" s="120">
        <v>36455662</v>
      </c>
      <c r="D56" s="119">
        <f>_xlfn.COMPOUNDVALUE(846)</f>
        <v>3383</v>
      </c>
      <c r="E56" s="120">
        <v>1848184</v>
      </c>
      <c r="F56" s="119">
        <f>_xlfn.COMPOUNDVALUE(847)</f>
        <v>9816</v>
      </c>
      <c r="G56" s="120">
        <v>38303846</v>
      </c>
      <c r="H56" s="119">
        <f>_xlfn.COMPOUNDVALUE(848)</f>
        <v>495</v>
      </c>
      <c r="I56" s="121">
        <v>14961266</v>
      </c>
      <c r="J56" s="119">
        <v>712</v>
      </c>
      <c r="K56" s="121">
        <v>156193</v>
      </c>
      <c r="L56" s="119">
        <v>10527</v>
      </c>
      <c r="M56" s="121">
        <v>23498773</v>
      </c>
      <c r="N56" s="119">
        <v>11313</v>
      </c>
      <c r="O56" s="122">
        <v>331</v>
      </c>
      <c r="P56" s="122">
        <v>30</v>
      </c>
      <c r="Q56" s="123">
        <v>11674</v>
      </c>
      <c r="R56" s="14" t="s">
        <v>65</v>
      </c>
    </row>
    <row r="57" spans="1:18" ht="18.75" customHeight="1">
      <c r="A57" s="13" t="s">
        <v>66</v>
      </c>
      <c r="B57" s="119">
        <f>_xlfn.COMPOUNDVALUE(849)</f>
        <v>7627</v>
      </c>
      <c r="C57" s="120">
        <v>32518961</v>
      </c>
      <c r="D57" s="119">
        <f>_xlfn.COMPOUNDVALUE(850)</f>
        <v>3719</v>
      </c>
      <c r="E57" s="120">
        <v>1926227</v>
      </c>
      <c r="F57" s="119">
        <f>_xlfn.COMPOUNDVALUE(851)</f>
        <v>11346</v>
      </c>
      <c r="G57" s="120">
        <v>34445189</v>
      </c>
      <c r="H57" s="119">
        <f>_xlfn.COMPOUNDVALUE(852)</f>
        <v>556</v>
      </c>
      <c r="I57" s="121">
        <v>2951152</v>
      </c>
      <c r="J57" s="119">
        <v>795</v>
      </c>
      <c r="K57" s="121">
        <v>96269</v>
      </c>
      <c r="L57" s="119">
        <v>12085</v>
      </c>
      <c r="M57" s="121">
        <v>31590306</v>
      </c>
      <c r="N57" s="119">
        <v>12338</v>
      </c>
      <c r="O57" s="122">
        <v>296</v>
      </c>
      <c r="P57" s="122">
        <v>31</v>
      </c>
      <c r="Q57" s="123">
        <v>12665</v>
      </c>
      <c r="R57" s="14" t="s">
        <v>66</v>
      </c>
    </row>
    <row r="58" spans="1:18" ht="18.75" customHeight="1">
      <c r="A58" s="13" t="s">
        <v>67</v>
      </c>
      <c r="B58" s="119">
        <f>_xlfn.COMPOUNDVALUE(853)</f>
        <v>3460</v>
      </c>
      <c r="C58" s="120">
        <v>105220542</v>
      </c>
      <c r="D58" s="119">
        <f>_xlfn.COMPOUNDVALUE(854)</f>
        <v>1552</v>
      </c>
      <c r="E58" s="120">
        <v>763248</v>
      </c>
      <c r="F58" s="119">
        <f>_xlfn.COMPOUNDVALUE(855)</f>
        <v>5012</v>
      </c>
      <c r="G58" s="120">
        <v>105983791</v>
      </c>
      <c r="H58" s="119">
        <f>_xlfn.COMPOUNDVALUE(856)</f>
        <v>314</v>
      </c>
      <c r="I58" s="121">
        <v>1609847</v>
      </c>
      <c r="J58" s="119">
        <v>439</v>
      </c>
      <c r="K58" s="121">
        <v>315730</v>
      </c>
      <c r="L58" s="119">
        <v>5402</v>
      </c>
      <c r="M58" s="121">
        <v>104689674</v>
      </c>
      <c r="N58" s="119">
        <v>5546</v>
      </c>
      <c r="O58" s="122">
        <v>158</v>
      </c>
      <c r="P58" s="122">
        <v>23</v>
      </c>
      <c r="Q58" s="123">
        <v>5727</v>
      </c>
      <c r="R58" s="14" t="s">
        <v>67</v>
      </c>
    </row>
    <row r="59" spans="1:18" ht="18.75" customHeight="1">
      <c r="A59" s="13" t="s">
        <v>68</v>
      </c>
      <c r="B59" s="119">
        <f>_xlfn.COMPOUNDVALUE(857)</f>
        <v>5870</v>
      </c>
      <c r="C59" s="120">
        <v>19791363</v>
      </c>
      <c r="D59" s="119">
        <f>_xlfn.COMPOUNDVALUE(858)</f>
        <v>2950</v>
      </c>
      <c r="E59" s="120">
        <v>1462393</v>
      </c>
      <c r="F59" s="119">
        <f>_xlfn.COMPOUNDVALUE(859)</f>
        <v>8820</v>
      </c>
      <c r="G59" s="120">
        <v>21253756</v>
      </c>
      <c r="H59" s="119">
        <f>_xlfn.COMPOUNDVALUE(860)</f>
        <v>419</v>
      </c>
      <c r="I59" s="121">
        <v>797729</v>
      </c>
      <c r="J59" s="119">
        <v>662</v>
      </c>
      <c r="K59" s="121">
        <v>84021</v>
      </c>
      <c r="L59" s="119">
        <v>9428</v>
      </c>
      <c r="M59" s="121">
        <v>20540048</v>
      </c>
      <c r="N59" s="119">
        <v>9576</v>
      </c>
      <c r="O59" s="122">
        <v>228</v>
      </c>
      <c r="P59" s="122">
        <v>20</v>
      </c>
      <c r="Q59" s="123">
        <v>9824</v>
      </c>
      <c r="R59" s="14" t="s">
        <v>68</v>
      </c>
    </row>
    <row r="60" spans="1:18" ht="18.75" customHeight="1">
      <c r="A60" s="13" t="s">
        <v>69</v>
      </c>
      <c r="B60" s="119">
        <f>_xlfn.COMPOUNDVALUE(861)</f>
        <v>7144</v>
      </c>
      <c r="C60" s="120">
        <v>38280064</v>
      </c>
      <c r="D60" s="119">
        <f>_xlfn.COMPOUNDVALUE(862)</f>
        <v>3447</v>
      </c>
      <c r="E60" s="120">
        <v>1857099</v>
      </c>
      <c r="F60" s="119">
        <f>_xlfn.COMPOUNDVALUE(863)</f>
        <v>10591</v>
      </c>
      <c r="G60" s="120">
        <v>40137163</v>
      </c>
      <c r="H60" s="119">
        <f>_xlfn.COMPOUNDVALUE(864)</f>
        <v>492</v>
      </c>
      <c r="I60" s="121">
        <v>31997191</v>
      </c>
      <c r="J60" s="119">
        <v>820</v>
      </c>
      <c r="K60" s="121">
        <v>187014</v>
      </c>
      <c r="L60" s="119">
        <v>11375</v>
      </c>
      <c r="M60" s="121">
        <v>8326986</v>
      </c>
      <c r="N60" s="119">
        <v>11386</v>
      </c>
      <c r="O60" s="122">
        <v>271</v>
      </c>
      <c r="P60" s="122">
        <v>30</v>
      </c>
      <c r="Q60" s="123">
        <v>11687</v>
      </c>
      <c r="R60" s="14" t="s">
        <v>69</v>
      </c>
    </row>
    <row r="61" spans="1:18" ht="18.75" customHeight="1">
      <c r="A61" s="13" t="s">
        <v>70</v>
      </c>
      <c r="B61" s="119">
        <f>_xlfn.COMPOUNDVALUE(865)</f>
        <v>10304</v>
      </c>
      <c r="C61" s="120">
        <v>49532372</v>
      </c>
      <c r="D61" s="119">
        <f>_xlfn.COMPOUNDVALUE(866)</f>
        <v>5197</v>
      </c>
      <c r="E61" s="120">
        <v>2753029</v>
      </c>
      <c r="F61" s="119">
        <f>_xlfn.COMPOUNDVALUE(867)</f>
        <v>15501</v>
      </c>
      <c r="G61" s="120">
        <v>52285401</v>
      </c>
      <c r="H61" s="119">
        <f>_xlfn.COMPOUNDVALUE(868)</f>
        <v>720</v>
      </c>
      <c r="I61" s="121">
        <v>2578526</v>
      </c>
      <c r="J61" s="119">
        <v>1129</v>
      </c>
      <c r="K61" s="121">
        <v>196211</v>
      </c>
      <c r="L61" s="119">
        <v>16486</v>
      </c>
      <c r="M61" s="121">
        <v>49903086</v>
      </c>
      <c r="N61" s="119">
        <v>16190</v>
      </c>
      <c r="O61" s="122">
        <v>351</v>
      </c>
      <c r="P61" s="122">
        <v>53</v>
      </c>
      <c r="Q61" s="123">
        <v>16594</v>
      </c>
      <c r="R61" s="14" t="s">
        <v>70</v>
      </c>
    </row>
    <row r="62" spans="1:18" ht="18.75" customHeight="1">
      <c r="A62" s="15" t="s">
        <v>71</v>
      </c>
      <c r="B62" s="124">
        <v>160055</v>
      </c>
      <c r="C62" s="125">
        <v>1486230968</v>
      </c>
      <c r="D62" s="124">
        <v>71015</v>
      </c>
      <c r="E62" s="125">
        <v>39251814</v>
      </c>
      <c r="F62" s="124">
        <v>231070</v>
      </c>
      <c r="G62" s="125">
        <v>1525482782</v>
      </c>
      <c r="H62" s="124">
        <v>18539</v>
      </c>
      <c r="I62" s="126">
        <v>420126138</v>
      </c>
      <c r="J62" s="124">
        <v>18180</v>
      </c>
      <c r="K62" s="126">
        <v>4534721</v>
      </c>
      <c r="L62" s="124">
        <v>254311</v>
      </c>
      <c r="M62" s="126">
        <v>1109891365</v>
      </c>
      <c r="N62" s="124">
        <v>258488</v>
      </c>
      <c r="O62" s="127">
        <v>8448</v>
      </c>
      <c r="P62" s="127">
        <v>1289</v>
      </c>
      <c r="Q62" s="128">
        <v>268225</v>
      </c>
      <c r="R62" s="16" t="s">
        <v>123</v>
      </c>
    </row>
    <row r="63" spans="1:18" ht="18.75" customHeight="1">
      <c r="A63" s="23"/>
      <c r="B63" s="129"/>
      <c r="C63" s="130"/>
      <c r="D63" s="129"/>
      <c r="E63" s="130"/>
      <c r="F63" s="131"/>
      <c r="G63" s="130"/>
      <c r="H63" s="131"/>
      <c r="I63" s="130"/>
      <c r="J63" s="131"/>
      <c r="K63" s="130"/>
      <c r="L63" s="131"/>
      <c r="M63" s="130"/>
      <c r="N63" s="132"/>
      <c r="O63" s="133"/>
      <c r="P63" s="133"/>
      <c r="Q63" s="134"/>
      <c r="R63" s="36" t="s">
        <v>120</v>
      </c>
    </row>
    <row r="64" spans="1:18" ht="18.75" customHeight="1">
      <c r="A64" s="11" t="s">
        <v>72</v>
      </c>
      <c r="B64" s="114">
        <f>_xlfn.COMPOUNDVALUE(869)</f>
        <v>1769</v>
      </c>
      <c r="C64" s="115">
        <v>13161820</v>
      </c>
      <c r="D64" s="114">
        <f>_xlfn.COMPOUNDVALUE(870)</f>
        <v>961</v>
      </c>
      <c r="E64" s="115">
        <v>505900</v>
      </c>
      <c r="F64" s="114">
        <f>_xlfn.COMPOUNDVALUE(871)</f>
        <v>2730</v>
      </c>
      <c r="G64" s="115">
        <v>13667720</v>
      </c>
      <c r="H64" s="114">
        <f>_xlfn.COMPOUNDVALUE(872)</f>
        <v>317</v>
      </c>
      <c r="I64" s="116">
        <v>1192654</v>
      </c>
      <c r="J64" s="114">
        <v>237</v>
      </c>
      <c r="K64" s="116">
        <v>46577</v>
      </c>
      <c r="L64" s="114">
        <v>3104</v>
      </c>
      <c r="M64" s="116">
        <v>12521642</v>
      </c>
      <c r="N64" s="119">
        <v>3135</v>
      </c>
      <c r="O64" s="122">
        <v>142</v>
      </c>
      <c r="P64" s="122">
        <v>10</v>
      </c>
      <c r="Q64" s="123">
        <v>3287</v>
      </c>
      <c r="R64" s="14" t="s">
        <v>72</v>
      </c>
    </row>
    <row r="65" spans="1:18" ht="18.75" customHeight="1">
      <c r="A65" s="11" t="s">
        <v>73</v>
      </c>
      <c r="B65" s="114">
        <f>_xlfn.COMPOUNDVALUE(873)</f>
        <v>4952</v>
      </c>
      <c r="C65" s="115">
        <v>24275797</v>
      </c>
      <c r="D65" s="114">
        <f>_xlfn.COMPOUNDVALUE(874)</f>
        <v>2295</v>
      </c>
      <c r="E65" s="115">
        <v>1145549</v>
      </c>
      <c r="F65" s="114">
        <f>_xlfn.COMPOUNDVALUE(875)</f>
        <v>7247</v>
      </c>
      <c r="G65" s="115">
        <v>25421347</v>
      </c>
      <c r="H65" s="114">
        <f>_xlfn.COMPOUNDVALUE(876)</f>
        <v>597</v>
      </c>
      <c r="I65" s="116">
        <v>3912822</v>
      </c>
      <c r="J65" s="114">
        <v>568</v>
      </c>
      <c r="K65" s="116">
        <v>32583</v>
      </c>
      <c r="L65" s="114">
        <v>8006</v>
      </c>
      <c r="M65" s="116">
        <v>21541107</v>
      </c>
      <c r="N65" s="119">
        <v>8312</v>
      </c>
      <c r="O65" s="122">
        <v>311</v>
      </c>
      <c r="P65" s="122">
        <v>15</v>
      </c>
      <c r="Q65" s="123">
        <v>8638</v>
      </c>
      <c r="R65" s="14" t="s">
        <v>73</v>
      </c>
    </row>
    <row r="66" spans="1:18" ht="18.75" customHeight="1">
      <c r="A66" s="11" t="s">
        <v>74</v>
      </c>
      <c r="B66" s="114">
        <f>_xlfn.COMPOUNDVALUE(877)</f>
        <v>1942</v>
      </c>
      <c r="C66" s="115">
        <v>8644009</v>
      </c>
      <c r="D66" s="114">
        <f>_xlfn.COMPOUNDVALUE(878)</f>
        <v>833</v>
      </c>
      <c r="E66" s="115">
        <v>397276</v>
      </c>
      <c r="F66" s="114">
        <f>_xlfn.COMPOUNDVALUE(879)</f>
        <v>2775</v>
      </c>
      <c r="G66" s="115">
        <v>9041285</v>
      </c>
      <c r="H66" s="114">
        <f>_xlfn.COMPOUNDVALUE(880)</f>
        <v>181</v>
      </c>
      <c r="I66" s="116">
        <v>294309</v>
      </c>
      <c r="J66" s="114">
        <v>190</v>
      </c>
      <c r="K66" s="116">
        <v>28711</v>
      </c>
      <c r="L66" s="114">
        <v>2999</v>
      </c>
      <c r="M66" s="116">
        <v>8775687</v>
      </c>
      <c r="N66" s="119">
        <v>3186</v>
      </c>
      <c r="O66" s="122">
        <v>89</v>
      </c>
      <c r="P66" s="122">
        <v>9</v>
      </c>
      <c r="Q66" s="123">
        <v>3284</v>
      </c>
      <c r="R66" s="14" t="s">
        <v>74</v>
      </c>
    </row>
    <row r="67" spans="1:18" ht="18.75" customHeight="1">
      <c r="A67" s="11" t="s">
        <v>75</v>
      </c>
      <c r="B67" s="114">
        <f>_xlfn.COMPOUNDVALUE(881)</f>
        <v>2847</v>
      </c>
      <c r="C67" s="115">
        <v>7861015</v>
      </c>
      <c r="D67" s="114">
        <f>_xlfn.COMPOUNDVALUE(882)</f>
        <v>1725</v>
      </c>
      <c r="E67" s="115">
        <v>918230</v>
      </c>
      <c r="F67" s="114">
        <f>_xlfn.COMPOUNDVALUE(883)</f>
        <v>4572</v>
      </c>
      <c r="G67" s="115">
        <v>8779245</v>
      </c>
      <c r="H67" s="114">
        <f>_xlfn.COMPOUNDVALUE(884)</f>
        <v>376</v>
      </c>
      <c r="I67" s="116">
        <v>944909</v>
      </c>
      <c r="J67" s="114">
        <v>336</v>
      </c>
      <c r="K67" s="116">
        <v>89221</v>
      </c>
      <c r="L67" s="114">
        <v>5071</v>
      </c>
      <c r="M67" s="116">
        <v>7923556</v>
      </c>
      <c r="N67" s="119">
        <v>5416</v>
      </c>
      <c r="O67" s="122">
        <v>187</v>
      </c>
      <c r="P67" s="122">
        <v>10</v>
      </c>
      <c r="Q67" s="123">
        <v>5613</v>
      </c>
      <c r="R67" s="14" t="s">
        <v>75</v>
      </c>
    </row>
    <row r="68" spans="1:18" ht="18.75" customHeight="1">
      <c r="A68" s="11" t="s">
        <v>76</v>
      </c>
      <c r="B68" s="114">
        <f>_xlfn.COMPOUNDVALUE(885)</f>
        <v>6152</v>
      </c>
      <c r="C68" s="115">
        <v>85453662</v>
      </c>
      <c r="D68" s="114">
        <f>_xlfn.COMPOUNDVALUE(886)</f>
        <v>2554</v>
      </c>
      <c r="E68" s="115">
        <v>1528095</v>
      </c>
      <c r="F68" s="114">
        <f>_xlfn.COMPOUNDVALUE(887)</f>
        <v>8706</v>
      </c>
      <c r="G68" s="115">
        <v>86981757</v>
      </c>
      <c r="H68" s="114">
        <f>_xlfn.COMPOUNDVALUE(888)</f>
        <v>2189</v>
      </c>
      <c r="I68" s="116">
        <v>38674655</v>
      </c>
      <c r="J68" s="114">
        <v>678</v>
      </c>
      <c r="K68" s="116">
        <v>73584</v>
      </c>
      <c r="L68" s="114">
        <v>11001</v>
      </c>
      <c r="M68" s="116">
        <v>48380686</v>
      </c>
      <c r="N68" s="119">
        <v>9994</v>
      </c>
      <c r="O68" s="122">
        <v>883</v>
      </c>
      <c r="P68" s="122">
        <v>108</v>
      </c>
      <c r="Q68" s="123">
        <v>10985</v>
      </c>
      <c r="R68" s="14" t="s">
        <v>76</v>
      </c>
    </row>
    <row r="69" spans="1:18" ht="18.75" customHeight="1">
      <c r="A69" s="11" t="s">
        <v>77</v>
      </c>
      <c r="B69" s="114">
        <f>_xlfn.COMPOUNDVALUE(889)</f>
        <v>9221</v>
      </c>
      <c r="C69" s="115">
        <v>49640645</v>
      </c>
      <c r="D69" s="114">
        <f>_xlfn.COMPOUNDVALUE(890)</f>
        <v>4221</v>
      </c>
      <c r="E69" s="115">
        <v>2205369</v>
      </c>
      <c r="F69" s="114">
        <f>_xlfn.COMPOUNDVALUE(891)</f>
        <v>13442</v>
      </c>
      <c r="G69" s="115">
        <v>51846014</v>
      </c>
      <c r="H69" s="114">
        <f>_xlfn.COMPOUNDVALUE(892)</f>
        <v>574</v>
      </c>
      <c r="I69" s="116">
        <v>3190879</v>
      </c>
      <c r="J69" s="114">
        <v>826</v>
      </c>
      <c r="K69" s="116">
        <v>463063</v>
      </c>
      <c r="L69" s="114">
        <v>14232</v>
      </c>
      <c r="M69" s="116">
        <v>49118198</v>
      </c>
      <c r="N69" s="119">
        <v>14268</v>
      </c>
      <c r="O69" s="122">
        <v>360</v>
      </c>
      <c r="P69" s="122">
        <v>36</v>
      </c>
      <c r="Q69" s="123">
        <v>14664</v>
      </c>
      <c r="R69" s="14" t="s">
        <v>77</v>
      </c>
    </row>
    <row r="70" spans="1:18" ht="18.75" customHeight="1">
      <c r="A70" s="11" t="s">
        <v>78</v>
      </c>
      <c r="B70" s="114">
        <f>_xlfn.COMPOUNDVALUE(893)</f>
        <v>6477</v>
      </c>
      <c r="C70" s="115">
        <v>41513673</v>
      </c>
      <c r="D70" s="114">
        <f>_xlfn.COMPOUNDVALUE(894)</f>
        <v>3127</v>
      </c>
      <c r="E70" s="115">
        <v>1615535</v>
      </c>
      <c r="F70" s="114">
        <f>_xlfn.COMPOUNDVALUE(895)</f>
        <v>9604</v>
      </c>
      <c r="G70" s="115">
        <v>43129208</v>
      </c>
      <c r="H70" s="114">
        <f>_xlfn.COMPOUNDVALUE(896)</f>
        <v>540</v>
      </c>
      <c r="I70" s="116">
        <v>2276397</v>
      </c>
      <c r="J70" s="114">
        <v>868</v>
      </c>
      <c r="K70" s="116">
        <v>154731</v>
      </c>
      <c r="L70" s="114">
        <v>10343</v>
      </c>
      <c r="M70" s="116">
        <v>41007541</v>
      </c>
      <c r="N70" s="119">
        <v>10862</v>
      </c>
      <c r="O70" s="122">
        <v>256</v>
      </c>
      <c r="P70" s="122">
        <v>27</v>
      </c>
      <c r="Q70" s="123">
        <v>11145</v>
      </c>
      <c r="R70" s="14" t="s">
        <v>78</v>
      </c>
    </row>
    <row r="71" spans="1:18" ht="18.75" customHeight="1">
      <c r="A71" s="11" t="s">
        <v>79</v>
      </c>
      <c r="B71" s="114">
        <f>_xlfn.COMPOUNDVALUE(897)</f>
        <v>5107</v>
      </c>
      <c r="C71" s="115">
        <v>23093679</v>
      </c>
      <c r="D71" s="114">
        <f>_xlfn.COMPOUNDVALUE(898)</f>
        <v>3189</v>
      </c>
      <c r="E71" s="115">
        <v>1594713</v>
      </c>
      <c r="F71" s="114">
        <f>_xlfn.COMPOUNDVALUE(899)</f>
        <v>8296</v>
      </c>
      <c r="G71" s="115">
        <v>24688392</v>
      </c>
      <c r="H71" s="114">
        <f>_xlfn.COMPOUNDVALUE(900)</f>
        <v>565</v>
      </c>
      <c r="I71" s="116">
        <v>1998609</v>
      </c>
      <c r="J71" s="114">
        <v>541</v>
      </c>
      <c r="K71" s="116">
        <v>107640</v>
      </c>
      <c r="L71" s="114">
        <v>9050</v>
      </c>
      <c r="M71" s="116">
        <v>22797423</v>
      </c>
      <c r="N71" s="119">
        <v>9283</v>
      </c>
      <c r="O71" s="122">
        <v>342</v>
      </c>
      <c r="P71" s="122">
        <v>29</v>
      </c>
      <c r="Q71" s="123">
        <v>9654</v>
      </c>
      <c r="R71" s="14" t="s">
        <v>79</v>
      </c>
    </row>
    <row r="72" spans="1:18" ht="18.75" customHeight="1">
      <c r="A72" s="11" t="s">
        <v>80</v>
      </c>
      <c r="B72" s="114">
        <f>_xlfn.COMPOUNDVALUE(901)</f>
        <v>6746</v>
      </c>
      <c r="C72" s="115">
        <v>33591148</v>
      </c>
      <c r="D72" s="114">
        <f>_xlfn.COMPOUNDVALUE(902)</f>
        <v>4396</v>
      </c>
      <c r="E72" s="115">
        <v>2436403</v>
      </c>
      <c r="F72" s="114">
        <f>_xlfn.COMPOUNDVALUE(903)</f>
        <v>11142</v>
      </c>
      <c r="G72" s="115">
        <v>36027551</v>
      </c>
      <c r="H72" s="114">
        <f>_xlfn.COMPOUNDVALUE(904)</f>
        <v>830</v>
      </c>
      <c r="I72" s="116">
        <v>3756002</v>
      </c>
      <c r="J72" s="114">
        <v>677</v>
      </c>
      <c r="K72" s="116">
        <v>111998</v>
      </c>
      <c r="L72" s="114">
        <v>12145</v>
      </c>
      <c r="M72" s="116">
        <v>32383547</v>
      </c>
      <c r="N72" s="119">
        <v>13379</v>
      </c>
      <c r="O72" s="122">
        <v>523</v>
      </c>
      <c r="P72" s="122">
        <v>47</v>
      </c>
      <c r="Q72" s="123">
        <v>13949</v>
      </c>
      <c r="R72" s="14" t="s">
        <v>80</v>
      </c>
    </row>
    <row r="73" spans="1:18" ht="18.75" customHeight="1">
      <c r="A73" s="11" t="s">
        <v>81</v>
      </c>
      <c r="B73" s="114">
        <f>_xlfn.COMPOUNDVALUE(905)</f>
        <v>2327</v>
      </c>
      <c r="C73" s="115">
        <v>8149553</v>
      </c>
      <c r="D73" s="114">
        <f>_xlfn.COMPOUNDVALUE(906)</f>
        <v>1958</v>
      </c>
      <c r="E73" s="115">
        <v>820863</v>
      </c>
      <c r="F73" s="114">
        <f>_xlfn.COMPOUNDVALUE(907)</f>
        <v>4285</v>
      </c>
      <c r="G73" s="115">
        <v>8970416</v>
      </c>
      <c r="H73" s="114">
        <f>_xlfn.COMPOUNDVALUE(908)</f>
        <v>142</v>
      </c>
      <c r="I73" s="116">
        <v>266772</v>
      </c>
      <c r="J73" s="114">
        <v>299</v>
      </c>
      <c r="K73" s="116">
        <v>47352</v>
      </c>
      <c r="L73" s="114">
        <v>4490</v>
      </c>
      <c r="M73" s="116">
        <v>8750997</v>
      </c>
      <c r="N73" s="114">
        <v>4722</v>
      </c>
      <c r="O73" s="117">
        <v>125</v>
      </c>
      <c r="P73" s="117">
        <v>9</v>
      </c>
      <c r="Q73" s="118">
        <v>4856</v>
      </c>
      <c r="R73" s="12" t="s">
        <v>81</v>
      </c>
    </row>
    <row r="74" spans="1:18" ht="18.75" customHeight="1">
      <c r="A74" s="11" t="s">
        <v>82</v>
      </c>
      <c r="B74" s="114">
        <f>_xlfn.COMPOUNDVALUE(909)</f>
        <v>3779</v>
      </c>
      <c r="C74" s="115">
        <v>25005571</v>
      </c>
      <c r="D74" s="114">
        <f>_xlfn.COMPOUNDVALUE(910)</f>
        <v>2118</v>
      </c>
      <c r="E74" s="115">
        <v>1194738</v>
      </c>
      <c r="F74" s="114">
        <f>_xlfn.COMPOUNDVALUE(911)</f>
        <v>5897</v>
      </c>
      <c r="G74" s="115">
        <v>26200310</v>
      </c>
      <c r="H74" s="114">
        <f>_xlfn.COMPOUNDVALUE(912)</f>
        <v>673</v>
      </c>
      <c r="I74" s="116">
        <v>3133078</v>
      </c>
      <c r="J74" s="114">
        <v>439</v>
      </c>
      <c r="K74" s="116">
        <v>57786</v>
      </c>
      <c r="L74" s="114">
        <v>6628</v>
      </c>
      <c r="M74" s="116">
        <v>23125018</v>
      </c>
      <c r="N74" s="119">
        <v>6882</v>
      </c>
      <c r="O74" s="122">
        <v>381</v>
      </c>
      <c r="P74" s="122">
        <v>42</v>
      </c>
      <c r="Q74" s="123">
        <v>7305</v>
      </c>
      <c r="R74" s="14" t="s">
        <v>82</v>
      </c>
    </row>
    <row r="75" spans="1:18" ht="18.75" customHeight="1">
      <c r="A75" s="11" t="s">
        <v>83</v>
      </c>
      <c r="B75" s="114">
        <f>_xlfn.COMPOUNDVALUE(913)</f>
        <v>3803</v>
      </c>
      <c r="C75" s="115">
        <v>17411783</v>
      </c>
      <c r="D75" s="114">
        <f>_xlfn.COMPOUNDVALUE(914)</f>
        <v>2205</v>
      </c>
      <c r="E75" s="115">
        <v>1125024</v>
      </c>
      <c r="F75" s="114">
        <f>_xlfn.COMPOUNDVALUE(915)</f>
        <v>6008</v>
      </c>
      <c r="G75" s="115">
        <v>18536808</v>
      </c>
      <c r="H75" s="114">
        <f>_xlfn.COMPOUNDVALUE(916)</f>
        <v>340</v>
      </c>
      <c r="I75" s="116">
        <v>1257147</v>
      </c>
      <c r="J75" s="114">
        <v>470</v>
      </c>
      <c r="K75" s="116">
        <v>116470</v>
      </c>
      <c r="L75" s="114">
        <v>6478</v>
      </c>
      <c r="M75" s="116">
        <v>17396131</v>
      </c>
      <c r="N75" s="114">
        <v>6878</v>
      </c>
      <c r="O75" s="136">
        <v>207</v>
      </c>
      <c r="P75" s="136">
        <v>10</v>
      </c>
      <c r="Q75" s="137">
        <v>7095</v>
      </c>
      <c r="R75" s="12" t="s">
        <v>83</v>
      </c>
    </row>
    <row r="76" spans="1:18" ht="18.75" customHeight="1">
      <c r="A76" s="11" t="s">
        <v>84</v>
      </c>
      <c r="B76" s="114">
        <f>_xlfn.COMPOUNDVALUE(917)</f>
        <v>1292</v>
      </c>
      <c r="C76" s="115">
        <v>4752226</v>
      </c>
      <c r="D76" s="114">
        <f>_xlfn.COMPOUNDVALUE(918)</f>
        <v>728</v>
      </c>
      <c r="E76" s="115">
        <v>340921</v>
      </c>
      <c r="F76" s="114">
        <f>_xlfn.COMPOUNDVALUE(919)</f>
        <v>2020</v>
      </c>
      <c r="G76" s="115">
        <v>5093147</v>
      </c>
      <c r="H76" s="114">
        <f>_xlfn.COMPOUNDVALUE(920)</f>
        <v>66</v>
      </c>
      <c r="I76" s="116">
        <v>161533</v>
      </c>
      <c r="J76" s="114">
        <v>129</v>
      </c>
      <c r="K76" s="116">
        <v>30245</v>
      </c>
      <c r="L76" s="114">
        <v>2122</v>
      </c>
      <c r="M76" s="116">
        <v>4961859</v>
      </c>
      <c r="N76" s="119">
        <v>2164</v>
      </c>
      <c r="O76" s="122">
        <v>69</v>
      </c>
      <c r="P76" s="122">
        <v>1</v>
      </c>
      <c r="Q76" s="123">
        <v>2234</v>
      </c>
      <c r="R76" s="14" t="s">
        <v>84</v>
      </c>
    </row>
    <row r="77" spans="1:18" ht="18.75" customHeight="1">
      <c r="A77" s="11" t="s">
        <v>85</v>
      </c>
      <c r="B77" s="114">
        <f>_xlfn.COMPOUNDVALUE(921)</f>
        <v>2033</v>
      </c>
      <c r="C77" s="115">
        <v>6384986</v>
      </c>
      <c r="D77" s="114">
        <f>_xlfn.COMPOUNDVALUE(922)</f>
        <v>1081</v>
      </c>
      <c r="E77" s="115">
        <v>466673</v>
      </c>
      <c r="F77" s="114">
        <f>_xlfn.COMPOUNDVALUE(923)</f>
        <v>3114</v>
      </c>
      <c r="G77" s="115">
        <v>6851658</v>
      </c>
      <c r="H77" s="114">
        <f>_xlfn.COMPOUNDVALUE(924)</f>
        <v>92</v>
      </c>
      <c r="I77" s="116">
        <v>147775</v>
      </c>
      <c r="J77" s="114">
        <v>201</v>
      </c>
      <c r="K77" s="116">
        <v>4987</v>
      </c>
      <c r="L77" s="114">
        <v>3240</v>
      </c>
      <c r="M77" s="116">
        <v>6708871</v>
      </c>
      <c r="N77" s="119">
        <v>3086</v>
      </c>
      <c r="O77" s="122">
        <v>97</v>
      </c>
      <c r="P77" s="122">
        <v>9</v>
      </c>
      <c r="Q77" s="123">
        <v>3192</v>
      </c>
      <c r="R77" s="14" t="s">
        <v>85</v>
      </c>
    </row>
    <row r="78" spans="1:18" ht="18.75" customHeight="1">
      <c r="A78" s="13" t="s">
        <v>86</v>
      </c>
      <c r="B78" s="119">
        <f>_xlfn.COMPOUNDVALUE(925)</f>
        <v>4687</v>
      </c>
      <c r="C78" s="120">
        <v>19363154</v>
      </c>
      <c r="D78" s="119">
        <f>_xlfn.COMPOUNDVALUE(926)</f>
        <v>2117</v>
      </c>
      <c r="E78" s="120">
        <v>1077843</v>
      </c>
      <c r="F78" s="119">
        <f>_xlfn.COMPOUNDVALUE(927)</f>
        <v>6804</v>
      </c>
      <c r="G78" s="120">
        <v>20440997</v>
      </c>
      <c r="H78" s="119">
        <f>_xlfn.COMPOUNDVALUE(928)</f>
        <v>315</v>
      </c>
      <c r="I78" s="121">
        <v>3417606</v>
      </c>
      <c r="J78" s="119">
        <v>574</v>
      </c>
      <c r="K78" s="121">
        <v>128428</v>
      </c>
      <c r="L78" s="119">
        <v>7266</v>
      </c>
      <c r="M78" s="121">
        <v>17151819</v>
      </c>
      <c r="N78" s="119">
        <v>7510</v>
      </c>
      <c r="O78" s="122">
        <v>223</v>
      </c>
      <c r="P78" s="122">
        <v>17</v>
      </c>
      <c r="Q78" s="123">
        <v>7750</v>
      </c>
      <c r="R78" s="14" t="s">
        <v>86</v>
      </c>
    </row>
    <row r="79" spans="1:18" ht="18.75" customHeight="1">
      <c r="A79" s="13" t="s">
        <v>87</v>
      </c>
      <c r="B79" s="119">
        <f>_xlfn.COMPOUNDVALUE(929)</f>
        <v>2250</v>
      </c>
      <c r="C79" s="120">
        <v>8162878</v>
      </c>
      <c r="D79" s="119">
        <f>_xlfn.COMPOUNDVALUE(930)</f>
        <v>1478</v>
      </c>
      <c r="E79" s="120">
        <v>706159</v>
      </c>
      <c r="F79" s="119">
        <f>_xlfn.COMPOUNDVALUE(931)</f>
        <v>3728</v>
      </c>
      <c r="G79" s="120">
        <v>8869037</v>
      </c>
      <c r="H79" s="119">
        <f>_xlfn.COMPOUNDVALUE(932)</f>
        <v>136</v>
      </c>
      <c r="I79" s="121">
        <v>888698</v>
      </c>
      <c r="J79" s="119">
        <v>346</v>
      </c>
      <c r="K79" s="121">
        <v>67961</v>
      </c>
      <c r="L79" s="119">
        <v>3930</v>
      </c>
      <c r="M79" s="121">
        <v>8048300</v>
      </c>
      <c r="N79" s="119">
        <v>3975</v>
      </c>
      <c r="O79" s="122">
        <v>77</v>
      </c>
      <c r="P79" s="122">
        <v>5</v>
      </c>
      <c r="Q79" s="123">
        <v>4057</v>
      </c>
      <c r="R79" s="14" t="s">
        <v>87</v>
      </c>
    </row>
    <row r="80" spans="1:18" ht="18.75" customHeight="1">
      <c r="A80" s="13" t="s">
        <v>88</v>
      </c>
      <c r="B80" s="119">
        <f>_xlfn.COMPOUNDVALUE(933)</f>
        <v>1084</v>
      </c>
      <c r="C80" s="120">
        <v>3106679</v>
      </c>
      <c r="D80" s="119">
        <f>_xlfn.COMPOUNDVALUE(934)</f>
        <v>651</v>
      </c>
      <c r="E80" s="120">
        <v>297328</v>
      </c>
      <c r="F80" s="119">
        <f>_xlfn.COMPOUNDVALUE(935)</f>
        <v>1735</v>
      </c>
      <c r="G80" s="120">
        <v>3404006</v>
      </c>
      <c r="H80" s="119">
        <f>_xlfn.COMPOUNDVALUE(936)</f>
        <v>66</v>
      </c>
      <c r="I80" s="121">
        <v>188803</v>
      </c>
      <c r="J80" s="119">
        <v>79</v>
      </c>
      <c r="K80" s="121">
        <v>-9918</v>
      </c>
      <c r="L80" s="119">
        <v>1814</v>
      </c>
      <c r="M80" s="121">
        <v>3205286</v>
      </c>
      <c r="N80" s="119">
        <v>1809</v>
      </c>
      <c r="O80" s="122">
        <v>44</v>
      </c>
      <c r="P80" s="122">
        <v>2</v>
      </c>
      <c r="Q80" s="123">
        <v>1855</v>
      </c>
      <c r="R80" s="14" t="s">
        <v>88</v>
      </c>
    </row>
    <row r="81" spans="1:18" ht="18.75" customHeight="1">
      <c r="A81" s="13" t="s">
        <v>89</v>
      </c>
      <c r="B81" s="119">
        <f>_xlfn.COMPOUNDVALUE(937)</f>
        <v>1120</v>
      </c>
      <c r="C81" s="120">
        <v>4373618</v>
      </c>
      <c r="D81" s="119">
        <f>_xlfn.COMPOUNDVALUE(938)</f>
        <v>549</v>
      </c>
      <c r="E81" s="120">
        <v>239768</v>
      </c>
      <c r="F81" s="119">
        <f>_xlfn.COMPOUNDVALUE(939)</f>
        <v>1669</v>
      </c>
      <c r="G81" s="120">
        <v>4613385</v>
      </c>
      <c r="H81" s="119">
        <f>_xlfn.COMPOUNDVALUE(940)</f>
        <v>183</v>
      </c>
      <c r="I81" s="121">
        <v>1576117</v>
      </c>
      <c r="J81" s="119">
        <v>122</v>
      </c>
      <c r="K81" s="121">
        <v>22195</v>
      </c>
      <c r="L81" s="119">
        <v>1885</v>
      </c>
      <c r="M81" s="121">
        <v>3059463</v>
      </c>
      <c r="N81" s="119">
        <v>1893</v>
      </c>
      <c r="O81" s="122">
        <v>76</v>
      </c>
      <c r="P81" s="122">
        <v>4</v>
      </c>
      <c r="Q81" s="123">
        <v>1973</v>
      </c>
      <c r="R81" s="14" t="s">
        <v>89</v>
      </c>
    </row>
    <row r="82" spans="1:18" ht="18.75" customHeight="1">
      <c r="A82" s="13" t="s">
        <v>90</v>
      </c>
      <c r="B82" s="119">
        <f>_xlfn.COMPOUNDVALUE(941)</f>
        <v>1985</v>
      </c>
      <c r="C82" s="120">
        <v>8432655</v>
      </c>
      <c r="D82" s="119">
        <f>_xlfn.COMPOUNDVALUE(942)</f>
        <v>1049</v>
      </c>
      <c r="E82" s="120">
        <v>494054</v>
      </c>
      <c r="F82" s="119">
        <f>_xlfn.COMPOUNDVALUE(943)</f>
        <v>3034</v>
      </c>
      <c r="G82" s="120">
        <v>8926709</v>
      </c>
      <c r="H82" s="119">
        <f>_xlfn.COMPOUNDVALUE(944)</f>
        <v>176</v>
      </c>
      <c r="I82" s="121">
        <v>777139</v>
      </c>
      <c r="J82" s="119">
        <v>188</v>
      </c>
      <c r="K82" s="121">
        <v>13835</v>
      </c>
      <c r="L82" s="119">
        <v>3258</v>
      </c>
      <c r="M82" s="121">
        <v>8163404</v>
      </c>
      <c r="N82" s="119">
        <v>3135</v>
      </c>
      <c r="O82" s="122">
        <v>104</v>
      </c>
      <c r="P82" s="122">
        <v>7</v>
      </c>
      <c r="Q82" s="123">
        <v>3246</v>
      </c>
      <c r="R82" s="14" t="s">
        <v>90</v>
      </c>
    </row>
    <row r="83" spans="1:18" ht="18.75" customHeight="1">
      <c r="A83" s="13" t="s">
        <v>91</v>
      </c>
      <c r="B83" s="119">
        <f>_xlfn.COMPOUNDVALUE(945)</f>
        <v>806</v>
      </c>
      <c r="C83" s="120">
        <v>2885642</v>
      </c>
      <c r="D83" s="119">
        <f>_xlfn.COMPOUNDVALUE(946)</f>
        <v>397</v>
      </c>
      <c r="E83" s="120">
        <v>183378</v>
      </c>
      <c r="F83" s="119">
        <f>_xlfn.COMPOUNDVALUE(947)</f>
        <v>1203</v>
      </c>
      <c r="G83" s="120">
        <v>3069019</v>
      </c>
      <c r="H83" s="119">
        <f>_xlfn.COMPOUNDVALUE(948)</f>
        <v>39</v>
      </c>
      <c r="I83" s="121">
        <v>222332</v>
      </c>
      <c r="J83" s="119">
        <v>115</v>
      </c>
      <c r="K83" s="121">
        <v>11594</v>
      </c>
      <c r="L83" s="119">
        <v>1254</v>
      </c>
      <c r="M83" s="121">
        <v>2858281</v>
      </c>
      <c r="N83" s="119">
        <v>1268</v>
      </c>
      <c r="O83" s="122">
        <v>39</v>
      </c>
      <c r="P83" s="122">
        <v>2</v>
      </c>
      <c r="Q83" s="123">
        <v>1309</v>
      </c>
      <c r="R83" s="14" t="s">
        <v>91</v>
      </c>
    </row>
    <row r="84" spans="1:18" ht="18.75" customHeight="1">
      <c r="A84" s="13" t="s">
        <v>92</v>
      </c>
      <c r="B84" s="119">
        <f>_xlfn.COMPOUNDVALUE(949)</f>
        <v>1422</v>
      </c>
      <c r="C84" s="120">
        <v>4937172</v>
      </c>
      <c r="D84" s="119">
        <f>_xlfn.COMPOUNDVALUE(950)</f>
        <v>860</v>
      </c>
      <c r="E84" s="120">
        <v>365364</v>
      </c>
      <c r="F84" s="119">
        <f>_xlfn.COMPOUNDVALUE(951)</f>
        <v>2282</v>
      </c>
      <c r="G84" s="120">
        <v>5302536</v>
      </c>
      <c r="H84" s="119">
        <f>_xlfn.COMPOUNDVALUE(952)</f>
        <v>87</v>
      </c>
      <c r="I84" s="121">
        <v>238341</v>
      </c>
      <c r="J84" s="119">
        <v>159</v>
      </c>
      <c r="K84" s="121">
        <v>22273</v>
      </c>
      <c r="L84" s="119">
        <v>2399</v>
      </c>
      <c r="M84" s="121">
        <v>5086468</v>
      </c>
      <c r="N84" s="119">
        <v>2465</v>
      </c>
      <c r="O84" s="122">
        <v>64</v>
      </c>
      <c r="P84" s="122">
        <v>5</v>
      </c>
      <c r="Q84" s="123">
        <v>2534</v>
      </c>
      <c r="R84" s="14" t="s">
        <v>92</v>
      </c>
    </row>
    <row r="85" spans="1:18" s="17" customFormat="1" ht="18.75" customHeight="1">
      <c r="A85" s="15" t="s">
        <v>93</v>
      </c>
      <c r="B85" s="124">
        <v>71801</v>
      </c>
      <c r="C85" s="125">
        <v>400201365</v>
      </c>
      <c r="D85" s="124">
        <v>38492</v>
      </c>
      <c r="E85" s="125">
        <v>19659180</v>
      </c>
      <c r="F85" s="124">
        <v>110293</v>
      </c>
      <c r="G85" s="125">
        <v>419860545</v>
      </c>
      <c r="H85" s="124">
        <v>8484</v>
      </c>
      <c r="I85" s="126">
        <v>68516577</v>
      </c>
      <c r="J85" s="124">
        <v>8042</v>
      </c>
      <c r="K85" s="126">
        <v>1621318</v>
      </c>
      <c r="L85" s="124">
        <v>120715</v>
      </c>
      <c r="M85" s="126">
        <v>352965285</v>
      </c>
      <c r="N85" s="124">
        <v>123622</v>
      </c>
      <c r="O85" s="127">
        <v>4599</v>
      </c>
      <c r="P85" s="127">
        <v>404</v>
      </c>
      <c r="Q85" s="128">
        <v>128625</v>
      </c>
      <c r="R85" s="16" t="s">
        <v>124</v>
      </c>
    </row>
    <row r="86" spans="1:18" s="30" customFormat="1" ht="18.75" customHeight="1">
      <c r="A86" s="23"/>
      <c r="B86" s="129"/>
      <c r="C86" s="130"/>
      <c r="D86" s="129"/>
      <c r="E86" s="130"/>
      <c r="F86" s="131"/>
      <c r="G86" s="130"/>
      <c r="H86" s="131"/>
      <c r="I86" s="130"/>
      <c r="J86" s="131"/>
      <c r="K86" s="130"/>
      <c r="L86" s="131"/>
      <c r="M86" s="130"/>
      <c r="N86" s="132"/>
      <c r="O86" s="133"/>
      <c r="P86" s="133"/>
      <c r="Q86" s="134"/>
      <c r="R86" s="36" t="s">
        <v>120</v>
      </c>
    </row>
    <row r="87" spans="1:18" ht="18.75" customHeight="1">
      <c r="A87" s="13" t="s">
        <v>94</v>
      </c>
      <c r="B87" s="119">
        <f>_xlfn.COMPOUNDVALUE(953)</f>
        <v>7349</v>
      </c>
      <c r="C87" s="120">
        <v>27312820</v>
      </c>
      <c r="D87" s="119">
        <f>_xlfn.COMPOUNDVALUE(954)</f>
        <v>4239</v>
      </c>
      <c r="E87" s="120">
        <v>2151128</v>
      </c>
      <c r="F87" s="119">
        <f>_xlfn.COMPOUNDVALUE(955)</f>
        <v>11588</v>
      </c>
      <c r="G87" s="120">
        <v>29463948</v>
      </c>
      <c r="H87" s="119">
        <f>_xlfn.COMPOUNDVALUE(956)</f>
        <v>753</v>
      </c>
      <c r="I87" s="121">
        <v>3737142</v>
      </c>
      <c r="J87" s="119">
        <v>926</v>
      </c>
      <c r="K87" s="121">
        <v>195565</v>
      </c>
      <c r="L87" s="119">
        <v>12552</v>
      </c>
      <c r="M87" s="121">
        <v>25922371</v>
      </c>
      <c r="N87" s="138">
        <v>12919</v>
      </c>
      <c r="O87" s="139">
        <v>426</v>
      </c>
      <c r="P87" s="139">
        <v>39</v>
      </c>
      <c r="Q87" s="140">
        <v>13384</v>
      </c>
      <c r="R87" s="25" t="s">
        <v>94</v>
      </c>
    </row>
    <row r="88" spans="1:18" ht="18.75" customHeight="1">
      <c r="A88" s="13" t="s">
        <v>95</v>
      </c>
      <c r="B88" s="119">
        <f>_xlfn.COMPOUNDVALUE(957)</f>
        <v>5956</v>
      </c>
      <c r="C88" s="120">
        <v>18323617</v>
      </c>
      <c r="D88" s="119">
        <f>_xlfn.COMPOUNDVALUE(958)</f>
        <v>3048</v>
      </c>
      <c r="E88" s="120">
        <v>1464083</v>
      </c>
      <c r="F88" s="119">
        <f>_xlfn.COMPOUNDVALUE(959)</f>
        <v>9004</v>
      </c>
      <c r="G88" s="120">
        <v>19787700</v>
      </c>
      <c r="H88" s="119">
        <f>_xlfn.COMPOUNDVALUE(960)</f>
        <v>481</v>
      </c>
      <c r="I88" s="121">
        <v>1365900</v>
      </c>
      <c r="J88" s="119">
        <v>515</v>
      </c>
      <c r="K88" s="121">
        <v>448121</v>
      </c>
      <c r="L88" s="119">
        <v>9623</v>
      </c>
      <c r="M88" s="121">
        <v>18869921</v>
      </c>
      <c r="N88" s="119">
        <v>9547</v>
      </c>
      <c r="O88" s="122">
        <v>288</v>
      </c>
      <c r="P88" s="122">
        <v>26</v>
      </c>
      <c r="Q88" s="123">
        <v>9861</v>
      </c>
      <c r="R88" s="14" t="s">
        <v>95</v>
      </c>
    </row>
    <row r="89" spans="1:18" ht="18.75" customHeight="1">
      <c r="A89" s="13" t="s">
        <v>96</v>
      </c>
      <c r="B89" s="119">
        <f>_xlfn.COMPOUNDVALUE(961)</f>
        <v>2105</v>
      </c>
      <c r="C89" s="120">
        <v>5958844</v>
      </c>
      <c r="D89" s="119">
        <f>_xlfn.COMPOUNDVALUE(962)</f>
        <v>834</v>
      </c>
      <c r="E89" s="120">
        <v>367989</v>
      </c>
      <c r="F89" s="119">
        <f>_xlfn.COMPOUNDVALUE(963)</f>
        <v>2939</v>
      </c>
      <c r="G89" s="120">
        <v>6326833</v>
      </c>
      <c r="H89" s="119">
        <f>_xlfn.COMPOUNDVALUE(964)</f>
        <v>120</v>
      </c>
      <c r="I89" s="121">
        <v>271429</v>
      </c>
      <c r="J89" s="119">
        <v>258</v>
      </c>
      <c r="K89" s="121">
        <v>37995</v>
      </c>
      <c r="L89" s="119">
        <v>3125</v>
      </c>
      <c r="M89" s="121">
        <v>6093399</v>
      </c>
      <c r="N89" s="119">
        <v>3307</v>
      </c>
      <c r="O89" s="122">
        <v>69</v>
      </c>
      <c r="P89" s="122">
        <v>7</v>
      </c>
      <c r="Q89" s="123">
        <v>3383</v>
      </c>
      <c r="R89" s="14" t="s">
        <v>96</v>
      </c>
    </row>
    <row r="90" spans="1:18" ht="18.75" customHeight="1">
      <c r="A90" s="13" t="s">
        <v>97</v>
      </c>
      <c r="B90" s="119">
        <f>_xlfn.COMPOUNDVALUE(965)</f>
        <v>814</v>
      </c>
      <c r="C90" s="120">
        <v>2336256</v>
      </c>
      <c r="D90" s="119">
        <f>_xlfn.COMPOUNDVALUE(966)</f>
        <v>536</v>
      </c>
      <c r="E90" s="120">
        <v>229854</v>
      </c>
      <c r="F90" s="119">
        <f>_xlfn.COMPOUNDVALUE(967)</f>
        <v>1350</v>
      </c>
      <c r="G90" s="120">
        <v>2566110</v>
      </c>
      <c r="H90" s="119">
        <f>_xlfn.COMPOUNDVALUE(968)</f>
        <v>50</v>
      </c>
      <c r="I90" s="121">
        <v>112463</v>
      </c>
      <c r="J90" s="119">
        <v>125</v>
      </c>
      <c r="K90" s="121">
        <v>434</v>
      </c>
      <c r="L90" s="119">
        <v>1427</v>
      </c>
      <c r="M90" s="121">
        <v>2454080</v>
      </c>
      <c r="N90" s="119">
        <v>1570</v>
      </c>
      <c r="O90" s="122">
        <v>28</v>
      </c>
      <c r="P90" s="122">
        <v>3</v>
      </c>
      <c r="Q90" s="123">
        <v>1601</v>
      </c>
      <c r="R90" s="14" t="s">
        <v>97</v>
      </c>
    </row>
    <row r="91" spans="1:18" s="17" customFormat="1" ht="18.75" customHeight="1">
      <c r="A91" s="15" t="s">
        <v>98</v>
      </c>
      <c r="B91" s="124">
        <v>16224</v>
      </c>
      <c r="C91" s="125">
        <v>53931537</v>
      </c>
      <c r="D91" s="124">
        <v>8657</v>
      </c>
      <c r="E91" s="125">
        <v>4213054</v>
      </c>
      <c r="F91" s="124">
        <v>24881</v>
      </c>
      <c r="G91" s="125">
        <v>58144591</v>
      </c>
      <c r="H91" s="124">
        <v>1404</v>
      </c>
      <c r="I91" s="126">
        <v>5486934</v>
      </c>
      <c r="J91" s="124">
        <v>1824</v>
      </c>
      <c r="K91" s="126">
        <v>682114</v>
      </c>
      <c r="L91" s="124">
        <v>26727</v>
      </c>
      <c r="M91" s="126">
        <v>53339771</v>
      </c>
      <c r="N91" s="124">
        <v>27343</v>
      </c>
      <c r="O91" s="127">
        <v>811</v>
      </c>
      <c r="P91" s="127">
        <v>75</v>
      </c>
      <c r="Q91" s="128">
        <v>28229</v>
      </c>
      <c r="R91" s="16" t="s">
        <v>125</v>
      </c>
    </row>
    <row r="92" spans="1:18" s="30" customFormat="1" ht="18.75" customHeight="1">
      <c r="A92" s="23"/>
      <c r="B92" s="129"/>
      <c r="C92" s="130"/>
      <c r="D92" s="129"/>
      <c r="E92" s="130"/>
      <c r="F92" s="131"/>
      <c r="G92" s="130"/>
      <c r="H92" s="131"/>
      <c r="I92" s="130"/>
      <c r="J92" s="131"/>
      <c r="K92" s="130"/>
      <c r="L92" s="131"/>
      <c r="M92" s="130"/>
      <c r="N92" s="141"/>
      <c r="O92" s="142"/>
      <c r="P92" s="142"/>
      <c r="Q92" s="143"/>
      <c r="R92" s="34" t="s">
        <v>120</v>
      </c>
    </row>
    <row r="93" spans="1:18" ht="18.75" customHeight="1">
      <c r="A93" s="11" t="s">
        <v>99</v>
      </c>
      <c r="B93" s="114">
        <f>_xlfn.COMPOUNDVALUE(969)</f>
        <v>5650</v>
      </c>
      <c r="C93" s="115">
        <v>28170600</v>
      </c>
      <c r="D93" s="114">
        <f>_xlfn.COMPOUNDVALUE(970)</f>
        <v>2939</v>
      </c>
      <c r="E93" s="115">
        <v>1479198</v>
      </c>
      <c r="F93" s="114">
        <f>_xlfn.COMPOUNDVALUE(971)</f>
        <v>8589</v>
      </c>
      <c r="G93" s="115">
        <v>29649798</v>
      </c>
      <c r="H93" s="114">
        <f>_xlfn.COMPOUNDVALUE(972)</f>
        <v>352</v>
      </c>
      <c r="I93" s="116">
        <v>2477735</v>
      </c>
      <c r="J93" s="114">
        <v>618</v>
      </c>
      <c r="K93" s="116">
        <v>108956</v>
      </c>
      <c r="L93" s="114">
        <v>9082</v>
      </c>
      <c r="M93" s="116">
        <v>27281019</v>
      </c>
      <c r="N93" s="138">
        <v>9051</v>
      </c>
      <c r="O93" s="139">
        <v>178</v>
      </c>
      <c r="P93" s="139">
        <v>25</v>
      </c>
      <c r="Q93" s="140">
        <v>9254</v>
      </c>
      <c r="R93" s="25" t="s">
        <v>99</v>
      </c>
    </row>
    <row r="94" spans="1:18" ht="18.75" customHeight="1">
      <c r="A94" s="13" t="s">
        <v>100</v>
      </c>
      <c r="B94" s="119">
        <f>_xlfn.COMPOUNDVALUE(973)</f>
        <v>1028</v>
      </c>
      <c r="C94" s="120">
        <v>3608945</v>
      </c>
      <c r="D94" s="119">
        <f>_xlfn.COMPOUNDVALUE(974)</f>
        <v>612</v>
      </c>
      <c r="E94" s="120">
        <v>236513</v>
      </c>
      <c r="F94" s="119">
        <f>_xlfn.COMPOUNDVALUE(975)</f>
        <v>1640</v>
      </c>
      <c r="G94" s="120">
        <v>3845458</v>
      </c>
      <c r="H94" s="119">
        <f>_xlfn.COMPOUNDVALUE(976)</f>
        <v>55</v>
      </c>
      <c r="I94" s="121">
        <v>201928</v>
      </c>
      <c r="J94" s="119">
        <v>162</v>
      </c>
      <c r="K94" s="121">
        <v>-79802</v>
      </c>
      <c r="L94" s="119">
        <v>1718</v>
      </c>
      <c r="M94" s="121">
        <v>3563727</v>
      </c>
      <c r="N94" s="114">
        <v>1694</v>
      </c>
      <c r="O94" s="117">
        <v>34</v>
      </c>
      <c r="P94" s="117">
        <v>3</v>
      </c>
      <c r="Q94" s="135">
        <v>1731</v>
      </c>
      <c r="R94" s="12" t="s">
        <v>100</v>
      </c>
    </row>
    <row r="95" spans="1:18" ht="18.75" customHeight="1">
      <c r="A95" s="13" t="s">
        <v>101</v>
      </c>
      <c r="B95" s="119">
        <f>_xlfn.COMPOUNDVALUE(977)</f>
        <v>1257</v>
      </c>
      <c r="C95" s="120">
        <v>3282401</v>
      </c>
      <c r="D95" s="119">
        <f>_xlfn.COMPOUNDVALUE(978)</f>
        <v>1136</v>
      </c>
      <c r="E95" s="120">
        <v>437495</v>
      </c>
      <c r="F95" s="119">
        <f>_xlfn.COMPOUNDVALUE(979)</f>
        <v>2393</v>
      </c>
      <c r="G95" s="120">
        <v>3719895</v>
      </c>
      <c r="H95" s="119">
        <f>_xlfn.COMPOUNDVALUE(980)</f>
        <v>66</v>
      </c>
      <c r="I95" s="121">
        <v>127706</v>
      </c>
      <c r="J95" s="119">
        <v>118</v>
      </c>
      <c r="K95" s="121">
        <v>40981</v>
      </c>
      <c r="L95" s="119">
        <v>2496</v>
      </c>
      <c r="M95" s="121">
        <v>3633170</v>
      </c>
      <c r="N95" s="114">
        <v>2540</v>
      </c>
      <c r="O95" s="117">
        <v>46</v>
      </c>
      <c r="P95" s="117">
        <v>3</v>
      </c>
      <c r="Q95" s="135">
        <v>2589</v>
      </c>
      <c r="R95" s="12" t="s">
        <v>101</v>
      </c>
    </row>
    <row r="96" spans="1:18" ht="18.75" customHeight="1">
      <c r="A96" s="13" t="s">
        <v>102</v>
      </c>
      <c r="B96" s="119">
        <f>_xlfn.COMPOUNDVALUE(981)</f>
        <v>1846</v>
      </c>
      <c r="C96" s="120">
        <v>5470992</v>
      </c>
      <c r="D96" s="119">
        <f>_xlfn.COMPOUNDVALUE(982)</f>
        <v>1370</v>
      </c>
      <c r="E96" s="120">
        <v>625950</v>
      </c>
      <c r="F96" s="119">
        <f>_xlfn.COMPOUNDVALUE(983)</f>
        <v>3216</v>
      </c>
      <c r="G96" s="120">
        <v>6096942</v>
      </c>
      <c r="H96" s="119">
        <f>_xlfn.COMPOUNDVALUE(984)</f>
        <v>84</v>
      </c>
      <c r="I96" s="121">
        <v>112977</v>
      </c>
      <c r="J96" s="119">
        <v>223</v>
      </c>
      <c r="K96" s="121">
        <v>32762</v>
      </c>
      <c r="L96" s="119">
        <v>3352</v>
      </c>
      <c r="M96" s="121">
        <v>6016727</v>
      </c>
      <c r="N96" s="114">
        <v>3593</v>
      </c>
      <c r="O96" s="117">
        <v>83</v>
      </c>
      <c r="P96" s="117">
        <v>3</v>
      </c>
      <c r="Q96" s="135">
        <v>3679</v>
      </c>
      <c r="R96" s="12" t="s">
        <v>102</v>
      </c>
    </row>
    <row r="97" spans="1:18" ht="18.75" customHeight="1">
      <c r="A97" s="13" t="s">
        <v>103</v>
      </c>
      <c r="B97" s="119">
        <f>_xlfn.COMPOUNDVALUE(985)</f>
        <v>1132</v>
      </c>
      <c r="C97" s="120">
        <v>2632344</v>
      </c>
      <c r="D97" s="119">
        <f>_xlfn.COMPOUNDVALUE(986)</f>
        <v>700</v>
      </c>
      <c r="E97" s="120">
        <v>283876</v>
      </c>
      <c r="F97" s="119">
        <f>_xlfn.COMPOUNDVALUE(987)</f>
        <v>1832</v>
      </c>
      <c r="G97" s="120">
        <v>2916220</v>
      </c>
      <c r="H97" s="119">
        <f>_xlfn.COMPOUNDVALUE(988)</f>
        <v>67</v>
      </c>
      <c r="I97" s="121">
        <v>346087</v>
      </c>
      <c r="J97" s="119">
        <v>170</v>
      </c>
      <c r="K97" s="121">
        <v>41956</v>
      </c>
      <c r="L97" s="119">
        <v>1952</v>
      </c>
      <c r="M97" s="121">
        <v>2612089</v>
      </c>
      <c r="N97" s="114">
        <v>1856</v>
      </c>
      <c r="O97" s="117">
        <v>30</v>
      </c>
      <c r="P97" s="117">
        <v>2</v>
      </c>
      <c r="Q97" s="135">
        <v>1888</v>
      </c>
      <c r="R97" s="12" t="s">
        <v>103</v>
      </c>
    </row>
    <row r="98" spans="1:18" ht="18.75" customHeight="1">
      <c r="A98" s="13" t="s">
        <v>104</v>
      </c>
      <c r="B98" s="119">
        <f>_xlfn.COMPOUNDVALUE(989)</f>
        <v>2320</v>
      </c>
      <c r="C98" s="120">
        <v>6485926</v>
      </c>
      <c r="D98" s="119">
        <f>_xlfn.COMPOUNDVALUE(990)</f>
        <v>1353</v>
      </c>
      <c r="E98" s="120">
        <v>577319</v>
      </c>
      <c r="F98" s="119">
        <f>_xlfn.COMPOUNDVALUE(991)</f>
        <v>3673</v>
      </c>
      <c r="G98" s="120">
        <v>7063245</v>
      </c>
      <c r="H98" s="119">
        <f>_xlfn.COMPOUNDVALUE(992)</f>
        <v>132</v>
      </c>
      <c r="I98" s="121">
        <v>308630</v>
      </c>
      <c r="J98" s="119">
        <v>305</v>
      </c>
      <c r="K98" s="121">
        <v>42304</v>
      </c>
      <c r="L98" s="119">
        <v>3868</v>
      </c>
      <c r="M98" s="121">
        <v>6796919</v>
      </c>
      <c r="N98" s="114">
        <v>3800</v>
      </c>
      <c r="O98" s="117">
        <v>91</v>
      </c>
      <c r="P98" s="117">
        <v>10</v>
      </c>
      <c r="Q98" s="135">
        <v>3901</v>
      </c>
      <c r="R98" s="12" t="s">
        <v>104</v>
      </c>
    </row>
    <row r="99" spans="1:18" ht="18.75" customHeight="1">
      <c r="A99" s="13" t="s">
        <v>105</v>
      </c>
      <c r="B99" s="119">
        <f>_xlfn.COMPOUNDVALUE(993)</f>
        <v>1224</v>
      </c>
      <c r="C99" s="120">
        <v>4122100</v>
      </c>
      <c r="D99" s="119">
        <f>_xlfn.COMPOUNDVALUE(994)</f>
        <v>1239</v>
      </c>
      <c r="E99" s="120">
        <v>462940</v>
      </c>
      <c r="F99" s="119">
        <f>_xlfn.COMPOUNDVALUE(995)</f>
        <v>2463</v>
      </c>
      <c r="G99" s="120">
        <v>4585040</v>
      </c>
      <c r="H99" s="119">
        <f>_xlfn.COMPOUNDVALUE(996)</f>
        <v>45</v>
      </c>
      <c r="I99" s="121">
        <v>138163</v>
      </c>
      <c r="J99" s="119">
        <v>156</v>
      </c>
      <c r="K99" s="121">
        <v>21449</v>
      </c>
      <c r="L99" s="119">
        <v>2559</v>
      </c>
      <c r="M99" s="121">
        <v>4468325</v>
      </c>
      <c r="N99" s="114">
        <v>2861</v>
      </c>
      <c r="O99" s="117">
        <v>40</v>
      </c>
      <c r="P99" s="117">
        <v>2</v>
      </c>
      <c r="Q99" s="135">
        <v>2903</v>
      </c>
      <c r="R99" s="12" t="s">
        <v>105</v>
      </c>
    </row>
    <row r="100" spans="1:18" ht="18.75" customHeight="1">
      <c r="A100" s="15" t="s">
        <v>106</v>
      </c>
      <c r="B100" s="124">
        <v>14457</v>
      </c>
      <c r="C100" s="125">
        <v>53773306</v>
      </c>
      <c r="D100" s="124">
        <v>9349</v>
      </c>
      <c r="E100" s="125">
        <v>4103290</v>
      </c>
      <c r="F100" s="124">
        <v>23806</v>
      </c>
      <c r="G100" s="125">
        <v>57876596</v>
      </c>
      <c r="H100" s="124">
        <v>801</v>
      </c>
      <c r="I100" s="126">
        <v>3713226</v>
      </c>
      <c r="J100" s="124">
        <v>1752</v>
      </c>
      <c r="K100" s="126">
        <v>208605</v>
      </c>
      <c r="L100" s="124">
        <v>25027</v>
      </c>
      <c r="M100" s="126">
        <v>54371976</v>
      </c>
      <c r="N100" s="124">
        <v>25395</v>
      </c>
      <c r="O100" s="127">
        <v>502</v>
      </c>
      <c r="P100" s="127">
        <v>48</v>
      </c>
      <c r="Q100" s="128">
        <v>25945</v>
      </c>
      <c r="R100" s="16" t="s">
        <v>126</v>
      </c>
    </row>
    <row r="101" spans="1:18" ht="18.75" customHeight="1" thickBot="1">
      <c r="A101" s="18"/>
      <c r="B101" s="144"/>
      <c r="C101" s="145"/>
      <c r="D101" s="144"/>
      <c r="E101" s="145"/>
      <c r="F101" s="146"/>
      <c r="G101" s="145"/>
      <c r="H101" s="146"/>
      <c r="I101" s="145"/>
      <c r="J101" s="146"/>
      <c r="K101" s="145"/>
      <c r="L101" s="146"/>
      <c r="M101" s="145"/>
      <c r="N101" s="141"/>
      <c r="O101" s="142"/>
      <c r="P101" s="142"/>
      <c r="Q101" s="143"/>
      <c r="R101" s="34" t="s">
        <v>120</v>
      </c>
    </row>
    <row r="102" spans="1:18" ht="18.75" customHeight="1" thickBot="1" thickTop="1">
      <c r="A102" s="21" t="s">
        <v>119</v>
      </c>
      <c r="B102" s="147">
        <v>320110</v>
      </c>
      <c r="C102" s="148">
        <v>2314457745</v>
      </c>
      <c r="D102" s="147">
        <v>158999</v>
      </c>
      <c r="E102" s="148">
        <v>82866117</v>
      </c>
      <c r="F102" s="147">
        <v>479109</v>
      </c>
      <c r="G102" s="148">
        <v>2397323862</v>
      </c>
      <c r="H102" s="147">
        <v>34127</v>
      </c>
      <c r="I102" s="149">
        <v>599759701</v>
      </c>
      <c r="J102" s="147">
        <v>35296</v>
      </c>
      <c r="K102" s="149">
        <v>8034833</v>
      </c>
      <c r="L102" s="147">
        <v>522143</v>
      </c>
      <c r="M102" s="149">
        <v>1805598994</v>
      </c>
      <c r="N102" s="150">
        <v>533225</v>
      </c>
      <c r="O102" s="151">
        <v>17232</v>
      </c>
      <c r="P102" s="151">
        <v>2163</v>
      </c>
      <c r="Q102" s="152">
        <v>552620</v>
      </c>
      <c r="R102" s="35" t="s">
        <v>119</v>
      </c>
    </row>
    <row r="103" spans="1:11" ht="13.5">
      <c r="A103" s="193" t="s">
        <v>172</v>
      </c>
      <c r="B103" s="193"/>
      <c r="C103" s="193"/>
      <c r="D103" s="193"/>
      <c r="E103" s="193"/>
      <c r="F103" s="193"/>
      <c r="G103" s="193"/>
      <c r="H103" s="193"/>
      <c r="I103" s="193"/>
      <c r="J103" s="193"/>
      <c r="K103" s="193"/>
    </row>
  </sheetData>
  <sheetProtection/>
  <mergeCells count="16">
    <mergeCell ref="A103:K103"/>
    <mergeCell ref="O4:O5"/>
    <mergeCell ref="P4:P5"/>
    <mergeCell ref="Q4:Q5"/>
    <mergeCell ref="J3:K4"/>
    <mergeCell ref="L3:M4"/>
    <mergeCell ref="N3:Q3"/>
    <mergeCell ref="A2:I2"/>
    <mergeCell ref="A3:A5"/>
    <mergeCell ref="B3:G3"/>
    <mergeCell ref="H3:I4"/>
    <mergeCell ref="R3:R5"/>
    <mergeCell ref="B4:C4"/>
    <mergeCell ref="D4:E4"/>
    <mergeCell ref="F4:G4"/>
    <mergeCell ref="N4:N5"/>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(H28)</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2017-06-21T02:27:24Z</cp:lastPrinted>
  <dcterms:created xsi:type="dcterms:W3CDTF">2011-12-09T10:59:54Z</dcterms:created>
  <dcterms:modified xsi:type="dcterms:W3CDTF">2017-12-27T06:16:06Z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