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<sst xmlns="http://schemas.openxmlformats.org/spreadsheetml/2006/main" count="744" uniqueCount="184">
  <si>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</si>
  <si>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</si>
  <si>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</si>
  <si>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</si>
  <si>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</si>
  <si>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</si>
  <si>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</si>
  <si>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</si>
  <si>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</si>
  <si>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</si>
  <si>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</si>
  <si>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</si>
  <si>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</si>
  <si>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</si>
  <si>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</si>
  <si>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</si>
  <si>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</si>
  <si>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</si>
  <si>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</si>
  <si>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</si>
  <si>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</si>
  <si>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</si>
  <si>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</si>
  <si>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</si>
  <si>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</si>
  <si>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</si>
  <si>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</si>
  <si>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</si>
  <si>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</si>
  <si>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</si>
  <si>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</si>
  <si>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</si>
  <si>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</si>
  <si>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</si>
  <si>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</si>
  <si>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</si>
  <si>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</si>
  <si>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</si>
  <si>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</si>
  <si>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</si>
  <si>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</si>
  <si>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</si>
  <si>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</si>
  <si>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</si>
  <si>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</si>
  <si>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</si>
  <si>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</si>
  <si>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</si>
  <si>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</si>
  <si>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</si>
  <si>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</si>
  <si>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</si>
  <si>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</si>
  <si>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</si>
  <si>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</si>
  <si>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</si>
  <si>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</si>
  <si>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</si>
  <si>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</si>
  <si>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</si>
  <si>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</si>
  <si>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</si>
  <si>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</si>
  <si>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</si>
  <si>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</si>
  <si>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</si>
  <si>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</si>
  <si>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</si>
  <si>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</si>
  <si>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</si>
  <si>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</si>
  <si>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</si>
  <si>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</si>
  <si>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</si>
  <si>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</si>
  <si>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</si>
  <si>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</si>
  <si>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</si>
  <si>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</si>
  <si>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</si>
  <si>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</si>
  <si>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</si>
  <si>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</si>
  <si>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</si>
  <si>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</si>
  <si>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</si>
  <si>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</si>
  <si>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</si>
  <si>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</si>
  <si>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</si>
  <si>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</si>
  <si>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</si>
  <si>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</si>
  <si>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</si>
  <si>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</si>
  <si>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</si>
  <si>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</si>
  <si>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</si>
  <si>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</si>
  <si>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</si>
  <si>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</si>
  <si>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</si>
  <si>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</si>
  <si>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</si>
  <si>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</si>
  <si>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</si>
  <si>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</si>
  <si>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</si>
  <si>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(4)　税務署別課税状況（続）</t>
  </si>
  <si>
    <t>　ロ　法　　　人</t>
  </si>
  <si>
    <t>税務署名</t>
  </si>
  <si>
    <t>滋賀県計</t>
  </si>
  <si>
    <t>　ハ　個人事業者と法人の合計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</si>
  <si>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</si>
  <si>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</si>
  <si>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</si>
  <si>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</si>
  <si>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</si>
  <si>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</si>
  <si>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</si>
  <si>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</si>
  <si>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</si>
  <si>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</si>
  <si>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</si>
  <si>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</si>
  <si>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</si>
  <si>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</si>
  <si>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</si>
  <si>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</si>
  <si>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（注）この表は「(1)　課税状況」の現年分を税務署別に示したものである（加算税を除く。）。</t>
  </si>
  <si>
    <t>（注）この表は「(1)　課税状況」の現年分及び「(3)　課税事業者等届出件数」を税務署別に示したものである（加算税を除く。）。</t>
  </si>
  <si>
    <t>７　消　費　税</t>
  </si>
  <si>
    <t>区　　　分</t>
  </si>
  <si>
    <t>個　人　事　業　者</t>
  </si>
  <si>
    <t>件　　　数</t>
  </si>
  <si>
    <t>税　　　額</t>
  </si>
  <si>
    <t>件</t>
  </si>
  <si>
    <t>千円</t>
  </si>
  <si>
    <t>差引計</t>
  </si>
  <si>
    <t>実</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</si>
  <si>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</si>
  <si>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</si>
  <si>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</si>
  <si>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</si>
  <si>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</si>
  <si>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</si>
  <si>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</si>
  <si>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</si>
  <si>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</si>
  <si>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</si>
  <si>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</si>
  <si>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</si>
  <si>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</si>
  <si>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</si>
  <si>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平成21年度</t>
  </si>
  <si>
    <t>平成22年度</t>
  </si>
  <si>
    <t>平成23年度</t>
  </si>
  <si>
    <t>平成24年度</t>
  </si>
  <si>
    <t>平成25年度</t>
  </si>
  <si>
    <t>調査対象等：平成25年度末（平成26年３月31日現在）の届出件数を示している。</t>
  </si>
  <si>
    <t>調査対象等：</t>
  </si>
  <si>
    <t>「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</si>
  <si>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（注）１</t>
  </si>
  <si>
    <t>税関分は含まない。</t>
  </si>
  <si>
    <t>　　　２</t>
  </si>
  <si>
    <t>「件数欄」の「実」は、実件数を示す。</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</si>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</sst>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top style="medium"/>
      <botto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bottom style="medium"/>
    </border>
    <border>
      <left style="thin"/>
      <right style="thin"/>
      <top/>
      <bottom style="medium"/>
    </border>
    <border>
      <left style="thin"/>
      <right/>
      <top/>
      <bottom style="medium"/>
    </border>
    <border>
      <left style="thin"/>
      <right style="hair"/>
      <top style="hair">
        <color indexed="55"/>
      </top>
      <bottom style="medium"/>
    </border>
    <border>
      <left style="hair"/>
      <right style="medium"/>
      <top style="hair">
        <color indexed="55"/>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2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0" borderId="37" xfId="60" applyNumberFormat="1" applyFont="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0" fontId="8" fillId="0" borderId="39" xfId="60" applyFont="1" applyBorder="1" applyAlignment="1">
      <alignment horizontal="distributed" vertical="center"/>
      <protection/>
    </xf>
    <xf numFmtId="0" fontId="8" fillId="0" borderId="37" xfId="60" applyFont="1" applyBorder="1" applyAlignment="1">
      <alignment horizontal="right" vertical="center"/>
      <protection/>
    </xf>
    <xf numFmtId="0" fontId="8" fillId="0" borderId="0" xfId="60" applyFont="1" applyAlignment="1">
      <alignment horizontal="left" vertical="top"/>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1"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2" xfId="60" applyNumberFormat="1" applyFont="1" applyFill="1" applyBorder="1" applyAlignment="1">
      <alignment horizontal="right" vertical="center"/>
      <protection/>
    </xf>
    <xf numFmtId="0" fontId="3" fillId="0" borderId="39" xfId="60" applyFont="1" applyBorder="1" applyAlignment="1">
      <alignment horizontal="distributed" vertical="center" wrapText="1"/>
      <protection/>
    </xf>
    <xf numFmtId="0" fontId="3" fillId="0" borderId="37" xfId="60" applyFont="1" applyBorder="1" applyAlignment="1">
      <alignment horizontal="center" vertical="center"/>
      <protection/>
    </xf>
    <xf numFmtId="3" fontId="3" fillId="0" borderId="37" xfId="60" applyNumberFormat="1" applyFont="1" applyBorder="1" applyAlignment="1">
      <alignment horizontal="center" vertical="center"/>
      <protection/>
    </xf>
    <xf numFmtId="0" fontId="8" fillId="0" borderId="43" xfId="60" applyFont="1" applyBorder="1" applyAlignment="1">
      <alignment horizontal="right" vertical="center"/>
      <protection/>
    </xf>
    <xf numFmtId="0" fontId="3" fillId="0" borderId="44" xfId="60" applyFont="1" applyBorder="1" applyAlignment="1">
      <alignment horizontal="right" vertical="center"/>
      <protection/>
    </xf>
    <xf numFmtId="3" fontId="3" fillId="0" borderId="44" xfId="60" applyNumberFormat="1" applyFont="1" applyBorder="1" applyAlignment="1">
      <alignment horizontal="right" vertical="center"/>
      <protection/>
    </xf>
    <xf numFmtId="0" fontId="3" fillId="0" borderId="45" xfId="60" applyFont="1" applyBorder="1" applyAlignment="1">
      <alignment horizontal="left" vertical="top" wrapText="1"/>
      <protection/>
    </xf>
    <xf numFmtId="0" fontId="3" fillId="0" borderId="0" xfId="60" applyFont="1" applyAlignment="1" quotePrefix="1">
      <alignment horizontal="left" vertical="top"/>
      <protection/>
    </xf>
    <xf numFmtId="0" fontId="3" fillId="0" borderId="46" xfId="60" applyFont="1" applyBorder="1" applyAlignment="1">
      <alignment horizontal="center" vertical="center"/>
      <protection/>
    </xf>
    <xf numFmtId="0" fontId="3" fillId="0" borderId="47"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8"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9" xfId="60" applyNumberFormat="1" applyFont="1" applyFill="1" applyBorder="1" applyAlignment="1">
      <alignment horizontal="right" vertical="center"/>
      <protection/>
    </xf>
    <xf numFmtId="3" fontId="3" fillId="35" borderId="40" xfId="60" applyNumberFormat="1" applyFont="1" applyFill="1" applyBorder="1" applyAlignment="1">
      <alignment horizontal="right" vertical="center"/>
      <protection/>
    </xf>
    <xf numFmtId="3" fontId="3" fillId="35" borderId="50" xfId="60" applyNumberFormat="1" applyFont="1" applyFill="1" applyBorder="1" applyAlignment="1">
      <alignment horizontal="right" vertical="center"/>
      <protection/>
    </xf>
    <xf numFmtId="0" fontId="3" fillId="0" borderId="41" xfId="60" applyFont="1" applyBorder="1" applyAlignment="1">
      <alignment horizontal="distributed" vertical="center"/>
      <protection/>
    </xf>
    <xf numFmtId="3" fontId="3" fillId="34" borderId="51" xfId="60" applyNumberFormat="1" applyFont="1" applyFill="1" applyBorder="1" applyAlignment="1">
      <alignment horizontal="right" vertical="center"/>
      <protection/>
    </xf>
    <xf numFmtId="0" fontId="3" fillId="0" borderId="52"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3" xfId="60" applyFont="1" applyBorder="1" applyAlignment="1">
      <alignment horizontal="distributed" vertical="center"/>
      <protection/>
    </xf>
    <xf numFmtId="0" fontId="3" fillId="0" borderId="54" xfId="60" applyFont="1" applyBorder="1" applyAlignment="1">
      <alignment horizontal="distributed" vertical="center"/>
      <protection/>
    </xf>
    <xf numFmtId="0" fontId="3" fillId="0" borderId="55" xfId="60" applyFont="1" applyBorder="1" applyAlignment="1">
      <alignment horizontal="center" vertical="center"/>
      <protection/>
    </xf>
    <xf numFmtId="0" fontId="3" fillId="0" borderId="56" xfId="60" applyFont="1" applyBorder="1" applyAlignment="1">
      <alignment horizontal="distributed" vertical="center" indent="1"/>
      <protection/>
    </xf>
    <xf numFmtId="0" fontId="5" fillId="34" borderId="57" xfId="60" applyFont="1" applyFill="1" applyBorder="1" applyAlignment="1">
      <alignment horizontal="right"/>
      <protection/>
    </xf>
    <xf numFmtId="0" fontId="5" fillId="34" borderId="58" xfId="60" applyFont="1" applyFill="1" applyBorder="1" applyAlignment="1">
      <alignment horizontal="right"/>
      <protection/>
    </xf>
    <xf numFmtId="0" fontId="5" fillId="34" borderId="59"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60" xfId="60" applyNumberFormat="1" applyFont="1" applyFill="1" applyBorder="1" applyAlignment="1">
      <alignment horizontal="right" vertical="center"/>
      <protection/>
    </xf>
    <xf numFmtId="3" fontId="3" fillId="34" borderId="61"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62" xfId="60" applyNumberFormat="1" applyFont="1" applyFill="1" applyBorder="1" applyAlignment="1">
      <alignment horizontal="right" vertical="center"/>
      <protection/>
    </xf>
    <xf numFmtId="3" fontId="8" fillId="34" borderId="61" xfId="60" applyNumberFormat="1" applyFont="1" applyFill="1" applyBorder="1" applyAlignment="1">
      <alignment horizontal="right" vertical="center"/>
      <protection/>
    </xf>
    <xf numFmtId="3" fontId="8" fillId="35" borderId="39" xfId="60" applyNumberFormat="1" applyFont="1" applyFill="1" applyBorder="1" applyAlignment="1">
      <alignment horizontal="right" vertical="center"/>
      <protection/>
    </xf>
    <xf numFmtId="3" fontId="3" fillId="34"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34" borderId="65" xfId="60" applyNumberFormat="1" applyFont="1" applyFill="1" applyBorder="1" applyAlignment="1">
      <alignment vertical="center"/>
      <protection/>
    </xf>
    <xf numFmtId="3" fontId="3" fillId="34" borderId="61" xfId="60" applyNumberFormat="1" applyFont="1" applyFill="1" applyBorder="1" applyAlignment="1">
      <alignment vertical="center"/>
      <protection/>
    </xf>
    <xf numFmtId="3" fontId="8" fillId="34" borderId="66"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8" fillId="35" borderId="68" xfId="60" applyNumberFormat="1" applyFont="1" applyFill="1" applyBorder="1" applyAlignment="1">
      <alignment horizontal="right" vertical="center"/>
      <protection/>
    </xf>
    <xf numFmtId="3" fontId="3" fillId="34"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3" fillId="35" borderId="71" xfId="60" applyNumberFormat="1" applyFont="1" applyFill="1" applyBorder="1" applyAlignment="1">
      <alignment horizontal="right" vertical="center"/>
      <protection/>
    </xf>
    <xf numFmtId="176" fontId="3" fillId="34" borderId="48"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72"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5" borderId="39"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176" fontId="8" fillId="34" borderId="75"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8" fillId="35" borderId="77" xfId="60" applyNumberFormat="1" applyFont="1" applyFill="1" applyBorder="1" applyAlignment="1">
      <alignment horizontal="right" vertical="center"/>
      <protection/>
    </xf>
    <xf numFmtId="176" fontId="8" fillId="34" borderId="78"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10" fillId="0"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10" fillId="0" borderId="81" xfId="60" applyNumberFormat="1" applyFont="1" applyFill="1" applyBorder="1" applyAlignment="1">
      <alignment horizontal="right"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0" borderId="84"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4" borderId="85" xfId="60" applyNumberFormat="1" applyFont="1" applyFill="1" applyBorder="1" applyAlignment="1">
      <alignment horizontal="right" vertical="center"/>
      <protection/>
    </xf>
    <xf numFmtId="176" fontId="3" fillId="28" borderId="72"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34"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8" fillId="34" borderId="44" xfId="60" applyNumberFormat="1" applyFont="1" applyFill="1" applyBorder="1" applyAlignment="1">
      <alignment horizontal="right" vertical="center"/>
      <protection/>
    </xf>
    <xf numFmtId="176" fontId="8" fillId="35" borderId="70" xfId="60" applyNumberFormat="1" applyFont="1" applyFill="1" applyBorder="1" applyAlignment="1">
      <alignment horizontal="right" vertical="center"/>
      <protection/>
    </xf>
    <xf numFmtId="176" fontId="8" fillId="35" borderId="95"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4" borderId="97" xfId="60" applyNumberFormat="1" applyFont="1" applyFill="1" applyBorder="1" applyAlignment="1">
      <alignment horizontal="right" vertical="center"/>
      <protection/>
    </xf>
    <xf numFmtId="176" fontId="8" fillId="34" borderId="98" xfId="60" applyNumberFormat="1" applyFont="1" applyFill="1" applyBorder="1" applyAlignment="1">
      <alignment horizontal="right" vertical="center"/>
      <protection/>
    </xf>
    <xf numFmtId="3" fontId="3" fillId="34" borderId="99" xfId="60" applyNumberFormat="1" applyFont="1" applyFill="1" applyBorder="1" applyAlignment="1">
      <alignment horizontal="right" vertical="center" indent="1"/>
      <protection/>
    </xf>
    <xf numFmtId="3" fontId="3" fillId="34" borderId="100" xfId="60" applyNumberFormat="1" applyFont="1" applyFill="1" applyBorder="1" applyAlignment="1">
      <alignment horizontal="right" vertical="center" indent="1"/>
      <protection/>
    </xf>
    <xf numFmtId="3" fontId="3" fillId="34" borderId="101"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3" fontId="3" fillId="34" borderId="102" xfId="60" applyNumberFormat="1" applyFont="1" applyFill="1" applyBorder="1" applyAlignment="1">
      <alignment horizontal="right" vertical="center"/>
      <protection/>
    </xf>
    <xf numFmtId="3" fontId="3" fillId="35" borderId="52" xfId="60" applyNumberFormat="1" applyFont="1" applyFill="1" applyBorder="1" applyAlignment="1">
      <alignment horizontal="right" vertical="center"/>
      <protection/>
    </xf>
    <xf numFmtId="3" fontId="3" fillId="35" borderId="103" xfId="60" applyNumberFormat="1" applyFont="1" applyFill="1" applyBorder="1" applyAlignment="1">
      <alignment horizontal="right" vertical="center"/>
      <protection/>
    </xf>
    <xf numFmtId="0" fontId="3" fillId="0" borderId="104" xfId="60" applyFont="1" applyBorder="1" applyAlignment="1">
      <alignment horizontal="distributed" vertical="center" wrapText="1"/>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distributed" vertical="center"/>
      <protection/>
    </xf>
    <xf numFmtId="0" fontId="8" fillId="0" borderId="108" xfId="60" applyFont="1" applyBorder="1" applyAlignment="1">
      <alignment horizontal="distributed" vertical="center"/>
      <protection/>
    </xf>
    <xf numFmtId="0" fontId="8" fillId="0" borderId="109"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10" xfId="60" applyFont="1" applyBorder="1" applyAlignment="1">
      <alignment horizontal="distributed" vertical="center"/>
      <protection/>
    </xf>
    <xf numFmtId="0" fontId="3" fillId="0" borderId="45" xfId="60" applyFont="1" applyBorder="1" applyAlignment="1">
      <alignment horizontal="left" vertical="top" wrapText="1"/>
      <protection/>
    </xf>
    <xf numFmtId="0" fontId="3" fillId="0" borderId="0" xfId="60" applyFont="1" applyAlignment="1">
      <alignment horizontal="left" vertical="top" wrapText="1"/>
      <protection/>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45"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45" xfId="60" applyFont="1" applyBorder="1" applyAlignment="1">
      <alignment horizontal="left" vertical="center"/>
      <protection/>
    </xf>
    <xf numFmtId="0" fontId="3" fillId="0" borderId="0" xfId="60" applyFont="1" applyAlignment="1">
      <alignment horizontal="left"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11"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29" xfId="60" applyFont="1" applyBorder="1" applyAlignment="1">
      <alignment horizontal="distributed" vertical="center"/>
      <protection/>
    </xf>
    <xf numFmtId="0" fontId="3" fillId="0" borderId="130" xfId="60" applyFont="1" applyBorder="1" applyAlignment="1">
      <alignment horizontal="center" vertical="center"/>
      <protection/>
    </xf>
    <xf numFmtId="0" fontId="3" fillId="0" borderId="56" xfId="60" applyFont="1" applyBorder="1" applyAlignment="1">
      <alignment horizontal="distributed" vertical="center" wrapText="1"/>
      <protection/>
    </xf>
    <xf numFmtId="0" fontId="3" fillId="0" borderId="131" xfId="60" applyFont="1" applyBorder="1" applyAlignment="1">
      <alignment horizontal="distributed" vertical="center" wrapText="1"/>
      <protection/>
    </xf>
    <xf numFmtId="0" fontId="3" fillId="0" borderId="132" xfId="60" applyFont="1" applyBorder="1" applyAlignment="1">
      <alignment horizontal="distributed" vertical="center" wrapText="1"/>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25" xfId="60" applyFont="1" applyBorder="1" applyAlignment="1">
      <alignment horizontal="center" vertical="center" wrapText="1"/>
      <protection/>
    </xf>
    <xf numFmtId="0" fontId="3" fillId="0" borderId="135" xfId="60" applyFont="1" applyBorder="1" applyAlignment="1">
      <alignment horizontal="left"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30" xfId="60" applyFont="1" applyBorder="1" applyAlignment="1">
      <alignment horizontal="center" vertical="center" wrapText="1"/>
      <protection/>
    </xf>
    <xf numFmtId="0" fontId="3" fillId="0" borderId="140" xfId="60" applyFont="1" applyBorder="1" applyAlignment="1">
      <alignment horizontal="center" vertical="center"/>
      <protection/>
    </xf>
    <xf numFmtId="0" fontId="3" fillId="0" borderId="141" xfId="60" applyFont="1" applyBorder="1" applyAlignment="1">
      <alignment horizontal="center" vertical="center"/>
      <protection/>
    </xf>
    <xf numFmtId="0" fontId="3" fillId="0" borderId="142" xfId="60" applyFont="1" applyBorder="1" applyAlignment="1">
      <alignment horizontal="distributed" vertical="center" wrapText="1"/>
      <protection/>
    </xf>
    <xf numFmtId="0" fontId="3" fillId="0" borderId="143"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PageLayoutView="0" workbookViewId="0" topLeftCell="A1">
      <selection activeCell="A3" sqref="A3:K3"/>
    </sheetView>
  </sheetViews>
  <sheetFormatPr defaultColWidth="5.8515625" defaultRowHeight="15"/>
  <cols>
    <col min="1" max="1" width="10.57421875" style="2" customWidth="1"/>
    <col min="2" max="2" width="17.281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2.57421875" style="2" customWidth="1"/>
    <col min="9" max="9" width="3.00390625" style="2" customWidth="1"/>
    <col min="10" max="10" width="6.7109375" style="2" customWidth="1"/>
    <col min="11" max="11" width="12.57421875" style="2" customWidth="1"/>
    <col min="12" max="16384" width="5.8515625" style="2" customWidth="1"/>
  </cols>
  <sheetData>
    <row r="1" spans="1:11" ht="15">
      <c r="A1" s="172" t="s">
        <v>131</v>
      </c>
      <c r="B1" s="172"/>
      <c r="C1" s="172"/>
      <c r="D1" s="172"/>
      <c r="E1" s="172"/>
      <c r="F1" s="172"/>
      <c r="G1" s="172"/>
      <c r="H1" s="172"/>
      <c r="I1" s="172"/>
      <c r="J1" s="172"/>
      <c r="K1" s="172"/>
    </row>
    <row r="2" spans="1:11" ht="15">
      <c r="A2" s="43"/>
      <c r="B2" s="43"/>
      <c r="C2" s="43"/>
      <c r="D2" s="43"/>
      <c r="E2" s="43"/>
      <c r="F2" s="43"/>
      <c r="G2" s="43"/>
      <c r="H2" s="43"/>
      <c r="I2" s="43"/>
      <c r="J2" s="43"/>
      <c r="K2" s="43"/>
    </row>
    <row r="3" spans="1:11" ht="12" thickBot="1">
      <c r="A3" s="173" t="s">
        <v>166</v>
      </c>
      <c r="B3" s="173"/>
      <c r="C3" s="173"/>
      <c r="D3" s="173"/>
      <c r="E3" s="173"/>
      <c r="F3" s="173"/>
      <c r="G3" s="173"/>
      <c r="H3" s="173"/>
      <c r="I3" s="173"/>
      <c r="J3" s="173"/>
      <c r="K3" s="173"/>
    </row>
    <row r="4" spans="1:11" ht="24" customHeight="1">
      <c r="A4" s="174" t="s">
        <v>132</v>
      </c>
      <c r="B4" s="175"/>
      <c r="C4" s="178" t="s">
        <v>167</v>
      </c>
      <c r="D4" s="179"/>
      <c r="E4" s="180"/>
      <c r="F4" s="178" t="s">
        <v>168</v>
      </c>
      <c r="G4" s="179"/>
      <c r="H4" s="180"/>
      <c r="I4" s="178" t="s">
        <v>169</v>
      </c>
      <c r="J4" s="179"/>
      <c r="K4" s="181"/>
    </row>
    <row r="5" spans="1:11" ht="24" customHeight="1">
      <c r="A5" s="176"/>
      <c r="B5" s="177"/>
      <c r="C5" s="182" t="s">
        <v>134</v>
      </c>
      <c r="D5" s="183"/>
      <c r="E5" s="44" t="s">
        <v>135</v>
      </c>
      <c r="F5" s="182" t="s">
        <v>134</v>
      </c>
      <c r="G5" s="183"/>
      <c r="H5" s="44" t="s">
        <v>135</v>
      </c>
      <c r="I5" s="182" t="s">
        <v>134</v>
      </c>
      <c r="J5" s="183"/>
      <c r="K5" s="45" t="s">
        <v>135</v>
      </c>
    </row>
    <row r="6" spans="1:11" ht="12" customHeight="1">
      <c r="A6" s="46"/>
      <c r="B6" s="47"/>
      <c r="C6" s="48"/>
      <c r="D6" s="32" t="s">
        <v>136</v>
      </c>
      <c r="E6" s="7" t="s">
        <v>137</v>
      </c>
      <c r="F6" s="48"/>
      <c r="G6" s="32" t="s">
        <v>136</v>
      </c>
      <c r="H6" s="7" t="s">
        <v>137</v>
      </c>
      <c r="I6" s="48"/>
      <c r="J6" s="32" t="s">
        <v>136</v>
      </c>
      <c r="K6" s="49" t="s">
        <v>137</v>
      </c>
    </row>
    <row r="7" spans="1:11" ht="30" customHeight="1">
      <c r="A7" s="161" t="s">
        <v>170</v>
      </c>
      <c r="B7" s="50" t="s">
        <v>171</v>
      </c>
      <c r="C7" s="51"/>
      <c r="D7" s="98">
        <v>98628</v>
      </c>
      <c r="E7" s="52">
        <v>38178150</v>
      </c>
      <c r="F7" s="53"/>
      <c r="G7" s="98">
        <v>213143</v>
      </c>
      <c r="H7" s="52">
        <v>1296905939</v>
      </c>
      <c r="I7" s="53"/>
      <c r="J7" s="98">
        <v>311771</v>
      </c>
      <c r="K7" s="54">
        <v>1335084088</v>
      </c>
    </row>
    <row r="8" spans="1:11" ht="30" customHeight="1">
      <c r="A8" s="162"/>
      <c r="B8" s="55" t="s">
        <v>172</v>
      </c>
      <c r="C8" s="51"/>
      <c r="D8" s="99">
        <v>99564</v>
      </c>
      <c r="E8" s="100">
        <v>26980415</v>
      </c>
      <c r="F8" s="53"/>
      <c r="G8" s="99">
        <v>70224</v>
      </c>
      <c r="H8" s="100">
        <v>26559782</v>
      </c>
      <c r="I8" s="53"/>
      <c r="J8" s="99">
        <v>169788</v>
      </c>
      <c r="K8" s="101">
        <v>53540197</v>
      </c>
    </row>
    <row r="9" spans="1:11" s="58" customFormat="1" ht="30" customHeight="1">
      <c r="A9" s="162"/>
      <c r="B9" s="56" t="s">
        <v>173</v>
      </c>
      <c r="C9" s="57"/>
      <c r="D9" s="102">
        <v>198192</v>
      </c>
      <c r="E9" s="103">
        <v>65158565</v>
      </c>
      <c r="F9" s="57"/>
      <c r="G9" s="102">
        <v>283367</v>
      </c>
      <c r="H9" s="103">
        <v>1323465720</v>
      </c>
      <c r="I9" s="57"/>
      <c r="J9" s="99">
        <v>481559</v>
      </c>
      <c r="K9" s="101">
        <v>1388624285</v>
      </c>
    </row>
    <row r="10" spans="1:11" ht="30" customHeight="1">
      <c r="A10" s="163"/>
      <c r="B10" s="59" t="s">
        <v>174</v>
      </c>
      <c r="C10" s="51"/>
      <c r="D10" s="104">
        <v>6869</v>
      </c>
      <c r="E10" s="105">
        <v>3382572</v>
      </c>
      <c r="F10" s="51"/>
      <c r="G10" s="104">
        <v>22679</v>
      </c>
      <c r="H10" s="105">
        <v>289985206</v>
      </c>
      <c r="I10" s="51"/>
      <c r="J10" s="99">
        <v>29548</v>
      </c>
      <c r="K10" s="101">
        <v>293367779</v>
      </c>
    </row>
    <row r="11" spans="1:11" ht="30" customHeight="1">
      <c r="A11" s="164" t="s">
        <v>175</v>
      </c>
      <c r="B11" s="60" t="s">
        <v>176</v>
      </c>
      <c r="C11" s="61"/>
      <c r="D11" s="106">
        <v>13996</v>
      </c>
      <c r="E11" s="62">
        <v>3733310</v>
      </c>
      <c r="F11" s="63"/>
      <c r="G11" s="107">
        <v>14545</v>
      </c>
      <c r="H11" s="62">
        <v>5075131</v>
      </c>
      <c r="I11" s="63"/>
      <c r="J11" s="107">
        <v>28541</v>
      </c>
      <c r="K11" s="64">
        <v>8808442</v>
      </c>
    </row>
    <row r="12" spans="1:11" ht="30" customHeight="1">
      <c r="A12" s="165"/>
      <c r="B12" s="65" t="s">
        <v>177</v>
      </c>
      <c r="C12" s="66"/>
      <c r="D12" s="99">
        <v>1259</v>
      </c>
      <c r="E12" s="100">
        <v>235237</v>
      </c>
      <c r="F12" s="67"/>
      <c r="G12" s="108">
        <v>2355</v>
      </c>
      <c r="H12" s="100">
        <v>2845420</v>
      </c>
      <c r="I12" s="67"/>
      <c r="J12" s="108">
        <v>3614</v>
      </c>
      <c r="K12" s="101">
        <v>3080658</v>
      </c>
    </row>
    <row r="13" spans="1:11" s="58" customFormat="1" ht="30" customHeight="1">
      <c r="A13" s="166" t="s">
        <v>138</v>
      </c>
      <c r="B13" s="167"/>
      <c r="C13" s="68" t="s">
        <v>139</v>
      </c>
      <c r="D13" s="109">
        <v>210200</v>
      </c>
      <c r="E13" s="110">
        <v>65274066</v>
      </c>
      <c r="F13" s="68" t="s">
        <v>139</v>
      </c>
      <c r="G13" s="109">
        <v>308076</v>
      </c>
      <c r="H13" s="110">
        <v>1035710224</v>
      </c>
      <c r="I13" s="68" t="s">
        <v>139</v>
      </c>
      <c r="J13" s="109">
        <v>518276</v>
      </c>
      <c r="K13" s="111">
        <v>1100984290</v>
      </c>
    </row>
    <row r="14" spans="1:11" ht="30" customHeight="1" thickBot="1">
      <c r="A14" s="168" t="s">
        <v>140</v>
      </c>
      <c r="B14" s="169"/>
      <c r="C14" s="69"/>
      <c r="D14" s="112">
        <v>13241</v>
      </c>
      <c r="E14" s="113">
        <v>704320</v>
      </c>
      <c r="F14" s="70"/>
      <c r="G14" s="112">
        <v>11609</v>
      </c>
      <c r="H14" s="113">
        <v>883011</v>
      </c>
      <c r="I14" s="70"/>
      <c r="J14" s="112">
        <v>24850</v>
      </c>
      <c r="K14" s="114">
        <v>1587330</v>
      </c>
    </row>
    <row r="15" spans="1:11" s="1" customFormat="1" ht="37.5" customHeight="1">
      <c r="A15" s="71" t="s">
        <v>160</v>
      </c>
      <c r="B15" s="170" t="s">
        <v>153</v>
      </c>
      <c r="C15" s="170"/>
      <c r="D15" s="170"/>
      <c r="E15" s="170"/>
      <c r="F15" s="170"/>
      <c r="G15" s="170"/>
      <c r="H15" s="170"/>
      <c r="I15" s="170"/>
      <c r="J15" s="170"/>
      <c r="K15" s="170"/>
    </row>
    <row r="16" spans="2:11" ht="45" customHeight="1">
      <c r="B16" s="171" t="s">
        <v>161</v>
      </c>
      <c r="C16" s="171"/>
      <c r="D16" s="171"/>
      <c r="E16" s="171"/>
      <c r="F16" s="171"/>
      <c r="G16" s="171"/>
      <c r="H16" s="171"/>
      <c r="I16" s="171"/>
      <c r="J16" s="171"/>
      <c r="K16" s="171"/>
    </row>
    <row r="17" spans="1:2" ht="14.25" customHeight="1">
      <c r="A17" s="2" t="s">
        <v>162</v>
      </c>
      <c r="B17" s="2" t="s">
        <v>163</v>
      </c>
    </row>
    <row r="18" spans="1:2" ht="11.25">
      <c r="A18" s="72" t="s">
        <v>164</v>
      </c>
      <c r="B18" s="2" t="s">
        <v>165</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5:K15"/>
    <mergeCell ref="B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141</v>
      </c>
    </row>
    <row r="2" spans="1:8" s="2" customFormat="1" ht="15" customHeight="1">
      <c r="A2" s="174" t="s">
        <v>132</v>
      </c>
      <c r="B2" s="175"/>
      <c r="C2" s="188" t="s">
        <v>133</v>
      </c>
      <c r="D2" s="188"/>
      <c r="E2" s="188" t="s">
        <v>142</v>
      </c>
      <c r="F2" s="188"/>
      <c r="G2" s="189" t="s">
        <v>143</v>
      </c>
      <c r="H2" s="190"/>
    </row>
    <row r="3" spans="1:8" s="2" customFormat="1" ht="15" customHeight="1">
      <c r="A3" s="176"/>
      <c r="B3" s="177"/>
      <c r="C3" s="61" t="s">
        <v>144</v>
      </c>
      <c r="D3" s="44" t="s">
        <v>145</v>
      </c>
      <c r="E3" s="61" t="s">
        <v>144</v>
      </c>
      <c r="F3" s="73" t="s">
        <v>145</v>
      </c>
      <c r="G3" s="61" t="s">
        <v>144</v>
      </c>
      <c r="H3" s="74" t="s">
        <v>145</v>
      </c>
    </row>
    <row r="4" spans="1:8" s="79" customFormat="1" ht="15" customHeight="1">
      <c r="A4" s="75"/>
      <c r="B4" s="44"/>
      <c r="C4" s="76" t="s">
        <v>16</v>
      </c>
      <c r="D4" s="77" t="s">
        <v>17</v>
      </c>
      <c r="E4" s="76" t="s">
        <v>16</v>
      </c>
      <c r="F4" s="77" t="s">
        <v>17</v>
      </c>
      <c r="G4" s="76" t="s">
        <v>16</v>
      </c>
      <c r="H4" s="78" t="s">
        <v>17</v>
      </c>
    </row>
    <row r="5" spans="1:8" s="81" customFormat="1" ht="30" customHeight="1">
      <c r="A5" s="191" t="s">
        <v>154</v>
      </c>
      <c r="B5" s="50" t="s">
        <v>146</v>
      </c>
      <c r="C5" s="80">
        <v>249132</v>
      </c>
      <c r="D5" s="52">
        <v>73019151.566</v>
      </c>
      <c r="E5" s="80">
        <v>297003</v>
      </c>
      <c r="F5" s="52">
        <v>1414454500.6000001</v>
      </c>
      <c r="G5" s="80">
        <v>546135</v>
      </c>
      <c r="H5" s="54">
        <v>1487473652</v>
      </c>
    </row>
    <row r="6" spans="1:8" s="81" customFormat="1" ht="30" customHeight="1">
      <c r="A6" s="192"/>
      <c r="B6" s="59" t="s">
        <v>4</v>
      </c>
      <c r="C6" s="82">
        <v>9884</v>
      </c>
      <c r="D6" s="83">
        <v>7151379.506000001</v>
      </c>
      <c r="E6" s="82">
        <v>24878</v>
      </c>
      <c r="F6" s="83">
        <v>278093387.5490001</v>
      </c>
      <c r="G6" s="82">
        <v>34762</v>
      </c>
      <c r="H6" s="84">
        <v>285244767</v>
      </c>
    </row>
    <row r="7" spans="1:8" s="81" customFormat="1" ht="30" customHeight="1">
      <c r="A7" s="184" t="s">
        <v>155</v>
      </c>
      <c r="B7" s="85" t="s">
        <v>146</v>
      </c>
      <c r="C7" s="86">
        <v>237777</v>
      </c>
      <c r="D7" s="62">
        <v>70618804</v>
      </c>
      <c r="E7" s="86">
        <v>293949</v>
      </c>
      <c r="F7" s="62">
        <v>1366030350</v>
      </c>
      <c r="G7" s="86">
        <v>531726</v>
      </c>
      <c r="H7" s="64">
        <v>1436649154</v>
      </c>
    </row>
    <row r="8" spans="1:8" s="81" customFormat="1" ht="30" customHeight="1">
      <c r="A8" s="185"/>
      <c r="B8" s="59" t="s">
        <v>4</v>
      </c>
      <c r="C8" s="82">
        <v>8378</v>
      </c>
      <c r="D8" s="83">
        <v>4831392</v>
      </c>
      <c r="E8" s="82">
        <v>23966</v>
      </c>
      <c r="F8" s="83">
        <v>309382260</v>
      </c>
      <c r="G8" s="82">
        <v>32344</v>
      </c>
      <c r="H8" s="84">
        <v>314213652</v>
      </c>
    </row>
    <row r="9" spans="1:8" s="81" customFormat="1" ht="30" customHeight="1">
      <c r="A9" s="191" t="s">
        <v>156</v>
      </c>
      <c r="B9" s="85" t="s">
        <v>146</v>
      </c>
      <c r="C9" s="86">
        <v>212971</v>
      </c>
      <c r="D9" s="62">
        <v>67400211</v>
      </c>
      <c r="E9" s="86">
        <v>288344</v>
      </c>
      <c r="F9" s="62">
        <v>1350697953</v>
      </c>
      <c r="G9" s="86">
        <v>501315</v>
      </c>
      <c r="H9" s="64">
        <v>1418098165</v>
      </c>
    </row>
    <row r="10" spans="1:8" s="81" customFormat="1" ht="30" customHeight="1">
      <c r="A10" s="192"/>
      <c r="B10" s="59" t="s">
        <v>4</v>
      </c>
      <c r="C10" s="82">
        <v>7051</v>
      </c>
      <c r="D10" s="83">
        <v>3475100</v>
      </c>
      <c r="E10" s="82">
        <v>22720</v>
      </c>
      <c r="F10" s="83">
        <v>298969507</v>
      </c>
      <c r="G10" s="82">
        <v>29771</v>
      </c>
      <c r="H10" s="84">
        <v>302444606</v>
      </c>
    </row>
    <row r="11" spans="1:8" s="81" customFormat="1" ht="30" customHeight="1">
      <c r="A11" s="184" t="s">
        <v>157</v>
      </c>
      <c r="B11" s="85" t="s">
        <v>146</v>
      </c>
      <c r="C11" s="86">
        <v>202559</v>
      </c>
      <c r="D11" s="62">
        <v>66553009</v>
      </c>
      <c r="E11" s="86">
        <v>284893</v>
      </c>
      <c r="F11" s="62">
        <v>1325040445</v>
      </c>
      <c r="G11" s="86">
        <v>487452</v>
      </c>
      <c r="H11" s="64">
        <v>1391593453</v>
      </c>
    </row>
    <row r="12" spans="1:8" s="81" customFormat="1" ht="30" customHeight="1">
      <c r="A12" s="185"/>
      <c r="B12" s="59" t="s">
        <v>4</v>
      </c>
      <c r="C12" s="82">
        <v>6684</v>
      </c>
      <c r="D12" s="83">
        <v>3023372</v>
      </c>
      <c r="E12" s="82">
        <v>22120</v>
      </c>
      <c r="F12" s="83">
        <v>290601699</v>
      </c>
      <c r="G12" s="82">
        <v>28804</v>
      </c>
      <c r="H12" s="84">
        <v>293625071</v>
      </c>
    </row>
    <row r="13" spans="1:8" s="2" customFormat="1" ht="30" customHeight="1">
      <c r="A13" s="186" t="s">
        <v>158</v>
      </c>
      <c r="B13" s="85" t="s">
        <v>146</v>
      </c>
      <c r="C13" s="86">
        <v>198192</v>
      </c>
      <c r="D13" s="62">
        <v>65158565</v>
      </c>
      <c r="E13" s="86">
        <v>283367</v>
      </c>
      <c r="F13" s="62">
        <v>1323465720</v>
      </c>
      <c r="G13" s="86">
        <v>481559</v>
      </c>
      <c r="H13" s="64">
        <v>1388624285</v>
      </c>
    </row>
    <row r="14" spans="1:8" s="2" customFormat="1" ht="30" customHeight="1" thickBot="1">
      <c r="A14" s="187"/>
      <c r="B14" s="87" t="s">
        <v>4</v>
      </c>
      <c r="C14" s="158">
        <v>6869</v>
      </c>
      <c r="D14" s="159">
        <v>3382572</v>
      </c>
      <c r="E14" s="158">
        <v>22679</v>
      </c>
      <c r="F14" s="159">
        <v>289985206</v>
      </c>
      <c r="G14" s="158">
        <v>29548</v>
      </c>
      <c r="H14" s="160">
        <v>293367779</v>
      </c>
    </row>
    <row r="15" spans="5:7" s="2" customFormat="1" ht="11.25">
      <c r="E15" s="88"/>
      <c r="G15" s="88"/>
    </row>
    <row r="16" spans="5:7" s="2" customFormat="1" ht="11.25">
      <c r="E16" s="88"/>
      <c r="G16" s="88"/>
    </row>
    <row r="17" spans="5:7" s="2" customFormat="1" ht="11.25">
      <c r="E17" s="88"/>
      <c r="G17" s="88"/>
    </row>
    <row r="18" spans="5:7" s="2" customFormat="1" ht="11.25">
      <c r="E18" s="88"/>
      <c r="G18" s="88"/>
    </row>
    <row r="19" spans="5:7" s="2" customFormat="1" ht="11.25">
      <c r="E19" s="88"/>
      <c r="G19" s="88"/>
    </row>
    <row r="20" spans="5:7" s="2" customFormat="1" ht="11.25">
      <c r="E20" s="88"/>
      <c r="G20" s="88"/>
    </row>
    <row r="21" spans="5:7" s="2" customFormat="1" ht="11.25">
      <c r="E21" s="88"/>
      <c r="G21" s="88"/>
    </row>
    <row r="22" spans="5:7" s="2" customFormat="1" ht="11.25">
      <c r="E22" s="88"/>
      <c r="G22" s="88"/>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147</v>
      </c>
    </row>
    <row r="2" spans="1:4" s="1" customFormat="1" ht="19.5" customHeight="1">
      <c r="A2" s="89" t="s">
        <v>148</v>
      </c>
      <c r="B2" s="90" t="s">
        <v>149</v>
      </c>
      <c r="C2" s="91" t="s">
        <v>150</v>
      </c>
      <c r="D2" s="92" t="s">
        <v>151</v>
      </c>
    </row>
    <row r="3" spans="1:4" s="79" customFormat="1" ht="15" customHeight="1">
      <c r="A3" s="93" t="s">
        <v>16</v>
      </c>
      <c r="B3" s="94" t="s">
        <v>16</v>
      </c>
      <c r="C3" s="95" t="s">
        <v>16</v>
      </c>
      <c r="D3" s="96" t="s">
        <v>16</v>
      </c>
    </row>
    <row r="4" spans="1:9" s="1" customFormat="1" ht="30" customHeight="1" thickBot="1">
      <c r="A4" s="154">
        <v>521500</v>
      </c>
      <c r="B4" s="155">
        <v>13997</v>
      </c>
      <c r="C4" s="156">
        <v>1977</v>
      </c>
      <c r="D4" s="157">
        <v>537474</v>
      </c>
      <c r="E4" s="97"/>
      <c r="G4" s="97"/>
      <c r="I4" s="97"/>
    </row>
    <row r="5" spans="1:4" s="1" customFormat="1" ht="15" customHeight="1">
      <c r="A5" s="193" t="s">
        <v>159</v>
      </c>
      <c r="B5" s="193"/>
      <c r="C5" s="193"/>
      <c r="D5" s="193"/>
    </row>
    <row r="6" spans="1:4" s="1" customFormat="1" ht="15" customHeight="1">
      <c r="A6" s="194" t="s">
        <v>152</v>
      </c>
      <c r="B6" s="194"/>
      <c r="C6" s="194"/>
      <c r="D6" s="19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94" t="s">
        <v>1</v>
      </c>
      <c r="B2" s="194"/>
      <c r="C2" s="194"/>
      <c r="D2" s="194"/>
      <c r="E2" s="194"/>
      <c r="F2" s="194"/>
      <c r="G2" s="194"/>
      <c r="H2" s="2"/>
      <c r="I2" s="2"/>
      <c r="J2" s="2"/>
      <c r="K2" s="2"/>
      <c r="L2" s="2"/>
      <c r="M2" s="2"/>
      <c r="N2" s="2"/>
    </row>
    <row r="3" spans="1:14" ht="19.5" customHeight="1">
      <c r="A3" s="199" t="s">
        <v>2</v>
      </c>
      <c r="B3" s="202" t="s">
        <v>3</v>
      </c>
      <c r="C3" s="202"/>
      <c r="D3" s="202"/>
      <c r="E3" s="202"/>
      <c r="F3" s="202"/>
      <c r="G3" s="202"/>
      <c r="H3" s="195" t="s">
        <v>4</v>
      </c>
      <c r="I3" s="196"/>
      <c r="J3" s="208" t="s">
        <v>5</v>
      </c>
      <c r="K3" s="196"/>
      <c r="L3" s="195" t="s">
        <v>6</v>
      </c>
      <c r="M3" s="196"/>
      <c r="N3" s="203" t="s">
        <v>7</v>
      </c>
    </row>
    <row r="4" spans="1:14" ht="17.25" customHeight="1">
      <c r="A4" s="200"/>
      <c r="B4" s="206" t="s">
        <v>8</v>
      </c>
      <c r="C4" s="206"/>
      <c r="D4" s="197" t="s">
        <v>9</v>
      </c>
      <c r="E4" s="207"/>
      <c r="F4" s="197" t="s">
        <v>10</v>
      </c>
      <c r="G4" s="207"/>
      <c r="H4" s="197"/>
      <c r="I4" s="198"/>
      <c r="J4" s="197"/>
      <c r="K4" s="198"/>
      <c r="L4" s="197"/>
      <c r="M4" s="198"/>
      <c r="N4" s="204"/>
    </row>
    <row r="5" spans="1:14" s="4" customFormat="1" ht="28.5" customHeight="1">
      <c r="A5" s="201"/>
      <c r="B5" s="37" t="s">
        <v>11</v>
      </c>
      <c r="C5" s="38" t="s">
        <v>12</v>
      </c>
      <c r="D5" s="37" t="s">
        <v>11</v>
      </c>
      <c r="E5" s="38" t="s">
        <v>12</v>
      </c>
      <c r="F5" s="37" t="s">
        <v>11</v>
      </c>
      <c r="G5" s="41" t="s">
        <v>13</v>
      </c>
      <c r="H5" s="37" t="s">
        <v>118</v>
      </c>
      <c r="I5" s="40" t="s">
        <v>14</v>
      </c>
      <c r="J5" s="37" t="s">
        <v>118</v>
      </c>
      <c r="K5" s="40" t="s">
        <v>15</v>
      </c>
      <c r="L5" s="37" t="s">
        <v>118</v>
      </c>
      <c r="M5" s="39" t="s">
        <v>119</v>
      </c>
      <c r="N5" s="205"/>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s="17" customFormat="1" ht="15.75" customHeight="1">
      <c r="A7" s="11" t="s">
        <v>19</v>
      </c>
      <c r="B7" s="115">
        <f>_xlfn.COMPOUNDVALUE(1)</f>
        <v>1196</v>
      </c>
      <c r="C7" s="116">
        <v>431054</v>
      </c>
      <c r="D7" s="115">
        <f>_xlfn.COMPOUNDVALUE(2)</f>
        <v>1306</v>
      </c>
      <c r="E7" s="116">
        <v>354768</v>
      </c>
      <c r="F7" s="115">
        <f>_xlfn.COMPOUNDVALUE(3)</f>
        <v>2502</v>
      </c>
      <c r="G7" s="116">
        <v>785822</v>
      </c>
      <c r="H7" s="115">
        <f>_xlfn.COMPOUNDVALUE(4)</f>
        <v>74</v>
      </c>
      <c r="I7" s="117">
        <v>36427</v>
      </c>
      <c r="J7" s="115">
        <v>210</v>
      </c>
      <c r="K7" s="117">
        <v>50773</v>
      </c>
      <c r="L7" s="115">
        <f>_xlfn.COMPOUNDVALUE(4)</f>
        <v>2638</v>
      </c>
      <c r="M7" s="117">
        <v>800169</v>
      </c>
      <c r="N7" s="12" t="s">
        <v>19</v>
      </c>
    </row>
    <row r="8" spans="1:14" s="17" customFormat="1" ht="15.75" customHeight="1">
      <c r="A8" s="13" t="s">
        <v>20</v>
      </c>
      <c r="B8" s="120">
        <f>_xlfn.COMPOUNDVALUE(5)</f>
        <v>619</v>
      </c>
      <c r="C8" s="121">
        <v>222132</v>
      </c>
      <c r="D8" s="120">
        <f>_xlfn.COMPOUNDVALUE(6)</f>
        <v>781</v>
      </c>
      <c r="E8" s="121">
        <v>214052</v>
      </c>
      <c r="F8" s="120">
        <f>_xlfn.COMPOUNDVALUE(7)</f>
        <v>1400</v>
      </c>
      <c r="G8" s="121">
        <v>436184</v>
      </c>
      <c r="H8" s="120">
        <f>_xlfn.COMPOUNDVALUE(8)</f>
        <v>52</v>
      </c>
      <c r="I8" s="122">
        <v>29672</v>
      </c>
      <c r="J8" s="120">
        <v>133</v>
      </c>
      <c r="K8" s="122">
        <v>28655</v>
      </c>
      <c r="L8" s="120">
        <f>_xlfn.COMPOUNDVALUE(8)</f>
        <v>1494</v>
      </c>
      <c r="M8" s="122">
        <v>435166</v>
      </c>
      <c r="N8" s="14" t="s">
        <v>20</v>
      </c>
    </row>
    <row r="9" spans="1:14" s="17" customFormat="1" ht="15.75" customHeight="1">
      <c r="A9" s="13" t="s">
        <v>21</v>
      </c>
      <c r="B9" s="120">
        <f>_xlfn.COMPOUNDVALUE(9)</f>
        <v>773</v>
      </c>
      <c r="C9" s="121">
        <v>258086</v>
      </c>
      <c r="D9" s="120">
        <f>_xlfn.COMPOUNDVALUE(10)</f>
        <v>773</v>
      </c>
      <c r="E9" s="121">
        <v>195879</v>
      </c>
      <c r="F9" s="120">
        <f>_xlfn.COMPOUNDVALUE(11)</f>
        <v>1546</v>
      </c>
      <c r="G9" s="121">
        <v>453965</v>
      </c>
      <c r="H9" s="120">
        <f>_xlfn.COMPOUNDVALUE(12)</f>
        <v>45</v>
      </c>
      <c r="I9" s="122">
        <v>13809</v>
      </c>
      <c r="J9" s="120">
        <v>124</v>
      </c>
      <c r="K9" s="122">
        <v>13950</v>
      </c>
      <c r="L9" s="120">
        <f>_xlfn.COMPOUNDVALUE(12)</f>
        <v>1627</v>
      </c>
      <c r="M9" s="122">
        <v>454106</v>
      </c>
      <c r="N9" s="14" t="s">
        <v>21</v>
      </c>
    </row>
    <row r="10" spans="1:14" s="17" customFormat="1" ht="15.75" customHeight="1">
      <c r="A10" s="13" t="s">
        <v>22</v>
      </c>
      <c r="B10" s="120">
        <f>_xlfn.COMPOUNDVALUE(13)</f>
        <v>1030</v>
      </c>
      <c r="C10" s="121">
        <v>376454</v>
      </c>
      <c r="D10" s="120">
        <f>_xlfn.COMPOUNDVALUE(14)</f>
        <v>1265</v>
      </c>
      <c r="E10" s="121">
        <v>314237</v>
      </c>
      <c r="F10" s="120">
        <f>_xlfn.COMPOUNDVALUE(15)</f>
        <v>2295</v>
      </c>
      <c r="G10" s="121">
        <v>690691</v>
      </c>
      <c r="H10" s="120">
        <f>_xlfn.COMPOUNDVALUE(16)</f>
        <v>80</v>
      </c>
      <c r="I10" s="122">
        <v>46750</v>
      </c>
      <c r="J10" s="120">
        <v>149</v>
      </c>
      <c r="K10" s="122">
        <v>12405</v>
      </c>
      <c r="L10" s="120">
        <f>_xlfn.COMPOUNDVALUE(16)</f>
        <v>2411</v>
      </c>
      <c r="M10" s="122">
        <v>656346</v>
      </c>
      <c r="N10" s="14" t="s">
        <v>22</v>
      </c>
    </row>
    <row r="11" spans="1:14" s="17" customFormat="1" ht="15.75" customHeight="1">
      <c r="A11" s="13" t="s">
        <v>23</v>
      </c>
      <c r="B11" s="120">
        <f>_xlfn.COMPOUNDVALUE(17)</f>
        <v>1232</v>
      </c>
      <c r="C11" s="121">
        <v>834476</v>
      </c>
      <c r="D11" s="120">
        <f>_xlfn.COMPOUNDVALUE(18)</f>
        <v>1345</v>
      </c>
      <c r="E11" s="121">
        <v>367581</v>
      </c>
      <c r="F11" s="120">
        <f>_xlfn.COMPOUNDVALUE(19)</f>
        <v>2577</v>
      </c>
      <c r="G11" s="121">
        <v>1202057</v>
      </c>
      <c r="H11" s="120">
        <f>_xlfn.COMPOUNDVALUE(20)</f>
        <v>57</v>
      </c>
      <c r="I11" s="122">
        <v>36424</v>
      </c>
      <c r="J11" s="120">
        <v>185</v>
      </c>
      <c r="K11" s="122">
        <v>38052</v>
      </c>
      <c r="L11" s="120">
        <f>_xlfn.COMPOUNDVALUE(20)</f>
        <v>2691</v>
      </c>
      <c r="M11" s="122">
        <v>1203684</v>
      </c>
      <c r="N11" s="14" t="s">
        <v>23</v>
      </c>
    </row>
    <row r="12" spans="1:14" s="17" customFormat="1" ht="15.75" customHeight="1">
      <c r="A12" s="13" t="s">
        <v>24</v>
      </c>
      <c r="B12" s="120">
        <f>_xlfn.COMPOUNDVALUE(21)</f>
        <v>557</v>
      </c>
      <c r="C12" s="121">
        <v>228963</v>
      </c>
      <c r="D12" s="120">
        <f>_xlfn.COMPOUNDVALUE(22)</f>
        <v>708</v>
      </c>
      <c r="E12" s="121">
        <v>171905</v>
      </c>
      <c r="F12" s="120">
        <f>_xlfn.COMPOUNDVALUE(23)</f>
        <v>1265</v>
      </c>
      <c r="G12" s="121">
        <v>400869</v>
      </c>
      <c r="H12" s="120">
        <f>_xlfn.COMPOUNDVALUE(24)</f>
        <v>40</v>
      </c>
      <c r="I12" s="122">
        <v>12708</v>
      </c>
      <c r="J12" s="120">
        <v>97</v>
      </c>
      <c r="K12" s="122">
        <v>9987</v>
      </c>
      <c r="L12" s="120">
        <f>_xlfn.COMPOUNDVALUE(24)</f>
        <v>1339</v>
      </c>
      <c r="M12" s="122">
        <v>398147</v>
      </c>
      <c r="N12" s="14" t="s">
        <v>24</v>
      </c>
    </row>
    <row r="13" spans="1:14" s="17" customFormat="1" ht="15.75" customHeight="1">
      <c r="A13" s="13" t="s">
        <v>25</v>
      </c>
      <c r="B13" s="120">
        <f>_xlfn.COMPOUNDVALUE(25)</f>
        <v>296</v>
      </c>
      <c r="C13" s="121">
        <v>87607</v>
      </c>
      <c r="D13" s="120">
        <f>_xlfn.COMPOUNDVALUE(26)</f>
        <v>330</v>
      </c>
      <c r="E13" s="121">
        <v>79836</v>
      </c>
      <c r="F13" s="120">
        <f>_xlfn.COMPOUNDVALUE(27)</f>
        <v>626</v>
      </c>
      <c r="G13" s="121">
        <v>167442</v>
      </c>
      <c r="H13" s="120">
        <f>_xlfn.COMPOUNDVALUE(28)</f>
        <v>31</v>
      </c>
      <c r="I13" s="122">
        <v>20866</v>
      </c>
      <c r="J13" s="120">
        <v>62</v>
      </c>
      <c r="K13" s="122">
        <v>5348</v>
      </c>
      <c r="L13" s="120">
        <f>_xlfn.COMPOUNDVALUE(28)</f>
        <v>672</v>
      </c>
      <c r="M13" s="122">
        <v>151924</v>
      </c>
      <c r="N13" s="14" t="s">
        <v>25</v>
      </c>
    </row>
    <row r="14" spans="1:14" s="17" customFormat="1" ht="15.75" customHeight="1">
      <c r="A14" s="15" t="s">
        <v>26</v>
      </c>
      <c r="B14" s="125">
        <v>5703</v>
      </c>
      <c r="C14" s="126">
        <v>2438772</v>
      </c>
      <c r="D14" s="125">
        <v>6508</v>
      </c>
      <c r="E14" s="126">
        <v>1698257</v>
      </c>
      <c r="F14" s="125">
        <v>12211</v>
      </c>
      <c r="G14" s="126">
        <v>4137029</v>
      </c>
      <c r="H14" s="125">
        <v>379</v>
      </c>
      <c r="I14" s="127">
        <v>196656</v>
      </c>
      <c r="J14" s="125">
        <v>960</v>
      </c>
      <c r="K14" s="127">
        <v>159169</v>
      </c>
      <c r="L14" s="125">
        <v>12872</v>
      </c>
      <c r="M14" s="127">
        <v>4099543</v>
      </c>
      <c r="N14" s="16" t="s">
        <v>123</v>
      </c>
    </row>
    <row r="15" spans="1:14" s="17" customFormat="1" ht="15.75" customHeight="1">
      <c r="A15" s="26"/>
      <c r="B15" s="130"/>
      <c r="C15" s="131"/>
      <c r="D15" s="130"/>
      <c r="E15" s="131"/>
      <c r="F15" s="132"/>
      <c r="G15" s="131"/>
      <c r="H15" s="132"/>
      <c r="I15" s="131"/>
      <c r="J15" s="132"/>
      <c r="K15" s="131"/>
      <c r="L15" s="132"/>
      <c r="M15" s="131"/>
      <c r="N15" s="24"/>
    </row>
    <row r="16" spans="1:14" s="17" customFormat="1" ht="15.75" customHeight="1">
      <c r="A16" s="11" t="s">
        <v>27</v>
      </c>
      <c r="B16" s="115">
        <f>_xlfn.COMPOUNDVALUE(29)</f>
        <v>1107</v>
      </c>
      <c r="C16" s="116">
        <v>488382</v>
      </c>
      <c r="D16" s="115">
        <f>_xlfn.COMPOUNDVALUE(30)</f>
        <v>1297</v>
      </c>
      <c r="E16" s="116">
        <v>338479</v>
      </c>
      <c r="F16" s="115">
        <f>_xlfn.COMPOUNDVALUE(31)</f>
        <v>2404</v>
      </c>
      <c r="G16" s="116">
        <v>826861</v>
      </c>
      <c r="H16" s="115">
        <f>_xlfn.COMPOUNDVALUE(32)</f>
        <v>65</v>
      </c>
      <c r="I16" s="117">
        <v>50812</v>
      </c>
      <c r="J16" s="115">
        <v>134</v>
      </c>
      <c r="K16" s="117">
        <v>25316</v>
      </c>
      <c r="L16" s="115">
        <f>_xlfn.COMPOUNDVALUE(32)</f>
        <v>2495</v>
      </c>
      <c r="M16" s="117">
        <v>801365</v>
      </c>
      <c r="N16" s="25" t="s">
        <v>27</v>
      </c>
    </row>
    <row r="17" spans="1:14" s="17" customFormat="1" ht="15.75" customHeight="1">
      <c r="A17" s="11" t="s">
        <v>28</v>
      </c>
      <c r="B17" s="115">
        <f>_xlfn.COMPOUNDVALUE(33)</f>
        <v>789</v>
      </c>
      <c r="C17" s="116">
        <v>428368</v>
      </c>
      <c r="D17" s="115">
        <f>_xlfn.COMPOUNDVALUE(34)</f>
        <v>945</v>
      </c>
      <c r="E17" s="116">
        <v>263156</v>
      </c>
      <c r="F17" s="115">
        <f>_xlfn.COMPOUNDVALUE(35)</f>
        <v>1734</v>
      </c>
      <c r="G17" s="116">
        <v>691524</v>
      </c>
      <c r="H17" s="115">
        <f>_xlfn.COMPOUNDVALUE(36)</f>
        <v>45</v>
      </c>
      <c r="I17" s="117">
        <v>11822</v>
      </c>
      <c r="J17" s="115">
        <v>90</v>
      </c>
      <c r="K17" s="117">
        <v>10940</v>
      </c>
      <c r="L17" s="115">
        <f>_xlfn.COMPOUNDVALUE(36)</f>
        <v>1805</v>
      </c>
      <c r="M17" s="117">
        <v>690642</v>
      </c>
      <c r="N17" s="12" t="s">
        <v>28</v>
      </c>
    </row>
    <row r="18" spans="1:14" s="17" customFormat="1" ht="15.75" customHeight="1">
      <c r="A18" s="11" t="s">
        <v>29</v>
      </c>
      <c r="B18" s="115">
        <f>_xlfn.COMPOUNDVALUE(37)</f>
        <v>832</v>
      </c>
      <c r="C18" s="116">
        <v>413465</v>
      </c>
      <c r="D18" s="115">
        <f>_xlfn.COMPOUNDVALUE(38)</f>
        <v>1147</v>
      </c>
      <c r="E18" s="116">
        <v>361329</v>
      </c>
      <c r="F18" s="115">
        <f>_xlfn.COMPOUNDVALUE(39)</f>
        <v>1979</v>
      </c>
      <c r="G18" s="116">
        <v>774794</v>
      </c>
      <c r="H18" s="115">
        <f>_xlfn.COMPOUNDVALUE(40)</f>
        <v>52</v>
      </c>
      <c r="I18" s="117">
        <v>34810</v>
      </c>
      <c r="J18" s="115">
        <v>98</v>
      </c>
      <c r="K18" s="117">
        <v>36750</v>
      </c>
      <c r="L18" s="115">
        <f>_xlfn.COMPOUNDVALUE(40)</f>
        <v>2077</v>
      </c>
      <c r="M18" s="117">
        <v>776734</v>
      </c>
      <c r="N18" s="12" t="s">
        <v>29</v>
      </c>
    </row>
    <row r="19" spans="1:14" s="17" customFormat="1" ht="15.75" customHeight="1">
      <c r="A19" s="11" t="s">
        <v>30</v>
      </c>
      <c r="B19" s="115">
        <f>_xlfn.COMPOUNDVALUE(41)</f>
        <v>1044</v>
      </c>
      <c r="C19" s="116">
        <v>417147</v>
      </c>
      <c r="D19" s="115">
        <f>_xlfn.COMPOUNDVALUE(42)</f>
        <v>1114</v>
      </c>
      <c r="E19" s="116">
        <v>294211</v>
      </c>
      <c r="F19" s="115">
        <f>_xlfn.COMPOUNDVALUE(43)</f>
        <v>2158</v>
      </c>
      <c r="G19" s="116">
        <v>711358</v>
      </c>
      <c r="H19" s="115">
        <f>_xlfn.COMPOUNDVALUE(44)</f>
        <v>73</v>
      </c>
      <c r="I19" s="117">
        <v>60353</v>
      </c>
      <c r="J19" s="115">
        <v>169</v>
      </c>
      <c r="K19" s="117">
        <v>41114</v>
      </c>
      <c r="L19" s="115">
        <f>_xlfn.COMPOUNDVALUE(44)</f>
        <v>2317</v>
      </c>
      <c r="M19" s="117">
        <v>692119</v>
      </c>
      <c r="N19" s="12" t="s">
        <v>30</v>
      </c>
    </row>
    <row r="20" spans="1:14" s="17" customFormat="1" ht="15.75" customHeight="1">
      <c r="A20" s="11" t="s">
        <v>31</v>
      </c>
      <c r="B20" s="115">
        <f>_xlfn.COMPOUNDVALUE(45)</f>
        <v>1000</v>
      </c>
      <c r="C20" s="116">
        <v>472101</v>
      </c>
      <c r="D20" s="115">
        <f>_xlfn.COMPOUNDVALUE(46)</f>
        <v>1207</v>
      </c>
      <c r="E20" s="116">
        <v>319022</v>
      </c>
      <c r="F20" s="115">
        <f>_xlfn.COMPOUNDVALUE(47)</f>
        <v>2207</v>
      </c>
      <c r="G20" s="116">
        <v>791124</v>
      </c>
      <c r="H20" s="115">
        <f>_xlfn.COMPOUNDVALUE(48)</f>
        <v>61</v>
      </c>
      <c r="I20" s="117">
        <v>42175</v>
      </c>
      <c r="J20" s="115">
        <v>144</v>
      </c>
      <c r="K20" s="117">
        <v>39160</v>
      </c>
      <c r="L20" s="115">
        <f>_xlfn.COMPOUNDVALUE(48)</f>
        <v>2334</v>
      </c>
      <c r="M20" s="117">
        <v>788109</v>
      </c>
      <c r="N20" s="12" t="s">
        <v>31</v>
      </c>
    </row>
    <row r="21" spans="1:14" s="17" customFormat="1" ht="15.75" customHeight="1">
      <c r="A21" s="11" t="s">
        <v>32</v>
      </c>
      <c r="B21" s="115">
        <f>_xlfn.COMPOUNDVALUE(49)</f>
        <v>2088</v>
      </c>
      <c r="C21" s="116">
        <v>756718</v>
      </c>
      <c r="D21" s="115">
        <f>_xlfn.COMPOUNDVALUE(50)</f>
        <v>2163</v>
      </c>
      <c r="E21" s="116">
        <v>586811</v>
      </c>
      <c r="F21" s="115">
        <f>_xlfn.COMPOUNDVALUE(51)</f>
        <v>4251</v>
      </c>
      <c r="G21" s="116">
        <v>1343529</v>
      </c>
      <c r="H21" s="115">
        <f>_xlfn.COMPOUNDVALUE(52)</f>
        <v>157</v>
      </c>
      <c r="I21" s="117">
        <v>56753</v>
      </c>
      <c r="J21" s="115">
        <v>295</v>
      </c>
      <c r="K21" s="117">
        <v>40225</v>
      </c>
      <c r="L21" s="115">
        <f>_xlfn.COMPOUNDVALUE(52)</f>
        <v>4502</v>
      </c>
      <c r="M21" s="117">
        <v>1327000</v>
      </c>
      <c r="N21" s="12" t="s">
        <v>32</v>
      </c>
    </row>
    <row r="22" spans="1:14" s="17" customFormat="1" ht="15.75" customHeight="1">
      <c r="A22" s="13" t="s">
        <v>33</v>
      </c>
      <c r="B22" s="120">
        <f>_xlfn.COMPOUNDVALUE(53)</f>
        <v>1116</v>
      </c>
      <c r="C22" s="121">
        <v>381911</v>
      </c>
      <c r="D22" s="120">
        <f>_xlfn.COMPOUNDVALUE(54)</f>
        <v>1277</v>
      </c>
      <c r="E22" s="121">
        <v>332736</v>
      </c>
      <c r="F22" s="120">
        <f>_xlfn.COMPOUNDVALUE(55)</f>
        <v>2393</v>
      </c>
      <c r="G22" s="121">
        <v>714646</v>
      </c>
      <c r="H22" s="120">
        <f>_xlfn.COMPOUNDVALUE(56)</f>
        <v>78</v>
      </c>
      <c r="I22" s="122">
        <v>48292</v>
      </c>
      <c r="J22" s="120">
        <v>197</v>
      </c>
      <c r="K22" s="122">
        <v>26405</v>
      </c>
      <c r="L22" s="120">
        <f>_xlfn.COMPOUNDVALUE(56)</f>
        <v>2558</v>
      </c>
      <c r="M22" s="122">
        <v>692759</v>
      </c>
      <c r="N22" s="14" t="s">
        <v>33</v>
      </c>
    </row>
    <row r="23" spans="1:14" s="17" customFormat="1" ht="15.75" customHeight="1">
      <c r="A23" s="13" t="s">
        <v>34</v>
      </c>
      <c r="B23" s="120">
        <f>_xlfn.COMPOUNDVALUE(57)</f>
        <v>450</v>
      </c>
      <c r="C23" s="121">
        <v>155668</v>
      </c>
      <c r="D23" s="120">
        <f>_xlfn.COMPOUNDVALUE(58)</f>
        <v>523</v>
      </c>
      <c r="E23" s="121">
        <v>125064</v>
      </c>
      <c r="F23" s="120">
        <f>_xlfn.COMPOUNDVALUE(59)</f>
        <v>973</v>
      </c>
      <c r="G23" s="121">
        <v>280732</v>
      </c>
      <c r="H23" s="120">
        <f>_xlfn.COMPOUNDVALUE(60)</f>
        <v>17</v>
      </c>
      <c r="I23" s="122">
        <v>3618</v>
      </c>
      <c r="J23" s="120">
        <v>30</v>
      </c>
      <c r="K23" s="122">
        <v>3990</v>
      </c>
      <c r="L23" s="120">
        <f>_xlfn.COMPOUNDVALUE(60)</f>
        <v>1000</v>
      </c>
      <c r="M23" s="122">
        <v>281104</v>
      </c>
      <c r="N23" s="14" t="s">
        <v>34</v>
      </c>
    </row>
    <row r="24" spans="1:14" s="17" customFormat="1" ht="15.75" customHeight="1">
      <c r="A24" s="13" t="s">
        <v>35</v>
      </c>
      <c r="B24" s="120">
        <f>_xlfn.COMPOUNDVALUE(61)</f>
        <v>358</v>
      </c>
      <c r="C24" s="121">
        <v>111147</v>
      </c>
      <c r="D24" s="120">
        <f>_xlfn.COMPOUNDVALUE(62)</f>
        <v>429</v>
      </c>
      <c r="E24" s="121">
        <v>106493</v>
      </c>
      <c r="F24" s="120">
        <f>_xlfn.COMPOUNDVALUE(63)</f>
        <v>787</v>
      </c>
      <c r="G24" s="121">
        <v>217640</v>
      </c>
      <c r="H24" s="120">
        <f>_xlfn.COMPOUNDVALUE(64)</f>
        <v>29</v>
      </c>
      <c r="I24" s="122">
        <v>5878</v>
      </c>
      <c r="J24" s="120">
        <v>77</v>
      </c>
      <c r="K24" s="122">
        <v>7679</v>
      </c>
      <c r="L24" s="120">
        <f>_xlfn.COMPOUNDVALUE(64)</f>
        <v>855</v>
      </c>
      <c r="M24" s="122">
        <v>219442</v>
      </c>
      <c r="N24" s="14" t="s">
        <v>35</v>
      </c>
    </row>
    <row r="25" spans="1:14" s="17" customFormat="1" ht="15.75" customHeight="1">
      <c r="A25" s="13" t="s">
        <v>36</v>
      </c>
      <c r="B25" s="120">
        <f>_xlfn.COMPOUNDVALUE(65)</f>
        <v>2253</v>
      </c>
      <c r="C25" s="121">
        <v>783006</v>
      </c>
      <c r="D25" s="120">
        <f>_xlfn.COMPOUNDVALUE(66)</f>
        <v>2271</v>
      </c>
      <c r="E25" s="121">
        <v>586444</v>
      </c>
      <c r="F25" s="120">
        <f>_xlfn.COMPOUNDVALUE(67)</f>
        <v>4524</v>
      </c>
      <c r="G25" s="121">
        <v>1369449</v>
      </c>
      <c r="H25" s="120">
        <f>_xlfn.COMPOUNDVALUE(68)</f>
        <v>185</v>
      </c>
      <c r="I25" s="122">
        <v>70478</v>
      </c>
      <c r="J25" s="120">
        <v>346</v>
      </c>
      <c r="K25" s="122">
        <v>31064</v>
      </c>
      <c r="L25" s="120">
        <f>_xlfn.COMPOUNDVALUE(68)</f>
        <v>4806</v>
      </c>
      <c r="M25" s="122">
        <v>1330035</v>
      </c>
      <c r="N25" s="14" t="s">
        <v>36</v>
      </c>
    </row>
    <row r="26" spans="1:14" s="17" customFormat="1" ht="15.75" customHeight="1">
      <c r="A26" s="13" t="s">
        <v>37</v>
      </c>
      <c r="B26" s="120">
        <f>_xlfn.COMPOUNDVALUE(69)</f>
        <v>321</v>
      </c>
      <c r="C26" s="121">
        <v>111039</v>
      </c>
      <c r="D26" s="120">
        <f>_xlfn.COMPOUNDVALUE(70)</f>
        <v>303</v>
      </c>
      <c r="E26" s="121">
        <v>68324</v>
      </c>
      <c r="F26" s="120">
        <f>_xlfn.COMPOUNDVALUE(71)</f>
        <v>624</v>
      </c>
      <c r="G26" s="121">
        <v>179362</v>
      </c>
      <c r="H26" s="120">
        <f>_xlfn.COMPOUNDVALUE(72)</f>
        <v>12</v>
      </c>
      <c r="I26" s="122">
        <v>921</v>
      </c>
      <c r="J26" s="120">
        <v>61</v>
      </c>
      <c r="K26" s="122">
        <v>4844</v>
      </c>
      <c r="L26" s="120">
        <f>_xlfn.COMPOUNDVALUE(72)</f>
        <v>642</v>
      </c>
      <c r="M26" s="122">
        <v>183286</v>
      </c>
      <c r="N26" s="14" t="s">
        <v>37</v>
      </c>
    </row>
    <row r="27" spans="1:14" s="17" customFormat="1" ht="15.75" customHeight="1">
      <c r="A27" s="13" t="s">
        <v>38</v>
      </c>
      <c r="B27" s="120">
        <f>_xlfn.COMPOUNDVALUE(73)</f>
        <v>667</v>
      </c>
      <c r="C27" s="121">
        <v>194778</v>
      </c>
      <c r="D27" s="120">
        <f>_xlfn.COMPOUNDVALUE(74)</f>
        <v>674</v>
      </c>
      <c r="E27" s="121">
        <v>165283</v>
      </c>
      <c r="F27" s="120">
        <f>_xlfn.COMPOUNDVALUE(75)</f>
        <v>1341</v>
      </c>
      <c r="G27" s="121">
        <v>360061</v>
      </c>
      <c r="H27" s="120">
        <f>_xlfn.COMPOUNDVALUE(76)</f>
        <v>30</v>
      </c>
      <c r="I27" s="122">
        <v>8373</v>
      </c>
      <c r="J27" s="120">
        <v>93</v>
      </c>
      <c r="K27" s="122">
        <v>7880</v>
      </c>
      <c r="L27" s="120">
        <f>_xlfn.COMPOUNDVALUE(76)</f>
        <v>1395</v>
      </c>
      <c r="M27" s="122">
        <v>359567</v>
      </c>
      <c r="N27" s="14" t="s">
        <v>38</v>
      </c>
    </row>
    <row r="28" spans="1:14" s="17" customFormat="1" ht="15.75" customHeight="1">
      <c r="A28" s="13" t="s">
        <v>39</v>
      </c>
      <c r="B28" s="120">
        <f>_xlfn.COMPOUNDVALUE(77)</f>
        <v>522</v>
      </c>
      <c r="C28" s="121">
        <v>184509</v>
      </c>
      <c r="D28" s="120">
        <f>_xlfn.COMPOUNDVALUE(78)</f>
        <v>363</v>
      </c>
      <c r="E28" s="121">
        <v>96410</v>
      </c>
      <c r="F28" s="120">
        <f>_xlfn.COMPOUNDVALUE(79)</f>
        <v>885</v>
      </c>
      <c r="G28" s="121">
        <v>280919</v>
      </c>
      <c r="H28" s="120">
        <f>_xlfn.COMPOUNDVALUE(80)</f>
        <v>16</v>
      </c>
      <c r="I28" s="122">
        <v>3197</v>
      </c>
      <c r="J28" s="120">
        <v>56</v>
      </c>
      <c r="K28" s="122">
        <v>5301</v>
      </c>
      <c r="L28" s="120">
        <f>_xlfn.COMPOUNDVALUE(80)</f>
        <v>909</v>
      </c>
      <c r="M28" s="122">
        <v>283022</v>
      </c>
      <c r="N28" s="14" t="s">
        <v>39</v>
      </c>
    </row>
    <row r="29" spans="1:14" s="17" customFormat="1" ht="15.75" customHeight="1">
      <c r="A29" s="15" t="s">
        <v>40</v>
      </c>
      <c r="B29" s="125">
        <v>12547</v>
      </c>
      <c r="C29" s="126">
        <v>4898237</v>
      </c>
      <c r="D29" s="125">
        <v>13713</v>
      </c>
      <c r="E29" s="126">
        <v>3643761</v>
      </c>
      <c r="F29" s="125">
        <v>26260</v>
      </c>
      <c r="G29" s="126">
        <v>8541998</v>
      </c>
      <c r="H29" s="125">
        <v>820</v>
      </c>
      <c r="I29" s="127">
        <v>397482</v>
      </c>
      <c r="J29" s="125">
        <v>1790</v>
      </c>
      <c r="K29" s="127">
        <v>280669</v>
      </c>
      <c r="L29" s="125">
        <v>27695</v>
      </c>
      <c r="M29" s="127">
        <v>8425185</v>
      </c>
      <c r="N29" s="16" t="s">
        <v>124</v>
      </c>
    </row>
    <row r="30" spans="1:14" s="17" customFormat="1" ht="15.75" customHeight="1">
      <c r="A30" s="23"/>
      <c r="B30" s="130"/>
      <c r="C30" s="131"/>
      <c r="D30" s="130"/>
      <c r="E30" s="131"/>
      <c r="F30" s="132"/>
      <c r="G30" s="131"/>
      <c r="H30" s="132"/>
      <c r="I30" s="131"/>
      <c r="J30" s="132"/>
      <c r="K30" s="131"/>
      <c r="L30" s="132"/>
      <c r="M30" s="131"/>
      <c r="N30" s="24"/>
    </row>
    <row r="31" spans="1:14" s="17" customFormat="1" ht="15.75" customHeight="1">
      <c r="A31" s="11" t="s">
        <v>41</v>
      </c>
      <c r="B31" s="115">
        <f>_xlfn.COMPOUNDVALUE(81)</f>
        <v>767</v>
      </c>
      <c r="C31" s="116">
        <v>287885</v>
      </c>
      <c r="D31" s="115">
        <f>_xlfn.COMPOUNDVALUE(82)</f>
        <v>640</v>
      </c>
      <c r="E31" s="116">
        <v>177459</v>
      </c>
      <c r="F31" s="115">
        <f>_xlfn.COMPOUNDVALUE(83)</f>
        <v>1407</v>
      </c>
      <c r="G31" s="116">
        <v>465344</v>
      </c>
      <c r="H31" s="115">
        <f>_xlfn.COMPOUNDVALUE(84)</f>
        <v>51</v>
      </c>
      <c r="I31" s="117">
        <v>20393</v>
      </c>
      <c r="J31" s="115">
        <v>99</v>
      </c>
      <c r="K31" s="117">
        <v>19354</v>
      </c>
      <c r="L31" s="115">
        <f>_xlfn.COMPOUNDVALUE(84)</f>
        <v>1492</v>
      </c>
      <c r="M31" s="117">
        <v>464305</v>
      </c>
      <c r="N31" s="25" t="s">
        <v>41</v>
      </c>
    </row>
    <row r="32" spans="1:14" s="17" customFormat="1" ht="15.75" customHeight="1">
      <c r="A32" s="11" t="s">
        <v>42</v>
      </c>
      <c r="B32" s="115">
        <f>_xlfn.COMPOUNDVALUE(85)</f>
        <v>841</v>
      </c>
      <c r="C32" s="116">
        <v>375790</v>
      </c>
      <c r="D32" s="115">
        <f>_xlfn.COMPOUNDVALUE(86)</f>
        <v>679</v>
      </c>
      <c r="E32" s="116">
        <v>199664</v>
      </c>
      <c r="F32" s="115">
        <f>_xlfn.COMPOUNDVALUE(87)</f>
        <v>1520</v>
      </c>
      <c r="G32" s="116">
        <v>575454</v>
      </c>
      <c r="H32" s="115">
        <f>_xlfn.COMPOUNDVALUE(88)</f>
        <v>74</v>
      </c>
      <c r="I32" s="117">
        <v>51950</v>
      </c>
      <c r="J32" s="115">
        <v>99</v>
      </c>
      <c r="K32" s="117">
        <v>56130</v>
      </c>
      <c r="L32" s="115">
        <f>_xlfn.COMPOUNDVALUE(88)</f>
        <v>1642</v>
      </c>
      <c r="M32" s="117">
        <v>579633</v>
      </c>
      <c r="N32" s="12" t="s">
        <v>42</v>
      </c>
    </row>
    <row r="33" spans="1:14" s="17" customFormat="1" ht="15.75" customHeight="1">
      <c r="A33" s="11" t="s">
        <v>43</v>
      </c>
      <c r="B33" s="115">
        <f>_xlfn.COMPOUNDVALUE(89)</f>
        <v>888</v>
      </c>
      <c r="C33" s="116">
        <v>434918</v>
      </c>
      <c r="D33" s="115">
        <f>_xlfn.COMPOUNDVALUE(90)</f>
        <v>746</v>
      </c>
      <c r="E33" s="116">
        <v>184353</v>
      </c>
      <c r="F33" s="115">
        <f>_xlfn.COMPOUNDVALUE(91)</f>
        <v>1634</v>
      </c>
      <c r="G33" s="116">
        <v>619271</v>
      </c>
      <c r="H33" s="115">
        <f>_xlfn.COMPOUNDVALUE(92)</f>
        <v>60</v>
      </c>
      <c r="I33" s="117">
        <v>23900</v>
      </c>
      <c r="J33" s="115">
        <v>163</v>
      </c>
      <c r="K33" s="117">
        <v>21671</v>
      </c>
      <c r="L33" s="115">
        <f>_xlfn.COMPOUNDVALUE(92)</f>
        <v>1749</v>
      </c>
      <c r="M33" s="117">
        <v>617042</v>
      </c>
      <c r="N33" s="12" t="s">
        <v>43</v>
      </c>
    </row>
    <row r="34" spans="1:14" s="17" customFormat="1" ht="15.75" customHeight="1">
      <c r="A34" s="11" t="s">
        <v>44</v>
      </c>
      <c r="B34" s="115">
        <f>_xlfn.COMPOUNDVALUE(93)</f>
        <v>522</v>
      </c>
      <c r="C34" s="116">
        <v>282101</v>
      </c>
      <c r="D34" s="115">
        <f>_xlfn.COMPOUNDVALUE(94)</f>
        <v>612</v>
      </c>
      <c r="E34" s="116">
        <v>185602</v>
      </c>
      <c r="F34" s="115">
        <f>_xlfn.COMPOUNDVALUE(95)</f>
        <v>1134</v>
      </c>
      <c r="G34" s="116">
        <v>467702</v>
      </c>
      <c r="H34" s="115">
        <f>_xlfn.COMPOUNDVALUE(96)</f>
        <v>41</v>
      </c>
      <c r="I34" s="117">
        <v>37929</v>
      </c>
      <c r="J34" s="115">
        <v>50</v>
      </c>
      <c r="K34" s="117">
        <v>11896</v>
      </c>
      <c r="L34" s="115">
        <f>_xlfn.COMPOUNDVALUE(96)</f>
        <v>1193</v>
      </c>
      <c r="M34" s="117">
        <v>441669</v>
      </c>
      <c r="N34" s="12" t="s">
        <v>44</v>
      </c>
    </row>
    <row r="35" spans="1:14" s="17" customFormat="1" ht="15.75" customHeight="1">
      <c r="A35" s="11" t="s">
        <v>45</v>
      </c>
      <c r="B35" s="115">
        <f>_xlfn.COMPOUNDVALUE(97)</f>
        <v>549</v>
      </c>
      <c r="C35" s="116">
        <v>209339</v>
      </c>
      <c r="D35" s="115">
        <f>_xlfn.COMPOUNDVALUE(98)</f>
        <v>352</v>
      </c>
      <c r="E35" s="116">
        <v>111265</v>
      </c>
      <c r="F35" s="115">
        <f>_xlfn.COMPOUNDVALUE(99)</f>
        <v>901</v>
      </c>
      <c r="G35" s="116">
        <v>320604</v>
      </c>
      <c r="H35" s="115">
        <f>_xlfn.COMPOUNDVALUE(100)</f>
        <v>30</v>
      </c>
      <c r="I35" s="117">
        <v>33120</v>
      </c>
      <c r="J35" s="115">
        <v>59</v>
      </c>
      <c r="K35" s="117">
        <v>18307</v>
      </c>
      <c r="L35" s="115">
        <f>_xlfn.COMPOUNDVALUE(100)</f>
        <v>956</v>
      </c>
      <c r="M35" s="117">
        <v>305791</v>
      </c>
      <c r="N35" s="12" t="s">
        <v>45</v>
      </c>
    </row>
    <row r="36" spans="1:14" s="17" customFormat="1" ht="15.75" customHeight="1">
      <c r="A36" s="11" t="s">
        <v>46</v>
      </c>
      <c r="B36" s="115">
        <f>_xlfn.COMPOUNDVALUE(101)</f>
        <v>456</v>
      </c>
      <c r="C36" s="116">
        <v>168008</v>
      </c>
      <c r="D36" s="115">
        <f>_xlfn.COMPOUNDVALUE(102)</f>
        <v>436</v>
      </c>
      <c r="E36" s="116">
        <v>105804</v>
      </c>
      <c r="F36" s="115">
        <f>_xlfn.COMPOUNDVALUE(103)</f>
        <v>892</v>
      </c>
      <c r="G36" s="116">
        <v>273813</v>
      </c>
      <c r="H36" s="115">
        <f>_xlfn.COMPOUNDVALUE(104)</f>
        <v>28</v>
      </c>
      <c r="I36" s="117">
        <v>4871</v>
      </c>
      <c r="J36" s="115">
        <v>59</v>
      </c>
      <c r="K36" s="117">
        <v>7792</v>
      </c>
      <c r="L36" s="115">
        <f>_xlfn.COMPOUNDVALUE(104)</f>
        <v>946</v>
      </c>
      <c r="M36" s="117">
        <v>276734</v>
      </c>
      <c r="N36" s="12" t="s">
        <v>46</v>
      </c>
    </row>
    <row r="37" spans="1:14" s="17" customFormat="1" ht="15.75" customHeight="1">
      <c r="A37" s="11" t="s">
        <v>47</v>
      </c>
      <c r="B37" s="115">
        <f>_xlfn.COMPOUNDVALUE(105)</f>
        <v>456</v>
      </c>
      <c r="C37" s="116">
        <v>171305</v>
      </c>
      <c r="D37" s="115">
        <f>_xlfn.COMPOUNDVALUE(106)</f>
        <v>564</v>
      </c>
      <c r="E37" s="116">
        <v>145396</v>
      </c>
      <c r="F37" s="115">
        <f>_xlfn.COMPOUNDVALUE(107)</f>
        <v>1020</v>
      </c>
      <c r="G37" s="116">
        <v>316701</v>
      </c>
      <c r="H37" s="115">
        <f>_xlfn.COMPOUNDVALUE(108)</f>
        <v>21</v>
      </c>
      <c r="I37" s="117">
        <v>4930</v>
      </c>
      <c r="J37" s="115">
        <v>55</v>
      </c>
      <c r="K37" s="117">
        <v>29375</v>
      </c>
      <c r="L37" s="115">
        <f>_xlfn.COMPOUNDVALUE(108)</f>
        <v>1066</v>
      </c>
      <c r="M37" s="117">
        <v>341145</v>
      </c>
      <c r="N37" s="12" t="s">
        <v>47</v>
      </c>
    </row>
    <row r="38" spans="1:14" s="17" customFormat="1" ht="15.75" customHeight="1">
      <c r="A38" s="11" t="s">
        <v>48</v>
      </c>
      <c r="B38" s="115">
        <f>_xlfn.COMPOUNDVALUE(109)</f>
        <v>950</v>
      </c>
      <c r="C38" s="116">
        <v>398412</v>
      </c>
      <c r="D38" s="115">
        <f>_xlfn.COMPOUNDVALUE(110)</f>
        <v>1073</v>
      </c>
      <c r="E38" s="116">
        <v>267733</v>
      </c>
      <c r="F38" s="115">
        <f>_xlfn.COMPOUNDVALUE(111)</f>
        <v>2023</v>
      </c>
      <c r="G38" s="116">
        <v>666145</v>
      </c>
      <c r="H38" s="115">
        <f>_xlfn.COMPOUNDVALUE(112)</f>
        <v>40</v>
      </c>
      <c r="I38" s="117">
        <v>5807</v>
      </c>
      <c r="J38" s="115">
        <v>221</v>
      </c>
      <c r="K38" s="117">
        <v>46133</v>
      </c>
      <c r="L38" s="115">
        <f>_xlfn.COMPOUNDVALUE(112)</f>
        <v>2110</v>
      </c>
      <c r="M38" s="117">
        <v>706470</v>
      </c>
      <c r="N38" s="12" t="s">
        <v>48</v>
      </c>
    </row>
    <row r="39" spans="1:14" s="17" customFormat="1" ht="15.75" customHeight="1">
      <c r="A39" s="11" t="s">
        <v>49</v>
      </c>
      <c r="B39" s="115">
        <f>_xlfn.COMPOUNDVALUE(113)</f>
        <v>875</v>
      </c>
      <c r="C39" s="116">
        <v>265409</v>
      </c>
      <c r="D39" s="115">
        <f>_xlfn.COMPOUNDVALUE(114)</f>
        <v>872</v>
      </c>
      <c r="E39" s="116">
        <v>232741</v>
      </c>
      <c r="F39" s="115">
        <f>_xlfn.COMPOUNDVALUE(115)</f>
        <v>1747</v>
      </c>
      <c r="G39" s="116">
        <v>498150</v>
      </c>
      <c r="H39" s="115">
        <f>_xlfn.COMPOUNDVALUE(116)</f>
        <v>53</v>
      </c>
      <c r="I39" s="117">
        <v>8740</v>
      </c>
      <c r="J39" s="115">
        <v>82</v>
      </c>
      <c r="K39" s="117">
        <v>13291</v>
      </c>
      <c r="L39" s="115">
        <f>_xlfn.COMPOUNDVALUE(116)</f>
        <v>1833</v>
      </c>
      <c r="M39" s="117">
        <v>502702</v>
      </c>
      <c r="N39" s="12" t="s">
        <v>49</v>
      </c>
    </row>
    <row r="40" spans="1:14" s="17" customFormat="1" ht="15.75" customHeight="1">
      <c r="A40" s="11" t="s">
        <v>50</v>
      </c>
      <c r="B40" s="115">
        <f>_xlfn.COMPOUNDVALUE(117)</f>
        <v>1172</v>
      </c>
      <c r="C40" s="116">
        <v>369181</v>
      </c>
      <c r="D40" s="115">
        <f>_xlfn.COMPOUNDVALUE(118)</f>
        <v>1079</v>
      </c>
      <c r="E40" s="116">
        <v>281201</v>
      </c>
      <c r="F40" s="115">
        <f>_xlfn.COMPOUNDVALUE(119)</f>
        <v>2251</v>
      </c>
      <c r="G40" s="116">
        <v>650382</v>
      </c>
      <c r="H40" s="115">
        <f>_xlfn.COMPOUNDVALUE(120)</f>
        <v>81</v>
      </c>
      <c r="I40" s="117">
        <v>36128</v>
      </c>
      <c r="J40" s="115">
        <v>219</v>
      </c>
      <c r="K40" s="117">
        <v>43143</v>
      </c>
      <c r="L40" s="115">
        <f>_xlfn.COMPOUNDVALUE(120)</f>
        <v>2408</v>
      </c>
      <c r="M40" s="117">
        <v>657397</v>
      </c>
      <c r="N40" s="12" t="s">
        <v>50</v>
      </c>
    </row>
    <row r="41" spans="1:14" s="17" customFormat="1" ht="15.75" customHeight="1">
      <c r="A41" s="11" t="s">
        <v>51</v>
      </c>
      <c r="B41" s="115">
        <f>_xlfn.COMPOUNDVALUE(121)</f>
        <v>524</v>
      </c>
      <c r="C41" s="116">
        <v>206015</v>
      </c>
      <c r="D41" s="115">
        <f>_xlfn.COMPOUNDVALUE(122)</f>
        <v>576</v>
      </c>
      <c r="E41" s="116">
        <v>169014</v>
      </c>
      <c r="F41" s="115">
        <f>_xlfn.COMPOUNDVALUE(123)</f>
        <v>1100</v>
      </c>
      <c r="G41" s="116">
        <v>375029</v>
      </c>
      <c r="H41" s="115">
        <f>_xlfn.COMPOUNDVALUE(124)</f>
        <v>46</v>
      </c>
      <c r="I41" s="117">
        <v>13505</v>
      </c>
      <c r="J41" s="115">
        <v>123</v>
      </c>
      <c r="K41" s="117">
        <v>26221</v>
      </c>
      <c r="L41" s="115">
        <f>_xlfn.COMPOUNDVALUE(124)</f>
        <v>1205</v>
      </c>
      <c r="M41" s="117">
        <v>387746</v>
      </c>
      <c r="N41" s="12" t="s">
        <v>51</v>
      </c>
    </row>
    <row r="42" spans="1:14" s="17" customFormat="1" ht="15.75" customHeight="1">
      <c r="A42" s="11" t="s">
        <v>52</v>
      </c>
      <c r="B42" s="115">
        <f>_xlfn.COMPOUNDVALUE(125)</f>
        <v>1236</v>
      </c>
      <c r="C42" s="116">
        <v>375620</v>
      </c>
      <c r="D42" s="115">
        <f>_xlfn.COMPOUNDVALUE(126)</f>
        <v>1054</v>
      </c>
      <c r="E42" s="116">
        <v>295780</v>
      </c>
      <c r="F42" s="115">
        <f>_xlfn.COMPOUNDVALUE(127)</f>
        <v>2290</v>
      </c>
      <c r="G42" s="116">
        <v>671400</v>
      </c>
      <c r="H42" s="115">
        <f>_xlfn.COMPOUNDVALUE(128)</f>
        <v>70</v>
      </c>
      <c r="I42" s="117">
        <v>25534</v>
      </c>
      <c r="J42" s="115">
        <v>210</v>
      </c>
      <c r="K42" s="117">
        <v>62860</v>
      </c>
      <c r="L42" s="115">
        <f>_xlfn.COMPOUNDVALUE(128)</f>
        <v>2426</v>
      </c>
      <c r="M42" s="117">
        <v>708726</v>
      </c>
      <c r="N42" s="12" t="s">
        <v>52</v>
      </c>
    </row>
    <row r="43" spans="1:14" s="17" customFormat="1" ht="15.75" customHeight="1">
      <c r="A43" s="11" t="s">
        <v>53</v>
      </c>
      <c r="B43" s="115">
        <f>_xlfn.COMPOUNDVALUE(129)</f>
        <v>1792</v>
      </c>
      <c r="C43" s="116">
        <v>625256</v>
      </c>
      <c r="D43" s="115">
        <f>_xlfn.COMPOUNDVALUE(130)</f>
        <v>1827</v>
      </c>
      <c r="E43" s="116">
        <v>474806</v>
      </c>
      <c r="F43" s="115">
        <f>_xlfn.COMPOUNDVALUE(131)</f>
        <v>3619</v>
      </c>
      <c r="G43" s="116">
        <v>1100062</v>
      </c>
      <c r="H43" s="115">
        <f>_xlfn.COMPOUNDVALUE(132)</f>
        <v>110</v>
      </c>
      <c r="I43" s="117">
        <v>33886</v>
      </c>
      <c r="J43" s="115">
        <v>299</v>
      </c>
      <c r="K43" s="117">
        <v>151014</v>
      </c>
      <c r="L43" s="115">
        <f>_xlfn.COMPOUNDVALUE(132)</f>
        <v>3781</v>
      </c>
      <c r="M43" s="117">
        <v>1217190</v>
      </c>
      <c r="N43" s="12" t="s">
        <v>53</v>
      </c>
    </row>
    <row r="44" spans="1:14" s="17" customFormat="1" ht="15.75" customHeight="1">
      <c r="A44" s="11" t="s">
        <v>54</v>
      </c>
      <c r="B44" s="115">
        <f>_xlfn.COMPOUNDVALUE(133)</f>
        <v>635</v>
      </c>
      <c r="C44" s="116">
        <v>243848</v>
      </c>
      <c r="D44" s="115">
        <f>_xlfn.COMPOUNDVALUE(134)</f>
        <v>518</v>
      </c>
      <c r="E44" s="116">
        <v>133087</v>
      </c>
      <c r="F44" s="115">
        <f>_xlfn.COMPOUNDVALUE(135)</f>
        <v>1153</v>
      </c>
      <c r="G44" s="116">
        <v>376935</v>
      </c>
      <c r="H44" s="115">
        <f>_xlfn.COMPOUNDVALUE(136)</f>
        <v>42</v>
      </c>
      <c r="I44" s="117">
        <v>11205</v>
      </c>
      <c r="J44" s="115">
        <v>112</v>
      </c>
      <c r="K44" s="117">
        <v>21318</v>
      </c>
      <c r="L44" s="115">
        <f>_xlfn.COMPOUNDVALUE(136)</f>
        <v>1244</v>
      </c>
      <c r="M44" s="117">
        <v>387047</v>
      </c>
      <c r="N44" s="12" t="s">
        <v>54</v>
      </c>
    </row>
    <row r="45" spans="1:14" s="17" customFormat="1" ht="15.75" customHeight="1">
      <c r="A45" s="11" t="s">
        <v>55</v>
      </c>
      <c r="B45" s="115">
        <f>_xlfn.COMPOUNDVALUE(137)</f>
        <v>1624</v>
      </c>
      <c r="C45" s="116">
        <v>634335</v>
      </c>
      <c r="D45" s="115">
        <f>_xlfn.COMPOUNDVALUE(138)</f>
        <v>1339</v>
      </c>
      <c r="E45" s="116">
        <v>399192</v>
      </c>
      <c r="F45" s="115">
        <f>_xlfn.COMPOUNDVALUE(139)</f>
        <v>2963</v>
      </c>
      <c r="G45" s="116">
        <v>1033528</v>
      </c>
      <c r="H45" s="115">
        <f>_xlfn.COMPOUNDVALUE(140)</f>
        <v>81</v>
      </c>
      <c r="I45" s="117">
        <v>83152</v>
      </c>
      <c r="J45" s="115">
        <v>305</v>
      </c>
      <c r="K45" s="117">
        <v>73691</v>
      </c>
      <c r="L45" s="115">
        <f>_xlfn.COMPOUNDVALUE(140)</f>
        <v>3146</v>
      </c>
      <c r="M45" s="117">
        <v>1024066</v>
      </c>
      <c r="N45" s="12" t="s">
        <v>55</v>
      </c>
    </row>
    <row r="46" spans="1:14" s="17" customFormat="1" ht="15.75" customHeight="1">
      <c r="A46" s="11" t="s">
        <v>56</v>
      </c>
      <c r="B46" s="115">
        <f>_xlfn.COMPOUNDVALUE(141)</f>
        <v>1194</v>
      </c>
      <c r="C46" s="116">
        <v>898446</v>
      </c>
      <c r="D46" s="115">
        <f>_xlfn.COMPOUNDVALUE(142)</f>
        <v>1376</v>
      </c>
      <c r="E46" s="116">
        <v>530203</v>
      </c>
      <c r="F46" s="115">
        <f>_xlfn.COMPOUNDVALUE(143)</f>
        <v>2570</v>
      </c>
      <c r="G46" s="116">
        <v>1428649</v>
      </c>
      <c r="H46" s="115">
        <f>_xlfn.COMPOUNDVALUE(144)</f>
        <v>68</v>
      </c>
      <c r="I46" s="117">
        <v>57188</v>
      </c>
      <c r="J46" s="115">
        <v>212</v>
      </c>
      <c r="K46" s="117">
        <v>101013</v>
      </c>
      <c r="L46" s="115">
        <f>_xlfn.COMPOUNDVALUE(144)</f>
        <v>2706</v>
      </c>
      <c r="M46" s="117">
        <v>1472474</v>
      </c>
      <c r="N46" s="12" t="s">
        <v>56</v>
      </c>
    </row>
    <row r="47" spans="1:14" s="17" customFormat="1" ht="15.75" customHeight="1">
      <c r="A47" s="11" t="s">
        <v>57</v>
      </c>
      <c r="B47" s="115">
        <f>_xlfn.COMPOUNDVALUE(145)</f>
        <v>531</v>
      </c>
      <c r="C47" s="116">
        <v>247826</v>
      </c>
      <c r="D47" s="115">
        <f>_xlfn.COMPOUNDVALUE(146)</f>
        <v>509</v>
      </c>
      <c r="E47" s="116">
        <v>161850</v>
      </c>
      <c r="F47" s="115">
        <f>_xlfn.COMPOUNDVALUE(147)</f>
        <v>1040</v>
      </c>
      <c r="G47" s="116">
        <v>409676</v>
      </c>
      <c r="H47" s="115">
        <f>_xlfn.COMPOUNDVALUE(148)</f>
        <v>42</v>
      </c>
      <c r="I47" s="117">
        <v>10195</v>
      </c>
      <c r="J47" s="115">
        <v>62</v>
      </c>
      <c r="K47" s="117">
        <v>43628</v>
      </c>
      <c r="L47" s="115">
        <f>_xlfn.COMPOUNDVALUE(148)</f>
        <v>1106</v>
      </c>
      <c r="M47" s="117">
        <v>443109</v>
      </c>
      <c r="N47" s="12" t="s">
        <v>57</v>
      </c>
    </row>
    <row r="48" spans="1:14" s="17" customFormat="1" ht="15.75" customHeight="1">
      <c r="A48" s="11" t="s">
        <v>58</v>
      </c>
      <c r="B48" s="115">
        <f>_xlfn.COMPOUNDVALUE(149)</f>
        <v>843</v>
      </c>
      <c r="C48" s="116">
        <v>678534</v>
      </c>
      <c r="D48" s="115">
        <f>_xlfn.COMPOUNDVALUE(150)</f>
        <v>998</v>
      </c>
      <c r="E48" s="116">
        <v>391841</v>
      </c>
      <c r="F48" s="115">
        <f>_xlfn.COMPOUNDVALUE(151)</f>
        <v>1841</v>
      </c>
      <c r="G48" s="116">
        <v>1070375</v>
      </c>
      <c r="H48" s="115">
        <f>_xlfn.COMPOUNDVALUE(152)</f>
        <v>87</v>
      </c>
      <c r="I48" s="117">
        <v>114621</v>
      </c>
      <c r="J48" s="115">
        <v>53</v>
      </c>
      <c r="K48" s="117">
        <v>28610</v>
      </c>
      <c r="L48" s="115">
        <f>_xlfn.COMPOUNDVALUE(152)</f>
        <v>1952</v>
      </c>
      <c r="M48" s="117">
        <v>984364</v>
      </c>
      <c r="N48" s="12" t="s">
        <v>58</v>
      </c>
    </row>
    <row r="49" spans="1:14" s="17" customFormat="1" ht="15.75" customHeight="1">
      <c r="A49" s="11" t="s">
        <v>59</v>
      </c>
      <c r="B49" s="115">
        <f>_xlfn.COMPOUNDVALUE(153)</f>
        <v>907</v>
      </c>
      <c r="C49" s="116">
        <v>485216</v>
      </c>
      <c r="D49" s="115">
        <f>_xlfn.COMPOUNDVALUE(154)</f>
        <v>799</v>
      </c>
      <c r="E49" s="116">
        <v>274169</v>
      </c>
      <c r="F49" s="115">
        <f>_xlfn.COMPOUNDVALUE(155)</f>
        <v>1706</v>
      </c>
      <c r="G49" s="116">
        <v>759385</v>
      </c>
      <c r="H49" s="115">
        <f>_xlfn.COMPOUNDVALUE(156)</f>
        <v>78</v>
      </c>
      <c r="I49" s="117">
        <v>30635</v>
      </c>
      <c r="J49" s="115">
        <v>110</v>
      </c>
      <c r="K49" s="117">
        <v>55607</v>
      </c>
      <c r="L49" s="115">
        <f>_xlfn.COMPOUNDVALUE(156)</f>
        <v>1838</v>
      </c>
      <c r="M49" s="117">
        <v>784358</v>
      </c>
      <c r="N49" s="12" t="s">
        <v>59</v>
      </c>
    </row>
    <row r="50" spans="1:14" s="17" customFormat="1" ht="15.75" customHeight="1">
      <c r="A50" s="11" t="s">
        <v>60</v>
      </c>
      <c r="B50" s="115">
        <f>_xlfn.COMPOUNDVALUE(157)</f>
        <v>3905</v>
      </c>
      <c r="C50" s="116">
        <v>1333208</v>
      </c>
      <c r="D50" s="115">
        <f>_xlfn.COMPOUNDVALUE(158)</f>
        <v>3148</v>
      </c>
      <c r="E50" s="116">
        <v>865219</v>
      </c>
      <c r="F50" s="115">
        <f>_xlfn.COMPOUNDVALUE(159)</f>
        <v>7053</v>
      </c>
      <c r="G50" s="116">
        <v>2198427</v>
      </c>
      <c r="H50" s="115">
        <f>_xlfn.COMPOUNDVALUE(160)</f>
        <v>237</v>
      </c>
      <c r="I50" s="117">
        <v>130374</v>
      </c>
      <c r="J50" s="115">
        <v>466</v>
      </c>
      <c r="K50" s="117">
        <v>71440</v>
      </c>
      <c r="L50" s="115">
        <f>_xlfn.COMPOUNDVALUE(160)</f>
        <v>7430</v>
      </c>
      <c r="M50" s="117">
        <v>2139493</v>
      </c>
      <c r="N50" s="12" t="s">
        <v>60</v>
      </c>
    </row>
    <row r="51" spans="1:14" s="17" customFormat="1" ht="15.75" customHeight="1">
      <c r="A51" s="11" t="s">
        <v>61</v>
      </c>
      <c r="B51" s="115">
        <f>_xlfn.COMPOUNDVALUE(161)</f>
        <v>1589</v>
      </c>
      <c r="C51" s="116">
        <v>539264</v>
      </c>
      <c r="D51" s="115">
        <f>_xlfn.COMPOUNDVALUE(162)</f>
        <v>1193</v>
      </c>
      <c r="E51" s="116">
        <v>307025</v>
      </c>
      <c r="F51" s="115">
        <f>_xlfn.COMPOUNDVALUE(163)</f>
        <v>2782</v>
      </c>
      <c r="G51" s="116">
        <v>846289</v>
      </c>
      <c r="H51" s="115">
        <f>_xlfn.COMPOUNDVALUE(164)</f>
        <v>72</v>
      </c>
      <c r="I51" s="117">
        <v>35291</v>
      </c>
      <c r="J51" s="115">
        <v>216</v>
      </c>
      <c r="K51" s="117">
        <v>27585</v>
      </c>
      <c r="L51" s="115">
        <f>_xlfn.COMPOUNDVALUE(164)</f>
        <v>2934</v>
      </c>
      <c r="M51" s="117">
        <v>838583</v>
      </c>
      <c r="N51" s="12" t="s">
        <v>61</v>
      </c>
    </row>
    <row r="52" spans="1:14" s="17" customFormat="1" ht="15.75" customHeight="1">
      <c r="A52" s="11" t="s">
        <v>62</v>
      </c>
      <c r="B52" s="115">
        <f>_xlfn.COMPOUNDVALUE(165)</f>
        <v>2595</v>
      </c>
      <c r="C52" s="116">
        <v>1033298</v>
      </c>
      <c r="D52" s="115">
        <f>_xlfn.COMPOUNDVALUE(166)</f>
        <v>2833</v>
      </c>
      <c r="E52" s="116">
        <v>824961</v>
      </c>
      <c r="F52" s="115">
        <f>_xlfn.COMPOUNDVALUE(167)</f>
        <v>5428</v>
      </c>
      <c r="G52" s="116">
        <v>1858259</v>
      </c>
      <c r="H52" s="115">
        <f>_xlfn.COMPOUNDVALUE(168)</f>
        <v>223</v>
      </c>
      <c r="I52" s="117">
        <v>115532</v>
      </c>
      <c r="J52" s="115">
        <v>408</v>
      </c>
      <c r="K52" s="117">
        <v>604956</v>
      </c>
      <c r="L52" s="115">
        <f>_xlfn.COMPOUNDVALUE(168)</f>
        <v>5778</v>
      </c>
      <c r="M52" s="117">
        <v>2347683</v>
      </c>
      <c r="N52" s="12" t="s">
        <v>62</v>
      </c>
    </row>
    <row r="53" spans="1:14" s="17" customFormat="1" ht="15.75" customHeight="1">
      <c r="A53" s="11" t="s">
        <v>63</v>
      </c>
      <c r="B53" s="115">
        <f>_xlfn.COMPOUNDVALUE(169)</f>
        <v>1607</v>
      </c>
      <c r="C53" s="116">
        <v>565816</v>
      </c>
      <c r="D53" s="115">
        <f>_xlfn.COMPOUNDVALUE(170)</f>
        <v>1744</v>
      </c>
      <c r="E53" s="116">
        <v>528876</v>
      </c>
      <c r="F53" s="115">
        <f>_xlfn.COMPOUNDVALUE(171)</f>
        <v>3351</v>
      </c>
      <c r="G53" s="116">
        <v>1094693</v>
      </c>
      <c r="H53" s="115">
        <f>_xlfn.COMPOUNDVALUE(172)</f>
        <v>142</v>
      </c>
      <c r="I53" s="117">
        <v>63842</v>
      </c>
      <c r="J53" s="115">
        <v>342</v>
      </c>
      <c r="K53" s="117">
        <v>35704</v>
      </c>
      <c r="L53" s="115">
        <f>_xlfn.COMPOUNDVALUE(172)</f>
        <v>3615</v>
      </c>
      <c r="M53" s="117">
        <v>1066554</v>
      </c>
      <c r="N53" s="12" t="s">
        <v>63</v>
      </c>
    </row>
    <row r="54" spans="1:14" s="17" customFormat="1" ht="15.75" customHeight="1">
      <c r="A54" s="11" t="s">
        <v>64</v>
      </c>
      <c r="B54" s="115">
        <f>_xlfn.COMPOUNDVALUE(173)</f>
        <v>1549</v>
      </c>
      <c r="C54" s="116">
        <v>498371</v>
      </c>
      <c r="D54" s="115">
        <f>_xlfn.COMPOUNDVALUE(174)</f>
        <v>1212</v>
      </c>
      <c r="E54" s="116">
        <v>317841</v>
      </c>
      <c r="F54" s="115">
        <f>_xlfn.COMPOUNDVALUE(175)</f>
        <v>2761</v>
      </c>
      <c r="G54" s="116">
        <v>816212</v>
      </c>
      <c r="H54" s="115">
        <f>_xlfn.COMPOUNDVALUE(176)</f>
        <v>95</v>
      </c>
      <c r="I54" s="117">
        <v>47327</v>
      </c>
      <c r="J54" s="115">
        <v>322</v>
      </c>
      <c r="K54" s="117">
        <v>32066</v>
      </c>
      <c r="L54" s="115">
        <f>_xlfn.COMPOUNDVALUE(176)</f>
        <v>2991</v>
      </c>
      <c r="M54" s="117">
        <v>800951</v>
      </c>
      <c r="N54" s="12" t="s">
        <v>64</v>
      </c>
    </row>
    <row r="55" spans="1:14" s="17" customFormat="1" ht="15.75" customHeight="1">
      <c r="A55" s="13" t="s">
        <v>65</v>
      </c>
      <c r="B55" s="120">
        <f>_xlfn.COMPOUNDVALUE(177)</f>
        <v>2716</v>
      </c>
      <c r="C55" s="121">
        <v>898356</v>
      </c>
      <c r="D55" s="120">
        <f>_xlfn.COMPOUNDVALUE(178)</f>
        <v>2383</v>
      </c>
      <c r="E55" s="121">
        <v>667395</v>
      </c>
      <c r="F55" s="120">
        <f>_xlfn.COMPOUNDVALUE(179)</f>
        <v>5099</v>
      </c>
      <c r="G55" s="121">
        <v>1565751</v>
      </c>
      <c r="H55" s="120">
        <f>_xlfn.COMPOUNDVALUE(180)</f>
        <v>185</v>
      </c>
      <c r="I55" s="122">
        <v>74393</v>
      </c>
      <c r="J55" s="120">
        <v>513</v>
      </c>
      <c r="K55" s="122">
        <v>99622</v>
      </c>
      <c r="L55" s="120">
        <f>_xlfn.COMPOUNDVALUE(180)</f>
        <v>5478</v>
      </c>
      <c r="M55" s="122">
        <v>1590979</v>
      </c>
      <c r="N55" s="14" t="s">
        <v>65</v>
      </c>
    </row>
    <row r="56" spans="1:14" s="17" customFormat="1" ht="15.75" customHeight="1">
      <c r="A56" s="13" t="s">
        <v>66</v>
      </c>
      <c r="B56" s="120">
        <f>_xlfn.COMPOUNDVALUE(181)</f>
        <v>2143</v>
      </c>
      <c r="C56" s="121">
        <v>787209</v>
      </c>
      <c r="D56" s="120">
        <f>_xlfn.COMPOUNDVALUE(182)</f>
        <v>2049</v>
      </c>
      <c r="E56" s="121">
        <v>565992</v>
      </c>
      <c r="F56" s="120">
        <f>_xlfn.COMPOUNDVALUE(183)</f>
        <v>4192</v>
      </c>
      <c r="G56" s="121">
        <v>1353200</v>
      </c>
      <c r="H56" s="120">
        <f>_xlfn.COMPOUNDVALUE(184)</f>
        <v>136</v>
      </c>
      <c r="I56" s="122">
        <v>96473</v>
      </c>
      <c r="J56" s="120">
        <v>342</v>
      </c>
      <c r="K56" s="122">
        <v>72796</v>
      </c>
      <c r="L56" s="120">
        <f>_xlfn.COMPOUNDVALUE(184)</f>
        <v>4480</v>
      </c>
      <c r="M56" s="122">
        <v>1329523</v>
      </c>
      <c r="N56" s="14" t="s">
        <v>66</v>
      </c>
    </row>
    <row r="57" spans="1:14" s="17" customFormat="1" ht="15.75" customHeight="1">
      <c r="A57" s="13" t="s">
        <v>67</v>
      </c>
      <c r="B57" s="120">
        <f>_xlfn.COMPOUNDVALUE(185)</f>
        <v>2511</v>
      </c>
      <c r="C57" s="121">
        <v>843495</v>
      </c>
      <c r="D57" s="120">
        <f>_xlfn.COMPOUNDVALUE(186)</f>
        <v>2330</v>
      </c>
      <c r="E57" s="121">
        <v>614247</v>
      </c>
      <c r="F57" s="120">
        <f>_xlfn.COMPOUNDVALUE(187)</f>
        <v>4841</v>
      </c>
      <c r="G57" s="121">
        <v>1457742</v>
      </c>
      <c r="H57" s="120">
        <f>_xlfn.COMPOUNDVALUE(188)</f>
        <v>148</v>
      </c>
      <c r="I57" s="122">
        <v>105242</v>
      </c>
      <c r="J57" s="120">
        <v>476</v>
      </c>
      <c r="K57" s="122">
        <v>82022</v>
      </c>
      <c r="L57" s="120">
        <f>_xlfn.COMPOUNDVALUE(188)</f>
        <v>5100</v>
      </c>
      <c r="M57" s="122">
        <v>1434521</v>
      </c>
      <c r="N57" s="14" t="s">
        <v>67</v>
      </c>
    </row>
    <row r="58" spans="1:14" s="17" customFormat="1" ht="15.75" customHeight="1">
      <c r="A58" s="13" t="s">
        <v>68</v>
      </c>
      <c r="B58" s="120">
        <f>_xlfn.COMPOUNDVALUE(189)</f>
        <v>1346</v>
      </c>
      <c r="C58" s="121">
        <v>426602</v>
      </c>
      <c r="D58" s="120">
        <f>_xlfn.COMPOUNDVALUE(190)</f>
        <v>1065</v>
      </c>
      <c r="E58" s="121">
        <v>268326</v>
      </c>
      <c r="F58" s="120">
        <f>_xlfn.COMPOUNDVALUE(191)</f>
        <v>2411</v>
      </c>
      <c r="G58" s="121">
        <v>694927</v>
      </c>
      <c r="H58" s="120">
        <f>_xlfn.COMPOUNDVALUE(192)</f>
        <v>80</v>
      </c>
      <c r="I58" s="122">
        <v>24552</v>
      </c>
      <c r="J58" s="120">
        <v>141</v>
      </c>
      <c r="K58" s="122">
        <v>37476</v>
      </c>
      <c r="L58" s="120">
        <f>_xlfn.COMPOUNDVALUE(192)</f>
        <v>2521</v>
      </c>
      <c r="M58" s="122">
        <v>707851</v>
      </c>
      <c r="N58" s="14" t="s">
        <v>68</v>
      </c>
    </row>
    <row r="59" spans="1:14" s="17" customFormat="1" ht="15.75" customHeight="1">
      <c r="A59" s="13" t="s">
        <v>69</v>
      </c>
      <c r="B59" s="120">
        <f>_xlfn.COMPOUNDVALUE(193)</f>
        <v>2382</v>
      </c>
      <c r="C59" s="121">
        <v>838658</v>
      </c>
      <c r="D59" s="120">
        <f>_xlfn.COMPOUNDVALUE(194)</f>
        <v>1925</v>
      </c>
      <c r="E59" s="121">
        <v>508825</v>
      </c>
      <c r="F59" s="120">
        <f>_xlfn.COMPOUNDVALUE(195)</f>
        <v>4307</v>
      </c>
      <c r="G59" s="121">
        <v>1347483</v>
      </c>
      <c r="H59" s="120">
        <f>_xlfn.COMPOUNDVALUE(196)</f>
        <v>154</v>
      </c>
      <c r="I59" s="122">
        <v>31769</v>
      </c>
      <c r="J59" s="120">
        <v>301</v>
      </c>
      <c r="K59" s="122">
        <v>34264</v>
      </c>
      <c r="L59" s="120">
        <f>_xlfn.COMPOUNDVALUE(196)</f>
        <v>4565</v>
      </c>
      <c r="M59" s="122">
        <v>1349979</v>
      </c>
      <c r="N59" s="14" t="s">
        <v>69</v>
      </c>
    </row>
    <row r="60" spans="1:14" s="17" customFormat="1" ht="15.75" customHeight="1">
      <c r="A60" s="13" t="s">
        <v>70</v>
      </c>
      <c r="B60" s="120">
        <f>_xlfn.COMPOUNDVALUE(197)</f>
        <v>2366</v>
      </c>
      <c r="C60" s="121">
        <v>711093</v>
      </c>
      <c r="D60" s="120">
        <f>_xlfn.COMPOUNDVALUE(198)</f>
        <v>2025</v>
      </c>
      <c r="E60" s="121">
        <v>558124</v>
      </c>
      <c r="F60" s="120">
        <f>_xlfn.COMPOUNDVALUE(199)</f>
        <v>4391</v>
      </c>
      <c r="G60" s="121">
        <v>1269217</v>
      </c>
      <c r="H60" s="120">
        <f>_xlfn.COMPOUNDVALUE(200)</f>
        <v>135</v>
      </c>
      <c r="I60" s="122">
        <v>68944</v>
      </c>
      <c r="J60" s="120">
        <v>368</v>
      </c>
      <c r="K60" s="122">
        <v>51782</v>
      </c>
      <c r="L60" s="120">
        <f>_xlfn.COMPOUNDVALUE(200)</f>
        <v>4684</v>
      </c>
      <c r="M60" s="122">
        <v>1252055</v>
      </c>
      <c r="N60" s="14" t="s">
        <v>70</v>
      </c>
    </row>
    <row r="61" spans="1:14" s="17" customFormat="1" ht="15.75" customHeight="1">
      <c r="A61" s="13" t="s">
        <v>71</v>
      </c>
      <c r="B61" s="120">
        <f>_xlfn.COMPOUNDVALUE(201)</f>
        <v>2889</v>
      </c>
      <c r="C61" s="121">
        <v>1103586</v>
      </c>
      <c r="D61" s="120">
        <f>_xlfn.COMPOUNDVALUE(202)</f>
        <v>3150</v>
      </c>
      <c r="E61" s="121">
        <v>842616</v>
      </c>
      <c r="F61" s="120">
        <f>_xlfn.COMPOUNDVALUE(203)</f>
        <v>6039</v>
      </c>
      <c r="G61" s="121">
        <v>1946202</v>
      </c>
      <c r="H61" s="120">
        <f>_xlfn.COMPOUNDVALUE(204)</f>
        <v>181</v>
      </c>
      <c r="I61" s="122">
        <v>73618</v>
      </c>
      <c r="J61" s="120">
        <v>461</v>
      </c>
      <c r="K61" s="122">
        <v>87321</v>
      </c>
      <c r="L61" s="120">
        <f>_xlfn.COMPOUNDVALUE(204)</f>
        <v>6349</v>
      </c>
      <c r="M61" s="122">
        <v>1959905</v>
      </c>
      <c r="N61" s="14" t="s">
        <v>71</v>
      </c>
    </row>
    <row r="62" spans="1:14" s="17" customFormat="1" ht="15.75" customHeight="1">
      <c r="A62" s="15" t="s">
        <v>72</v>
      </c>
      <c r="B62" s="125">
        <v>44360</v>
      </c>
      <c r="C62" s="126">
        <v>16936399</v>
      </c>
      <c r="D62" s="125">
        <v>41106</v>
      </c>
      <c r="E62" s="126">
        <v>11590605</v>
      </c>
      <c r="F62" s="125">
        <v>85466</v>
      </c>
      <c r="G62" s="126">
        <v>28527005</v>
      </c>
      <c r="H62" s="125">
        <v>2891</v>
      </c>
      <c r="I62" s="127">
        <v>1475047</v>
      </c>
      <c r="J62" s="125">
        <v>6948</v>
      </c>
      <c r="K62" s="127">
        <v>2068085</v>
      </c>
      <c r="L62" s="125">
        <v>90724</v>
      </c>
      <c r="M62" s="127">
        <v>29120042</v>
      </c>
      <c r="N62" s="16" t="s">
        <v>125</v>
      </c>
    </row>
    <row r="63" spans="1:14" s="17" customFormat="1" ht="15.75" customHeight="1">
      <c r="A63" s="23"/>
      <c r="B63" s="130"/>
      <c r="C63" s="131"/>
      <c r="D63" s="130"/>
      <c r="E63" s="131"/>
      <c r="F63" s="132"/>
      <c r="G63" s="131"/>
      <c r="H63" s="132"/>
      <c r="I63" s="131"/>
      <c r="J63" s="132"/>
      <c r="K63" s="131"/>
      <c r="L63" s="132"/>
      <c r="M63" s="131"/>
      <c r="N63" s="24"/>
    </row>
    <row r="64" spans="1:14" s="17" customFormat="1" ht="15.75" customHeight="1">
      <c r="A64" s="11" t="s">
        <v>73</v>
      </c>
      <c r="B64" s="115">
        <f>_xlfn.COMPOUNDVALUE(205)</f>
        <v>609</v>
      </c>
      <c r="C64" s="116">
        <v>195180</v>
      </c>
      <c r="D64" s="115">
        <f>_xlfn.COMPOUNDVALUE(206)</f>
        <v>555</v>
      </c>
      <c r="E64" s="116">
        <v>153298</v>
      </c>
      <c r="F64" s="115">
        <f>_xlfn.COMPOUNDVALUE(207)</f>
        <v>1164</v>
      </c>
      <c r="G64" s="116">
        <v>348478</v>
      </c>
      <c r="H64" s="115">
        <f>_xlfn.COMPOUNDVALUE(208)</f>
        <v>58</v>
      </c>
      <c r="I64" s="117">
        <v>15748</v>
      </c>
      <c r="J64" s="115">
        <v>125</v>
      </c>
      <c r="K64" s="117">
        <v>71718</v>
      </c>
      <c r="L64" s="115">
        <f>_xlfn.COMPOUNDVALUE(208)</f>
        <v>1302</v>
      </c>
      <c r="M64" s="117">
        <v>404448</v>
      </c>
      <c r="N64" s="25" t="s">
        <v>73</v>
      </c>
    </row>
    <row r="65" spans="1:14" s="17" customFormat="1" ht="15.75" customHeight="1">
      <c r="A65" s="11" t="s">
        <v>74</v>
      </c>
      <c r="B65" s="115">
        <f>_xlfn.COMPOUNDVALUE(209)</f>
        <v>1485</v>
      </c>
      <c r="C65" s="116">
        <v>493602</v>
      </c>
      <c r="D65" s="115">
        <f>_xlfn.COMPOUNDVALUE(210)</f>
        <v>1380</v>
      </c>
      <c r="E65" s="116">
        <v>358490</v>
      </c>
      <c r="F65" s="115">
        <f>_xlfn.COMPOUNDVALUE(211)</f>
        <v>2865</v>
      </c>
      <c r="G65" s="116">
        <v>852092</v>
      </c>
      <c r="H65" s="115">
        <f>_xlfn.COMPOUNDVALUE(212)</f>
        <v>177</v>
      </c>
      <c r="I65" s="117">
        <v>194670</v>
      </c>
      <c r="J65" s="115">
        <v>209</v>
      </c>
      <c r="K65" s="117">
        <v>12690</v>
      </c>
      <c r="L65" s="115">
        <f>_xlfn.COMPOUNDVALUE(212)</f>
        <v>3103</v>
      </c>
      <c r="M65" s="117">
        <v>670111</v>
      </c>
      <c r="N65" s="12" t="s">
        <v>74</v>
      </c>
    </row>
    <row r="66" spans="1:14" s="17" customFormat="1" ht="15.75" customHeight="1">
      <c r="A66" s="11" t="s">
        <v>75</v>
      </c>
      <c r="B66" s="115">
        <f>_xlfn.COMPOUNDVALUE(213)</f>
        <v>629</v>
      </c>
      <c r="C66" s="116">
        <v>253707</v>
      </c>
      <c r="D66" s="115">
        <f>_xlfn.COMPOUNDVALUE(214)</f>
        <v>507</v>
      </c>
      <c r="E66" s="116">
        <v>124583</v>
      </c>
      <c r="F66" s="115">
        <f>_xlfn.COMPOUNDVALUE(215)</f>
        <v>1136</v>
      </c>
      <c r="G66" s="116">
        <v>378290</v>
      </c>
      <c r="H66" s="115">
        <f>_xlfn.COMPOUNDVALUE(216)</f>
        <v>37</v>
      </c>
      <c r="I66" s="117">
        <v>5225</v>
      </c>
      <c r="J66" s="115">
        <v>145</v>
      </c>
      <c r="K66" s="117">
        <v>51093</v>
      </c>
      <c r="L66" s="115">
        <f>_xlfn.COMPOUNDVALUE(216)</f>
        <v>1206</v>
      </c>
      <c r="M66" s="117">
        <v>424159</v>
      </c>
      <c r="N66" s="12" t="s">
        <v>75</v>
      </c>
    </row>
    <row r="67" spans="1:14" s="17" customFormat="1" ht="15.75" customHeight="1">
      <c r="A67" s="11" t="s">
        <v>76</v>
      </c>
      <c r="B67" s="115">
        <f>_xlfn.COMPOUNDVALUE(217)</f>
        <v>1093</v>
      </c>
      <c r="C67" s="116">
        <v>350834</v>
      </c>
      <c r="D67" s="115">
        <f>_xlfn.COMPOUNDVALUE(218)</f>
        <v>1077</v>
      </c>
      <c r="E67" s="116">
        <v>289608</v>
      </c>
      <c r="F67" s="115">
        <f>_xlfn.COMPOUNDVALUE(219)</f>
        <v>2170</v>
      </c>
      <c r="G67" s="116">
        <v>640442</v>
      </c>
      <c r="H67" s="115">
        <f>_xlfn.COMPOUNDVALUE(220)</f>
        <v>138</v>
      </c>
      <c r="I67" s="117">
        <v>51384</v>
      </c>
      <c r="J67" s="115">
        <v>214</v>
      </c>
      <c r="K67" s="117">
        <v>37337</v>
      </c>
      <c r="L67" s="115">
        <f>_xlfn.COMPOUNDVALUE(220)</f>
        <v>2376</v>
      </c>
      <c r="M67" s="117">
        <v>626394</v>
      </c>
      <c r="N67" s="12" t="s">
        <v>76</v>
      </c>
    </row>
    <row r="68" spans="1:14" s="17" customFormat="1" ht="15.75" customHeight="1">
      <c r="A68" s="11" t="s">
        <v>77</v>
      </c>
      <c r="B68" s="115">
        <f>_xlfn.COMPOUNDVALUE(221)</f>
        <v>1051</v>
      </c>
      <c r="C68" s="116">
        <v>476325</v>
      </c>
      <c r="D68" s="115">
        <f>_xlfn.COMPOUNDVALUE(222)</f>
        <v>1192</v>
      </c>
      <c r="E68" s="116">
        <v>390901</v>
      </c>
      <c r="F68" s="115">
        <f>_xlfn.COMPOUNDVALUE(223)</f>
        <v>2243</v>
      </c>
      <c r="G68" s="116">
        <v>867226</v>
      </c>
      <c r="H68" s="115">
        <f>_xlfn.COMPOUNDVALUE(224)</f>
        <v>382</v>
      </c>
      <c r="I68" s="117">
        <v>274952</v>
      </c>
      <c r="J68" s="115">
        <v>99</v>
      </c>
      <c r="K68" s="117">
        <v>55199</v>
      </c>
      <c r="L68" s="115">
        <f>_xlfn.COMPOUNDVALUE(224)</f>
        <v>2662</v>
      </c>
      <c r="M68" s="117">
        <v>647474</v>
      </c>
      <c r="N68" s="12" t="s">
        <v>77</v>
      </c>
    </row>
    <row r="69" spans="1:14" s="17" customFormat="1" ht="15.75" customHeight="1">
      <c r="A69" s="11" t="s">
        <v>78</v>
      </c>
      <c r="B69" s="115">
        <f>_xlfn.COMPOUNDVALUE(225)</f>
        <v>3016</v>
      </c>
      <c r="C69" s="116">
        <v>1268007</v>
      </c>
      <c r="D69" s="115">
        <f>_xlfn.COMPOUNDVALUE(226)</f>
        <v>2706</v>
      </c>
      <c r="E69" s="116">
        <v>732920</v>
      </c>
      <c r="F69" s="115">
        <f>_xlfn.COMPOUNDVALUE(227)</f>
        <v>5722</v>
      </c>
      <c r="G69" s="116">
        <v>2000927</v>
      </c>
      <c r="H69" s="115">
        <f>_xlfn.COMPOUNDVALUE(228)</f>
        <v>161</v>
      </c>
      <c r="I69" s="117">
        <v>122074</v>
      </c>
      <c r="J69" s="115">
        <v>363</v>
      </c>
      <c r="K69" s="117">
        <v>55115</v>
      </c>
      <c r="L69" s="115">
        <f>_xlfn.COMPOUNDVALUE(228)</f>
        <v>6028</v>
      </c>
      <c r="M69" s="117">
        <v>1933967</v>
      </c>
      <c r="N69" s="12" t="s">
        <v>78</v>
      </c>
    </row>
    <row r="70" spans="1:14" s="17" customFormat="1" ht="15.75" customHeight="1">
      <c r="A70" s="11" t="s">
        <v>79</v>
      </c>
      <c r="B70" s="115">
        <f>_xlfn.COMPOUNDVALUE(229)</f>
        <v>1957</v>
      </c>
      <c r="C70" s="116">
        <v>679871</v>
      </c>
      <c r="D70" s="115">
        <f>_xlfn.COMPOUNDVALUE(230)</f>
        <v>2029</v>
      </c>
      <c r="E70" s="116">
        <v>553669</v>
      </c>
      <c r="F70" s="115">
        <f>_xlfn.COMPOUNDVALUE(231)</f>
        <v>3986</v>
      </c>
      <c r="G70" s="116">
        <v>1233541</v>
      </c>
      <c r="H70" s="115">
        <f>_xlfn.COMPOUNDVALUE(232)</f>
        <v>107</v>
      </c>
      <c r="I70" s="117">
        <v>55203</v>
      </c>
      <c r="J70" s="115">
        <v>369</v>
      </c>
      <c r="K70" s="117">
        <v>56627</v>
      </c>
      <c r="L70" s="115">
        <f>_xlfn.COMPOUNDVALUE(232)</f>
        <v>4279</v>
      </c>
      <c r="M70" s="117">
        <v>1234964</v>
      </c>
      <c r="N70" s="12" t="s">
        <v>79</v>
      </c>
    </row>
    <row r="71" spans="1:14" s="17" customFormat="1" ht="15.75" customHeight="1">
      <c r="A71" s="11" t="s">
        <v>80</v>
      </c>
      <c r="B71" s="115">
        <f>_xlfn.COMPOUNDVALUE(233)</f>
        <v>1586</v>
      </c>
      <c r="C71" s="116">
        <v>480501</v>
      </c>
      <c r="D71" s="115">
        <f>_xlfn.COMPOUNDVALUE(234)</f>
        <v>2117</v>
      </c>
      <c r="E71" s="116">
        <v>520276</v>
      </c>
      <c r="F71" s="115">
        <f>_xlfn.COMPOUNDVALUE(235)</f>
        <v>3703</v>
      </c>
      <c r="G71" s="116">
        <v>1000777</v>
      </c>
      <c r="H71" s="115">
        <f>_xlfn.COMPOUNDVALUE(236)</f>
        <v>123</v>
      </c>
      <c r="I71" s="117">
        <v>57211</v>
      </c>
      <c r="J71" s="115">
        <v>243</v>
      </c>
      <c r="K71" s="117">
        <v>37365</v>
      </c>
      <c r="L71" s="115">
        <f>_xlfn.COMPOUNDVALUE(236)</f>
        <v>3965</v>
      </c>
      <c r="M71" s="117">
        <v>980931</v>
      </c>
      <c r="N71" s="12" t="s">
        <v>80</v>
      </c>
    </row>
    <row r="72" spans="1:14" s="17" customFormat="1" ht="15.75" customHeight="1">
      <c r="A72" s="11" t="s">
        <v>81</v>
      </c>
      <c r="B72" s="115">
        <f>_xlfn.COMPOUNDVALUE(237)</f>
        <v>2191</v>
      </c>
      <c r="C72" s="116">
        <v>1079340</v>
      </c>
      <c r="D72" s="115">
        <f>_xlfn.COMPOUNDVALUE(238)</f>
        <v>2702</v>
      </c>
      <c r="E72" s="116">
        <v>808643</v>
      </c>
      <c r="F72" s="115">
        <f>_xlfn.COMPOUNDVALUE(239)</f>
        <v>4893</v>
      </c>
      <c r="G72" s="116">
        <v>1887983</v>
      </c>
      <c r="H72" s="115">
        <f>_xlfn.COMPOUNDVALUE(240)</f>
        <v>210</v>
      </c>
      <c r="I72" s="117">
        <v>89247</v>
      </c>
      <c r="J72" s="115">
        <v>387</v>
      </c>
      <c r="K72" s="117">
        <v>83699</v>
      </c>
      <c r="L72" s="115">
        <f>_xlfn.COMPOUNDVALUE(240)</f>
        <v>5245</v>
      </c>
      <c r="M72" s="117">
        <v>1882435</v>
      </c>
      <c r="N72" s="12" t="s">
        <v>81</v>
      </c>
    </row>
    <row r="73" spans="1:14" s="17" customFormat="1" ht="15.75" customHeight="1">
      <c r="A73" s="11" t="s">
        <v>82</v>
      </c>
      <c r="B73" s="115">
        <f>_xlfn.COMPOUNDVALUE(241)</f>
        <v>879</v>
      </c>
      <c r="C73" s="116">
        <v>370712</v>
      </c>
      <c r="D73" s="115">
        <f>_xlfn.COMPOUNDVALUE(242)</f>
        <v>1478</v>
      </c>
      <c r="E73" s="116">
        <v>339914</v>
      </c>
      <c r="F73" s="115">
        <f>_xlfn.COMPOUNDVALUE(243)</f>
        <v>2357</v>
      </c>
      <c r="G73" s="116">
        <v>710626</v>
      </c>
      <c r="H73" s="115">
        <f>_xlfn.COMPOUNDVALUE(244)</f>
        <v>73</v>
      </c>
      <c r="I73" s="117">
        <v>13630</v>
      </c>
      <c r="J73" s="115">
        <v>147</v>
      </c>
      <c r="K73" s="117">
        <v>14122</v>
      </c>
      <c r="L73" s="115">
        <f>_xlfn.COMPOUNDVALUE(244)</f>
        <v>2459</v>
      </c>
      <c r="M73" s="117">
        <v>711118</v>
      </c>
      <c r="N73" s="12" t="s">
        <v>82</v>
      </c>
    </row>
    <row r="74" spans="1:14" s="17" customFormat="1" ht="15.75" customHeight="1">
      <c r="A74" s="11" t="s">
        <v>83</v>
      </c>
      <c r="B74" s="115">
        <f>_xlfn.COMPOUNDVALUE(245)</f>
        <v>1045</v>
      </c>
      <c r="C74" s="116">
        <v>547392</v>
      </c>
      <c r="D74" s="115">
        <f>_xlfn.COMPOUNDVALUE(246)</f>
        <v>1257</v>
      </c>
      <c r="E74" s="116">
        <v>390626</v>
      </c>
      <c r="F74" s="115">
        <f>_xlfn.COMPOUNDVALUE(247)</f>
        <v>2302</v>
      </c>
      <c r="G74" s="116">
        <v>938018</v>
      </c>
      <c r="H74" s="115">
        <f>_xlfn.COMPOUNDVALUE(248)</f>
        <v>187</v>
      </c>
      <c r="I74" s="117">
        <v>73937</v>
      </c>
      <c r="J74" s="115">
        <v>191</v>
      </c>
      <c r="K74" s="117">
        <v>29042</v>
      </c>
      <c r="L74" s="115">
        <f>_xlfn.COMPOUNDVALUE(248)</f>
        <v>2567</v>
      </c>
      <c r="M74" s="117">
        <v>893123</v>
      </c>
      <c r="N74" s="12" t="s">
        <v>83</v>
      </c>
    </row>
    <row r="75" spans="1:14" s="17" customFormat="1" ht="15.75" customHeight="1">
      <c r="A75" s="11" t="s">
        <v>84</v>
      </c>
      <c r="B75" s="115">
        <f>_xlfn.COMPOUNDVALUE(249)</f>
        <v>1276</v>
      </c>
      <c r="C75" s="116">
        <v>418720</v>
      </c>
      <c r="D75" s="115">
        <f>_xlfn.COMPOUNDVALUE(250)</f>
        <v>1426</v>
      </c>
      <c r="E75" s="116">
        <v>383921</v>
      </c>
      <c r="F75" s="115">
        <f>_xlfn.COMPOUNDVALUE(251)</f>
        <v>2702</v>
      </c>
      <c r="G75" s="116">
        <v>802641</v>
      </c>
      <c r="H75" s="115">
        <f>_xlfn.COMPOUNDVALUE(252)</f>
        <v>109</v>
      </c>
      <c r="I75" s="117">
        <v>50767</v>
      </c>
      <c r="J75" s="115">
        <v>273</v>
      </c>
      <c r="K75" s="117">
        <v>29565</v>
      </c>
      <c r="L75" s="115">
        <f>_xlfn.COMPOUNDVALUE(252)</f>
        <v>2959</v>
      </c>
      <c r="M75" s="117">
        <v>781439</v>
      </c>
      <c r="N75" s="12" t="s">
        <v>84</v>
      </c>
    </row>
    <row r="76" spans="1:14" s="17" customFormat="1" ht="15.75" customHeight="1">
      <c r="A76" s="11" t="s">
        <v>85</v>
      </c>
      <c r="B76" s="115">
        <f>_xlfn.COMPOUNDVALUE(253)</f>
        <v>461</v>
      </c>
      <c r="C76" s="116">
        <v>190861</v>
      </c>
      <c r="D76" s="115">
        <f>_xlfn.COMPOUNDVALUE(254)</f>
        <v>502</v>
      </c>
      <c r="E76" s="116">
        <v>134884</v>
      </c>
      <c r="F76" s="115">
        <f>_xlfn.COMPOUNDVALUE(255)</f>
        <v>963</v>
      </c>
      <c r="G76" s="116">
        <v>325745</v>
      </c>
      <c r="H76" s="115">
        <f>_xlfn.COMPOUNDVALUE(256)</f>
        <v>29</v>
      </c>
      <c r="I76" s="117">
        <v>4183</v>
      </c>
      <c r="J76" s="115">
        <v>56</v>
      </c>
      <c r="K76" s="117">
        <v>6471</v>
      </c>
      <c r="L76" s="115">
        <f>_xlfn.COMPOUNDVALUE(256)</f>
        <v>1005</v>
      </c>
      <c r="M76" s="117">
        <v>328033</v>
      </c>
      <c r="N76" s="12" t="s">
        <v>85</v>
      </c>
    </row>
    <row r="77" spans="1:14" s="17" customFormat="1" ht="15.75" customHeight="1">
      <c r="A77" s="11" t="s">
        <v>86</v>
      </c>
      <c r="B77" s="115">
        <f>_xlfn.COMPOUNDVALUE(257)</f>
        <v>849</v>
      </c>
      <c r="C77" s="116">
        <v>405270</v>
      </c>
      <c r="D77" s="115">
        <f>_xlfn.COMPOUNDVALUE(258)</f>
        <v>873</v>
      </c>
      <c r="E77" s="116">
        <v>225971</v>
      </c>
      <c r="F77" s="115">
        <f>_xlfn.COMPOUNDVALUE(259)</f>
        <v>1722</v>
      </c>
      <c r="G77" s="116">
        <v>631241</v>
      </c>
      <c r="H77" s="115">
        <f>_xlfn.COMPOUNDVALUE(260)</f>
        <v>41</v>
      </c>
      <c r="I77" s="117">
        <v>5319</v>
      </c>
      <c r="J77" s="115">
        <v>81</v>
      </c>
      <c r="K77" s="117">
        <v>8756</v>
      </c>
      <c r="L77" s="115">
        <f>_xlfn.COMPOUNDVALUE(260)</f>
        <v>1783</v>
      </c>
      <c r="M77" s="117">
        <v>634678</v>
      </c>
      <c r="N77" s="12" t="s">
        <v>86</v>
      </c>
    </row>
    <row r="78" spans="1:14" s="17" customFormat="1" ht="15.75" customHeight="1">
      <c r="A78" s="13" t="s">
        <v>87</v>
      </c>
      <c r="B78" s="120">
        <f>_xlfn.COMPOUNDVALUE(261)</f>
        <v>1659</v>
      </c>
      <c r="C78" s="121">
        <v>580897</v>
      </c>
      <c r="D78" s="120">
        <f>_xlfn.COMPOUNDVALUE(262)</f>
        <v>1297</v>
      </c>
      <c r="E78" s="121">
        <v>344400</v>
      </c>
      <c r="F78" s="120">
        <f>_xlfn.COMPOUNDVALUE(263)</f>
        <v>2956</v>
      </c>
      <c r="G78" s="121">
        <v>925297</v>
      </c>
      <c r="H78" s="120">
        <f>_xlfn.COMPOUNDVALUE(264)</f>
        <v>82</v>
      </c>
      <c r="I78" s="122">
        <v>24686</v>
      </c>
      <c r="J78" s="120">
        <v>258</v>
      </c>
      <c r="K78" s="122">
        <v>43049</v>
      </c>
      <c r="L78" s="120">
        <f>_xlfn.COMPOUNDVALUE(264)</f>
        <v>3137</v>
      </c>
      <c r="M78" s="122">
        <v>943660</v>
      </c>
      <c r="N78" s="14" t="s">
        <v>87</v>
      </c>
    </row>
    <row r="79" spans="1:14" s="17" customFormat="1" ht="15.75" customHeight="1">
      <c r="A79" s="13" t="s">
        <v>88</v>
      </c>
      <c r="B79" s="120">
        <f>_xlfn.COMPOUNDVALUE(265)</f>
        <v>892</v>
      </c>
      <c r="C79" s="121">
        <v>388325</v>
      </c>
      <c r="D79" s="120">
        <f>_xlfn.COMPOUNDVALUE(266)</f>
        <v>1069</v>
      </c>
      <c r="E79" s="121">
        <v>303211</v>
      </c>
      <c r="F79" s="120">
        <f>_xlfn.COMPOUNDVALUE(267)</f>
        <v>1961</v>
      </c>
      <c r="G79" s="121">
        <v>691535</v>
      </c>
      <c r="H79" s="120">
        <f>_xlfn.COMPOUNDVALUE(268)</f>
        <v>51</v>
      </c>
      <c r="I79" s="122">
        <v>20455</v>
      </c>
      <c r="J79" s="120">
        <v>141</v>
      </c>
      <c r="K79" s="122">
        <v>21480</v>
      </c>
      <c r="L79" s="120">
        <f>_xlfn.COMPOUNDVALUE(268)</f>
        <v>2033</v>
      </c>
      <c r="M79" s="122">
        <v>692560</v>
      </c>
      <c r="N79" s="14" t="s">
        <v>88</v>
      </c>
    </row>
    <row r="80" spans="1:14" s="17" customFormat="1" ht="15.75" customHeight="1">
      <c r="A80" s="13" t="s">
        <v>89</v>
      </c>
      <c r="B80" s="120">
        <f>_xlfn.COMPOUNDVALUE(269)</f>
        <v>410</v>
      </c>
      <c r="C80" s="121">
        <v>160458</v>
      </c>
      <c r="D80" s="120">
        <f>_xlfn.COMPOUNDVALUE(270)</f>
        <v>405</v>
      </c>
      <c r="E80" s="121">
        <v>109603</v>
      </c>
      <c r="F80" s="120">
        <f>_xlfn.COMPOUNDVALUE(271)</f>
        <v>815</v>
      </c>
      <c r="G80" s="121">
        <v>270061</v>
      </c>
      <c r="H80" s="120">
        <f>_xlfn.COMPOUNDVALUE(272)</f>
        <v>31</v>
      </c>
      <c r="I80" s="122">
        <v>4919</v>
      </c>
      <c r="J80" s="120">
        <v>75</v>
      </c>
      <c r="K80" s="122">
        <v>3533</v>
      </c>
      <c r="L80" s="120">
        <f>_xlfn.COMPOUNDVALUE(272)</f>
        <v>849</v>
      </c>
      <c r="M80" s="122">
        <v>268675</v>
      </c>
      <c r="N80" s="14" t="s">
        <v>89</v>
      </c>
    </row>
    <row r="81" spans="1:14" s="17" customFormat="1" ht="15.75" customHeight="1">
      <c r="A81" s="13" t="s">
        <v>90</v>
      </c>
      <c r="B81" s="120">
        <f>_xlfn.COMPOUNDVALUE(273)</f>
        <v>393</v>
      </c>
      <c r="C81" s="121">
        <v>151499</v>
      </c>
      <c r="D81" s="120">
        <f>_xlfn.COMPOUNDVALUE(274)</f>
        <v>365</v>
      </c>
      <c r="E81" s="121">
        <v>88010</v>
      </c>
      <c r="F81" s="120">
        <f>_xlfn.COMPOUNDVALUE(275)</f>
        <v>758</v>
      </c>
      <c r="G81" s="121">
        <v>239509</v>
      </c>
      <c r="H81" s="120">
        <f>_xlfn.COMPOUNDVALUE(276)</f>
        <v>43</v>
      </c>
      <c r="I81" s="122">
        <v>17683</v>
      </c>
      <c r="J81" s="120">
        <v>61</v>
      </c>
      <c r="K81" s="122">
        <v>10216</v>
      </c>
      <c r="L81" s="120">
        <f>_xlfn.COMPOUNDVALUE(276)</f>
        <v>820</v>
      </c>
      <c r="M81" s="122">
        <v>232042</v>
      </c>
      <c r="N81" s="14" t="s">
        <v>90</v>
      </c>
    </row>
    <row r="82" spans="1:14" s="17" customFormat="1" ht="15.75" customHeight="1">
      <c r="A82" s="13" t="s">
        <v>91</v>
      </c>
      <c r="B82" s="120">
        <f>_xlfn.COMPOUNDVALUE(277)</f>
        <v>657</v>
      </c>
      <c r="C82" s="121">
        <v>233822</v>
      </c>
      <c r="D82" s="120">
        <f>_xlfn.COMPOUNDVALUE(278)</f>
        <v>712</v>
      </c>
      <c r="E82" s="121">
        <v>183231</v>
      </c>
      <c r="F82" s="120">
        <f>_xlfn.COMPOUNDVALUE(279)</f>
        <v>1369</v>
      </c>
      <c r="G82" s="121">
        <v>417053</v>
      </c>
      <c r="H82" s="120">
        <f>_xlfn.COMPOUNDVALUE(280)</f>
        <v>50</v>
      </c>
      <c r="I82" s="122">
        <v>20036</v>
      </c>
      <c r="J82" s="120">
        <v>128</v>
      </c>
      <c r="K82" s="122">
        <v>13779</v>
      </c>
      <c r="L82" s="120">
        <f>_xlfn.COMPOUNDVALUE(280)</f>
        <v>1449</v>
      </c>
      <c r="M82" s="122">
        <v>410796</v>
      </c>
      <c r="N82" s="14" t="s">
        <v>91</v>
      </c>
    </row>
    <row r="83" spans="1:14" s="17" customFormat="1" ht="15.75" customHeight="1">
      <c r="A83" s="13" t="s">
        <v>92</v>
      </c>
      <c r="B83" s="120">
        <f>_xlfn.COMPOUNDVALUE(281)</f>
        <v>272</v>
      </c>
      <c r="C83" s="121">
        <v>101433</v>
      </c>
      <c r="D83" s="120">
        <f>_xlfn.COMPOUNDVALUE(282)</f>
        <v>270</v>
      </c>
      <c r="E83" s="121">
        <v>68326</v>
      </c>
      <c r="F83" s="120">
        <f>_xlfn.COMPOUNDVALUE(283)</f>
        <v>542</v>
      </c>
      <c r="G83" s="121">
        <v>169758</v>
      </c>
      <c r="H83" s="120">
        <f>_xlfn.COMPOUNDVALUE(284)</f>
        <v>17</v>
      </c>
      <c r="I83" s="122">
        <v>3698</v>
      </c>
      <c r="J83" s="120">
        <v>60</v>
      </c>
      <c r="K83" s="122">
        <v>16120</v>
      </c>
      <c r="L83" s="120">
        <f>_xlfn.COMPOUNDVALUE(284)</f>
        <v>578</v>
      </c>
      <c r="M83" s="122">
        <v>182180</v>
      </c>
      <c r="N83" s="14" t="s">
        <v>92</v>
      </c>
    </row>
    <row r="84" spans="1:14" s="17" customFormat="1" ht="15.75" customHeight="1">
      <c r="A84" s="13" t="s">
        <v>93</v>
      </c>
      <c r="B84" s="120">
        <f>_xlfn.COMPOUNDVALUE(285)</f>
        <v>509</v>
      </c>
      <c r="C84" s="121">
        <v>184279</v>
      </c>
      <c r="D84" s="120">
        <f>_xlfn.COMPOUNDVALUE(286)</f>
        <v>602</v>
      </c>
      <c r="E84" s="121">
        <v>138536</v>
      </c>
      <c r="F84" s="120">
        <f>_xlfn.COMPOUNDVALUE(287)</f>
        <v>1111</v>
      </c>
      <c r="G84" s="121">
        <v>322815</v>
      </c>
      <c r="H84" s="120">
        <f>_xlfn.COMPOUNDVALUE(288)</f>
        <v>23</v>
      </c>
      <c r="I84" s="122">
        <v>7719</v>
      </c>
      <c r="J84" s="120">
        <v>97</v>
      </c>
      <c r="K84" s="122">
        <v>12805</v>
      </c>
      <c r="L84" s="120">
        <f>_xlfn.COMPOUNDVALUE(288)</f>
        <v>1170</v>
      </c>
      <c r="M84" s="122">
        <v>327901</v>
      </c>
      <c r="N84" s="14" t="s">
        <v>93</v>
      </c>
    </row>
    <row r="85" spans="1:14" s="17" customFormat="1" ht="15.75" customHeight="1">
      <c r="A85" s="15" t="s">
        <v>94</v>
      </c>
      <c r="B85" s="125">
        <v>22919</v>
      </c>
      <c r="C85" s="126">
        <v>9011037</v>
      </c>
      <c r="D85" s="125">
        <v>24521</v>
      </c>
      <c r="E85" s="126">
        <v>6643020</v>
      </c>
      <c r="F85" s="125">
        <v>47440</v>
      </c>
      <c r="G85" s="126">
        <v>15654057</v>
      </c>
      <c r="H85" s="125">
        <v>2129</v>
      </c>
      <c r="I85" s="127">
        <v>1112746</v>
      </c>
      <c r="J85" s="125">
        <v>3722</v>
      </c>
      <c r="K85" s="127">
        <v>669778</v>
      </c>
      <c r="L85" s="125">
        <v>50975</v>
      </c>
      <c r="M85" s="127">
        <v>15211089</v>
      </c>
      <c r="N85" s="16" t="s">
        <v>126</v>
      </c>
    </row>
    <row r="86" spans="1:14" s="20" customFormat="1" ht="15.75" customHeight="1">
      <c r="A86" s="23"/>
      <c r="B86" s="130"/>
      <c r="C86" s="131"/>
      <c r="D86" s="130"/>
      <c r="E86" s="131"/>
      <c r="F86" s="132"/>
      <c r="G86" s="131"/>
      <c r="H86" s="132"/>
      <c r="I86" s="131"/>
      <c r="J86" s="132"/>
      <c r="K86" s="131"/>
      <c r="L86" s="132"/>
      <c r="M86" s="131"/>
      <c r="N86" s="24"/>
    </row>
    <row r="87" spans="1:14" ht="15.75" customHeight="1">
      <c r="A87" s="13" t="s">
        <v>95</v>
      </c>
      <c r="B87" s="120">
        <f>_xlfn.COMPOUNDVALUE(289)</f>
        <v>2918</v>
      </c>
      <c r="C87" s="121">
        <v>1092199</v>
      </c>
      <c r="D87" s="120">
        <f>_xlfn.COMPOUNDVALUE(290)</f>
        <v>2868</v>
      </c>
      <c r="E87" s="121">
        <v>780357</v>
      </c>
      <c r="F87" s="120">
        <f>_xlfn.COMPOUNDVALUE(291)</f>
        <v>5786</v>
      </c>
      <c r="G87" s="121">
        <v>1872556</v>
      </c>
      <c r="H87" s="120">
        <f>_xlfn.COMPOUNDVALUE(292)</f>
        <v>198</v>
      </c>
      <c r="I87" s="122">
        <v>57996</v>
      </c>
      <c r="J87" s="120">
        <v>386</v>
      </c>
      <c r="K87" s="122">
        <v>69069</v>
      </c>
      <c r="L87" s="120">
        <f>_xlfn.COMPOUNDVALUE(292)</f>
        <v>6109</v>
      </c>
      <c r="M87" s="122">
        <v>1883629</v>
      </c>
      <c r="N87" s="14" t="s">
        <v>95</v>
      </c>
    </row>
    <row r="88" spans="1:14" ht="15.75" customHeight="1">
      <c r="A88" s="13" t="s">
        <v>96</v>
      </c>
      <c r="B88" s="120">
        <f>_xlfn.COMPOUNDVALUE(293)</f>
        <v>2637</v>
      </c>
      <c r="C88" s="121">
        <v>959223</v>
      </c>
      <c r="D88" s="120">
        <f>_xlfn.COMPOUNDVALUE(294)</f>
        <v>2271</v>
      </c>
      <c r="E88" s="121">
        <v>586298</v>
      </c>
      <c r="F88" s="120">
        <f>_xlfn.COMPOUNDVALUE(295)</f>
        <v>4908</v>
      </c>
      <c r="G88" s="121">
        <v>1545521</v>
      </c>
      <c r="H88" s="120">
        <f>_xlfn.COMPOUNDVALUE(296)</f>
        <v>142</v>
      </c>
      <c r="I88" s="122">
        <v>62150</v>
      </c>
      <c r="J88" s="120">
        <v>373</v>
      </c>
      <c r="K88" s="122">
        <v>87979</v>
      </c>
      <c r="L88" s="120">
        <f>_xlfn.COMPOUNDVALUE(296)</f>
        <v>5131</v>
      </c>
      <c r="M88" s="122">
        <v>1571351</v>
      </c>
      <c r="N88" s="14" t="s">
        <v>96</v>
      </c>
    </row>
    <row r="89" spans="1:14" ht="15.75" customHeight="1">
      <c r="A89" s="13" t="s">
        <v>97</v>
      </c>
      <c r="B89" s="120">
        <f>_xlfn.COMPOUNDVALUE(297)</f>
        <v>1022</v>
      </c>
      <c r="C89" s="121">
        <v>353606</v>
      </c>
      <c r="D89" s="120">
        <f>_xlfn.COMPOUNDVALUE(298)</f>
        <v>683</v>
      </c>
      <c r="E89" s="121">
        <v>161022</v>
      </c>
      <c r="F89" s="120">
        <f>_xlfn.COMPOUNDVALUE(299)</f>
        <v>1705</v>
      </c>
      <c r="G89" s="121">
        <v>514628</v>
      </c>
      <c r="H89" s="120">
        <f>_xlfn.COMPOUNDVALUE(300)</f>
        <v>38</v>
      </c>
      <c r="I89" s="122">
        <v>9364</v>
      </c>
      <c r="J89" s="120">
        <v>118</v>
      </c>
      <c r="K89" s="122">
        <v>24230</v>
      </c>
      <c r="L89" s="120">
        <f>_xlfn.COMPOUNDVALUE(300)</f>
        <v>1792</v>
      </c>
      <c r="M89" s="122">
        <v>529495</v>
      </c>
      <c r="N89" s="14" t="s">
        <v>97</v>
      </c>
    </row>
    <row r="90" spans="1:14" ht="15.75" customHeight="1">
      <c r="A90" s="13" t="s">
        <v>98</v>
      </c>
      <c r="B90" s="120">
        <f>_xlfn.COMPOUNDVALUE(301)</f>
        <v>369</v>
      </c>
      <c r="C90" s="121">
        <v>142938</v>
      </c>
      <c r="D90" s="120">
        <f>_xlfn.COMPOUNDVALUE(302)</f>
        <v>443</v>
      </c>
      <c r="E90" s="121">
        <v>112072</v>
      </c>
      <c r="F90" s="120">
        <f>_xlfn.COMPOUNDVALUE(303)</f>
        <v>812</v>
      </c>
      <c r="G90" s="121">
        <v>255010</v>
      </c>
      <c r="H90" s="120">
        <f>_xlfn.COMPOUNDVALUE(304)</f>
        <v>15</v>
      </c>
      <c r="I90" s="122">
        <v>2395</v>
      </c>
      <c r="J90" s="120">
        <v>55</v>
      </c>
      <c r="K90" s="122">
        <v>10194</v>
      </c>
      <c r="L90" s="120">
        <f>_xlfn.COMPOUNDVALUE(304)</f>
        <v>830</v>
      </c>
      <c r="M90" s="122">
        <v>262809</v>
      </c>
      <c r="N90" s="14" t="s">
        <v>98</v>
      </c>
    </row>
    <row r="91" spans="1:14" s="17" customFormat="1" ht="15.75" customHeight="1">
      <c r="A91" s="15" t="s">
        <v>99</v>
      </c>
      <c r="B91" s="125">
        <v>6946</v>
      </c>
      <c r="C91" s="126">
        <v>2547966</v>
      </c>
      <c r="D91" s="125">
        <v>6265</v>
      </c>
      <c r="E91" s="126">
        <v>1639749</v>
      </c>
      <c r="F91" s="125">
        <v>13211</v>
      </c>
      <c r="G91" s="126">
        <v>4187715</v>
      </c>
      <c r="H91" s="125">
        <v>393</v>
      </c>
      <c r="I91" s="127">
        <v>131904</v>
      </c>
      <c r="J91" s="125">
        <v>932</v>
      </c>
      <c r="K91" s="127">
        <v>191472</v>
      </c>
      <c r="L91" s="125">
        <v>13862</v>
      </c>
      <c r="M91" s="127">
        <v>4247283</v>
      </c>
      <c r="N91" s="16" t="s">
        <v>127</v>
      </c>
    </row>
    <row r="92" spans="1:14" s="17" customFormat="1" ht="15.75" customHeight="1">
      <c r="A92" s="23"/>
      <c r="B92" s="130"/>
      <c r="C92" s="131"/>
      <c r="D92" s="130"/>
      <c r="E92" s="131"/>
      <c r="F92" s="132"/>
      <c r="G92" s="131"/>
      <c r="H92" s="132"/>
      <c r="I92" s="131"/>
      <c r="J92" s="132"/>
      <c r="K92" s="131"/>
      <c r="L92" s="132"/>
      <c r="M92" s="131"/>
      <c r="N92" s="24"/>
    </row>
    <row r="93" spans="1:14" s="17" customFormat="1" ht="15.75" customHeight="1">
      <c r="A93" s="11" t="s">
        <v>100</v>
      </c>
      <c r="B93" s="115">
        <f>_xlfn.COMPOUNDVALUE(305)</f>
        <v>2000</v>
      </c>
      <c r="C93" s="116">
        <v>746177</v>
      </c>
      <c r="D93" s="115">
        <f>_xlfn.COMPOUNDVALUE(306)</f>
        <v>1893</v>
      </c>
      <c r="E93" s="116">
        <v>514858</v>
      </c>
      <c r="F93" s="115">
        <f>_xlfn.COMPOUNDVALUE(307)</f>
        <v>3893</v>
      </c>
      <c r="G93" s="116">
        <v>1261035</v>
      </c>
      <c r="H93" s="115">
        <f>_xlfn.COMPOUNDVALUE(308)</f>
        <v>114</v>
      </c>
      <c r="I93" s="117">
        <v>35037</v>
      </c>
      <c r="J93" s="115">
        <v>231</v>
      </c>
      <c r="K93" s="117">
        <v>27283</v>
      </c>
      <c r="L93" s="115">
        <f>_xlfn.COMPOUNDVALUE(308)</f>
        <v>4072</v>
      </c>
      <c r="M93" s="117">
        <v>1253281</v>
      </c>
      <c r="N93" s="25" t="s">
        <v>100</v>
      </c>
    </row>
    <row r="94" spans="1:14" s="17" customFormat="1" ht="15.75" customHeight="1">
      <c r="A94" s="13" t="s">
        <v>101</v>
      </c>
      <c r="B94" s="120">
        <f>_xlfn.COMPOUNDVALUE(309)</f>
        <v>480</v>
      </c>
      <c r="C94" s="121">
        <v>179657</v>
      </c>
      <c r="D94" s="120">
        <f>_xlfn.COMPOUNDVALUE(310)</f>
        <v>507</v>
      </c>
      <c r="E94" s="121">
        <v>106036</v>
      </c>
      <c r="F94" s="120">
        <f>_xlfn.COMPOUNDVALUE(311)</f>
        <v>987</v>
      </c>
      <c r="G94" s="121">
        <v>285693</v>
      </c>
      <c r="H94" s="120">
        <f>_xlfn.COMPOUNDVALUE(312)</f>
        <v>21</v>
      </c>
      <c r="I94" s="122">
        <v>3845</v>
      </c>
      <c r="J94" s="120">
        <v>97</v>
      </c>
      <c r="K94" s="122">
        <v>12501</v>
      </c>
      <c r="L94" s="120">
        <f>_xlfn.COMPOUNDVALUE(312)</f>
        <v>1042</v>
      </c>
      <c r="M94" s="122">
        <v>294349</v>
      </c>
      <c r="N94" s="14" t="s">
        <v>101</v>
      </c>
    </row>
    <row r="95" spans="1:14" s="17" customFormat="1" ht="15.75" customHeight="1">
      <c r="A95" s="13" t="s">
        <v>102</v>
      </c>
      <c r="B95" s="120">
        <f>_xlfn.COMPOUNDVALUE(313)</f>
        <v>596</v>
      </c>
      <c r="C95" s="121">
        <v>234773</v>
      </c>
      <c r="D95" s="120">
        <f>_xlfn.COMPOUNDVALUE(314)</f>
        <v>1069</v>
      </c>
      <c r="E95" s="121">
        <v>232183</v>
      </c>
      <c r="F95" s="120">
        <f>_xlfn.COMPOUNDVALUE(315)</f>
        <v>1665</v>
      </c>
      <c r="G95" s="121">
        <v>466955</v>
      </c>
      <c r="H95" s="120">
        <f>_xlfn.COMPOUNDVALUE(316)</f>
        <v>24</v>
      </c>
      <c r="I95" s="122">
        <v>5924</v>
      </c>
      <c r="J95" s="120">
        <v>128</v>
      </c>
      <c r="K95" s="122">
        <v>12244</v>
      </c>
      <c r="L95" s="120">
        <f>_xlfn.COMPOUNDVALUE(316)</f>
        <v>1697</v>
      </c>
      <c r="M95" s="122">
        <v>473275</v>
      </c>
      <c r="N95" s="14" t="s">
        <v>102</v>
      </c>
    </row>
    <row r="96" spans="1:14" s="17" customFormat="1" ht="15.75" customHeight="1">
      <c r="A96" s="13" t="s">
        <v>103</v>
      </c>
      <c r="B96" s="120">
        <f>_xlfn.COMPOUNDVALUE(317)</f>
        <v>840</v>
      </c>
      <c r="C96" s="121">
        <v>351836</v>
      </c>
      <c r="D96" s="120">
        <f>_xlfn.COMPOUNDVALUE(318)</f>
        <v>1184</v>
      </c>
      <c r="E96" s="121">
        <v>284504</v>
      </c>
      <c r="F96" s="120">
        <f>_xlfn.COMPOUNDVALUE(319)</f>
        <v>2024</v>
      </c>
      <c r="G96" s="121">
        <v>636340</v>
      </c>
      <c r="H96" s="120">
        <f>_xlfn.COMPOUNDVALUE(320)</f>
        <v>24</v>
      </c>
      <c r="I96" s="122">
        <v>4155</v>
      </c>
      <c r="J96" s="120">
        <v>154</v>
      </c>
      <c r="K96" s="122">
        <v>15567</v>
      </c>
      <c r="L96" s="120">
        <f>_xlfn.COMPOUNDVALUE(320)</f>
        <v>2077</v>
      </c>
      <c r="M96" s="122">
        <v>647752</v>
      </c>
      <c r="N96" s="14" t="s">
        <v>103</v>
      </c>
    </row>
    <row r="97" spans="1:14" s="17" customFormat="1" ht="15.75" customHeight="1">
      <c r="A97" s="13" t="s">
        <v>104</v>
      </c>
      <c r="B97" s="120">
        <f>_xlfn.COMPOUNDVALUE(321)</f>
        <v>600</v>
      </c>
      <c r="C97" s="121">
        <v>234020</v>
      </c>
      <c r="D97" s="120">
        <f>_xlfn.COMPOUNDVALUE(322)</f>
        <v>585</v>
      </c>
      <c r="E97" s="121">
        <v>141399</v>
      </c>
      <c r="F97" s="120">
        <f>_xlfn.COMPOUNDVALUE(323)</f>
        <v>1185</v>
      </c>
      <c r="G97" s="121">
        <v>375418</v>
      </c>
      <c r="H97" s="120">
        <f>_xlfn.COMPOUNDVALUE(324)</f>
        <v>12</v>
      </c>
      <c r="I97" s="122">
        <v>1720</v>
      </c>
      <c r="J97" s="120">
        <v>66</v>
      </c>
      <c r="K97" s="122">
        <v>16898</v>
      </c>
      <c r="L97" s="120">
        <f>_xlfn.COMPOUNDVALUE(324)</f>
        <v>1216</v>
      </c>
      <c r="M97" s="122">
        <v>390596</v>
      </c>
      <c r="N97" s="14" t="s">
        <v>104</v>
      </c>
    </row>
    <row r="98" spans="1:14" s="17" customFormat="1" ht="15.75" customHeight="1">
      <c r="A98" s="13" t="s">
        <v>105</v>
      </c>
      <c r="B98" s="120">
        <f>_xlfn.COMPOUNDVALUE(325)</f>
        <v>1042</v>
      </c>
      <c r="C98" s="121">
        <v>360716</v>
      </c>
      <c r="D98" s="120">
        <f>_xlfn.COMPOUNDVALUE(326)</f>
        <v>1072</v>
      </c>
      <c r="E98" s="121">
        <v>246875</v>
      </c>
      <c r="F98" s="120">
        <f>_xlfn.COMPOUNDVALUE(327)</f>
        <v>2114</v>
      </c>
      <c r="G98" s="121">
        <v>607591</v>
      </c>
      <c r="H98" s="120">
        <f>_xlfn.COMPOUNDVALUE(328)</f>
        <v>40</v>
      </c>
      <c r="I98" s="122">
        <v>3141</v>
      </c>
      <c r="J98" s="120">
        <v>149</v>
      </c>
      <c r="K98" s="122">
        <v>20831</v>
      </c>
      <c r="L98" s="120">
        <f>_xlfn.COMPOUNDVALUE(328)</f>
        <v>2192</v>
      </c>
      <c r="M98" s="122">
        <v>625282</v>
      </c>
      <c r="N98" s="14" t="s">
        <v>105</v>
      </c>
    </row>
    <row r="99" spans="1:14" s="17" customFormat="1" ht="15.75" customHeight="1">
      <c r="A99" s="13" t="s">
        <v>106</v>
      </c>
      <c r="B99" s="120">
        <f>_xlfn.COMPOUNDVALUE(329)</f>
        <v>595</v>
      </c>
      <c r="C99" s="121">
        <v>238558</v>
      </c>
      <c r="D99" s="120">
        <f>_xlfn.COMPOUNDVALUE(330)</f>
        <v>1141</v>
      </c>
      <c r="E99" s="121">
        <v>239169</v>
      </c>
      <c r="F99" s="120">
        <f>_xlfn.COMPOUNDVALUE(331)</f>
        <v>1736</v>
      </c>
      <c r="G99" s="121">
        <v>477728</v>
      </c>
      <c r="H99" s="120">
        <f>_xlfn.COMPOUNDVALUE(332)</f>
        <v>22</v>
      </c>
      <c r="I99" s="122">
        <v>14915</v>
      </c>
      <c r="J99" s="120">
        <v>78</v>
      </c>
      <c r="K99" s="122">
        <v>23575</v>
      </c>
      <c r="L99" s="120">
        <f>_xlfn.COMPOUNDVALUE(332)</f>
        <v>1776</v>
      </c>
      <c r="M99" s="122">
        <v>486388</v>
      </c>
      <c r="N99" s="14" t="s">
        <v>106</v>
      </c>
    </row>
    <row r="100" spans="1:14" s="17" customFormat="1" ht="15.75" customHeight="1">
      <c r="A100" s="15" t="s">
        <v>107</v>
      </c>
      <c r="B100" s="125">
        <v>6153</v>
      </c>
      <c r="C100" s="126">
        <v>2345737</v>
      </c>
      <c r="D100" s="125">
        <v>7451</v>
      </c>
      <c r="E100" s="126">
        <v>1765024</v>
      </c>
      <c r="F100" s="125">
        <v>13604</v>
      </c>
      <c r="G100" s="126">
        <v>4110761</v>
      </c>
      <c r="H100" s="125">
        <v>257</v>
      </c>
      <c r="I100" s="127">
        <v>68737</v>
      </c>
      <c r="J100" s="125">
        <v>903</v>
      </c>
      <c r="K100" s="127">
        <v>128900</v>
      </c>
      <c r="L100" s="125">
        <v>14072</v>
      </c>
      <c r="M100" s="127">
        <v>4170924</v>
      </c>
      <c r="N100" s="16" t="s">
        <v>128</v>
      </c>
    </row>
    <row r="101" spans="1:14" s="17" customFormat="1" ht="15.75" customHeight="1" thickBot="1">
      <c r="A101" s="18"/>
      <c r="B101" s="145"/>
      <c r="C101" s="146"/>
      <c r="D101" s="145"/>
      <c r="E101" s="146"/>
      <c r="F101" s="147"/>
      <c r="G101" s="146"/>
      <c r="H101" s="147"/>
      <c r="I101" s="146"/>
      <c r="J101" s="147"/>
      <c r="K101" s="146"/>
      <c r="L101" s="147"/>
      <c r="M101" s="146"/>
      <c r="N101" s="19"/>
    </row>
    <row r="102" spans="1:14" s="17" customFormat="1" ht="15.75" customHeight="1" thickBot="1" thickTop="1">
      <c r="A102" s="21" t="s">
        <v>18</v>
      </c>
      <c r="B102" s="148">
        <v>98628</v>
      </c>
      <c r="C102" s="149">
        <v>38178150</v>
      </c>
      <c r="D102" s="148">
        <v>99564</v>
      </c>
      <c r="E102" s="149">
        <v>26980415</v>
      </c>
      <c r="F102" s="148">
        <v>198192</v>
      </c>
      <c r="G102" s="149">
        <v>65158565</v>
      </c>
      <c r="H102" s="148">
        <v>6869</v>
      </c>
      <c r="I102" s="150">
        <v>3382572</v>
      </c>
      <c r="J102" s="148">
        <v>15255</v>
      </c>
      <c r="K102" s="150">
        <v>3498073</v>
      </c>
      <c r="L102" s="148">
        <v>210200</v>
      </c>
      <c r="M102" s="150">
        <v>65274066</v>
      </c>
      <c r="N102" s="22" t="s">
        <v>121</v>
      </c>
    </row>
    <row r="103" spans="1:14" ht="13.5">
      <c r="A103" s="193" t="s">
        <v>129</v>
      </c>
      <c r="B103" s="193"/>
      <c r="C103" s="193"/>
      <c r="D103" s="193"/>
      <c r="E103" s="193"/>
      <c r="F103" s="193"/>
      <c r="G103" s="193"/>
      <c r="H103" s="193"/>
      <c r="I103" s="193"/>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N3:N5"/>
    <mergeCell ref="B4:C4"/>
    <mergeCell ref="D4:E4"/>
    <mergeCell ref="F4:G4"/>
    <mergeCell ref="J3:K4"/>
    <mergeCell ref="L3:M4"/>
    <mergeCell ref="A103:I103"/>
    <mergeCell ref="A2:G2"/>
    <mergeCell ref="A3:A5"/>
    <mergeCell ref="B3:G3"/>
    <mergeCell ref="H3:I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108</v>
      </c>
      <c r="B1" s="1"/>
      <c r="C1" s="1"/>
      <c r="D1" s="1"/>
      <c r="E1" s="1"/>
      <c r="F1" s="1"/>
      <c r="G1" s="1"/>
      <c r="H1" s="1"/>
      <c r="I1" s="1"/>
      <c r="J1" s="1"/>
      <c r="K1" s="1"/>
      <c r="L1" s="2"/>
      <c r="M1" s="2"/>
    </row>
    <row r="2" spans="1:13" ht="14.25" thickBot="1">
      <c r="A2" s="209" t="s">
        <v>109</v>
      </c>
      <c r="B2" s="209"/>
      <c r="C2" s="209"/>
      <c r="D2" s="209"/>
      <c r="E2" s="209"/>
      <c r="F2" s="209"/>
      <c r="G2" s="209"/>
      <c r="H2" s="209"/>
      <c r="I2" s="209"/>
      <c r="J2" s="27"/>
      <c r="K2" s="27"/>
      <c r="L2" s="2"/>
      <c r="M2" s="2"/>
    </row>
    <row r="3" spans="1:14" ht="19.5" customHeight="1">
      <c r="A3" s="199" t="s">
        <v>2</v>
      </c>
      <c r="B3" s="202" t="s">
        <v>3</v>
      </c>
      <c r="C3" s="202"/>
      <c r="D3" s="202"/>
      <c r="E3" s="202"/>
      <c r="F3" s="202"/>
      <c r="G3" s="202"/>
      <c r="H3" s="195" t="s">
        <v>4</v>
      </c>
      <c r="I3" s="196"/>
      <c r="J3" s="208" t="s">
        <v>5</v>
      </c>
      <c r="K3" s="196"/>
      <c r="L3" s="195" t="s">
        <v>6</v>
      </c>
      <c r="M3" s="196"/>
      <c r="N3" s="203" t="s">
        <v>110</v>
      </c>
    </row>
    <row r="4" spans="1:14" ht="17.25" customHeight="1">
      <c r="A4" s="200"/>
      <c r="B4" s="197" t="s">
        <v>8</v>
      </c>
      <c r="C4" s="207"/>
      <c r="D4" s="197" t="s">
        <v>9</v>
      </c>
      <c r="E4" s="207"/>
      <c r="F4" s="197" t="s">
        <v>10</v>
      </c>
      <c r="G4" s="207"/>
      <c r="H4" s="197"/>
      <c r="I4" s="198"/>
      <c r="J4" s="197"/>
      <c r="K4" s="198"/>
      <c r="L4" s="197"/>
      <c r="M4" s="198"/>
      <c r="N4" s="204"/>
    </row>
    <row r="5" spans="1:14" ht="28.5" customHeight="1">
      <c r="A5" s="201"/>
      <c r="B5" s="37" t="s">
        <v>11</v>
      </c>
      <c r="C5" s="38" t="s">
        <v>12</v>
      </c>
      <c r="D5" s="37" t="s">
        <v>11</v>
      </c>
      <c r="E5" s="38" t="s">
        <v>12</v>
      </c>
      <c r="F5" s="37" t="s">
        <v>11</v>
      </c>
      <c r="G5" s="41" t="s">
        <v>13</v>
      </c>
      <c r="H5" s="37" t="s">
        <v>118</v>
      </c>
      <c r="I5" s="40" t="s">
        <v>14</v>
      </c>
      <c r="J5" s="37" t="s">
        <v>118</v>
      </c>
      <c r="K5" s="40" t="s">
        <v>15</v>
      </c>
      <c r="L5" s="37" t="s">
        <v>118</v>
      </c>
      <c r="M5" s="39" t="s">
        <v>119</v>
      </c>
      <c r="N5" s="205"/>
    </row>
    <row r="6" spans="1:14" s="29"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15">
        <f>_xlfn.COMPOUNDVALUE(333)</f>
        <v>2304</v>
      </c>
      <c r="C7" s="116">
        <v>9160566</v>
      </c>
      <c r="D7" s="115">
        <f>_xlfn.COMPOUNDVALUE(334)</f>
        <v>866</v>
      </c>
      <c r="E7" s="116">
        <v>317001</v>
      </c>
      <c r="F7" s="115">
        <f>_xlfn.COMPOUNDVALUE(335)</f>
        <v>3170</v>
      </c>
      <c r="G7" s="116">
        <v>9477567</v>
      </c>
      <c r="H7" s="115">
        <f>_xlfn.COMPOUNDVALUE(336)</f>
        <v>131</v>
      </c>
      <c r="I7" s="117">
        <v>4065735</v>
      </c>
      <c r="J7" s="115">
        <v>131</v>
      </c>
      <c r="K7" s="117">
        <v>22039</v>
      </c>
      <c r="L7" s="115">
        <f>_xlfn.COMPOUNDVALUE(336)</f>
        <v>3322</v>
      </c>
      <c r="M7" s="117">
        <v>5433872</v>
      </c>
      <c r="N7" s="12" t="s">
        <v>19</v>
      </c>
    </row>
    <row r="8" spans="1:14" ht="15.75" customHeight="1">
      <c r="A8" s="13" t="s">
        <v>20</v>
      </c>
      <c r="B8" s="120">
        <f>_xlfn.COMPOUNDVALUE(337)</f>
        <v>1231</v>
      </c>
      <c r="C8" s="121">
        <v>8186358</v>
      </c>
      <c r="D8" s="120">
        <f>_xlfn.COMPOUNDVALUE(338)</f>
        <v>455</v>
      </c>
      <c r="E8" s="121">
        <v>184560</v>
      </c>
      <c r="F8" s="120">
        <f>_xlfn.COMPOUNDVALUE(339)</f>
        <v>1686</v>
      </c>
      <c r="G8" s="121">
        <v>8370918</v>
      </c>
      <c r="H8" s="120">
        <f>_xlfn.COMPOUNDVALUE(340)</f>
        <v>78</v>
      </c>
      <c r="I8" s="122">
        <v>1476623</v>
      </c>
      <c r="J8" s="120">
        <v>55</v>
      </c>
      <c r="K8" s="122">
        <v>3083</v>
      </c>
      <c r="L8" s="120">
        <f>_xlfn.COMPOUNDVALUE(340)</f>
        <v>1770</v>
      </c>
      <c r="M8" s="122">
        <v>6897378</v>
      </c>
      <c r="N8" s="14" t="s">
        <v>20</v>
      </c>
    </row>
    <row r="9" spans="1:14" ht="15.75" customHeight="1">
      <c r="A9" s="13" t="s">
        <v>21</v>
      </c>
      <c r="B9" s="120">
        <f>_xlfn.COMPOUNDVALUE(341)</f>
        <v>1389</v>
      </c>
      <c r="C9" s="121">
        <v>5226671</v>
      </c>
      <c r="D9" s="120">
        <f>_xlfn.COMPOUNDVALUE(342)</f>
        <v>479</v>
      </c>
      <c r="E9" s="121">
        <v>164903</v>
      </c>
      <c r="F9" s="120">
        <f>_xlfn.COMPOUNDVALUE(343)</f>
        <v>1868</v>
      </c>
      <c r="G9" s="121">
        <v>5391574</v>
      </c>
      <c r="H9" s="120">
        <f>_xlfn.COMPOUNDVALUE(344)</f>
        <v>69</v>
      </c>
      <c r="I9" s="122">
        <v>75832</v>
      </c>
      <c r="J9" s="120">
        <v>105</v>
      </c>
      <c r="K9" s="122">
        <v>5608</v>
      </c>
      <c r="L9" s="120">
        <f>_xlfn.COMPOUNDVALUE(344)</f>
        <v>1951</v>
      </c>
      <c r="M9" s="122">
        <v>5321349</v>
      </c>
      <c r="N9" s="14" t="s">
        <v>21</v>
      </c>
    </row>
    <row r="10" spans="1:14" ht="15.75" customHeight="1">
      <c r="A10" s="13" t="s">
        <v>22</v>
      </c>
      <c r="B10" s="120">
        <f>_xlfn.COMPOUNDVALUE(345)</f>
        <v>1611</v>
      </c>
      <c r="C10" s="121">
        <v>5583186</v>
      </c>
      <c r="D10" s="120">
        <f>_xlfn.COMPOUNDVALUE(346)</f>
        <v>555</v>
      </c>
      <c r="E10" s="121">
        <v>202819</v>
      </c>
      <c r="F10" s="120">
        <f>_xlfn.COMPOUNDVALUE(347)</f>
        <v>2166</v>
      </c>
      <c r="G10" s="121">
        <v>5786005</v>
      </c>
      <c r="H10" s="120">
        <f>_xlfn.COMPOUNDVALUE(348)</f>
        <v>129</v>
      </c>
      <c r="I10" s="122">
        <v>306534</v>
      </c>
      <c r="J10" s="120">
        <v>70</v>
      </c>
      <c r="K10" s="122">
        <v>3849</v>
      </c>
      <c r="L10" s="120">
        <f>_xlfn.COMPOUNDVALUE(348)</f>
        <v>2308</v>
      </c>
      <c r="M10" s="122">
        <v>5483319</v>
      </c>
      <c r="N10" s="14" t="s">
        <v>22</v>
      </c>
    </row>
    <row r="11" spans="1:14" ht="15.75" customHeight="1">
      <c r="A11" s="13" t="s">
        <v>23</v>
      </c>
      <c r="B11" s="120">
        <f>_xlfn.COMPOUNDVALUE(349)</f>
        <v>2270</v>
      </c>
      <c r="C11" s="121">
        <v>9505049</v>
      </c>
      <c r="D11" s="120">
        <f>_xlfn.COMPOUNDVALUE(350)</f>
        <v>881</v>
      </c>
      <c r="E11" s="121">
        <v>367639</v>
      </c>
      <c r="F11" s="120">
        <f>_xlfn.COMPOUNDVALUE(351)</f>
        <v>3151</v>
      </c>
      <c r="G11" s="121">
        <v>9872688</v>
      </c>
      <c r="H11" s="120">
        <f>_xlfn.COMPOUNDVALUE(352)</f>
        <v>162</v>
      </c>
      <c r="I11" s="122">
        <v>1679471</v>
      </c>
      <c r="J11" s="120">
        <v>184</v>
      </c>
      <c r="K11" s="122">
        <v>3126</v>
      </c>
      <c r="L11" s="120">
        <f>_xlfn.COMPOUNDVALUE(352)</f>
        <v>3330</v>
      </c>
      <c r="M11" s="122">
        <v>8196343</v>
      </c>
      <c r="N11" s="14" t="s">
        <v>23</v>
      </c>
    </row>
    <row r="12" spans="1:14" ht="15.75" customHeight="1">
      <c r="A12" s="13" t="s">
        <v>24</v>
      </c>
      <c r="B12" s="120">
        <f>_xlfn.COMPOUNDVALUE(353)</f>
        <v>1153</v>
      </c>
      <c r="C12" s="121">
        <v>5998772</v>
      </c>
      <c r="D12" s="120">
        <f>_xlfn.COMPOUNDVALUE(354)</f>
        <v>349</v>
      </c>
      <c r="E12" s="121">
        <v>122997</v>
      </c>
      <c r="F12" s="120">
        <f>_xlfn.COMPOUNDVALUE(355)</f>
        <v>1502</v>
      </c>
      <c r="G12" s="121">
        <v>6121769</v>
      </c>
      <c r="H12" s="120">
        <f>_xlfn.COMPOUNDVALUE(356)</f>
        <v>68</v>
      </c>
      <c r="I12" s="122">
        <v>156616</v>
      </c>
      <c r="J12" s="120">
        <v>103</v>
      </c>
      <c r="K12" s="122">
        <v>6164</v>
      </c>
      <c r="L12" s="120">
        <f>_xlfn.COMPOUNDVALUE(356)</f>
        <v>1582</v>
      </c>
      <c r="M12" s="122">
        <v>5971317</v>
      </c>
      <c r="N12" s="14" t="s">
        <v>24</v>
      </c>
    </row>
    <row r="13" spans="1:14" ht="15.75" customHeight="1">
      <c r="A13" s="13" t="s">
        <v>25</v>
      </c>
      <c r="B13" s="120">
        <f>_xlfn.COMPOUNDVALUE(357)</f>
        <v>521</v>
      </c>
      <c r="C13" s="121">
        <v>1468043</v>
      </c>
      <c r="D13" s="120">
        <f>_xlfn.COMPOUNDVALUE(358)</f>
        <v>172</v>
      </c>
      <c r="E13" s="121">
        <v>52878</v>
      </c>
      <c r="F13" s="120">
        <f>_xlfn.COMPOUNDVALUE(359)</f>
        <v>693</v>
      </c>
      <c r="G13" s="121">
        <v>1520921</v>
      </c>
      <c r="H13" s="120">
        <f>_xlfn.COMPOUNDVALUE(360)</f>
        <v>28</v>
      </c>
      <c r="I13" s="122">
        <v>259806</v>
      </c>
      <c r="J13" s="120">
        <v>48</v>
      </c>
      <c r="K13" s="122">
        <v>1492</v>
      </c>
      <c r="L13" s="120">
        <f>_xlfn.COMPOUNDVALUE(360)</f>
        <v>722</v>
      </c>
      <c r="M13" s="122">
        <v>1262607</v>
      </c>
      <c r="N13" s="14" t="s">
        <v>25</v>
      </c>
    </row>
    <row r="14" spans="1:14" ht="15.75" customHeight="1">
      <c r="A14" s="15" t="s">
        <v>111</v>
      </c>
      <c r="B14" s="125">
        <v>10479</v>
      </c>
      <c r="C14" s="126">
        <v>45128645</v>
      </c>
      <c r="D14" s="125">
        <v>3757</v>
      </c>
      <c r="E14" s="126">
        <v>1412796</v>
      </c>
      <c r="F14" s="125">
        <v>14236</v>
      </c>
      <c r="G14" s="126">
        <v>46541442</v>
      </c>
      <c r="H14" s="125">
        <v>665</v>
      </c>
      <c r="I14" s="127">
        <v>8020618</v>
      </c>
      <c r="J14" s="125">
        <v>696</v>
      </c>
      <c r="K14" s="127">
        <v>45361</v>
      </c>
      <c r="L14" s="125">
        <v>14985</v>
      </c>
      <c r="M14" s="127">
        <v>38566185</v>
      </c>
      <c r="N14" s="16" t="s">
        <v>123</v>
      </c>
    </row>
    <row r="15" spans="1:14" ht="15.75" customHeight="1">
      <c r="A15" s="26"/>
      <c r="B15" s="130"/>
      <c r="C15" s="131"/>
      <c r="D15" s="130"/>
      <c r="E15" s="131"/>
      <c r="F15" s="132"/>
      <c r="G15" s="131"/>
      <c r="H15" s="132"/>
      <c r="I15" s="131"/>
      <c r="J15" s="132"/>
      <c r="K15" s="131"/>
      <c r="L15" s="132"/>
      <c r="M15" s="131"/>
      <c r="N15" s="24"/>
    </row>
    <row r="16" spans="1:14" ht="15.75" customHeight="1">
      <c r="A16" s="11" t="s">
        <v>27</v>
      </c>
      <c r="B16" s="115">
        <f>_xlfn.COMPOUNDVALUE(361)</f>
        <v>2270</v>
      </c>
      <c r="C16" s="116">
        <v>10996004</v>
      </c>
      <c r="D16" s="115">
        <f>_xlfn.COMPOUNDVALUE(362)</f>
        <v>1067</v>
      </c>
      <c r="E16" s="116">
        <v>345275</v>
      </c>
      <c r="F16" s="115">
        <f>_xlfn.COMPOUNDVALUE(363)</f>
        <v>3337</v>
      </c>
      <c r="G16" s="116">
        <v>11341278</v>
      </c>
      <c r="H16" s="115">
        <f>_xlfn.COMPOUNDVALUE(364)</f>
        <v>172</v>
      </c>
      <c r="I16" s="117">
        <v>4879440</v>
      </c>
      <c r="J16" s="115">
        <v>175</v>
      </c>
      <c r="K16" s="117">
        <v>19704</v>
      </c>
      <c r="L16" s="115">
        <f>_xlfn.COMPOUNDVALUE(364)</f>
        <v>3523</v>
      </c>
      <c r="M16" s="117">
        <v>6481542</v>
      </c>
      <c r="N16" s="25" t="s">
        <v>27</v>
      </c>
    </row>
    <row r="17" spans="1:14" ht="15.75" customHeight="1">
      <c r="A17" s="11" t="s">
        <v>28</v>
      </c>
      <c r="B17" s="115">
        <f>_xlfn.COMPOUNDVALUE(365)</f>
        <v>1540</v>
      </c>
      <c r="C17" s="116">
        <v>4913499</v>
      </c>
      <c r="D17" s="115">
        <f>_xlfn.COMPOUNDVALUE(366)</f>
        <v>684</v>
      </c>
      <c r="E17" s="116">
        <v>237881</v>
      </c>
      <c r="F17" s="115">
        <f>_xlfn.COMPOUNDVALUE(367)</f>
        <v>2224</v>
      </c>
      <c r="G17" s="116">
        <v>5151380</v>
      </c>
      <c r="H17" s="115">
        <f>_xlfn.COMPOUNDVALUE(368)</f>
        <v>140</v>
      </c>
      <c r="I17" s="117">
        <v>460410</v>
      </c>
      <c r="J17" s="115">
        <v>95</v>
      </c>
      <c r="K17" s="117">
        <v>-57137</v>
      </c>
      <c r="L17" s="115">
        <f>_xlfn.COMPOUNDVALUE(368)</f>
        <v>2386</v>
      </c>
      <c r="M17" s="117">
        <v>4633833</v>
      </c>
      <c r="N17" s="12" t="s">
        <v>28</v>
      </c>
    </row>
    <row r="18" spans="1:14" ht="15.75" customHeight="1">
      <c r="A18" s="11" t="s">
        <v>29</v>
      </c>
      <c r="B18" s="115">
        <f>_xlfn.COMPOUNDVALUE(369)</f>
        <v>2831</v>
      </c>
      <c r="C18" s="116">
        <v>15073798</v>
      </c>
      <c r="D18" s="115">
        <f>_xlfn.COMPOUNDVALUE(370)</f>
        <v>1057</v>
      </c>
      <c r="E18" s="116">
        <v>388806</v>
      </c>
      <c r="F18" s="115">
        <f>_xlfn.COMPOUNDVALUE(371)</f>
        <v>3888</v>
      </c>
      <c r="G18" s="116">
        <v>15462604</v>
      </c>
      <c r="H18" s="115">
        <f>_xlfn.COMPOUNDVALUE(372)</f>
        <v>214</v>
      </c>
      <c r="I18" s="117">
        <v>3511256</v>
      </c>
      <c r="J18" s="115">
        <v>177</v>
      </c>
      <c r="K18" s="117">
        <v>85085</v>
      </c>
      <c r="L18" s="115">
        <f>_xlfn.COMPOUNDVALUE(372)</f>
        <v>4118</v>
      </c>
      <c r="M18" s="117">
        <v>12036433</v>
      </c>
      <c r="N18" s="12" t="s">
        <v>29</v>
      </c>
    </row>
    <row r="19" spans="1:14" ht="15.75" customHeight="1">
      <c r="A19" s="11" t="s">
        <v>30</v>
      </c>
      <c r="B19" s="115">
        <f>_xlfn.COMPOUNDVALUE(373)</f>
        <v>2012</v>
      </c>
      <c r="C19" s="116">
        <v>7500324</v>
      </c>
      <c r="D19" s="115">
        <f>_xlfn.COMPOUNDVALUE(374)</f>
        <v>750</v>
      </c>
      <c r="E19" s="116">
        <v>263111</v>
      </c>
      <c r="F19" s="115">
        <f>_xlfn.COMPOUNDVALUE(375)</f>
        <v>2762</v>
      </c>
      <c r="G19" s="116">
        <v>7763435</v>
      </c>
      <c r="H19" s="115">
        <f>_xlfn.COMPOUNDVALUE(376)</f>
        <v>133</v>
      </c>
      <c r="I19" s="117">
        <v>236867</v>
      </c>
      <c r="J19" s="115">
        <v>150</v>
      </c>
      <c r="K19" s="117">
        <v>9090</v>
      </c>
      <c r="L19" s="115">
        <f>_xlfn.COMPOUNDVALUE(376)</f>
        <v>2926</v>
      </c>
      <c r="M19" s="117">
        <v>7535658</v>
      </c>
      <c r="N19" s="12" t="s">
        <v>30</v>
      </c>
    </row>
    <row r="20" spans="1:14" ht="15.75" customHeight="1">
      <c r="A20" s="11" t="s">
        <v>31</v>
      </c>
      <c r="B20" s="115">
        <f>_xlfn.COMPOUNDVALUE(377)</f>
        <v>4582</v>
      </c>
      <c r="C20" s="116">
        <v>46862083</v>
      </c>
      <c r="D20" s="115">
        <f>_xlfn.COMPOUNDVALUE(378)</f>
        <v>1250</v>
      </c>
      <c r="E20" s="116">
        <v>436411</v>
      </c>
      <c r="F20" s="115">
        <f>_xlfn.COMPOUNDVALUE(379)</f>
        <v>5832</v>
      </c>
      <c r="G20" s="116">
        <v>47298495</v>
      </c>
      <c r="H20" s="115">
        <f>_xlfn.COMPOUNDVALUE(380)</f>
        <v>380</v>
      </c>
      <c r="I20" s="117">
        <v>6582022</v>
      </c>
      <c r="J20" s="115">
        <v>401</v>
      </c>
      <c r="K20" s="117">
        <v>-77556</v>
      </c>
      <c r="L20" s="115">
        <f>_xlfn.COMPOUNDVALUE(380)</f>
        <v>6249</v>
      </c>
      <c r="M20" s="117">
        <v>40638917</v>
      </c>
      <c r="N20" s="12" t="s">
        <v>31</v>
      </c>
    </row>
    <row r="21" spans="1:14" ht="15.75" customHeight="1">
      <c r="A21" s="11" t="s">
        <v>32</v>
      </c>
      <c r="B21" s="115">
        <f>_xlfn.COMPOUNDVALUE(381)</f>
        <v>3728</v>
      </c>
      <c r="C21" s="116">
        <v>14350942</v>
      </c>
      <c r="D21" s="115">
        <f>_xlfn.COMPOUNDVALUE(382)</f>
        <v>1390</v>
      </c>
      <c r="E21" s="116">
        <v>494628</v>
      </c>
      <c r="F21" s="115">
        <f>_xlfn.COMPOUNDVALUE(383)</f>
        <v>5118</v>
      </c>
      <c r="G21" s="116">
        <v>14845569</v>
      </c>
      <c r="H21" s="115">
        <f>_xlfn.COMPOUNDVALUE(384)</f>
        <v>275</v>
      </c>
      <c r="I21" s="117">
        <v>22226551</v>
      </c>
      <c r="J21" s="115">
        <v>245</v>
      </c>
      <c r="K21" s="117">
        <v>25013</v>
      </c>
      <c r="L21" s="115">
        <f>_xlfn.COMPOUNDVALUE(384)</f>
        <v>5415</v>
      </c>
      <c r="M21" s="117">
        <v>-7355968</v>
      </c>
      <c r="N21" s="12" t="s">
        <v>32</v>
      </c>
    </row>
    <row r="22" spans="1:14" ht="15.75" customHeight="1">
      <c r="A22" s="13" t="s">
        <v>33</v>
      </c>
      <c r="B22" s="120">
        <f>_xlfn.COMPOUNDVALUE(385)</f>
        <v>2481</v>
      </c>
      <c r="C22" s="121">
        <v>12993714</v>
      </c>
      <c r="D22" s="120">
        <f>_xlfn.COMPOUNDVALUE(386)</f>
        <v>808</v>
      </c>
      <c r="E22" s="121">
        <v>309679</v>
      </c>
      <c r="F22" s="120">
        <f>_xlfn.COMPOUNDVALUE(387)</f>
        <v>3289</v>
      </c>
      <c r="G22" s="121">
        <v>13303393</v>
      </c>
      <c r="H22" s="120">
        <f>_xlfn.COMPOUNDVALUE(388)</f>
        <v>174</v>
      </c>
      <c r="I22" s="122">
        <v>3157229</v>
      </c>
      <c r="J22" s="120">
        <v>158</v>
      </c>
      <c r="K22" s="122">
        <v>20725</v>
      </c>
      <c r="L22" s="120">
        <f>_xlfn.COMPOUNDVALUE(388)</f>
        <v>3476</v>
      </c>
      <c r="M22" s="122">
        <v>10166890</v>
      </c>
      <c r="N22" s="14" t="s">
        <v>33</v>
      </c>
    </row>
    <row r="23" spans="1:14" ht="15.75" customHeight="1">
      <c r="A23" s="13" t="s">
        <v>34</v>
      </c>
      <c r="B23" s="120">
        <f>_xlfn.COMPOUNDVALUE(389)</f>
        <v>1022</v>
      </c>
      <c r="C23" s="121">
        <v>4255176</v>
      </c>
      <c r="D23" s="120">
        <f>_xlfn.COMPOUNDVALUE(390)</f>
        <v>367</v>
      </c>
      <c r="E23" s="121">
        <v>131035</v>
      </c>
      <c r="F23" s="120">
        <f>_xlfn.COMPOUNDVALUE(391)</f>
        <v>1389</v>
      </c>
      <c r="G23" s="121">
        <v>4386211</v>
      </c>
      <c r="H23" s="120">
        <f>_xlfn.COMPOUNDVALUE(392)</f>
        <v>48</v>
      </c>
      <c r="I23" s="122">
        <v>109918</v>
      </c>
      <c r="J23" s="120">
        <v>83</v>
      </c>
      <c r="K23" s="122">
        <v>5024</v>
      </c>
      <c r="L23" s="120">
        <f>_xlfn.COMPOUNDVALUE(392)</f>
        <v>1445</v>
      </c>
      <c r="M23" s="122">
        <v>4281317</v>
      </c>
      <c r="N23" s="14" t="s">
        <v>34</v>
      </c>
    </row>
    <row r="24" spans="1:14" ht="15.75" customHeight="1">
      <c r="A24" s="13" t="s">
        <v>35</v>
      </c>
      <c r="B24" s="120">
        <f>_xlfn.COMPOUNDVALUE(393)</f>
        <v>804</v>
      </c>
      <c r="C24" s="121">
        <v>1901842</v>
      </c>
      <c r="D24" s="120">
        <f>_xlfn.COMPOUNDVALUE(394)</f>
        <v>276</v>
      </c>
      <c r="E24" s="121">
        <v>92700</v>
      </c>
      <c r="F24" s="120">
        <f>_xlfn.COMPOUNDVALUE(395)</f>
        <v>1080</v>
      </c>
      <c r="G24" s="121">
        <v>1994542</v>
      </c>
      <c r="H24" s="120">
        <f>_xlfn.COMPOUNDVALUE(396)</f>
        <v>49</v>
      </c>
      <c r="I24" s="122">
        <v>101877</v>
      </c>
      <c r="J24" s="120">
        <v>55</v>
      </c>
      <c r="K24" s="122">
        <v>8501</v>
      </c>
      <c r="L24" s="120">
        <f>_xlfn.COMPOUNDVALUE(396)</f>
        <v>1133</v>
      </c>
      <c r="M24" s="122">
        <v>1901166</v>
      </c>
      <c r="N24" s="14" t="s">
        <v>35</v>
      </c>
    </row>
    <row r="25" spans="1:14" ht="15.75" customHeight="1">
      <c r="A25" s="13" t="s">
        <v>36</v>
      </c>
      <c r="B25" s="120">
        <f>_xlfn.COMPOUNDVALUE(397)</f>
        <v>4105</v>
      </c>
      <c r="C25" s="121">
        <v>14823098</v>
      </c>
      <c r="D25" s="120">
        <f>_xlfn.COMPOUNDVALUE(398)</f>
        <v>1211</v>
      </c>
      <c r="E25" s="121">
        <v>442234</v>
      </c>
      <c r="F25" s="120">
        <f>_xlfn.COMPOUNDVALUE(399)</f>
        <v>5316</v>
      </c>
      <c r="G25" s="121">
        <v>15265331</v>
      </c>
      <c r="H25" s="120">
        <f>_xlfn.COMPOUNDVALUE(400)</f>
        <v>325</v>
      </c>
      <c r="I25" s="122">
        <v>814671</v>
      </c>
      <c r="J25" s="120">
        <v>256</v>
      </c>
      <c r="K25" s="122">
        <v>20227</v>
      </c>
      <c r="L25" s="120">
        <f>_xlfn.COMPOUNDVALUE(400)</f>
        <v>5688</v>
      </c>
      <c r="M25" s="122">
        <v>14470888</v>
      </c>
      <c r="N25" s="14" t="s">
        <v>36</v>
      </c>
    </row>
    <row r="26" spans="1:14" ht="15.75" customHeight="1">
      <c r="A26" s="13" t="s">
        <v>37</v>
      </c>
      <c r="B26" s="120">
        <f>_xlfn.COMPOUNDVALUE(401)</f>
        <v>381</v>
      </c>
      <c r="C26" s="121">
        <v>940796</v>
      </c>
      <c r="D26" s="120">
        <f>_xlfn.COMPOUNDVALUE(402)</f>
        <v>149</v>
      </c>
      <c r="E26" s="121">
        <v>47464</v>
      </c>
      <c r="F26" s="120">
        <f>_xlfn.COMPOUNDVALUE(403)</f>
        <v>530</v>
      </c>
      <c r="G26" s="121">
        <v>988260</v>
      </c>
      <c r="H26" s="120">
        <f>_xlfn.COMPOUNDVALUE(404)</f>
        <v>18</v>
      </c>
      <c r="I26" s="122">
        <v>52706</v>
      </c>
      <c r="J26" s="120">
        <v>25</v>
      </c>
      <c r="K26" s="122">
        <v>-115</v>
      </c>
      <c r="L26" s="120">
        <f>_xlfn.COMPOUNDVALUE(404)</f>
        <v>548</v>
      </c>
      <c r="M26" s="122">
        <v>935439</v>
      </c>
      <c r="N26" s="14" t="s">
        <v>37</v>
      </c>
    </row>
    <row r="27" spans="1:14" ht="15.75" customHeight="1">
      <c r="A27" s="13" t="s">
        <v>38</v>
      </c>
      <c r="B27" s="120">
        <f>_xlfn.COMPOUNDVALUE(405)</f>
        <v>1115</v>
      </c>
      <c r="C27" s="121">
        <v>3178700</v>
      </c>
      <c r="D27" s="120">
        <f>_xlfn.COMPOUNDVALUE(406)</f>
        <v>302</v>
      </c>
      <c r="E27" s="121">
        <v>107558</v>
      </c>
      <c r="F27" s="120">
        <f>_xlfn.COMPOUNDVALUE(407)</f>
        <v>1417</v>
      </c>
      <c r="G27" s="121">
        <v>3286258</v>
      </c>
      <c r="H27" s="120">
        <f>_xlfn.COMPOUNDVALUE(408)</f>
        <v>69</v>
      </c>
      <c r="I27" s="122">
        <v>230394</v>
      </c>
      <c r="J27" s="120">
        <v>77</v>
      </c>
      <c r="K27" s="122">
        <v>12295</v>
      </c>
      <c r="L27" s="120">
        <f>_xlfn.COMPOUNDVALUE(408)</f>
        <v>1491</v>
      </c>
      <c r="M27" s="122">
        <v>3068159</v>
      </c>
      <c r="N27" s="14" t="s">
        <v>38</v>
      </c>
    </row>
    <row r="28" spans="1:14" ht="15.75" customHeight="1">
      <c r="A28" s="13" t="s">
        <v>39</v>
      </c>
      <c r="B28" s="120">
        <f>_xlfn.COMPOUNDVALUE(409)</f>
        <v>494</v>
      </c>
      <c r="C28" s="121">
        <v>1289201</v>
      </c>
      <c r="D28" s="120">
        <f>_xlfn.COMPOUNDVALUE(410)</f>
        <v>123</v>
      </c>
      <c r="E28" s="121">
        <v>44598</v>
      </c>
      <c r="F28" s="120">
        <f>_xlfn.COMPOUNDVALUE(411)</f>
        <v>617</v>
      </c>
      <c r="G28" s="121">
        <v>1333799</v>
      </c>
      <c r="H28" s="120">
        <f>_xlfn.COMPOUNDVALUE(412)</f>
        <v>24</v>
      </c>
      <c r="I28" s="122">
        <v>162017</v>
      </c>
      <c r="J28" s="120">
        <v>46</v>
      </c>
      <c r="K28" s="122">
        <v>2340</v>
      </c>
      <c r="L28" s="120">
        <f>_xlfn.COMPOUNDVALUE(412)</f>
        <v>642</v>
      </c>
      <c r="M28" s="122">
        <v>1174122</v>
      </c>
      <c r="N28" s="14" t="s">
        <v>39</v>
      </c>
    </row>
    <row r="29" spans="1:14" ht="15.75" customHeight="1">
      <c r="A29" s="15" t="s">
        <v>178</v>
      </c>
      <c r="B29" s="125">
        <v>27365</v>
      </c>
      <c r="C29" s="126">
        <v>139079177</v>
      </c>
      <c r="D29" s="125">
        <v>9434</v>
      </c>
      <c r="E29" s="126">
        <v>3341378</v>
      </c>
      <c r="F29" s="125">
        <v>36799</v>
      </c>
      <c r="G29" s="126">
        <v>142420555</v>
      </c>
      <c r="H29" s="125">
        <v>2021</v>
      </c>
      <c r="I29" s="127">
        <v>42525357</v>
      </c>
      <c r="J29" s="125">
        <v>1943</v>
      </c>
      <c r="K29" s="127">
        <v>73197</v>
      </c>
      <c r="L29" s="125">
        <v>39040</v>
      </c>
      <c r="M29" s="127">
        <v>99968395</v>
      </c>
      <c r="N29" s="16" t="s">
        <v>124</v>
      </c>
    </row>
    <row r="30" spans="1:14" ht="15.75" customHeight="1">
      <c r="A30" s="23"/>
      <c r="B30" s="130"/>
      <c r="C30" s="131"/>
      <c r="D30" s="130"/>
      <c r="E30" s="131"/>
      <c r="F30" s="132"/>
      <c r="G30" s="131"/>
      <c r="H30" s="132"/>
      <c r="I30" s="131"/>
      <c r="J30" s="132"/>
      <c r="K30" s="131"/>
      <c r="L30" s="132"/>
      <c r="M30" s="131"/>
      <c r="N30" s="24"/>
    </row>
    <row r="31" spans="1:14" ht="15.75" customHeight="1">
      <c r="A31" s="11" t="s">
        <v>41</v>
      </c>
      <c r="B31" s="115">
        <f>_xlfn.COMPOUNDVALUE(413)</f>
        <v>2641</v>
      </c>
      <c r="C31" s="116">
        <v>21865507</v>
      </c>
      <c r="D31" s="115">
        <f>_xlfn.COMPOUNDVALUE(414)</f>
        <v>676</v>
      </c>
      <c r="E31" s="116">
        <v>240091</v>
      </c>
      <c r="F31" s="115">
        <f>_xlfn.COMPOUNDVALUE(415)</f>
        <v>3317</v>
      </c>
      <c r="G31" s="116">
        <v>22105598</v>
      </c>
      <c r="H31" s="115">
        <f>_xlfn.COMPOUNDVALUE(416)</f>
        <v>376</v>
      </c>
      <c r="I31" s="117">
        <v>1344674</v>
      </c>
      <c r="J31" s="115">
        <v>217</v>
      </c>
      <c r="K31" s="117">
        <v>83253</v>
      </c>
      <c r="L31" s="115">
        <f>_xlfn.COMPOUNDVALUE(416)</f>
        <v>3719</v>
      </c>
      <c r="M31" s="117">
        <v>20844177</v>
      </c>
      <c r="N31" s="25" t="s">
        <v>41</v>
      </c>
    </row>
    <row r="32" spans="1:14" ht="15.75" customHeight="1">
      <c r="A32" s="11" t="s">
        <v>42</v>
      </c>
      <c r="B32" s="115">
        <f>_xlfn.COMPOUNDVALUE(417)</f>
        <v>5423</v>
      </c>
      <c r="C32" s="116">
        <v>48832737</v>
      </c>
      <c r="D32" s="115">
        <f>_xlfn.COMPOUNDVALUE(418)</f>
        <v>1236</v>
      </c>
      <c r="E32" s="116">
        <v>502559</v>
      </c>
      <c r="F32" s="115">
        <f>_xlfn.COMPOUNDVALUE(419)</f>
        <v>6659</v>
      </c>
      <c r="G32" s="116">
        <v>49335296</v>
      </c>
      <c r="H32" s="115">
        <f>_xlfn.COMPOUNDVALUE(420)</f>
        <v>1081</v>
      </c>
      <c r="I32" s="117">
        <v>15384715</v>
      </c>
      <c r="J32" s="115">
        <v>466</v>
      </c>
      <c r="K32" s="117">
        <v>71885</v>
      </c>
      <c r="L32" s="115">
        <f>_xlfn.COMPOUNDVALUE(420)</f>
        <v>7790</v>
      </c>
      <c r="M32" s="117">
        <v>34022466</v>
      </c>
      <c r="N32" s="12" t="s">
        <v>42</v>
      </c>
    </row>
    <row r="33" spans="1:14" ht="15.75" customHeight="1">
      <c r="A33" s="11" t="s">
        <v>43</v>
      </c>
      <c r="B33" s="115">
        <f>_xlfn.COMPOUNDVALUE(421)</f>
        <v>2215</v>
      </c>
      <c r="C33" s="116">
        <v>11722593</v>
      </c>
      <c r="D33" s="115">
        <f>_xlfn.COMPOUNDVALUE(422)</f>
        <v>648</v>
      </c>
      <c r="E33" s="116">
        <v>229462</v>
      </c>
      <c r="F33" s="115">
        <f>_xlfn.COMPOUNDVALUE(423)</f>
        <v>2863</v>
      </c>
      <c r="G33" s="116">
        <v>11952056</v>
      </c>
      <c r="H33" s="115">
        <f>_xlfn.COMPOUNDVALUE(424)</f>
        <v>235</v>
      </c>
      <c r="I33" s="117">
        <v>573053</v>
      </c>
      <c r="J33" s="115">
        <v>136</v>
      </c>
      <c r="K33" s="117">
        <v>60291</v>
      </c>
      <c r="L33" s="115">
        <f>_xlfn.COMPOUNDVALUE(424)</f>
        <v>3110</v>
      </c>
      <c r="M33" s="117">
        <v>11439294</v>
      </c>
      <c r="N33" s="12" t="s">
        <v>43</v>
      </c>
    </row>
    <row r="34" spans="1:14" ht="15.75" customHeight="1">
      <c r="A34" s="11" t="s">
        <v>44</v>
      </c>
      <c r="B34" s="115">
        <f>_xlfn.COMPOUNDVALUE(425)</f>
        <v>2031</v>
      </c>
      <c r="C34" s="116">
        <v>13826975</v>
      </c>
      <c r="D34" s="115">
        <f>_xlfn.COMPOUNDVALUE(426)</f>
        <v>681</v>
      </c>
      <c r="E34" s="116">
        <v>240535</v>
      </c>
      <c r="F34" s="115">
        <f>_xlfn.COMPOUNDVALUE(427)</f>
        <v>2712</v>
      </c>
      <c r="G34" s="116">
        <v>14067510</v>
      </c>
      <c r="H34" s="115">
        <f>_xlfn.COMPOUNDVALUE(428)</f>
        <v>283</v>
      </c>
      <c r="I34" s="117">
        <v>701661</v>
      </c>
      <c r="J34" s="115">
        <v>158</v>
      </c>
      <c r="K34" s="117">
        <v>52914</v>
      </c>
      <c r="L34" s="115">
        <f>_xlfn.COMPOUNDVALUE(428)</f>
        <v>3020</v>
      </c>
      <c r="M34" s="117">
        <v>13418762</v>
      </c>
      <c r="N34" s="12" t="s">
        <v>44</v>
      </c>
    </row>
    <row r="35" spans="1:14" ht="15.75" customHeight="1">
      <c r="A35" s="11" t="s">
        <v>45</v>
      </c>
      <c r="B35" s="115">
        <f>_xlfn.COMPOUNDVALUE(429)</f>
        <v>2236</v>
      </c>
      <c r="C35" s="116">
        <v>15297344</v>
      </c>
      <c r="D35" s="115">
        <f>_xlfn.COMPOUNDVALUE(430)</f>
        <v>548</v>
      </c>
      <c r="E35" s="116">
        <v>225321</v>
      </c>
      <c r="F35" s="115">
        <f>_xlfn.COMPOUNDVALUE(431)</f>
        <v>2784</v>
      </c>
      <c r="G35" s="116">
        <v>15522665</v>
      </c>
      <c r="H35" s="115">
        <f>_xlfn.COMPOUNDVALUE(432)</f>
        <v>336</v>
      </c>
      <c r="I35" s="117">
        <v>8622529</v>
      </c>
      <c r="J35" s="115">
        <v>206</v>
      </c>
      <c r="K35" s="117">
        <v>86939</v>
      </c>
      <c r="L35" s="115">
        <f>_xlfn.COMPOUNDVALUE(432)</f>
        <v>3146</v>
      </c>
      <c r="M35" s="117">
        <v>6987075</v>
      </c>
      <c r="N35" s="12" t="s">
        <v>45</v>
      </c>
    </row>
    <row r="36" spans="1:14" ht="15.75" customHeight="1">
      <c r="A36" s="11" t="s">
        <v>46</v>
      </c>
      <c r="B36" s="115">
        <f>_xlfn.COMPOUNDVALUE(433)</f>
        <v>1455</v>
      </c>
      <c r="C36" s="116">
        <v>9876416</v>
      </c>
      <c r="D36" s="115">
        <f>_xlfn.COMPOUNDVALUE(434)</f>
        <v>403</v>
      </c>
      <c r="E36" s="116">
        <v>154620</v>
      </c>
      <c r="F36" s="115">
        <f>_xlfn.COMPOUNDVALUE(435)</f>
        <v>1858</v>
      </c>
      <c r="G36" s="116">
        <v>10031036</v>
      </c>
      <c r="H36" s="115">
        <f>_xlfn.COMPOUNDVALUE(436)</f>
        <v>118</v>
      </c>
      <c r="I36" s="117">
        <v>636440</v>
      </c>
      <c r="J36" s="115">
        <v>120</v>
      </c>
      <c r="K36" s="117">
        <v>6442</v>
      </c>
      <c r="L36" s="115">
        <f>_xlfn.COMPOUNDVALUE(436)</f>
        <v>2001</v>
      </c>
      <c r="M36" s="117">
        <v>9401038</v>
      </c>
      <c r="N36" s="12" t="s">
        <v>46</v>
      </c>
    </row>
    <row r="37" spans="1:14" ht="15.75" customHeight="1">
      <c r="A37" s="11" t="s">
        <v>47</v>
      </c>
      <c r="B37" s="115">
        <f>_xlfn.COMPOUNDVALUE(437)</f>
        <v>1587</v>
      </c>
      <c r="C37" s="116">
        <v>8677018</v>
      </c>
      <c r="D37" s="115">
        <f>_xlfn.COMPOUNDVALUE(438)</f>
        <v>602</v>
      </c>
      <c r="E37" s="116">
        <v>204837</v>
      </c>
      <c r="F37" s="115">
        <f>_xlfn.COMPOUNDVALUE(439)</f>
        <v>2189</v>
      </c>
      <c r="G37" s="116">
        <v>8881855</v>
      </c>
      <c r="H37" s="115">
        <f>_xlfn.COMPOUNDVALUE(440)</f>
        <v>166</v>
      </c>
      <c r="I37" s="117">
        <v>426665</v>
      </c>
      <c r="J37" s="115">
        <v>148</v>
      </c>
      <c r="K37" s="117">
        <v>21727</v>
      </c>
      <c r="L37" s="115">
        <f>_xlfn.COMPOUNDVALUE(440)</f>
        <v>2370</v>
      </c>
      <c r="M37" s="117">
        <v>8476917</v>
      </c>
      <c r="N37" s="12" t="s">
        <v>47</v>
      </c>
    </row>
    <row r="38" spans="1:14" ht="15.75" customHeight="1">
      <c r="A38" s="11" t="s">
        <v>48</v>
      </c>
      <c r="B38" s="115">
        <f>_xlfn.COMPOUNDVALUE(441)</f>
        <v>1689</v>
      </c>
      <c r="C38" s="116">
        <v>7859580</v>
      </c>
      <c r="D38" s="115">
        <f>_xlfn.COMPOUNDVALUE(442)</f>
        <v>663</v>
      </c>
      <c r="E38" s="116">
        <v>216762</v>
      </c>
      <c r="F38" s="115">
        <f>_xlfn.COMPOUNDVALUE(443)</f>
        <v>2352</v>
      </c>
      <c r="G38" s="116">
        <v>8076342</v>
      </c>
      <c r="H38" s="115">
        <f>_xlfn.COMPOUNDVALUE(444)</f>
        <v>172</v>
      </c>
      <c r="I38" s="117">
        <v>182969</v>
      </c>
      <c r="J38" s="115">
        <v>140</v>
      </c>
      <c r="K38" s="117">
        <v>22302</v>
      </c>
      <c r="L38" s="115">
        <f>_xlfn.COMPOUNDVALUE(444)</f>
        <v>2541</v>
      </c>
      <c r="M38" s="117">
        <v>7915675</v>
      </c>
      <c r="N38" s="12" t="s">
        <v>48</v>
      </c>
    </row>
    <row r="39" spans="1:14" ht="15.75" customHeight="1">
      <c r="A39" s="11" t="s">
        <v>49</v>
      </c>
      <c r="B39" s="115">
        <f>_xlfn.COMPOUNDVALUE(445)</f>
        <v>2348</v>
      </c>
      <c r="C39" s="116">
        <v>9142891</v>
      </c>
      <c r="D39" s="115">
        <f>_xlfn.COMPOUNDVALUE(446)</f>
        <v>793</v>
      </c>
      <c r="E39" s="116">
        <v>302017</v>
      </c>
      <c r="F39" s="115">
        <f>_xlfn.COMPOUNDVALUE(447)</f>
        <v>3141</v>
      </c>
      <c r="G39" s="116">
        <v>9444908</v>
      </c>
      <c r="H39" s="115">
        <f>_xlfn.COMPOUNDVALUE(448)</f>
        <v>210</v>
      </c>
      <c r="I39" s="117">
        <v>354350</v>
      </c>
      <c r="J39" s="115">
        <v>222</v>
      </c>
      <c r="K39" s="117">
        <v>20537</v>
      </c>
      <c r="L39" s="115">
        <f>_xlfn.COMPOUNDVALUE(448)</f>
        <v>3383</v>
      </c>
      <c r="M39" s="117">
        <v>9111095</v>
      </c>
      <c r="N39" s="12" t="s">
        <v>49</v>
      </c>
    </row>
    <row r="40" spans="1:14" ht="15.75" customHeight="1">
      <c r="A40" s="11" t="s">
        <v>50</v>
      </c>
      <c r="B40" s="115">
        <f>_xlfn.COMPOUNDVALUE(449)</f>
        <v>2639</v>
      </c>
      <c r="C40" s="116">
        <v>13229535</v>
      </c>
      <c r="D40" s="115">
        <f>_xlfn.COMPOUNDVALUE(450)</f>
        <v>935</v>
      </c>
      <c r="E40" s="116">
        <v>342704</v>
      </c>
      <c r="F40" s="115">
        <f>_xlfn.COMPOUNDVALUE(451)</f>
        <v>3574</v>
      </c>
      <c r="G40" s="116">
        <v>13572239</v>
      </c>
      <c r="H40" s="115">
        <f>_xlfn.COMPOUNDVALUE(452)</f>
        <v>219</v>
      </c>
      <c r="I40" s="117">
        <v>1166069</v>
      </c>
      <c r="J40" s="115">
        <v>216</v>
      </c>
      <c r="K40" s="117">
        <v>13602</v>
      </c>
      <c r="L40" s="115">
        <f>_xlfn.COMPOUNDVALUE(452)</f>
        <v>3809</v>
      </c>
      <c r="M40" s="117">
        <v>12419773</v>
      </c>
      <c r="N40" s="12" t="s">
        <v>50</v>
      </c>
    </row>
    <row r="41" spans="1:14" ht="15.75" customHeight="1">
      <c r="A41" s="11" t="s">
        <v>51</v>
      </c>
      <c r="B41" s="115">
        <f>_xlfn.COMPOUNDVALUE(453)</f>
        <v>1241</v>
      </c>
      <c r="C41" s="116">
        <v>8124263</v>
      </c>
      <c r="D41" s="115">
        <f>_xlfn.COMPOUNDVALUE(454)</f>
        <v>485</v>
      </c>
      <c r="E41" s="116">
        <v>171447</v>
      </c>
      <c r="F41" s="115">
        <f>_xlfn.COMPOUNDVALUE(455)</f>
        <v>1726</v>
      </c>
      <c r="G41" s="116">
        <v>8295709</v>
      </c>
      <c r="H41" s="115">
        <f>_xlfn.COMPOUNDVALUE(456)</f>
        <v>162</v>
      </c>
      <c r="I41" s="117">
        <v>12572366</v>
      </c>
      <c r="J41" s="115">
        <v>83</v>
      </c>
      <c r="K41" s="117">
        <v>13700</v>
      </c>
      <c r="L41" s="115">
        <f>_xlfn.COMPOUNDVALUE(456)</f>
        <v>1892</v>
      </c>
      <c r="M41" s="117">
        <v>-4262957</v>
      </c>
      <c r="N41" s="12" t="s">
        <v>51</v>
      </c>
    </row>
    <row r="42" spans="1:14" ht="15.75" customHeight="1">
      <c r="A42" s="11" t="s">
        <v>52</v>
      </c>
      <c r="B42" s="115">
        <f>_xlfn.COMPOUNDVALUE(457)</f>
        <v>2685</v>
      </c>
      <c r="C42" s="116">
        <v>12915780</v>
      </c>
      <c r="D42" s="115">
        <f>_xlfn.COMPOUNDVALUE(458)</f>
        <v>843</v>
      </c>
      <c r="E42" s="116">
        <v>317816</v>
      </c>
      <c r="F42" s="115">
        <f>_xlfn.COMPOUNDVALUE(459)</f>
        <v>3528</v>
      </c>
      <c r="G42" s="116">
        <v>13233596</v>
      </c>
      <c r="H42" s="115">
        <f>_xlfn.COMPOUNDVALUE(460)</f>
        <v>290</v>
      </c>
      <c r="I42" s="117">
        <v>904927</v>
      </c>
      <c r="J42" s="115">
        <v>219</v>
      </c>
      <c r="K42" s="117">
        <v>-4691</v>
      </c>
      <c r="L42" s="115">
        <f>_xlfn.COMPOUNDVALUE(460)</f>
        <v>3842</v>
      </c>
      <c r="M42" s="117">
        <v>12323978</v>
      </c>
      <c r="N42" s="12" t="s">
        <v>52</v>
      </c>
    </row>
    <row r="43" spans="1:14" ht="15.75" customHeight="1">
      <c r="A43" s="11" t="s">
        <v>53</v>
      </c>
      <c r="B43" s="115">
        <f>_xlfn.COMPOUNDVALUE(461)</f>
        <v>3991</v>
      </c>
      <c r="C43" s="116">
        <v>12032322</v>
      </c>
      <c r="D43" s="115">
        <f>_xlfn.COMPOUNDVALUE(462)</f>
        <v>1398</v>
      </c>
      <c r="E43" s="116">
        <v>505472</v>
      </c>
      <c r="F43" s="115">
        <f>_xlfn.COMPOUNDVALUE(463)</f>
        <v>5389</v>
      </c>
      <c r="G43" s="116">
        <v>12537794</v>
      </c>
      <c r="H43" s="115">
        <f>_xlfn.COMPOUNDVALUE(464)</f>
        <v>284</v>
      </c>
      <c r="I43" s="117">
        <v>901288</v>
      </c>
      <c r="J43" s="115">
        <v>235</v>
      </c>
      <c r="K43" s="117">
        <v>70971</v>
      </c>
      <c r="L43" s="115">
        <f>_xlfn.COMPOUNDVALUE(464)</f>
        <v>5700</v>
      </c>
      <c r="M43" s="117">
        <v>11707477</v>
      </c>
      <c r="N43" s="12" t="s">
        <v>53</v>
      </c>
    </row>
    <row r="44" spans="1:14" ht="15.75" customHeight="1">
      <c r="A44" s="11" t="s">
        <v>54</v>
      </c>
      <c r="B44" s="115">
        <f>_xlfn.COMPOUNDVALUE(465)</f>
        <v>1131</v>
      </c>
      <c r="C44" s="116">
        <v>5707914</v>
      </c>
      <c r="D44" s="115">
        <f>_xlfn.COMPOUNDVALUE(466)</f>
        <v>394</v>
      </c>
      <c r="E44" s="116">
        <v>131100</v>
      </c>
      <c r="F44" s="115">
        <f>_xlfn.COMPOUNDVALUE(467)</f>
        <v>1525</v>
      </c>
      <c r="G44" s="116">
        <v>5839014</v>
      </c>
      <c r="H44" s="115">
        <f>_xlfn.COMPOUNDVALUE(468)</f>
        <v>99</v>
      </c>
      <c r="I44" s="117">
        <v>215883</v>
      </c>
      <c r="J44" s="115">
        <v>138</v>
      </c>
      <c r="K44" s="117">
        <v>13208</v>
      </c>
      <c r="L44" s="115">
        <f>_xlfn.COMPOUNDVALUE(468)</f>
        <v>1636</v>
      </c>
      <c r="M44" s="117">
        <v>5636339</v>
      </c>
      <c r="N44" s="12" t="s">
        <v>54</v>
      </c>
    </row>
    <row r="45" spans="1:14" ht="15.75" customHeight="1">
      <c r="A45" s="11" t="s">
        <v>55</v>
      </c>
      <c r="B45" s="115">
        <f>_xlfn.COMPOUNDVALUE(469)</f>
        <v>5300</v>
      </c>
      <c r="C45" s="116">
        <v>43485179</v>
      </c>
      <c r="D45" s="115">
        <f>_xlfn.COMPOUNDVALUE(470)</f>
        <v>1695</v>
      </c>
      <c r="E45" s="116">
        <v>699296</v>
      </c>
      <c r="F45" s="115">
        <f>_xlfn.COMPOUNDVALUE(471)</f>
        <v>6995</v>
      </c>
      <c r="G45" s="116">
        <v>44184475</v>
      </c>
      <c r="H45" s="115">
        <f>_xlfn.COMPOUNDVALUE(472)</f>
        <v>665</v>
      </c>
      <c r="I45" s="117">
        <v>6107119</v>
      </c>
      <c r="J45" s="115">
        <v>454</v>
      </c>
      <c r="K45" s="117">
        <v>81019</v>
      </c>
      <c r="L45" s="115">
        <f>_xlfn.COMPOUNDVALUE(472)</f>
        <v>7722</v>
      </c>
      <c r="M45" s="117">
        <v>38158374</v>
      </c>
      <c r="N45" s="12" t="s">
        <v>55</v>
      </c>
    </row>
    <row r="46" spans="1:14" ht="15.75" customHeight="1">
      <c r="A46" s="11" t="s">
        <v>56</v>
      </c>
      <c r="B46" s="115">
        <f>_xlfn.COMPOUNDVALUE(473)</f>
        <v>5476</v>
      </c>
      <c r="C46" s="116">
        <v>93532064</v>
      </c>
      <c r="D46" s="115">
        <f>_xlfn.COMPOUNDVALUE(474)</f>
        <v>1360</v>
      </c>
      <c r="E46" s="116">
        <v>653268</v>
      </c>
      <c r="F46" s="115">
        <f>_xlfn.COMPOUNDVALUE(475)</f>
        <v>6836</v>
      </c>
      <c r="G46" s="116">
        <v>94185331</v>
      </c>
      <c r="H46" s="115">
        <f>_xlfn.COMPOUNDVALUE(476)</f>
        <v>814</v>
      </c>
      <c r="I46" s="117">
        <v>53619862</v>
      </c>
      <c r="J46" s="115">
        <v>637</v>
      </c>
      <c r="K46" s="117">
        <v>249551</v>
      </c>
      <c r="L46" s="115">
        <f>_xlfn.COMPOUNDVALUE(476)</f>
        <v>7715</v>
      </c>
      <c r="M46" s="117">
        <v>40815021</v>
      </c>
      <c r="N46" s="12" t="s">
        <v>56</v>
      </c>
    </row>
    <row r="47" spans="1:14" ht="15.75" customHeight="1">
      <c r="A47" s="11" t="s">
        <v>57</v>
      </c>
      <c r="B47" s="115">
        <f>_xlfn.COMPOUNDVALUE(477)</f>
        <v>2617</v>
      </c>
      <c r="C47" s="116">
        <v>55516407</v>
      </c>
      <c r="D47" s="115">
        <f>_xlfn.COMPOUNDVALUE(478)</f>
        <v>750</v>
      </c>
      <c r="E47" s="116">
        <v>309759</v>
      </c>
      <c r="F47" s="115">
        <f>_xlfn.COMPOUNDVALUE(479)</f>
        <v>3367</v>
      </c>
      <c r="G47" s="116">
        <v>55826166</v>
      </c>
      <c r="H47" s="115">
        <f>_xlfn.COMPOUNDVALUE(480)</f>
        <v>337</v>
      </c>
      <c r="I47" s="117">
        <v>5168816</v>
      </c>
      <c r="J47" s="115">
        <v>212</v>
      </c>
      <c r="K47" s="117">
        <v>75281</v>
      </c>
      <c r="L47" s="115">
        <f>_xlfn.COMPOUNDVALUE(480)</f>
        <v>3730</v>
      </c>
      <c r="M47" s="117">
        <v>50732632</v>
      </c>
      <c r="N47" s="12" t="s">
        <v>57</v>
      </c>
    </row>
    <row r="48" spans="1:14" ht="15.75" customHeight="1">
      <c r="A48" s="11" t="s">
        <v>58</v>
      </c>
      <c r="B48" s="115">
        <f>_xlfn.COMPOUNDVALUE(481)</f>
        <v>7792</v>
      </c>
      <c r="C48" s="116">
        <v>165554519</v>
      </c>
      <c r="D48" s="115">
        <f>_xlfn.COMPOUNDVALUE(482)</f>
        <v>1812</v>
      </c>
      <c r="E48" s="116">
        <v>817831</v>
      </c>
      <c r="F48" s="115">
        <f>_xlfn.COMPOUNDVALUE(483)</f>
        <v>9604</v>
      </c>
      <c r="G48" s="116">
        <v>166372350</v>
      </c>
      <c r="H48" s="115">
        <f>_xlfn.COMPOUNDVALUE(484)</f>
        <v>2045</v>
      </c>
      <c r="I48" s="117">
        <v>34056571</v>
      </c>
      <c r="J48" s="115">
        <v>820</v>
      </c>
      <c r="K48" s="117">
        <v>-34747</v>
      </c>
      <c r="L48" s="115">
        <f>_xlfn.COMPOUNDVALUE(484)</f>
        <v>11742</v>
      </c>
      <c r="M48" s="117">
        <v>132281031</v>
      </c>
      <c r="N48" s="12" t="s">
        <v>58</v>
      </c>
    </row>
    <row r="49" spans="1:14" ht="15.75" customHeight="1">
      <c r="A49" s="11" t="s">
        <v>59</v>
      </c>
      <c r="B49" s="115">
        <f>_xlfn.COMPOUNDVALUE(485)</f>
        <v>4281</v>
      </c>
      <c r="C49" s="116">
        <v>35951546</v>
      </c>
      <c r="D49" s="115">
        <f>_xlfn.COMPOUNDVALUE(486)</f>
        <v>1177</v>
      </c>
      <c r="E49" s="116">
        <v>466221</v>
      </c>
      <c r="F49" s="115">
        <f>_xlfn.COMPOUNDVALUE(487)</f>
        <v>5458</v>
      </c>
      <c r="G49" s="116">
        <v>36417766</v>
      </c>
      <c r="H49" s="115">
        <f>_xlfn.COMPOUNDVALUE(488)</f>
        <v>697</v>
      </c>
      <c r="I49" s="117">
        <v>7307342</v>
      </c>
      <c r="J49" s="115">
        <v>349</v>
      </c>
      <c r="K49" s="117">
        <v>98022</v>
      </c>
      <c r="L49" s="115">
        <f>_xlfn.COMPOUNDVALUE(488)</f>
        <v>6207</v>
      </c>
      <c r="M49" s="117">
        <v>29208446</v>
      </c>
      <c r="N49" s="12" t="s">
        <v>59</v>
      </c>
    </row>
    <row r="50" spans="1:14" ht="15.75" customHeight="1">
      <c r="A50" s="11" t="s">
        <v>60</v>
      </c>
      <c r="B50" s="115">
        <f>_xlfn.COMPOUNDVALUE(489)</f>
        <v>7682</v>
      </c>
      <c r="C50" s="116">
        <v>33350865</v>
      </c>
      <c r="D50" s="115">
        <f>_xlfn.COMPOUNDVALUE(490)</f>
        <v>2351</v>
      </c>
      <c r="E50" s="116">
        <v>915769</v>
      </c>
      <c r="F50" s="115">
        <f>_xlfn.COMPOUNDVALUE(491)</f>
        <v>10033</v>
      </c>
      <c r="G50" s="116">
        <v>34266634</v>
      </c>
      <c r="H50" s="115">
        <f>_xlfn.COMPOUNDVALUE(492)</f>
        <v>765</v>
      </c>
      <c r="I50" s="117">
        <v>5790496</v>
      </c>
      <c r="J50" s="115">
        <v>469</v>
      </c>
      <c r="K50" s="117">
        <v>36769</v>
      </c>
      <c r="L50" s="115">
        <f>_xlfn.COMPOUNDVALUE(492)</f>
        <v>10873</v>
      </c>
      <c r="M50" s="117">
        <v>28512907</v>
      </c>
      <c r="N50" s="12" t="s">
        <v>60</v>
      </c>
    </row>
    <row r="51" spans="1:14" ht="15.75" customHeight="1">
      <c r="A51" s="11" t="s">
        <v>61</v>
      </c>
      <c r="B51" s="115">
        <f>_xlfn.COMPOUNDVALUE(493)</f>
        <v>2443</v>
      </c>
      <c r="C51" s="116">
        <v>8164014</v>
      </c>
      <c r="D51" s="115">
        <f>_xlfn.COMPOUNDVALUE(494)</f>
        <v>689</v>
      </c>
      <c r="E51" s="116">
        <v>254992</v>
      </c>
      <c r="F51" s="115">
        <f>_xlfn.COMPOUNDVALUE(495)</f>
        <v>3132</v>
      </c>
      <c r="G51" s="116">
        <v>8419006</v>
      </c>
      <c r="H51" s="115">
        <f>_xlfn.COMPOUNDVALUE(496)</f>
        <v>190</v>
      </c>
      <c r="I51" s="117">
        <v>663936</v>
      </c>
      <c r="J51" s="115">
        <v>169</v>
      </c>
      <c r="K51" s="117">
        <v>10703</v>
      </c>
      <c r="L51" s="115">
        <f>_xlfn.COMPOUNDVALUE(496)</f>
        <v>3339</v>
      </c>
      <c r="M51" s="117">
        <v>7765774</v>
      </c>
      <c r="N51" s="12" t="s">
        <v>61</v>
      </c>
    </row>
    <row r="52" spans="1:14" ht="15.75" customHeight="1">
      <c r="A52" s="11" t="s">
        <v>62</v>
      </c>
      <c r="B52" s="115">
        <f>_xlfn.COMPOUNDVALUE(497)</f>
        <v>5137</v>
      </c>
      <c r="C52" s="116">
        <v>25744515</v>
      </c>
      <c r="D52" s="115">
        <f>_xlfn.COMPOUNDVALUE(498)</f>
        <v>2225</v>
      </c>
      <c r="E52" s="116">
        <v>805724</v>
      </c>
      <c r="F52" s="115">
        <f>_xlfn.COMPOUNDVALUE(499)</f>
        <v>7362</v>
      </c>
      <c r="G52" s="116">
        <v>26550239</v>
      </c>
      <c r="H52" s="115">
        <f>_xlfn.COMPOUNDVALUE(500)</f>
        <v>556</v>
      </c>
      <c r="I52" s="117">
        <v>1063663</v>
      </c>
      <c r="J52" s="115">
        <v>374</v>
      </c>
      <c r="K52" s="117">
        <v>85076</v>
      </c>
      <c r="L52" s="115">
        <f>_xlfn.COMPOUNDVALUE(500)</f>
        <v>7966</v>
      </c>
      <c r="M52" s="117">
        <v>25571652</v>
      </c>
      <c r="N52" s="12" t="s">
        <v>62</v>
      </c>
    </row>
    <row r="53" spans="1:14" ht="15.75" customHeight="1">
      <c r="A53" s="11" t="s">
        <v>63</v>
      </c>
      <c r="B53" s="115">
        <f>_xlfn.COMPOUNDVALUE(501)</f>
        <v>4142</v>
      </c>
      <c r="C53" s="116">
        <v>21192788</v>
      </c>
      <c r="D53" s="115">
        <f>_xlfn.COMPOUNDVALUE(502)</f>
        <v>1526</v>
      </c>
      <c r="E53" s="116">
        <v>598671</v>
      </c>
      <c r="F53" s="115">
        <f>_xlfn.COMPOUNDVALUE(503)</f>
        <v>5668</v>
      </c>
      <c r="G53" s="116">
        <v>21791459</v>
      </c>
      <c r="H53" s="115">
        <f>_xlfn.COMPOUNDVALUE(504)</f>
        <v>402</v>
      </c>
      <c r="I53" s="117">
        <v>2216832</v>
      </c>
      <c r="J53" s="115">
        <v>323</v>
      </c>
      <c r="K53" s="117">
        <v>28061</v>
      </c>
      <c r="L53" s="115">
        <f>_xlfn.COMPOUNDVALUE(504)</f>
        <v>6119</v>
      </c>
      <c r="M53" s="117">
        <v>19602688</v>
      </c>
      <c r="N53" s="12" t="s">
        <v>63</v>
      </c>
    </row>
    <row r="54" spans="1:14" ht="15.75" customHeight="1">
      <c r="A54" s="11" t="s">
        <v>64</v>
      </c>
      <c r="B54" s="115">
        <f>_xlfn.COMPOUNDVALUE(505)</f>
        <v>2605</v>
      </c>
      <c r="C54" s="116">
        <v>13839607</v>
      </c>
      <c r="D54" s="115">
        <f>_xlfn.COMPOUNDVALUE(506)</f>
        <v>712</v>
      </c>
      <c r="E54" s="116">
        <v>275484</v>
      </c>
      <c r="F54" s="115">
        <f>_xlfn.COMPOUNDVALUE(507)</f>
        <v>3317</v>
      </c>
      <c r="G54" s="116">
        <v>14115091</v>
      </c>
      <c r="H54" s="115">
        <f>_xlfn.COMPOUNDVALUE(508)</f>
        <v>319</v>
      </c>
      <c r="I54" s="117">
        <v>1923628</v>
      </c>
      <c r="J54" s="115">
        <v>174</v>
      </c>
      <c r="K54" s="117">
        <v>26629</v>
      </c>
      <c r="L54" s="115">
        <f>_xlfn.COMPOUNDVALUE(508)</f>
        <v>3660</v>
      </c>
      <c r="M54" s="117">
        <v>12218092</v>
      </c>
      <c r="N54" s="12" t="s">
        <v>64</v>
      </c>
    </row>
    <row r="55" spans="1:14" ht="15.75" customHeight="1">
      <c r="A55" s="13" t="s">
        <v>65</v>
      </c>
      <c r="B55" s="120">
        <f>_xlfn.COMPOUNDVALUE(509)</f>
        <v>4293</v>
      </c>
      <c r="C55" s="121">
        <v>15426601</v>
      </c>
      <c r="D55" s="120">
        <f>_xlfn.COMPOUNDVALUE(510)</f>
        <v>1416</v>
      </c>
      <c r="E55" s="121">
        <v>567494</v>
      </c>
      <c r="F55" s="120">
        <f>_xlfn.COMPOUNDVALUE(511)</f>
        <v>5709</v>
      </c>
      <c r="G55" s="121">
        <v>15994096</v>
      </c>
      <c r="H55" s="120">
        <f>_xlfn.COMPOUNDVALUE(512)</f>
        <v>379</v>
      </c>
      <c r="I55" s="122">
        <v>825445</v>
      </c>
      <c r="J55" s="120">
        <v>333</v>
      </c>
      <c r="K55" s="122">
        <v>88069</v>
      </c>
      <c r="L55" s="120">
        <f>_xlfn.COMPOUNDVALUE(512)</f>
        <v>6138</v>
      </c>
      <c r="M55" s="122">
        <v>15256719</v>
      </c>
      <c r="N55" s="14" t="s">
        <v>65</v>
      </c>
    </row>
    <row r="56" spans="1:14" ht="15.75" customHeight="1">
      <c r="A56" s="13" t="s">
        <v>66</v>
      </c>
      <c r="B56" s="120">
        <f>_xlfn.COMPOUNDVALUE(513)</f>
        <v>4182</v>
      </c>
      <c r="C56" s="121">
        <v>20441491</v>
      </c>
      <c r="D56" s="120">
        <f>_xlfn.COMPOUNDVALUE(514)</f>
        <v>1470</v>
      </c>
      <c r="E56" s="121">
        <v>565427</v>
      </c>
      <c r="F56" s="120">
        <f>_xlfn.COMPOUNDVALUE(515)</f>
        <v>5652</v>
      </c>
      <c r="G56" s="121">
        <v>21006918</v>
      </c>
      <c r="H56" s="120">
        <f>_xlfn.COMPOUNDVALUE(516)</f>
        <v>331</v>
      </c>
      <c r="I56" s="122">
        <v>11389802</v>
      </c>
      <c r="J56" s="120">
        <v>327</v>
      </c>
      <c r="K56" s="122">
        <v>84376</v>
      </c>
      <c r="L56" s="120">
        <f>_xlfn.COMPOUNDVALUE(516)</f>
        <v>6021</v>
      </c>
      <c r="M56" s="122">
        <v>9701493</v>
      </c>
      <c r="N56" s="14" t="s">
        <v>66</v>
      </c>
    </row>
    <row r="57" spans="1:14" ht="15.75" customHeight="1">
      <c r="A57" s="13" t="s">
        <v>67</v>
      </c>
      <c r="B57" s="120">
        <f>_xlfn.COMPOUNDVALUE(517)</f>
        <v>4882</v>
      </c>
      <c r="C57" s="121">
        <v>18308807</v>
      </c>
      <c r="D57" s="120">
        <f>_xlfn.COMPOUNDVALUE(518)</f>
        <v>1752</v>
      </c>
      <c r="E57" s="121">
        <v>641809</v>
      </c>
      <c r="F57" s="120">
        <f>_xlfn.COMPOUNDVALUE(519)</f>
        <v>6634</v>
      </c>
      <c r="G57" s="121">
        <v>18950616</v>
      </c>
      <c r="H57" s="120">
        <f>_xlfn.COMPOUNDVALUE(520)</f>
        <v>328</v>
      </c>
      <c r="I57" s="122">
        <v>1830844</v>
      </c>
      <c r="J57" s="120">
        <v>386</v>
      </c>
      <c r="K57" s="122">
        <v>31296</v>
      </c>
      <c r="L57" s="120">
        <f>_xlfn.COMPOUNDVALUE(520)</f>
        <v>6994</v>
      </c>
      <c r="M57" s="122">
        <v>17151068</v>
      </c>
      <c r="N57" s="14" t="s">
        <v>67</v>
      </c>
    </row>
    <row r="58" spans="1:14" ht="15.75" customHeight="1">
      <c r="A58" s="13" t="s">
        <v>68</v>
      </c>
      <c r="B58" s="120">
        <f>_xlfn.COMPOUNDVALUE(521)</f>
        <v>2143</v>
      </c>
      <c r="C58" s="121">
        <v>7365758</v>
      </c>
      <c r="D58" s="120">
        <f>_xlfn.COMPOUNDVALUE(522)</f>
        <v>568</v>
      </c>
      <c r="E58" s="121">
        <v>203741</v>
      </c>
      <c r="F58" s="120">
        <f>_xlfn.COMPOUNDVALUE(523)</f>
        <v>2711</v>
      </c>
      <c r="G58" s="121">
        <v>7569499</v>
      </c>
      <c r="H58" s="120">
        <f>_xlfn.COMPOUNDVALUE(524)</f>
        <v>198</v>
      </c>
      <c r="I58" s="122">
        <v>1868033</v>
      </c>
      <c r="J58" s="120">
        <v>159</v>
      </c>
      <c r="K58" s="122">
        <v>59619</v>
      </c>
      <c r="L58" s="120">
        <f>_xlfn.COMPOUNDVALUE(524)</f>
        <v>2931</v>
      </c>
      <c r="M58" s="122">
        <v>5761085</v>
      </c>
      <c r="N58" s="14" t="s">
        <v>68</v>
      </c>
    </row>
    <row r="59" spans="1:14" ht="15.75" customHeight="1">
      <c r="A59" s="13" t="s">
        <v>69</v>
      </c>
      <c r="B59" s="120">
        <f>_xlfn.COMPOUNDVALUE(525)</f>
        <v>3437</v>
      </c>
      <c r="C59" s="121">
        <v>11101914</v>
      </c>
      <c r="D59" s="120">
        <f>_xlfn.COMPOUNDVALUE(526)</f>
        <v>1213</v>
      </c>
      <c r="E59" s="121">
        <v>465616</v>
      </c>
      <c r="F59" s="120">
        <f>_xlfn.COMPOUNDVALUE(527)</f>
        <v>4650</v>
      </c>
      <c r="G59" s="121">
        <v>11567530</v>
      </c>
      <c r="H59" s="120">
        <f>_xlfn.COMPOUNDVALUE(528)</f>
        <v>267</v>
      </c>
      <c r="I59" s="122">
        <v>276353</v>
      </c>
      <c r="J59" s="120">
        <v>237</v>
      </c>
      <c r="K59" s="122">
        <v>38954</v>
      </c>
      <c r="L59" s="120">
        <f>_xlfn.COMPOUNDVALUE(528)</f>
        <v>4956</v>
      </c>
      <c r="M59" s="122">
        <v>11330132</v>
      </c>
      <c r="N59" s="14" t="s">
        <v>69</v>
      </c>
    </row>
    <row r="60" spans="1:14" ht="15.75" customHeight="1">
      <c r="A60" s="13" t="s">
        <v>70</v>
      </c>
      <c r="B60" s="120">
        <f>_xlfn.COMPOUNDVALUE(529)</f>
        <v>4642</v>
      </c>
      <c r="C60" s="121">
        <v>21764308</v>
      </c>
      <c r="D60" s="120">
        <f>_xlfn.COMPOUNDVALUE(530)</f>
        <v>1655</v>
      </c>
      <c r="E60" s="121">
        <v>656437</v>
      </c>
      <c r="F60" s="120">
        <f>_xlfn.COMPOUNDVALUE(531)</f>
        <v>6297</v>
      </c>
      <c r="G60" s="121">
        <v>22420745</v>
      </c>
      <c r="H60" s="120">
        <f>_xlfn.COMPOUNDVALUE(532)</f>
        <v>300</v>
      </c>
      <c r="I60" s="122">
        <v>12536582</v>
      </c>
      <c r="J60" s="120">
        <v>328</v>
      </c>
      <c r="K60" s="122">
        <v>1758</v>
      </c>
      <c r="L60" s="120">
        <f>_xlfn.COMPOUNDVALUE(532)</f>
        <v>6632</v>
      </c>
      <c r="M60" s="122">
        <v>9885921</v>
      </c>
      <c r="N60" s="14" t="s">
        <v>70</v>
      </c>
    </row>
    <row r="61" spans="1:14" ht="15.75" customHeight="1">
      <c r="A61" s="13" t="s">
        <v>71</v>
      </c>
      <c r="B61" s="120">
        <f>_xlfn.COMPOUNDVALUE(533)</f>
        <v>7234</v>
      </c>
      <c r="C61" s="121">
        <v>28579733</v>
      </c>
      <c r="D61" s="120">
        <f>_xlfn.COMPOUNDVALUE(534)</f>
        <v>2338</v>
      </c>
      <c r="E61" s="121">
        <v>868015</v>
      </c>
      <c r="F61" s="120">
        <f>_xlfn.COMPOUNDVALUE(535)</f>
        <v>9572</v>
      </c>
      <c r="G61" s="121">
        <v>29447748</v>
      </c>
      <c r="H61" s="120">
        <f>_xlfn.COMPOUNDVALUE(536)</f>
        <v>514</v>
      </c>
      <c r="I61" s="122">
        <v>1893138</v>
      </c>
      <c r="J61" s="120">
        <v>596</v>
      </c>
      <c r="K61" s="122">
        <v>-178896</v>
      </c>
      <c r="L61" s="120">
        <f>_xlfn.COMPOUNDVALUE(536)</f>
        <v>10134</v>
      </c>
      <c r="M61" s="122">
        <v>27375714</v>
      </c>
      <c r="N61" s="14" t="s">
        <v>71</v>
      </c>
    </row>
    <row r="62" spans="1:14" ht="15.75" customHeight="1">
      <c r="A62" s="15" t="s">
        <v>179</v>
      </c>
      <c r="B62" s="125">
        <v>111600</v>
      </c>
      <c r="C62" s="126">
        <v>818430989</v>
      </c>
      <c r="D62" s="125">
        <v>35014</v>
      </c>
      <c r="E62" s="126">
        <v>13550296</v>
      </c>
      <c r="F62" s="125">
        <v>146614</v>
      </c>
      <c r="G62" s="126">
        <v>831981285</v>
      </c>
      <c r="H62" s="125">
        <v>13138</v>
      </c>
      <c r="I62" s="127">
        <v>192526048</v>
      </c>
      <c r="J62" s="125">
        <v>9051</v>
      </c>
      <c r="K62" s="127">
        <v>1314621</v>
      </c>
      <c r="L62" s="125">
        <v>160838</v>
      </c>
      <c r="M62" s="127">
        <v>640769857</v>
      </c>
      <c r="N62" s="16" t="s">
        <v>125</v>
      </c>
    </row>
    <row r="63" spans="1:14" ht="15.75" customHeight="1">
      <c r="A63" s="23"/>
      <c r="B63" s="130"/>
      <c r="C63" s="131"/>
      <c r="D63" s="130"/>
      <c r="E63" s="131"/>
      <c r="F63" s="132"/>
      <c r="G63" s="131"/>
      <c r="H63" s="132"/>
      <c r="I63" s="131"/>
      <c r="J63" s="132"/>
      <c r="K63" s="131"/>
      <c r="L63" s="132"/>
      <c r="M63" s="131"/>
      <c r="N63" s="24"/>
    </row>
    <row r="64" spans="1:14" ht="15.75" customHeight="1">
      <c r="A64" s="11" t="s">
        <v>73</v>
      </c>
      <c r="B64" s="115">
        <f>_xlfn.COMPOUNDVALUE(537)</f>
        <v>1098</v>
      </c>
      <c r="C64" s="116">
        <v>6985671</v>
      </c>
      <c r="D64" s="115">
        <f>_xlfn.COMPOUNDVALUE(538)</f>
        <v>461</v>
      </c>
      <c r="E64" s="116">
        <v>178258</v>
      </c>
      <c r="F64" s="115">
        <f>_xlfn.COMPOUNDVALUE(539)</f>
        <v>1559</v>
      </c>
      <c r="G64" s="116">
        <v>7163929</v>
      </c>
      <c r="H64" s="115">
        <f>_xlfn.COMPOUNDVALUE(540)</f>
        <v>232</v>
      </c>
      <c r="I64" s="117">
        <v>731303</v>
      </c>
      <c r="J64" s="115">
        <v>124</v>
      </c>
      <c r="K64" s="117">
        <v>16980</v>
      </c>
      <c r="L64" s="115">
        <f>_xlfn.COMPOUNDVALUE(540)</f>
        <v>1814</v>
      </c>
      <c r="M64" s="117">
        <v>6449605</v>
      </c>
      <c r="N64" s="25" t="s">
        <v>73</v>
      </c>
    </row>
    <row r="65" spans="1:14" ht="15.75" customHeight="1">
      <c r="A65" s="11" t="s">
        <v>74</v>
      </c>
      <c r="B65" s="115">
        <f>_xlfn.COMPOUNDVALUE(541)</f>
        <v>3431</v>
      </c>
      <c r="C65" s="116">
        <v>14166923</v>
      </c>
      <c r="D65" s="115">
        <f>_xlfn.COMPOUNDVALUE(542)</f>
        <v>1139</v>
      </c>
      <c r="E65" s="116">
        <v>406786</v>
      </c>
      <c r="F65" s="115">
        <f>_xlfn.COMPOUNDVALUE(543)</f>
        <v>4570</v>
      </c>
      <c r="G65" s="116">
        <v>14573709</v>
      </c>
      <c r="H65" s="115">
        <f>_xlfn.COMPOUNDVALUE(544)</f>
        <v>378</v>
      </c>
      <c r="I65" s="117">
        <v>2408722</v>
      </c>
      <c r="J65" s="115">
        <v>339</v>
      </c>
      <c r="K65" s="117">
        <v>34645</v>
      </c>
      <c r="L65" s="115">
        <f>_xlfn.COMPOUNDVALUE(544)</f>
        <v>4978</v>
      </c>
      <c r="M65" s="117">
        <v>12199631</v>
      </c>
      <c r="N65" s="12" t="s">
        <v>74</v>
      </c>
    </row>
    <row r="66" spans="1:14" ht="15.75" customHeight="1">
      <c r="A66" s="11" t="s">
        <v>75</v>
      </c>
      <c r="B66" s="115">
        <f>_xlfn.COMPOUNDVALUE(545)</f>
        <v>1287</v>
      </c>
      <c r="C66" s="116">
        <v>5073965</v>
      </c>
      <c r="D66" s="115">
        <f>_xlfn.COMPOUNDVALUE(546)</f>
        <v>445</v>
      </c>
      <c r="E66" s="116">
        <v>163520</v>
      </c>
      <c r="F66" s="115">
        <f>_xlfn.COMPOUNDVALUE(547)</f>
        <v>1732</v>
      </c>
      <c r="G66" s="116">
        <v>5237485</v>
      </c>
      <c r="H66" s="115">
        <f>_xlfn.COMPOUNDVALUE(548)</f>
        <v>127</v>
      </c>
      <c r="I66" s="117">
        <v>229195</v>
      </c>
      <c r="J66" s="115">
        <v>61</v>
      </c>
      <c r="K66" s="117">
        <v>18284</v>
      </c>
      <c r="L66" s="115">
        <f>_xlfn.COMPOUNDVALUE(548)</f>
        <v>1865</v>
      </c>
      <c r="M66" s="117">
        <v>5026573</v>
      </c>
      <c r="N66" s="12" t="s">
        <v>75</v>
      </c>
    </row>
    <row r="67" spans="1:14" ht="15.75" customHeight="1">
      <c r="A67" s="11" t="s">
        <v>76</v>
      </c>
      <c r="B67" s="115">
        <f>_xlfn.COMPOUNDVALUE(549)</f>
        <v>1654</v>
      </c>
      <c r="C67" s="116">
        <v>4278119</v>
      </c>
      <c r="D67" s="115">
        <f>_xlfn.COMPOUNDVALUE(550)</f>
        <v>717</v>
      </c>
      <c r="E67" s="116">
        <v>266533</v>
      </c>
      <c r="F67" s="115">
        <f>_xlfn.COMPOUNDVALUE(551)</f>
        <v>2371</v>
      </c>
      <c r="G67" s="116">
        <v>4544652</v>
      </c>
      <c r="H67" s="115">
        <f>_xlfn.COMPOUNDVALUE(552)</f>
        <v>183</v>
      </c>
      <c r="I67" s="117">
        <v>468279</v>
      </c>
      <c r="J67" s="115">
        <v>118</v>
      </c>
      <c r="K67" s="117">
        <v>21542</v>
      </c>
      <c r="L67" s="115">
        <f>_xlfn.COMPOUNDVALUE(552)</f>
        <v>2573</v>
      </c>
      <c r="M67" s="117">
        <v>4097915</v>
      </c>
      <c r="N67" s="12" t="s">
        <v>76</v>
      </c>
    </row>
    <row r="68" spans="1:14" ht="15.75" customHeight="1">
      <c r="A68" s="11" t="s">
        <v>77</v>
      </c>
      <c r="B68" s="115">
        <f>_xlfn.COMPOUNDVALUE(553)</f>
        <v>4792</v>
      </c>
      <c r="C68" s="116">
        <v>52265996</v>
      </c>
      <c r="D68" s="115">
        <f>_xlfn.COMPOUNDVALUE(554)</f>
        <v>1464</v>
      </c>
      <c r="E68" s="116">
        <v>584526</v>
      </c>
      <c r="F68" s="115">
        <f>_xlfn.COMPOUNDVALUE(555)</f>
        <v>6256</v>
      </c>
      <c r="G68" s="116">
        <v>52850522</v>
      </c>
      <c r="H68" s="115">
        <f>_xlfn.COMPOUNDVALUE(556)</f>
        <v>1606</v>
      </c>
      <c r="I68" s="117">
        <v>20916705</v>
      </c>
      <c r="J68" s="115">
        <v>505</v>
      </c>
      <c r="K68" s="117">
        <v>292719</v>
      </c>
      <c r="L68" s="115">
        <f>_xlfn.COMPOUNDVALUE(556)</f>
        <v>7910</v>
      </c>
      <c r="M68" s="117">
        <v>32226536</v>
      </c>
      <c r="N68" s="12" t="s">
        <v>77</v>
      </c>
    </row>
    <row r="69" spans="1:14" ht="15.75" customHeight="1">
      <c r="A69" s="11" t="s">
        <v>78</v>
      </c>
      <c r="B69" s="115">
        <f>_xlfn.COMPOUNDVALUE(557)</f>
        <v>6012</v>
      </c>
      <c r="C69" s="116">
        <v>27743166</v>
      </c>
      <c r="D69" s="115">
        <f>_xlfn.COMPOUNDVALUE(558)</f>
        <v>1792</v>
      </c>
      <c r="E69" s="116">
        <v>672206</v>
      </c>
      <c r="F69" s="115">
        <f>_xlfn.COMPOUNDVALUE(559)</f>
        <v>7804</v>
      </c>
      <c r="G69" s="116">
        <v>28415372</v>
      </c>
      <c r="H69" s="115">
        <f>_xlfn.COMPOUNDVALUE(560)</f>
        <v>323</v>
      </c>
      <c r="I69" s="117">
        <v>2619923</v>
      </c>
      <c r="J69" s="115">
        <v>469</v>
      </c>
      <c r="K69" s="117">
        <v>52786</v>
      </c>
      <c r="L69" s="115">
        <f>_xlfn.COMPOUNDVALUE(560)</f>
        <v>8182</v>
      </c>
      <c r="M69" s="117">
        <v>25848235</v>
      </c>
      <c r="N69" s="12" t="s">
        <v>78</v>
      </c>
    </row>
    <row r="70" spans="1:14" ht="15.75" customHeight="1">
      <c r="A70" s="11" t="s">
        <v>79</v>
      </c>
      <c r="B70" s="115">
        <f>_xlfn.COMPOUNDVALUE(561)</f>
        <v>4405</v>
      </c>
      <c r="C70" s="116">
        <v>25419186</v>
      </c>
      <c r="D70" s="115">
        <f>_xlfn.COMPOUNDVALUE(562)</f>
        <v>1355</v>
      </c>
      <c r="E70" s="116">
        <v>530553</v>
      </c>
      <c r="F70" s="115">
        <f>_xlfn.COMPOUNDVALUE(563)</f>
        <v>5760</v>
      </c>
      <c r="G70" s="116">
        <v>25949740</v>
      </c>
      <c r="H70" s="115">
        <f>_xlfn.COMPOUNDVALUE(564)</f>
        <v>426</v>
      </c>
      <c r="I70" s="117">
        <v>1238223</v>
      </c>
      <c r="J70" s="115">
        <v>419</v>
      </c>
      <c r="K70" s="117">
        <v>93921</v>
      </c>
      <c r="L70" s="115">
        <f>_xlfn.COMPOUNDVALUE(564)</f>
        <v>6227</v>
      </c>
      <c r="M70" s="117">
        <v>24805437</v>
      </c>
      <c r="N70" s="12" t="s">
        <v>79</v>
      </c>
    </row>
    <row r="71" spans="1:14" ht="15.75" customHeight="1">
      <c r="A71" s="11" t="s">
        <v>80</v>
      </c>
      <c r="B71" s="115">
        <f>_xlfn.COMPOUNDVALUE(565)</f>
        <v>3281</v>
      </c>
      <c r="C71" s="116">
        <v>12805691</v>
      </c>
      <c r="D71" s="115">
        <f>_xlfn.COMPOUNDVALUE(566)</f>
        <v>1184</v>
      </c>
      <c r="E71" s="116">
        <v>448035</v>
      </c>
      <c r="F71" s="115">
        <f>_xlfn.COMPOUNDVALUE(567)</f>
        <v>4465</v>
      </c>
      <c r="G71" s="116">
        <v>13253726</v>
      </c>
      <c r="H71" s="115">
        <f>_xlfn.COMPOUNDVALUE(568)</f>
        <v>304</v>
      </c>
      <c r="I71" s="117">
        <v>847980</v>
      </c>
      <c r="J71" s="115">
        <v>197</v>
      </c>
      <c r="K71" s="117">
        <v>19968</v>
      </c>
      <c r="L71" s="115">
        <f>_xlfn.COMPOUNDVALUE(568)</f>
        <v>4806</v>
      </c>
      <c r="M71" s="117">
        <v>12425714</v>
      </c>
      <c r="N71" s="12" t="s">
        <v>80</v>
      </c>
    </row>
    <row r="72" spans="1:14" ht="15.75" customHeight="1">
      <c r="A72" s="11" t="s">
        <v>81</v>
      </c>
      <c r="B72" s="115">
        <f>_xlfn.COMPOUNDVALUE(569)</f>
        <v>4181</v>
      </c>
      <c r="C72" s="116">
        <v>17561925</v>
      </c>
      <c r="D72" s="115">
        <f>_xlfn.COMPOUNDVALUE(570)</f>
        <v>1853</v>
      </c>
      <c r="E72" s="116">
        <v>686989</v>
      </c>
      <c r="F72" s="115">
        <f>_xlfn.COMPOUNDVALUE(571)</f>
        <v>6034</v>
      </c>
      <c r="G72" s="116">
        <v>18248914</v>
      </c>
      <c r="H72" s="115">
        <f>_xlfn.COMPOUNDVALUE(572)</f>
        <v>510</v>
      </c>
      <c r="I72" s="117">
        <v>1956908</v>
      </c>
      <c r="J72" s="115">
        <v>291</v>
      </c>
      <c r="K72" s="117">
        <v>983</v>
      </c>
      <c r="L72" s="115">
        <f>_xlfn.COMPOUNDVALUE(572)</f>
        <v>6576</v>
      </c>
      <c r="M72" s="117">
        <v>16292988</v>
      </c>
      <c r="N72" s="12" t="s">
        <v>81</v>
      </c>
    </row>
    <row r="73" spans="1:14" ht="15.75" customHeight="1">
      <c r="A73" s="11" t="s">
        <v>82</v>
      </c>
      <c r="B73" s="115">
        <f>_xlfn.COMPOUNDVALUE(573)</f>
        <v>1292</v>
      </c>
      <c r="C73" s="116">
        <v>4135875</v>
      </c>
      <c r="D73" s="115">
        <f>_xlfn.COMPOUNDVALUE(574)</f>
        <v>451</v>
      </c>
      <c r="E73" s="116">
        <v>170742</v>
      </c>
      <c r="F73" s="115">
        <f>_xlfn.COMPOUNDVALUE(575)</f>
        <v>1743</v>
      </c>
      <c r="G73" s="116">
        <v>4306618</v>
      </c>
      <c r="H73" s="115">
        <f>_xlfn.COMPOUNDVALUE(576)</f>
        <v>81</v>
      </c>
      <c r="I73" s="117">
        <v>122687</v>
      </c>
      <c r="J73" s="115">
        <v>100</v>
      </c>
      <c r="K73" s="117">
        <v>5752</v>
      </c>
      <c r="L73" s="115">
        <f>_xlfn.COMPOUNDVALUE(576)</f>
        <v>1846</v>
      </c>
      <c r="M73" s="117">
        <v>4189683</v>
      </c>
      <c r="N73" s="12" t="s">
        <v>82</v>
      </c>
    </row>
    <row r="74" spans="1:14" ht="15.75" customHeight="1">
      <c r="A74" s="11" t="s">
        <v>83</v>
      </c>
      <c r="B74" s="115">
        <f>_xlfn.COMPOUNDVALUE(577)</f>
        <v>2517</v>
      </c>
      <c r="C74" s="116">
        <v>17287855</v>
      </c>
      <c r="D74" s="115">
        <f>_xlfn.COMPOUNDVALUE(578)</f>
        <v>968</v>
      </c>
      <c r="E74" s="116">
        <v>372458</v>
      </c>
      <c r="F74" s="115">
        <f>_xlfn.COMPOUNDVALUE(579)</f>
        <v>3485</v>
      </c>
      <c r="G74" s="116">
        <v>17660312</v>
      </c>
      <c r="H74" s="115">
        <f>_xlfn.COMPOUNDVALUE(580)</f>
        <v>445</v>
      </c>
      <c r="I74" s="117">
        <v>2599287</v>
      </c>
      <c r="J74" s="115">
        <v>157</v>
      </c>
      <c r="K74" s="117">
        <v>69416</v>
      </c>
      <c r="L74" s="115">
        <f>_xlfn.COMPOUNDVALUE(580)</f>
        <v>3953</v>
      </c>
      <c r="M74" s="117">
        <v>15130441</v>
      </c>
      <c r="N74" s="12" t="s">
        <v>83</v>
      </c>
    </row>
    <row r="75" spans="1:14" ht="15.75" customHeight="1">
      <c r="A75" s="11" t="s">
        <v>84</v>
      </c>
      <c r="B75" s="115">
        <f>_xlfn.COMPOUNDVALUE(581)</f>
        <v>2348</v>
      </c>
      <c r="C75" s="116">
        <v>10306038</v>
      </c>
      <c r="D75" s="115">
        <f>_xlfn.COMPOUNDVALUE(582)</f>
        <v>897</v>
      </c>
      <c r="E75" s="116">
        <v>334871</v>
      </c>
      <c r="F75" s="115">
        <f>_xlfn.COMPOUNDVALUE(583)</f>
        <v>3245</v>
      </c>
      <c r="G75" s="116">
        <v>10640910</v>
      </c>
      <c r="H75" s="115">
        <f>_xlfn.COMPOUNDVALUE(584)</f>
        <v>256</v>
      </c>
      <c r="I75" s="117">
        <v>633862</v>
      </c>
      <c r="J75" s="115">
        <v>215</v>
      </c>
      <c r="K75" s="117">
        <v>40396</v>
      </c>
      <c r="L75" s="115">
        <f>_xlfn.COMPOUNDVALUE(584)</f>
        <v>3546</v>
      </c>
      <c r="M75" s="117">
        <v>10047443</v>
      </c>
      <c r="N75" s="12" t="s">
        <v>84</v>
      </c>
    </row>
    <row r="76" spans="1:14" ht="15.75" customHeight="1">
      <c r="A76" s="11" t="s">
        <v>85</v>
      </c>
      <c r="B76" s="115">
        <f>_xlfn.COMPOUNDVALUE(585)</f>
        <v>848</v>
      </c>
      <c r="C76" s="116">
        <v>2607858</v>
      </c>
      <c r="D76" s="115">
        <f>_xlfn.COMPOUNDVALUE(586)</f>
        <v>288</v>
      </c>
      <c r="E76" s="116">
        <v>106008</v>
      </c>
      <c r="F76" s="115">
        <f>_xlfn.COMPOUNDVALUE(587)</f>
        <v>1136</v>
      </c>
      <c r="G76" s="116">
        <v>2713866</v>
      </c>
      <c r="H76" s="115">
        <f>_xlfn.COMPOUNDVALUE(588)</f>
        <v>54</v>
      </c>
      <c r="I76" s="117">
        <v>100987</v>
      </c>
      <c r="J76" s="115">
        <v>79</v>
      </c>
      <c r="K76" s="117">
        <v>7927</v>
      </c>
      <c r="L76" s="115">
        <f>_xlfn.COMPOUNDVALUE(588)</f>
        <v>1196</v>
      </c>
      <c r="M76" s="117">
        <v>2620806</v>
      </c>
      <c r="N76" s="12" t="s">
        <v>85</v>
      </c>
    </row>
    <row r="77" spans="1:14" ht="15.75" customHeight="1">
      <c r="A77" s="11" t="s">
        <v>86</v>
      </c>
      <c r="B77" s="115">
        <f>_xlfn.COMPOUNDVALUE(589)</f>
        <v>1156</v>
      </c>
      <c r="C77" s="116">
        <v>3566675</v>
      </c>
      <c r="D77" s="115">
        <f>_xlfn.COMPOUNDVALUE(590)</f>
        <v>328</v>
      </c>
      <c r="E77" s="116">
        <v>122502</v>
      </c>
      <c r="F77" s="115">
        <f>_xlfn.COMPOUNDVALUE(591)</f>
        <v>1484</v>
      </c>
      <c r="G77" s="116">
        <v>3689177</v>
      </c>
      <c r="H77" s="115">
        <f>_xlfn.COMPOUNDVALUE(592)</f>
        <v>44</v>
      </c>
      <c r="I77" s="117">
        <v>56863</v>
      </c>
      <c r="J77" s="115">
        <v>101</v>
      </c>
      <c r="K77" s="117">
        <v>6465</v>
      </c>
      <c r="L77" s="115">
        <f>_xlfn.COMPOUNDVALUE(592)</f>
        <v>1537</v>
      </c>
      <c r="M77" s="117">
        <v>3638780</v>
      </c>
      <c r="N77" s="12" t="s">
        <v>86</v>
      </c>
    </row>
    <row r="78" spans="1:14" ht="15.75" customHeight="1">
      <c r="A78" s="13" t="s">
        <v>87</v>
      </c>
      <c r="B78" s="120">
        <f>_xlfn.COMPOUNDVALUE(593)</f>
        <v>2889</v>
      </c>
      <c r="C78" s="121">
        <v>10671992</v>
      </c>
      <c r="D78" s="120">
        <f>_xlfn.COMPOUNDVALUE(594)</f>
        <v>940</v>
      </c>
      <c r="E78" s="121">
        <v>362357</v>
      </c>
      <c r="F78" s="120">
        <f>_xlfn.COMPOUNDVALUE(595)</f>
        <v>3829</v>
      </c>
      <c r="G78" s="121">
        <v>11034349</v>
      </c>
      <c r="H78" s="120">
        <f>_xlfn.COMPOUNDVALUE(596)</f>
        <v>194</v>
      </c>
      <c r="I78" s="122">
        <v>1722405</v>
      </c>
      <c r="J78" s="120">
        <v>213</v>
      </c>
      <c r="K78" s="122">
        <v>-5345</v>
      </c>
      <c r="L78" s="120">
        <f>_xlfn.COMPOUNDVALUE(596)</f>
        <v>4046</v>
      </c>
      <c r="M78" s="122">
        <v>9306599</v>
      </c>
      <c r="N78" s="14" t="s">
        <v>87</v>
      </c>
    </row>
    <row r="79" spans="1:14" ht="15.75" customHeight="1">
      <c r="A79" s="13" t="s">
        <v>88</v>
      </c>
      <c r="B79" s="120">
        <f>_xlfn.COMPOUNDVALUE(597)</f>
        <v>1304</v>
      </c>
      <c r="C79" s="121">
        <v>4458094</v>
      </c>
      <c r="D79" s="120">
        <f>_xlfn.COMPOUNDVALUE(598)</f>
        <v>523</v>
      </c>
      <c r="E79" s="121">
        <v>183678</v>
      </c>
      <c r="F79" s="120">
        <f>_xlfn.COMPOUNDVALUE(599)</f>
        <v>1827</v>
      </c>
      <c r="G79" s="121">
        <v>4641773</v>
      </c>
      <c r="H79" s="120">
        <f>_xlfn.COMPOUNDVALUE(600)</f>
        <v>87</v>
      </c>
      <c r="I79" s="122">
        <v>1193032</v>
      </c>
      <c r="J79" s="120">
        <v>63</v>
      </c>
      <c r="K79" s="122">
        <v>365</v>
      </c>
      <c r="L79" s="120">
        <f>_xlfn.COMPOUNDVALUE(600)</f>
        <v>1924</v>
      </c>
      <c r="M79" s="122">
        <v>3449106</v>
      </c>
      <c r="N79" s="14" t="s">
        <v>88</v>
      </c>
    </row>
    <row r="80" spans="1:14" ht="15.75" customHeight="1">
      <c r="A80" s="13" t="s">
        <v>89</v>
      </c>
      <c r="B80" s="120">
        <f>_xlfn.COMPOUNDVALUE(601)</f>
        <v>647</v>
      </c>
      <c r="C80" s="121">
        <v>1856654</v>
      </c>
      <c r="D80" s="120">
        <f>_xlfn.COMPOUNDVALUE(602)</f>
        <v>292</v>
      </c>
      <c r="E80" s="121">
        <v>99625</v>
      </c>
      <c r="F80" s="120">
        <f>_xlfn.COMPOUNDVALUE(603)</f>
        <v>939</v>
      </c>
      <c r="G80" s="121">
        <v>1956278</v>
      </c>
      <c r="H80" s="120">
        <f>_xlfn.COMPOUNDVALUE(604)</f>
        <v>47</v>
      </c>
      <c r="I80" s="122">
        <v>82246</v>
      </c>
      <c r="J80" s="120">
        <v>45</v>
      </c>
      <c r="K80" s="122">
        <v>3475</v>
      </c>
      <c r="L80" s="120">
        <f>_xlfn.COMPOUNDVALUE(604)</f>
        <v>988</v>
      </c>
      <c r="M80" s="122">
        <v>1877508</v>
      </c>
      <c r="N80" s="14" t="s">
        <v>89</v>
      </c>
    </row>
    <row r="81" spans="1:14" ht="15.75" customHeight="1">
      <c r="A81" s="13" t="s">
        <v>90</v>
      </c>
      <c r="B81" s="120">
        <f>_xlfn.COMPOUNDVALUE(605)</f>
        <v>714</v>
      </c>
      <c r="C81" s="121">
        <v>2425561</v>
      </c>
      <c r="D81" s="120">
        <f>_xlfn.COMPOUNDVALUE(606)</f>
        <v>206</v>
      </c>
      <c r="E81" s="121">
        <v>70291</v>
      </c>
      <c r="F81" s="120">
        <f>_xlfn.COMPOUNDVALUE(607)</f>
        <v>920</v>
      </c>
      <c r="G81" s="121">
        <v>2495853</v>
      </c>
      <c r="H81" s="120">
        <f>_xlfn.COMPOUNDVALUE(608)</f>
        <v>132</v>
      </c>
      <c r="I81" s="122">
        <v>379883</v>
      </c>
      <c r="J81" s="120">
        <v>49</v>
      </c>
      <c r="K81" s="122">
        <v>8875</v>
      </c>
      <c r="L81" s="120">
        <f>_xlfn.COMPOUNDVALUE(608)</f>
        <v>1061</v>
      </c>
      <c r="M81" s="122">
        <v>2124844</v>
      </c>
      <c r="N81" s="14" t="s">
        <v>90</v>
      </c>
    </row>
    <row r="82" spans="1:14" ht="15.75" customHeight="1">
      <c r="A82" s="13" t="s">
        <v>91</v>
      </c>
      <c r="B82" s="120">
        <f>_xlfn.COMPOUNDVALUE(609)</f>
        <v>1248</v>
      </c>
      <c r="C82" s="121">
        <v>4966844</v>
      </c>
      <c r="D82" s="120">
        <f>_xlfn.COMPOUNDVALUE(610)</f>
        <v>429</v>
      </c>
      <c r="E82" s="121">
        <v>163262</v>
      </c>
      <c r="F82" s="120">
        <f>_xlfn.COMPOUNDVALUE(611)</f>
        <v>1677</v>
      </c>
      <c r="G82" s="121">
        <v>5130105</v>
      </c>
      <c r="H82" s="120">
        <f>_xlfn.COMPOUNDVALUE(612)</f>
        <v>119</v>
      </c>
      <c r="I82" s="122">
        <v>317867</v>
      </c>
      <c r="J82" s="120">
        <v>86</v>
      </c>
      <c r="K82" s="122">
        <v>-9954</v>
      </c>
      <c r="L82" s="120">
        <f>_xlfn.COMPOUNDVALUE(612)</f>
        <v>1809</v>
      </c>
      <c r="M82" s="122">
        <v>4802284</v>
      </c>
      <c r="N82" s="14" t="s">
        <v>91</v>
      </c>
    </row>
    <row r="83" spans="1:14" ht="15.75" customHeight="1">
      <c r="A83" s="13" t="s">
        <v>92</v>
      </c>
      <c r="B83" s="120">
        <f>_xlfn.COMPOUNDVALUE(613)</f>
        <v>521</v>
      </c>
      <c r="C83" s="121">
        <v>1701442</v>
      </c>
      <c r="D83" s="120">
        <f>_xlfn.COMPOUNDVALUE(614)</f>
        <v>146</v>
      </c>
      <c r="E83" s="121">
        <v>56109</v>
      </c>
      <c r="F83" s="120">
        <f>_xlfn.COMPOUNDVALUE(615)</f>
        <v>667</v>
      </c>
      <c r="G83" s="121">
        <v>1757551</v>
      </c>
      <c r="H83" s="120">
        <f>_xlfn.COMPOUNDVALUE(616)</f>
        <v>23</v>
      </c>
      <c r="I83" s="122">
        <v>123192</v>
      </c>
      <c r="J83" s="120">
        <v>49</v>
      </c>
      <c r="K83" s="122">
        <v>8034</v>
      </c>
      <c r="L83" s="120">
        <f>_xlfn.COMPOUNDVALUE(616)</f>
        <v>695</v>
      </c>
      <c r="M83" s="122">
        <v>1642392</v>
      </c>
      <c r="N83" s="14" t="s">
        <v>92</v>
      </c>
    </row>
    <row r="84" spans="1:14" ht="15.75" customHeight="1">
      <c r="A84" s="13" t="s">
        <v>93</v>
      </c>
      <c r="B84" s="120">
        <f>_xlfn.COMPOUNDVALUE(617)</f>
        <v>897</v>
      </c>
      <c r="C84" s="121">
        <v>3056450</v>
      </c>
      <c r="D84" s="120">
        <f>_xlfn.COMPOUNDVALUE(618)</f>
        <v>305</v>
      </c>
      <c r="E84" s="121">
        <v>108007</v>
      </c>
      <c r="F84" s="120">
        <f>_xlfn.COMPOUNDVALUE(619)</f>
        <v>1202</v>
      </c>
      <c r="G84" s="121">
        <v>3164458</v>
      </c>
      <c r="H84" s="120">
        <f>_xlfn.COMPOUNDVALUE(620)</f>
        <v>41</v>
      </c>
      <c r="I84" s="122">
        <v>68082</v>
      </c>
      <c r="J84" s="120">
        <v>99</v>
      </c>
      <c r="K84" s="122">
        <v>17531</v>
      </c>
      <c r="L84" s="120">
        <f>_xlfn.COMPOUNDVALUE(620)</f>
        <v>1260</v>
      </c>
      <c r="M84" s="122">
        <v>3113907</v>
      </c>
      <c r="N84" s="14" t="s">
        <v>93</v>
      </c>
    </row>
    <row r="85" spans="1:14" ht="15.75" customHeight="1">
      <c r="A85" s="15" t="s">
        <v>180</v>
      </c>
      <c r="B85" s="125">
        <v>46522</v>
      </c>
      <c r="C85" s="126">
        <v>233341982</v>
      </c>
      <c r="D85" s="125">
        <v>16183</v>
      </c>
      <c r="E85" s="126">
        <v>6087314</v>
      </c>
      <c r="F85" s="125">
        <v>62705</v>
      </c>
      <c r="G85" s="126">
        <v>239429296</v>
      </c>
      <c r="H85" s="125">
        <v>5612</v>
      </c>
      <c r="I85" s="127">
        <v>38817632</v>
      </c>
      <c r="J85" s="125">
        <v>3779</v>
      </c>
      <c r="K85" s="127">
        <v>704764</v>
      </c>
      <c r="L85" s="125">
        <v>68792</v>
      </c>
      <c r="M85" s="127">
        <v>201316428</v>
      </c>
      <c r="N85" s="16" t="s">
        <v>126</v>
      </c>
    </row>
    <row r="86" spans="1:14" ht="15.75" customHeight="1">
      <c r="A86" s="23"/>
      <c r="B86" s="130"/>
      <c r="C86" s="131"/>
      <c r="D86" s="130"/>
      <c r="E86" s="131"/>
      <c r="F86" s="132"/>
      <c r="G86" s="131"/>
      <c r="H86" s="132"/>
      <c r="I86" s="131"/>
      <c r="J86" s="132"/>
      <c r="K86" s="131"/>
      <c r="L86" s="132"/>
      <c r="M86" s="131"/>
      <c r="N86" s="24"/>
    </row>
    <row r="87" spans="1:14" ht="15.75" customHeight="1">
      <c r="A87" s="13" t="s">
        <v>95</v>
      </c>
      <c r="B87" s="120">
        <f>_xlfn.COMPOUNDVALUE(621)</f>
        <v>4331</v>
      </c>
      <c r="C87" s="121">
        <v>15415393</v>
      </c>
      <c r="D87" s="120">
        <f>_xlfn.COMPOUNDVALUE(622)</f>
        <v>1647</v>
      </c>
      <c r="E87" s="121">
        <v>592556</v>
      </c>
      <c r="F87" s="120">
        <f>_xlfn.COMPOUNDVALUE(623)</f>
        <v>5978</v>
      </c>
      <c r="G87" s="121">
        <v>16007949</v>
      </c>
      <c r="H87" s="120">
        <f>_xlfn.COMPOUNDVALUE(624)</f>
        <v>469</v>
      </c>
      <c r="I87" s="122">
        <v>4521534</v>
      </c>
      <c r="J87" s="120">
        <v>452</v>
      </c>
      <c r="K87" s="122">
        <v>31442</v>
      </c>
      <c r="L87" s="120">
        <f>_xlfn.COMPOUNDVALUE(624)</f>
        <v>6508</v>
      </c>
      <c r="M87" s="122">
        <v>11517857</v>
      </c>
      <c r="N87" s="14" t="s">
        <v>95</v>
      </c>
    </row>
    <row r="88" spans="1:14" ht="15.75" customHeight="1">
      <c r="A88" s="13" t="s">
        <v>96</v>
      </c>
      <c r="B88" s="120">
        <f>_xlfn.COMPOUNDVALUE(625)</f>
        <v>3145</v>
      </c>
      <c r="C88" s="121">
        <v>10258001</v>
      </c>
      <c r="D88" s="120">
        <f>_xlfn.COMPOUNDVALUE(626)</f>
        <v>1005</v>
      </c>
      <c r="E88" s="121">
        <v>367809</v>
      </c>
      <c r="F88" s="120">
        <f>_xlfn.COMPOUNDVALUE(627)</f>
        <v>4150</v>
      </c>
      <c r="G88" s="121">
        <v>10625810</v>
      </c>
      <c r="H88" s="120">
        <f>_xlfn.COMPOUNDVALUE(628)</f>
        <v>269</v>
      </c>
      <c r="I88" s="122">
        <v>924881</v>
      </c>
      <c r="J88" s="120">
        <v>212</v>
      </c>
      <c r="K88" s="122">
        <v>35536</v>
      </c>
      <c r="L88" s="120">
        <f>_xlfn.COMPOUNDVALUE(628)</f>
        <v>4458</v>
      </c>
      <c r="M88" s="122">
        <v>9736466</v>
      </c>
      <c r="N88" s="14" t="s">
        <v>96</v>
      </c>
    </row>
    <row r="89" spans="1:14" ht="15.75" customHeight="1">
      <c r="A89" s="13" t="s">
        <v>97</v>
      </c>
      <c r="B89" s="120">
        <f>_xlfn.COMPOUNDVALUE(629)</f>
        <v>1037</v>
      </c>
      <c r="C89" s="121">
        <v>3348064</v>
      </c>
      <c r="D89" s="120">
        <f>_xlfn.COMPOUNDVALUE(630)</f>
        <v>269</v>
      </c>
      <c r="E89" s="121">
        <v>101547</v>
      </c>
      <c r="F89" s="120">
        <f>_xlfn.COMPOUNDVALUE(631)</f>
        <v>1306</v>
      </c>
      <c r="G89" s="121">
        <v>3449611</v>
      </c>
      <c r="H89" s="120">
        <f>_xlfn.COMPOUNDVALUE(632)</f>
        <v>61</v>
      </c>
      <c r="I89" s="122">
        <v>223096</v>
      </c>
      <c r="J89" s="120">
        <v>84</v>
      </c>
      <c r="K89" s="122">
        <v>-28697</v>
      </c>
      <c r="L89" s="120">
        <f>_xlfn.COMPOUNDVALUE(632)</f>
        <v>1374</v>
      </c>
      <c r="M89" s="122">
        <v>3197818</v>
      </c>
      <c r="N89" s="14" t="s">
        <v>97</v>
      </c>
    </row>
    <row r="90" spans="1:14" ht="15.75" customHeight="1">
      <c r="A90" s="13" t="s">
        <v>98</v>
      </c>
      <c r="B90" s="120">
        <f>_xlfn.COMPOUNDVALUE(633)</f>
        <v>472</v>
      </c>
      <c r="C90" s="121">
        <v>1245160</v>
      </c>
      <c r="D90" s="120">
        <f>_xlfn.COMPOUNDVALUE(634)</f>
        <v>112</v>
      </c>
      <c r="E90" s="121">
        <v>38917</v>
      </c>
      <c r="F90" s="120">
        <f>_xlfn.COMPOUNDVALUE(635)</f>
        <v>584</v>
      </c>
      <c r="G90" s="121">
        <v>1284077</v>
      </c>
      <c r="H90" s="120">
        <f>_xlfn.COMPOUNDVALUE(636)</f>
        <v>24</v>
      </c>
      <c r="I90" s="122">
        <v>62657</v>
      </c>
      <c r="J90" s="120">
        <v>17</v>
      </c>
      <c r="K90" s="122">
        <v>10015</v>
      </c>
      <c r="L90" s="120">
        <f>_xlfn.COMPOUNDVALUE(636)</f>
        <v>611</v>
      </c>
      <c r="M90" s="122">
        <v>1231435</v>
      </c>
      <c r="N90" s="14" t="s">
        <v>98</v>
      </c>
    </row>
    <row r="91" spans="1:14" ht="15.75" customHeight="1">
      <c r="A91" s="15" t="s">
        <v>181</v>
      </c>
      <c r="B91" s="125">
        <v>8985</v>
      </c>
      <c r="C91" s="126">
        <v>30266618</v>
      </c>
      <c r="D91" s="125">
        <v>3033</v>
      </c>
      <c r="E91" s="126">
        <v>1100829</v>
      </c>
      <c r="F91" s="125">
        <v>12018</v>
      </c>
      <c r="G91" s="126">
        <v>31367448</v>
      </c>
      <c r="H91" s="125">
        <v>823</v>
      </c>
      <c r="I91" s="127">
        <v>5732168</v>
      </c>
      <c r="J91" s="125">
        <v>765</v>
      </c>
      <c r="K91" s="127">
        <v>48296</v>
      </c>
      <c r="L91" s="125">
        <v>12951</v>
      </c>
      <c r="M91" s="127">
        <v>25683576</v>
      </c>
      <c r="N91" s="16" t="s">
        <v>127</v>
      </c>
    </row>
    <row r="92" spans="1:14" ht="15.75" customHeight="1">
      <c r="A92" s="23"/>
      <c r="B92" s="130"/>
      <c r="C92" s="131"/>
      <c r="D92" s="130"/>
      <c r="E92" s="131"/>
      <c r="F92" s="132"/>
      <c r="G92" s="131"/>
      <c r="H92" s="132"/>
      <c r="I92" s="131"/>
      <c r="J92" s="132"/>
      <c r="K92" s="131"/>
      <c r="L92" s="132"/>
      <c r="M92" s="131"/>
      <c r="N92" s="24"/>
    </row>
    <row r="93" spans="1:14" ht="15.75" customHeight="1">
      <c r="A93" s="11" t="s">
        <v>100</v>
      </c>
      <c r="B93" s="115">
        <f>_xlfn.COMPOUNDVALUE(637)</f>
        <v>3642</v>
      </c>
      <c r="C93" s="116">
        <v>16807720</v>
      </c>
      <c r="D93" s="115">
        <f>_xlfn.COMPOUNDVALUE(638)</f>
        <v>1285</v>
      </c>
      <c r="E93" s="116">
        <v>480188</v>
      </c>
      <c r="F93" s="115">
        <f>_xlfn.COMPOUNDVALUE(639)</f>
        <v>4927</v>
      </c>
      <c r="G93" s="116">
        <v>17287908</v>
      </c>
      <c r="H93" s="115">
        <f>_xlfn.COMPOUNDVALUE(640)</f>
        <v>200</v>
      </c>
      <c r="I93" s="117">
        <v>1668650</v>
      </c>
      <c r="J93" s="115">
        <v>303</v>
      </c>
      <c r="K93" s="117">
        <v>18540</v>
      </c>
      <c r="L93" s="115">
        <f>_xlfn.COMPOUNDVALUE(640)</f>
        <v>5150</v>
      </c>
      <c r="M93" s="117">
        <v>15637798</v>
      </c>
      <c r="N93" s="25" t="s">
        <v>100</v>
      </c>
    </row>
    <row r="94" spans="1:14" ht="15.75" customHeight="1">
      <c r="A94" s="13" t="s">
        <v>101</v>
      </c>
      <c r="B94" s="120">
        <f>_xlfn.COMPOUNDVALUE(641)</f>
        <v>608</v>
      </c>
      <c r="C94" s="121">
        <v>2116552</v>
      </c>
      <c r="D94" s="120">
        <f>_xlfn.COMPOUNDVALUE(642)</f>
        <v>172</v>
      </c>
      <c r="E94" s="121">
        <v>58179</v>
      </c>
      <c r="F94" s="120">
        <f>_xlfn.COMPOUNDVALUE(643)</f>
        <v>780</v>
      </c>
      <c r="G94" s="121">
        <v>2174731</v>
      </c>
      <c r="H94" s="120">
        <f>_xlfn.COMPOUNDVALUE(644)</f>
        <v>29</v>
      </c>
      <c r="I94" s="122">
        <v>161970</v>
      </c>
      <c r="J94" s="120">
        <v>49</v>
      </c>
      <c r="K94" s="122">
        <v>-3280</v>
      </c>
      <c r="L94" s="120">
        <f>_xlfn.COMPOUNDVALUE(644)</f>
        <v>809</v>
      </c>
      <c r="M94" s="122">
        <v>2009481</v>
      </c>
      <c r="N94" s="14" t="s">
        <v>101</v>
      </c>
    </row>
    <row r="95" spans="1:14" ht="15.75" customHeight="1">
      <c r="A95" s="13" t="s">
        <v>102</v>
      </c>
      <c r="B95" s="120">
        <f>_xlfn.COMPOUNDVALUE(645)</f>
        <v>655</v>
      </c>
      <c r="C95" s="121">
        <v>1763953</v>
      </c>
      <c r="D95" s="120">
        <f>_xlfn.COMPOUNDVALUE(646)</f>
        <v>188</v>
      </c>
      <c r="E95" s="121">
        <v>66565</v>
      </c>
      <c r="F95" s="120">
        <f>_xlfn.COMPOUNDVALUE(647)</f>
        <v>843</v>
      </c>
      <c r="G95" s="121">
        <v>1830518</v>
      </c>
      <c r="H95" s="120">
        <f>_xlfn.COMPOUNDVALUE(648)</f>
        <v>40</v>
      </c>
      <c r="I95" s="122">
        <v>77247</v>
      </c>
      <c r="J95" s="120">
        <v>33</v>
      </c>
      <c r="K95" s="122">
        <v>605</v>
      </c>
      <c r="L95" s="120">
        <f>_xlfn.COMPOUNDVALUE(648)</f>
        <v>886</v>
      </c>
      <c r="M95" s="122">
        <v>1753876</v>
      </c>
      <c r="N95" s="14" t="s">
        <v>102</v>
      </c>
    </row>
    <row r="96" spans="1:14" ht="15.75" customHeight="1">
      <c r="A96" s="13" t="s">
        <v>103</v>
      </c>
      <c r="B96" s="120">
        <f>_xlfn.COMPOUNDVALUE(649)</f>
        <v>982</v>
      </c>
      <c r="C96" s="121">
        <v>3072935</v>
      </c>
      <c r="D96" s="120">
        <f>_xlfn.COMPOUNDVALUE(650)</f>
        <v>413</v>
      </c>
      <c r="E96" s="121">
        <v>177549</v>
      </c>
      <c r="F96" s="120">
        <f>_xlfn.COMPOUNDVALUE(651)</f>
        <v>1395</v>
      </c>
      <c r="G96" s="121">
        <v>3250485</v>
      </c>
      <c r="H96" s="120">
        <f>_xlfn.COMPOUNDVALUE(652)</f>
        <v>33</v>
      </c>
      <c r="I96" s="122">
        <v>119426</v>
      </c>
      <c r="J96" s="120">
        <v>69</v>
      </c>
      <c r="K96" s="122">
        <v>2326</v>
      </c>
      <c r="L96" s="120">
        <f>_xlfn.COMPOUNDVALUE(652)</f>
        <v>1435</v>
      </c>
      <c r="M96" s="122">
        <v>3133385</v>
      </c>
      <c r="N96" s="14" t="s">
        <v>103</v>
      </c>
    </row>
    <row r="97" spans="1:14" ht="15.75" customHeight="1">
      <c r="A97" s="13" t="s">
        <v>104</v>
      </c>
      <c r="B97" s="120">
        <f>_xlfn.COMPOUNDVALUE(653)</f>
        <v>541</v>
      </c>
      <c r="C97" s="121">
        <v>1242122</v>
      </c>
      <c r="D97" s="120">
        <f>_xlfn.COMPOUNDVALUE(654)</f>
        <v>195</v>
      </c>
      <c r="E97" s="121">
        <v>73783</v>
      </c>
      <c r="F97" s="120">
        <f>_xlfn.COMPOUNDVALUE(655)</f>
        <v>736</v>
      </c>
      <c r="G97" s="121">
        <v>1315905</v>
      </c>
      <c r="H97" s="120">
        <f>_xlfn.COMPOUNDVALUE(656)</f>
        <v>37</v>
      </c>
      <c r="I97" s="122">
        <v>67583</v>
      </c>
      <c r="J97" s="120">
        <v>69</v>
      </c>
      <c r="K97" s="122">
        <v>4981</v>
      </c>
      <c r="L97" s="120">
        <f>_xlfn.COMPOUNDVALUE(656)</f>
        <v>778</v>
      </c>
      <c r="M97" s="122">
        <v>1253303</v>
      </c>
      <c r="N97" s="14" t="s">
        <v>104</v>
      </c>
    </row>
    <row r="98" spans="1:14" ht="15.75" customHeight="1">
      <c r="A98" s="13" t="s">
        <v>105</v>
      </c>
      <c r="B98" s="120">
        <f>_xlfn.COMPOUNDVALUE(657)</f>
        <v>1182</v>
      </c>
      <c r="C98" s="121">
        <v>3520922</v>
      </c>
      <c r="D98" s="120">
        <f>_xlfn.COMPOUNDVALUE(658)</f>
        <v>378</v>
      </c>
      <c r="E98" s="121">
        <v>145644</v>
      </c>
      <c r="F98" s="120">
        <f>_xlfn.COMPOUNDVALUE(659)</f>
        <v>1560</v>
      </c>
      <c r="G98" s="121">
        <v>3666567</v>
      </c>
      <c r="H98" s="120">
        <f>_xlfn.COMPOUNDVALUE(660)</f>
        <v>66</v>
      </c>
      <c r="I98" s="122">
        <v>219250</v>
      </c>
      <c r="J98" s="120">
        <v>87</v>
      </c>
      <c r="K98" s="122">
        <v>6388</v>
      </c>
      <c r="L98" s="120">
        <f>_xlfn.COMPOUNDVALUE(660)</f>
        <v>1639</v>
      </c>
      <c r="M98" s="122">
        <v>3453705</v>
      </c>
      <c r="N98" s="14" t="s">
        <v>105</v>
      </c>
    </row>
    <row r="99" spans="1:14" ht="15.75" customHeight="1">
      <c r="A99" s="13" t="s">
        <v>106</v>
      </c>
      <c r="B99" s="120">
        <f>_xlfn.COMPOUNDVALUE(661)</f>
        <v>582</v>
      </c>
      <c r="C99" s="121">
        <v>2134322</v>
      </c>
      <c r="D99" s="120">
        <f>_xlfn.COMPOUNDVALUE(662)</f>
        <v>172</v>
      </c>
      <c r="E99" s="121">
        <v>65259</v>
      </c>
      <c r="F99" s="120">
        <f>_xlfn.COMPOUNDVALUE(663)</f>
        <v>754</v>
      </c>
      <c r="G99" s="121">
        <v>2199581</v>
      </c>
      <c r="H99" s="120">
        <f>_xlfn.COMPOUNDVALUE(664)</f>
        <v>15</v>
      </c>
      <c r="I99" s="122">
        <v>49259</v>
      </c>
      <c r="J99" s="120">
        <v>56</v>
      </c>
      <c r="K99" s="122">
        <v>13912</v>
      </c>
      <c r="L99" s="120">
        <f>_xlfn.COMPOUNDVALUE(664)</f>
        <v>773</v>
      </c>
      <c r="M99" s="122">
        <v>2164235</v>
      </c>
      <c r="N99" s="14" t="s">
        <v>106</v>
      </c>
    </row>
    <row r="100" spans="1:14" ht="15.75" customHeight="1">
      <c r="A100" s="15" t="s">
        <v>182</v>
      </c>
      <c r="B100" s="125">
        <v>8192</v>
      </c>
      <c r="C100" s="126">
        <v>30658527</v>
      </c>
      <c r="D100" s="125">
        <v>2803</v>
      </c>
      <c r="E100" s="126">
        <v>1067168</v>
      </c>
      <c r="F100" s="125">
        <v>10995</v>
      </c>
      <c r="G100" s="126">
        <v>31725695</v>
      </c>
      <c r="H100" s="125">
        <v>420</v>
      </c>
      <c r="I100" s="127">
        <v>2363384</v>
      </c>
      <c r="J100" s="125">
        <v>666</v>
      </c>
      <c r="K100" s="127">
        <v>43472</v>
      </c>
      <c r="L100" s="125">
        <v>11470</v>
      </c>
      <c r="M100" s="127">
        <v>29405783</v>
      </c>
      <c r="N100" s="16" t="s">
        <v>128</v>
      </c>
    </row>
    <row r="101" spans="1:14" ht="15.75" customHeight="1" thickBot="1">
      <c r="A101" s="18"/>
      <c r="B101" s="145"/>
      <c r="C101" s="146"/>
      <c r="D101" s="145"/>
      <c r="E101" s="146"/>
      <c r="F101" s="147"/>
      <c r="G101" s="146"/>
      <c r="H101" s="147"/>
      <c r="I101" s="146"/>
      <c r="J101" s="147"/>
      <c r="K101" s="146"/>
      <c r="L101" s="147"/>
      <c r="M101" s="146"/>
      <c r="N101" s="19"/>
    </row>
    <row r="102" spans="1:14" ht="15.75" customHeight="1" thickBot="1" thickTop="1">
      <c r="A102" s="21" t="s">
        <v>183</v>
      </c>
      <c r="B102" s="148">
        <v>213143</v>
      </c>
      <c r="C102" s="149">
        <v>1296905939</v>
      </c>
      <c r="D102" s="148">
        <v>70224</v>
      </c>
      <c r="E102" s="149">
        <v>26559782</v>
      </c>
      <c r="F102" s="148">
        <v>283367</v>
      </c>
      <c r="G102" s="149">
        <v>1323465720</v>
      </c>
      <c r="H102" s="148">
        <v>22679</v>
      </c>
      <c r="I102" s="150">
        <v>289985206</v>
      </c>
      <c r="J102" s="148">
        <v>16900</v>
      </c>
      <c r="K102" s="150">
        <v>2229711</v>
      </c>
      <c r="L102" s="148">
        <v>308076</v>
      </c>
      <c r="M102" s="150">
        <v>1035710224</v>
      </c>
      <c r="N102" s="22" t="s">
        <v>121</v>
      </c>
    </row>
    <row r="103" spans="1:14" ht="13.5">
      <c r="A103" s="193" t="s">
        <v>129</v>
      </c>
      <c r="B103" s="193"/>
      <c r="C103" s="193"/>
      <c r="D103" s="193"/>
      <c r="E103" s="193"/>
      <c r="F103" s="193"/>
      <c r="G103" s="193"/>
      <c r="H103" s="193"/>
      <c r="I103" s="193"/>
      <c r="J103" s="27"/>
      <c r="K103" s="27"/>
      <c r="L103" s="2"/>
      <c r="M103" s="2"/>
      <c r="N103" s="2"/>
    </row>
  </sheetData>
  <sheetProtection/>
  <mergeCells count="11">
    <mergeCell ref="N3:N5"/>
    <mergeCell ref="B4:C4"/>
    <mergeCell ref="D4:E4"/>
    <mergeCell ref="F4:G4"/>
    <mergeCell ref="J3:K4"/>
    <mergeCell ref="L3:M4"/>
    <mergeCell ref="A103:I103"/>
    <mergeCell ref="A2:I2"/>
    <mergeCell ref="A3:A5"/>
    <mergeCell ref="B3:G3"/>
    <mergeCell ref="H3:I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view="pageBreakPreview" zoomScale="80" zoomScaleSheetLayoutView="80" zoomScalePageLayoutView="0" workbookViewId="0" topLeftCell="A1">
      <selection activeCell="A1" sqref="A1"/>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108</v>
      </c>
      <c r="B1" s="1"/>
      <c r="C1" s="1"/>
      <c r="D1" s="1"/>
      <c r="E1" s="1"/>
      <c r="F1" s="1"/>
      <c r="G1" s="1"/>
      <c r="H1" s="1"/>
      <c r="I1" s="1"/>
      <c r="J1" s="1"/>
      <c r="K1" s="1"/>
      <c r="L1" s="2"/>
      <c r="M1" s="2"/>
      <c r="N1" s="2"/>
      <c r="O1" s="2"/>
      <c r="P1" s="2"/>
    </row>
    <row r="2" spans="1:16" ht="14.25" thickBot="1">
      <c r="A2" s="209" t="s">
        <v>112</v>
      </c>
      <c r="B2" s="209"/>
      <c r="C2" s="209"/>
      <c r="D2" s="209"/>
      <c r="E2" s="209"/>
      <c r="F2" s="209"/>
      <c r="G2" s="209"/>
      <c r="H2" s="209"/>
      <c r="I2" s="209"/>
      <c r="J2" s="27"/>
      <c r="K2" s="27"/>
      <c r="L2" s="2"/>
      <c r="M2" s="2"/>
      <c r="N2" s="2"/>
      <c r="O2" s="2"/>
      <c r="P2" s="2"/>
    </row>
    <row r="3" spans="1:18" ht="19.5" customHeight="1">
      <c r="A3" s="199" t="s">
        <v>2</v>
      </c>
      <c r="B3" s="202" t="s">
        <v>3</v>
      </c>
      <c r="C3" s="202"/>
      <c r="D3" s="202"/>
      <c r="E3" s="202"/>
      <c r="F3" s="202"/>
      <c r="G3" s="202"/>
      <c r="H3" s="202" t="s">
        <v>4</v>
      </c>
      <c r="I3" s="202"/>
      <c r="J3" s="215" t="s">
        <v>5</v>
      </c>
      <c r="K3" s="202"/>
      <c r="L3" s="202" t="s">
        <v>6</v>
      </c>
      <c r="M3" s="202"/>
      <c r="N3" s="216" t="s">
        <v>113</v>
      </c>
      <c r="O3" s="217"/>
      <c r="P3" s="217"/>
      <c r="Q3" s="217"/>
      <c r="R3" s="203" t="s">
        <v>110</v>
      </c>
    </row>
    <row r="4" spans="1:18" ht="17.25" customHeight="1">
      <c r="A4" s="200"/>
      <c r="B4" s="206" t="s">
        <v>8</v>
      </c>
      <c r="C4" s="206"/>
      <c r="D4" s="206" t="s">
        <v>9</v>
      </c>
      <c r="E4" s="206"/>
      <c r="F4" s="206" t="s">
        <v>10</v>
      </c>
      <c r="G4" s="206"/>
      <c r="H4" s="206"/>
      <c r="I4" s="206"/>
      <c r="J4" s="206"/>
      <c r="K4" s="206"/>
      <c r="L4" s="206"/>
      <c r="M4" s="206"/>
      <c r="N4" s="218" t="s">
        <v>114</v>
      </c>
      <c r="O4" s="210" t="s">
        <v>115</v>
      </c>
      <c r="P4" s="212" t="s">
        <v>116</v>
      </c>
      <c r="Q4" s="198" t="s">
        <v>117</v>
      </c>
      <c r="R4" s="204"/>
    </row>
    <row r="5" spans="1:18" ht="28.5" customHeight="1">
      <c r="A5" s="201"/>
      <c r="B5" s="37" t="s">
        <v>11</v>
      </c>
      <c r="C5" s="38" t="s">
        <v>12</v>
      </c>
      <c r="D5" s="37" t="s">
        <v>11</v>
      </c>
      <c r="E5" s="38" t="s">
        <v>12</v>
      </c>
      <c r="F5" s="37" t="s">
        <v>11</v>
      </c>
      <c r="G5" s="38" t="s">
        <v>13</v>
      </c>
      <c r="H5" s="37" t="s">
        <v>11</v>
      </c>
      <c r="I5" s="38" t="s">
        <v>14</v>
      </c>
      <c r="J5" s="37" t="s">
        <v>11</v>
      </c>
      <c r="K5" s="38" t="s">
        <v>15</v>
      </c>
      <c r="L5" s="37" t="s">
        <v>11</v>
      </c>
      <c r="M5" s="31" t="s">
        <v>120</v>
      </c>
      <c r="N5" s="219"/>
      <c r="O5" s="211"/>
      <c r="P5" s="213"/>
      <c r="Q5" s="214"/>
      <c r="R5" s="205"/>
    </row>
    <row r="6" spans="1:18" s="29" customFormat="1" ht="12" customHeight="1">
      <c r="A6" s="5"/>
      <c r="B6" s="6" t="s">
        <v>16</v>
      </c>
      <c r="C6" s="7" t="s">
        <v>17</v>
      </c>
      <c r="D6" s="6" t="s">
        <v>16</v>
      </c>
      <c r="E6" s="7" t="s">
        <v>17</v>
      </c>
      <c r="F6" s="6" t="s">
        <v>16</v>
      </c>
      <c r="G6" s="7" t="s">
        <v>17</v>
      </c>
      <c r="H6" s="6" t="s">
        <v>16</v>
      </c>
      <c r="I6" s="7" t="s">
        <v>17</v>
      </c>
      <c r="J6" s="6" t="s">
        <v>16</v>
      </c>
      <c r="K6" s="7" t="s">
        <v>17</v>
      </c>
      <c r="L6" s="6" t="s">
        <v>16</v>
      </c>
      <c r="M6" s="7" t="s">
        <v>17</v>
      </c>
      <c r="N6" s="6" t="s">
        <v>16</v>
      </c>
      <c r="O6" s="32" t="s">
        <v>16</v>
      </c>
      <c r="P6" s="32" t="s">
        <v>16</v>
      </c>
      <c r="Q6" s="33" t="s">
        <v>16</v>
      </c>
      <c r="R6" s="9"/>
    </row>
    <row r="7" spans="1:18" ht="18.75" customHeight="1">
      <c r="A7" s="11" t="s">
        <v>19</v>
      </c>
      <c r="B7" s="115">
        <f>_xlfn.COMPOUNDVALUE(665)</f>
        <v>3500</v>
      </c>
      <c r="C7" s="116">
        <v>9591620</v>
      </c>
      <c r="D7" s="115">
        <f>_xlfn.COMPOUNDVALUE(666)</f>
        <v>2172</v>
      </c>
      <c r="E7" s="116">
        <v>671769</v>
      </c>
      <c r="F7" s="115">
        <f>_xlfn.COMPOUNDVALUE(667)</f>
        <v>5672</v>
      </c>
      <c r="G7" s="116">
        <v>10263389</v>
      </c>
      <c r="H7" s="115">
        <f>_xlfn.COMPOUNDVALUE(668)</f>
        <v>205</v>
      </c>
      <c r="I7" s="117">
        <v>4102161</v>
      </c>
      <c r="J7" s="115">
        <v>341</v>
      </c>
      <c r="K7" s="117">
        <v>72812</v>
      </c>
      <c r="L7" s="115">
        <f>_xlfn.COMPOUNDVALUE(668)</f>
        <v>5960</v>
      </c>
      <c r="M7" s="117">
        <v>6234040</v>
      </c>
      <c r="N7" s="115">
        <v>6133</v>
      </c>
      <c r="O7" s="118">
        <v>143</v>
      </c>
      <c r="P7" s="118">
        <v>17</v>
      </c>
      <c r="Q7" s="119">
        <v>6293</v>
      </c>
      <c r="R7" s="12" t="s">
        <v>19</v>
      </c>
    </row>
    <row r="8" spans="1:18" ht="18.75" customHeight="1">
      <c r="A8" s="13" t="s">
        <v>20</v>
      </c>
      <c r="B8" s="120">
        <f>_xlfn.COMPOUNDVALUE(669)</f>
        <v>1850</v>
      </c>
      <c r="C8" s="121">
        <v>8408490</v>
      </c>
      <c r="D8" s="120">
        <f>_xlfn.COMPOUNDVALUE(670)</f>
        <v>1236</v>
      </c>
      <c r="E8" s="121">
        <v>398612</v>
      </c>
      <c r="F8" s="120">
        <f>_xlfn.COMPOUNDVALUE(671)</f>
        <v>3086</v>
      </c>
      <c r="G8" s="121">
        <v>8807102</v>
      </c>
      <c r="H8" s="120">
        <f>_xlfn.COMPOUNDVALUE(672)</f>
        <v>130</v>
      </c>
      <c r="I8" s="122">
        <v>1506295</v>
      </c>
      <c r="J8" s="120">
        <v>188</v>
      </c>
      <c r="K8" s="122">
        <v>31738</v>
      </c>
      <c r="L8" s="120">
        <f>_xlfn.COMPOUNDVALUE(672)</f>
        <v>3264</v>
      </c>
      <c r="M8" s="122">
        <v>7332545</v>
      </c>
      <c r="N8" s="120">
        <v>3217</v>
      </c>
      <c r="O8" s="123">
        <v>81</v>
      </c>
      <c r="P8" s="123">
        <v>8</v>
      </c>
      <c r="Q8" s="124">
        <v>3306</v>
      </c>
      <c r="R8" s="14" t="s">
        <v>20</v>
      </c>
    </row>
    <row r="9" spans="1:18" ht="18.75" customHeight="1">
      <c r="A9" s="13" t="s">
        <v>21</v>
      </c>
      <c r="B9" s="120">
        <f>_xlfn.COMPOUNDVALUE(673)</f>
        <v>2162</v>
      </c>
      <c r="C9" s="121">
        <v>5484757</v>
      </c>
      <c r="D9" s="120">
        <f>_xlfn.COMPOUNDVALUE(674)</f>
        <v>1252</v>
      </c>
      <c r="E9" s="121">
        <v>360782</v>
      </c>
      <c r="F9" s="120">
        <f>_xlfn.COMPOUNDVALUE(675)</f>
        <v>3414</v>
      </c>
      <c r="G9" s="121">
        <v>5845539</v>
      </c>
      <c r="H9" s="120">
        <f>_xlfn.COMPOUNDVALUE(676)</f>
        <v>114</v>
      </c>
      <c r="I9" s="122">
        <v>89641</v>
      </c>
      <c r="J9" s="120">
        <v>229</v>
      </c>
      <c r="K9" s="122">
        <v>19558</v>
      </c>
      <c r="L9" s="120">
        <f>_xlfn.COMPOUNDVALUE(676)</f>
        <v>3578</v>
      </c>
      <c r="M9" s="122">
        <v>5775455</v>
      </c>
      <c r="N9" s="120">
        <v>3675</v>
      </c>
      <c r="O9" s="123">
        <v>94</v>
      </c>
      <c r="P9" s="123">
        <v>7</v>
      </c>
      <c r="Q9" s="124">
        <v>3776</v>
      </c>
      <c r="R9" s="14" t="s">
        <v>21</v>
      </c>
    </row>
    <row r="10" spans="1:18" ht="18.75" customHeight="1">
      <c r="A10" s="13" t="s">
        <v>22</v>
      </c>
      <c r="B10" s="120">
        <f>_xlfn.COMPOUNDVALUE(677)</f>
        <v>2641</v>
      </c>
      <c r="C10" s="121">
        <v>5959640</v>
      </c>
      <c r="D10" s="120">
        <f>_xlfn.COMPOUNDVALUE(678)</f>
        <v>1820</v>
      </c>
      <c r="E10" s="121">
        <v>517056</v>
      </c>
      <c r="F10" s="120">
        <f>_xlfn.COMPOUNDVALUE(679)</f>
        <v>4461</v>
      </c>
      <c r="G10" s="121">
        <v>6476696</v>
      </c>
      <c r="H10" s="120">
        <f>_xlfn.COMPOUNDVALUE(680)</f>
        <v>209</v>
      </c>
      <c r="I10" s="122">
        <v>353284</v>
      </c>
      <c r="J10" s="120">
        <v>219</v>
      </c>
      <c r="K10" s="122">
        <v>16254</v>
      </c>
      <c r="L10" s="120">
        <f>_xlfn.COMPOUNDVALUE(680)</f>
        <v>4719</v>
      </c>
      <c r="M10" s="122">
        <v>6139665</v>
      </c>
      <c r="N10" s="120">
        <v>4790</v>
      </c>
      <c r="O10" s="123">
        <v>140</v>
      </c>
      <c r="P10" s="123">
        <v>10</v>
      </c>
      <c r="Q10" s="124">
        <v>4940</v>
      </c>
      <c r="R10" s="14" t="s">
        <v>22</v>
      </c>
    </row>
    <row r="11" spans="1:18" ht="18.75" customHeight="1">
      <c r="A11" s="13" t="s">
        <v>23</v>
      </c>
      <c r="B11" s="120">
        <f>_xlfn.COMPOUNDVALUE(681)</f>
        <v>3502</v>
      </c>
      <c r="C11" s="121">
        <v>10339525</v>
      </c>
      <c r="D11" s="120">
        <f>_xlfn.COMPOUNDVALUE(682)</f>
        <v>2226</v>
      </c>
      <c r="E11" s="121">
        <v>735220</v>
      </c>
      <c r="F11" s="120">
        <f>_xlfn.COMPOUNDVALUE(683)</f>
        <v>5728</v>
      </c>
      <c r="G11" s="121">
        <v>11074745</v>
      </c>
      <c r="H11" s="120">
        <f>_xlfn.COMPOUNDVALUE(684)</f>
        <v>219</v>
      </c>
      <c r="I11" s="122">
        <v>1715895</v>
      </c>
      <c r="J11" s="120">
        <v>369</v>
      </c>
      <c r="K11" s="122">
        <v>41178</v>
      </c>
      <c r="L11" s="120">
        <f>_xlfn.COMPOUNDVALUE(684)</f>
        <v>6021</v>
      </c>
      <c r="M11" s="122">
        <v>9400028</v>
      </c>
      <c r="N11" s="120">
        <v>6266</v>
      </c>
      <c r="O11" s="123">
        <v>114</v>
      </c>
      <c r="P11" s="123">
        <v>13</v>
      </c>
      <c r="Q11" s="124">
        <v>6393</v>
      </c>
      <c r="R11" s="14" t="s">
        <v>23</v>
      </c>
    </row>
    <row r="12" spans="1:18" ht="18.75" customHeight="1">
      <c r="A12" s="13" t="s">
        <v>24</v>
      </c>
      <c r="B12" s="120">
        <f>_xlfn.COMPOUNDVALUE(685)</f>
        <v>1710</v>
      </c>
      <c r="C12" s="121">
        <v>6227736</v>
      </c>
      <c r="D12" s="120">
        <f>_xlfn.COMPOUNDVALUE(686)</f>
        <v>1057</v>
      </c>
      <c r="E12" s="121">
        <v>294902</v>
      </c>
      <c r="F12" s="120">
        <f>_xlfn.COMPOUNDVALUE(687)</f>
        <v>2767</v>
      </c>
      <c r="G12" s="121">
        <v>6522638</v>
      </c>
      <c r="H12" s="120">
        <f>_xlfn.COMPOUNDVALUE(688)</f>
        <v>108</v>
      </c>
      <c r="I12" s="122">
        <v>169325</v>
      </c>
      <c r="J12" s="120">
        <v>200</v>
      </c>
      <c r="K12" s="122">
        <v>16151</v>
      </c>
      <c r="L12" s="120">
        <f>_xlfn.COMPOUNDVALUE(688)</f>
        <v>2921</v>
      </c>
      <c r="M12" s="122">
        <v>6369464</v>
      </c>
      <c r="N12" s="120">
        <v>2977</v>
      </c>
      <c r="O12" s="123">
        <v>79</v>
      </c>
      <c r="P12" s="123">
        <v>7</v>
      </c>
      <c r="Q12" s="124">
        <v>3063</v>
      </c>
      <c r="R12" s="14" t="s">
        <v>24</v>
      </c>
    </row>
    <row r="13" spans="1:18" ht="18.75" customHeight="1">
      <c r="A13" s="13" t="s">
        <v>25</v>
      </c>
      <c r="B13" s="120">
        <f>_xlfn.COMPOUNDVALUE(689)</f>
        <v>817</v>
      </c>
      <c r="C13" s="121">
        <v>1555649</v>
      </c>
      <c r="D13" s="120">
        <f>_xlfn.COMPOUNDVALUE(690)</f>
        <v>502</v>
      </c>
      <c r="E13" s="121">
        <v>132714</v>
      </c>
      <c r="F13" s="120">
        <f>_xlfn.COMPOUNDVALUE(691)</f>
        <v>1319</v>
      </c>
      <c r="G13" s="121">
        <v>1688363</v>
      </c>
      <c r="H13" s="120">
        <f>_xlfn.COMPOUNDVALUE(692)</f>
        <v>59</v>
      </c>
      <c r="I13" s="122">
        <v>280672</v>
      </c>
      <c r="J13" s="120">
        <v>110</v>
      </c>
      <c r="K13" s="122">
        <v>6840</v>
      </c>
      <c r="L13" s="120">
        <f>_xlfn.COMPOUNDVALUE(692)</f>
        <v>1394</v>
      </c>
      <c r="M13" s="122">
        <v>1414531</v>
      </c>
      <c r="N13" s="120">
        <v>1374</v>
      </c>
      <c r="O13" s="123">
        <v>24</v>
      </c>
      <c r="P13" s="123">
        <v>0</v>
      </c>
      <c r="Q13" s="124">
        <v>1398</v>
      </c>
      <c r="R13" s="14" t="s">
        <v>25</v>
      </c>
    </row>
    <row r="14" spans="1:18" ht="18.75" customHeight="1">
      <c r="A14" s="15" t="s">
        <v>26</v>
      </c>
      <c r="B14" s="125">
        <v>16182</v>
      </c>
      <c r="C14" s="126">
        <v>47567417</v>
      </c>
      <c r="D14" s="125">
        <v>10265</v>
      </c>
      <c r="E14" s="126">
        <v>3111053</v>
      </c>
      <c r="F14" s="125">
        <v>26447</v>
      </c>
      <c r="G14" s="126">
        <v>50678471</v>
      </c>
      <c r="H14" s="125">
        <v>1044</v>
      </c>
      <c r="I14" s="127">
        <v>8217273</v>
      </c>
      <c r="J14" s="125">
        <v>1656</v>
      </c>
      <c r="K14" s="127">
        <v>204530</v>
      </c>
      <c r="L14" s="125">
        <v>27857</v>
      </c>
      <c r="M14" s="127">
        <v>42665727</v>
      </c>
      <c r="N14" s="125">
        <v>28432</v>
      </c>
      <c r="O14" s="128">
        <v>675</v>
      </c>
      <c r="P14" s="128">
        <v>62</v>
      </c>
      <c r="Q14" s="129">
        <v>29169</v>
      </c>
      <c r="R14" s="16" t="s">
        <v>123</v>
      </c>
    </row>
    <row r="15" spans="1:18" ht="18.75" customHeight="1">
      <c r="A15" s="26"/>
      <c r="B15" s="130"/>
      <c r="C15" s="131"/>
      <c r="D15" s="130"/>
      <c r="E15" s="131"/>
      <c r="F15" s="132"/>
      <c r="G15" s="131"/>
      <c r="H15" s="132"/>
      <c r="I15" s="131"/>
      <c r="J15" s="132"/>
      <c r="K15" s="131"/>
      <c r="L15" s="132"/>
      <c r="M15" s="131"/>
      <c r="N15" s="133"/>
      <c r="O15" s="134"/>
      <c r="P15" s="134"/>
      <c r="Q15" s="135"/>
      <c r="R15" s="36" t="s">
        <v>122</v>
      </c>
    </row>
    <row r="16" spans="1:18" ht="18.75" customHeight="1">
      <c r="A16" s="11" t="s">
        <v>27</v>
      </c>
      <c r="B16" s="115">
        <f>_xlfn.COMPOUNDVALUE(693)</f>
        <v>3377</v>
      </c>
      <c r="C16" s="116">
        <v>11484386</v>
      </c>
      <c r="D16" s="115">
        <f>_xlfn.COMPOUNDVALUE(694)</f>
        <v>2364</v>
      </c>
      <c r="E16" s="116">
        <v>683754</v>
      </c>
      <c r="F16" s="115">
        <f>_xlfn.COMPOUNDVALUE(695)</f>
        <v>5741</v>
      </c>
      <c r="G16" s="116">
        <v>12168139</v>
      </c>
      <c r="H16" s="115">
        <f>_xlfn.COMPOUNDVALUE(696)</f>
        <v>237</v>
      </c>
      <c r="I16" s="117">
        <v>4930253</v>
      </c>
      <c r="J16" s="115">
        <v>309</v>
      </c>
      <c r="K16" s="117">
        <v>45020</v>
      </c>
      <c r="L16" s="115">
        <f>_xlfn.COMPOUNDVALUE(696)</f>
        <v>6018</v>
      </c>
      <c r="M16" s="117">
        <v>7282906</v>
      </c>
      <c r="N16" s="115">
        <v>6080</v>
      </c>
      <c r="O16" s="118">
        <v>134</v>
      </c>
      <c r="P16" s="118">
        <v>14</v>
      </c>
      <c r="Q16" s="136">
        <v>6228</v>
      </c>
      <c r="R16" s="14" t="s">
        <v>27</v>
      </c>
    </row>
    <row r="17" spans="1:18" ht="18.75" customHeight="1">
      <c r="A17" s="11" t="s">
        <v>28</v>
      </c>
      <c r="B17" s="115">
        <f>_xlfn.COMPOUNDVALUE(697)</f>
        <v>2329</v>
      </c>
      <c r="C17" s="116">
        <v>5341867</v>
      </c>
      <c r="D17" s="115">
        <f>_xlfn.COMPOUNDVALUE(698)</f>
        <v>1629</v>
      </c>
      <c r="E17" s="116">
        <v>501037</v>
      </c>
      <c r="F17" s="115">
        <f>_xlfn.COMPOUNDVALUE(699)</f>
        <v>3958</v>
      </c>
      <c r="G17" s="116">
        <v>5842904</v>
      </c>
      <c r="H17" s="115">
        <f>_xlfn.COMPOUNDVALUE(700)</f>
        <v>185</v>
      </c>
      <c r="I17" s="117">
        <v>472232</v>
      </c>
      <c r="J17" s="115">
        <v>185</v>
      </c>
      <c r="K17" s="117">
        <v>-46197</v>
      </c>
      <c r="L17" s="115">
        <f>_xlfn.COMPOUNDVALUE(700)</f>
        <v>4191</v>
      </c>
      <c r="M17" s="117">
        <v>5324475</v>
      </c>
      <c r="N17" s="120">
        <v>4216</v>
      </c>
      <c r="O17" s="123">
        <v>110</v>
      </c>
      <c r="P17" s="123">
        <v>10</v>
      </c>
      <c r="Q17" s="124">
        <v>4336</v>
      </c>
      <c r="R17" s="14" t="s">
        <v>28</v>
      </c>
    </row>
    <row r="18" spans="1:18" ht="18.75" customHeight="1">
      <c r="A18" s="11" t="s">
        <v>29</v>
      </c>
      <c r="B18" s="115">
        <f>_xlfn.COMPOUNDVALUE(701)</f>
        <v>3663</v>
      </c>
      <c r="C18" s="116">
        <v>15487263</v>
      </c>
      <c r="D18" s="115">
        <f>_xlfn.COMPOUNDVALUE(702)</f>
        <v>2204</v>
      </c>
      <c r="E18" s="116">
        <v>750135</v>
      </c>
      <c r="F18" s="115">
        <f>_xlfn.COMPOUNDVALUE(703)</f>
        <v>5867</v>
      </c>
      <c r="G18" s="116">
        <v>16237398</v>
      </c>
      <c r="H18" s="115">
        <f>_xlfn.COMPOUNDVALUE(704)</f>
        <v>266</v>
      </c>
      <c r="I18" s="117">
        <v>3546066</v>
      </c>
      <c r="J18" s="115">
        <v>275</v>
      </c>
      <c r="K18" s="117">
        <v>121835</v>
      </c>
      <c r="L18" s="115">
        <f>_xlfn.COMPOUNDVALUE(704)</f>
        <v>6195</v>
      </c>
      <c r="M18" s="117">
        <v>12813167</v>
      </c>
      <c r="N18" s="120">
        <v>6544</v>
      </c>
      <c r="O18" s="123">
        <v>156</v>
      </c>
      <c r="P18" s="123">
        <v>39</v>
      </c>
      <c r="Q18" s="124">
        <v>6739</v>
      </c>
      <c r="R18" s="14" t="s">
        <v>29</v>
      </c>
    </row>
    <row r="19" spans="1:18" ht="18.75" customHeight="1">
      <c r="A19" s="11" t="s">
        <v>30</v>
      </c>
      <c r="B19" s="115">
        <f>_xlfn.COMPOUNDVALUE(705)</f>
        <v>3056</v>
      </c>
      <c r="C19" s="116">
        <v>7917470</v>
      </c>
      <c r="D19" s="115">
        <f>_xlfn.COMPOUNDVALUE(706)</f>
        <v>1864</v>
      </c>
      <c r="E19" s="116">
        <v>557322</v>
      </c>
      <c r="F19" s="115">
        <f>_xlfn.COMPOUNDVALUE(707)</f>
        <v>4920</v>
      </c>
      <c r="G19" s="116">
        <v>8474792</v>
      </c>
      <c r="H19" s="115">
        <f>_xlfn.COMPOUNDVALUE(708)</f>
        <v>206</v>
      </c>
      <c r="I19" s="117">
        <v>297220</v>
      </c>
      <c r="J19" s="115">
        <v>319</v>
      </c>
      <c r="K19" s="117">
        <v>50204</v>
      </c>
      <c r="L19" s="115">
        <f>_xlfn.COMPOUNDVALUE(708)</f>
        <v>5243</v>
      </c>
      <c r="M19" s="117">
        <v>8227777</v>
      </c>
      <c r="N19" s="120">
        <v>5470</v>
      </c>
      <c r="O19" s="123">
        <v>95</v>
      </c>
      <c r="P19" s="123">
        <v>18</v>
      </c>
      <c r="Q19" s="124">
        <v>5583</v>
      </c>
      <c r="R19" s="14" t="s">
        <v>30</v>
      </c>
    </row>
    <row r="20" spans="1:18" ht="18.75" customHeight="1">
      <c r="A20" s="11" t="s">
        <v>31</v>
      </c>
      <c r="B20" s="115">
        <f>_xlfn.COMPOUNDVALUE(709)</f>
        <v>5582</v>
      </c>
      <c r="C20" s="116">
        <v>47334185</v>
      </c>
      <c r="D20" s="115">
        <f>_xlfn.COMPOUNDVALUE(710)</f>
        <v>2457</v>
      </c>
      <c r="E20" s="116">
        <v>755434</v>
      </c>
      <c r="F20" s="115">
        <f>_xlfn.COMPOUNDVALUE(711)</f>
        <v>8039</v>
      </c>
      <c r="G20" s="116">
        <v>48089619</v>
      </c>
      <c r="H20" s="115">
        <f>_xlfn.COMPOUNDVALUE(712)</f>
        <v>441</v>
      </c>
      <c r="I20" s="117">
        <v>6624197</v>
      </c>
      <c r="J20" s="115">
        <v>545</v>
      </c>
      <c r="K20" s="117">
        <v>-38395</v>
      </c>
      <c r="L20" s="115">
        <f>_xlfn.COMPOUNDVALUE(712)</f>
        <v>8583</v>
      </c>
      <c r="M20" s="117">
        <v>41427026</v>
      </c>
      <c r="N20" s="120">
        <v>8781</v>
      </c>
      <c r="O20" s="123">
        <v>186</v>
      </c>
      <c r="P20" s="123">
        <v>38</v>
      </c>
      <c r="Q20" s="124">
        <v>9005</v>
      </c>
      <c r="R20" s="14" t="s">
        <v>31</v>
      </c>
    </row>
    <row r="21" spans="1:18" ht="18.75" customHeight="1">
      <c r="A21" s="11" t="s">
        <v>32</v>
      </c>
      <c r="B21" s="115">
        <f>_xlfn.COMPOUNDVALUE(713)</f>
        <v>5816</v>
      </c>
      <c r="C21" s="116">
        <v>15107660</v>
      </c>
      <c r="D21" s="115">
        <f>_xlfn.COMPOUNDVALUE(714)</f>
        <v>3553</v>
      </c>
      <c r="E21" s="116">
        <v>1081438</v>
      </c>
      <c r="F21" s="115">
        <f>_xlfn.COMPOUNDVALUE(715)</f>
        <v>9369</v>
      </c>
      <c r="G21" s="116">
        <v>16189098</v>
      </c>
      <c r="H21" s="115">
        <f>_xlfn.COMPOUNDVALUE(716)</f>
        <v>432</v>
      </c>
      <c r="I21" s="117">
        <v>22283304</v>
      </c>
      <c r="J21" s="115">
        <v>540</v>
      </c>
      <c r="K21" s="117">
        <v>65238</v>
      </c>
      <c r="L21" s="115">
        <f>_xlfn.COMPOUNDVALUE(716)</f>
        <v>9917</v>
      </c>
      <c r="M21" s="117">
        <v>-6028968</v>
      </c>
      <c r="N21" s="120">
        <v>10663</v>
      </c>
      <c r="O21" s="123">
        <v>186</v>
      </c>
      <c r="P21" s="123">
        <v>28</v>
      </c>
      <c r="Q21" s="124">
        <v>10877</v>
      </c>
      <c r="R21" s="14" t="s">
        <v>32</v>
      </c>
    </row>
    <row r="22" spans="1:18" ht="18.75" customHeight="1">
      <c r="A22" s="13" t="s">
        <v>33</v>
      </c>
      <c r="B22" s="120">
        <f>_xlfn.COMPOUNDVALUE(717)</f>
        <v>3597</v>
      </c>
      <c r="C22" s="121">
        <v>13375625</v>
      </c>
      <c r="D22" s="120">
        <f>_xlfn.COMPOUNDVALUE(718)</f>
        <v>2085</v>
      </c>
      <c r="E22" s="121">
        <v>642414</v>
      </c>
      <c r="F22" s="120">
        <f>_xlfn.COMPOUNDVALUE(719)</f>
        <v>5682</v>
      </c>
      <c r="G22" s="121">
        <v>14018039</v>
      </c>
      <c r="H22" s="120">
        <f>_xlfn.COMPOUNDVALUE(720)</f>
        <v>252</v>
      </c>
      <c r="I22" s="122">
        <v>3205521</v>
      </c>
      <c r="J22" s="120">
        <v>355</v>
      </c>
      <c r="K22" s="122">
        <v>47131</v>
      </c>
      <c r="L22" s="120">
        <f>_xlfn.COMPOUNDVALUE(720)</f>
        <v>6034</v>
      </c>
      <c r="M22" s="122">
        <v>10859649</v>
      </c>
      <c r="N22" s="120">
        <v>6324</v>
      </c>
      <c r="O22" s="123">
        <v>142</v>
      </c>
      <c r="P22" s="123">
        <v>15</v>
      </c>
      <c r="Q22" s="124">
        <v>6481</v>
      </c>
      <c r="R22" s="14" t="s">
        <v>33</v>
      </c>
    </row>
    <row r="23" spans="1:18" ht="18.75" customHeight="1">
      <c r="A23" s="13" t="s">
        <v>34</v>
      </c>
      <c r="B23" s="120">
        <f>_xlfn.COMPOUNDVALUE(721)</f>
        <v>1472</v>
      </c>
      <c r="C23" s="121">
        <v>4410844</v>
      </c>
      <c r="D23" s="120">
        <f>_xlfn.COMPOUNDVALUE(722)</f>
        <v>890</v>
      </c>
      <c r="E23" s="121">
        <v>256099</v>
      </c>
      <c r="F23" s="120">
        <f>_xlfn.COMPOUNDVALUE(723)</f>
        <v>2362</v>
      </c>
      <c r="G23" s="121">
        <v>4666943</v>
      </c>
      <c r="H23" s="120">
        <f>_xlfn.COMPOUNDVALUE(724)</f>
        <v>65</v>
      </c>
      <c r="I23" s="122">
        <v>113536</v>
      </c>
      <c r="J23" s="120">
        <v>113</v>
      </c>
      <c r="K23" s="122">
        <v>9014</v>
      </c>
      <c r="L23" s="120">
        <f>_xlfn.COMPOUNDVALUE(724)</f>
        <v>2445</v>
      </c>
      <c r="M23" s="122">
        <v>4562421</v>
      </c>
      <c r="N23" s="120">
        <v>2439</v>
      </c>
      <c r="O23" s="123">
        <v>57</v>
      </c>
      <c r="P23" s="123">
        <v>8</v>
      </c>
      <c r="Q23" s="124">
        <v>2504</v>
      </c>
      <c r="R23" s="14" t="s">
        <v>34</v>
      </c>
    </row>
    <row r="24" spans="1:18" ht="18.75" customHeight="1">
      <c r="A24" s="13" t="s">
        <v>35</v>
      </c>
      <c r="B24" s="120">
        <f>_xlfn.COMPOUNDVALUE(725)</f>
        <v>1162</v>
      </c>
      <c r="C24" s="121">
        <v>2012989</v>
      </c>
      <c r="D24" s="120">
        <f>_xlfn.COMPOUNDVALUE(726)</f>
        <v>705</v>
      </c>
      <c r="E24" s="121">
        <v>199193</v>
      </c>
      <c r="F24" s="120">
        <f>_xlfn.COMPOUNDVALUE(727)</f>
        <v>1867</v>
      </c>
      <c r="G24" s="121">
        <v>2212182</v>
      </c>
      <c r="H24" s="120">
        <f>_xlfn.COMPOUNDVALUE(728)</f>
        <v>78</v>
      </c>
      <c r="I24" s="122">
        <v>107754</v>
      </c>
      <c r="J24" s="120">
        <v>132</v>
      </c>
      <c r="K24" s="122">
        <v>16180</v>
      </c>
      <c r="L24" s="120">
        <f>_xlfn.COMPOUNDVALUE(728)</f>
        <v>1988</v>
      </c>
      <c r="M24" s="122">
        <v>2120608</v>
      </c>
      <c r="N24" s="120">
        <v>1961</v>
      </c>
      <c r="O24" s="123">
        <v>47</v>
      </c>
      <c r="P24" s="123">
        <v>1</v>
      </c>
      <c r="Q24" s="124">
        <v>2009</v>
      </c>
      <c r="R24" s="14" t="s">
        <v>35</v>
      </c>
    </row>
    <row r="25" spans="1:18" ht="18.75" customHeight="1">
      <c r="A25" s="13" t="s">
        <v>36</v>
      </c>
      <c r="B25" s="120">
        <f>_xlfn.COMPOUNDVALUE(729)</f>
        <v>6358</v>
      </c>
      <c r="C25" s="121">
        <v>15606103</v>
      </c>
      <c r="D25" s="120">
        <f>_xlfn.COMPOUNDVALUE(730)</f>
        <v>3482</v>
      </c>
      <c r="E25" s="121">
        <v>1028677</v>
      </c>
      <c r="F25" s="120">
        <f>_xlfn.COMPOUNDVALUE(731)</f>
        <v>9840</v>
      </c>
      <c r="G25" s="121">
        <v>16634780</v>
      </c>
      <c r="H25" s="120">
        <f>_xlfn.COMPOUNDVALUE(732)</f>
        <v>510</v>
      </c>
      <c r="I25" s="122">
        <v>885149</v>
      </c>
      <c r="J25" s="120">
        <v>602</v>
      </c>
      <c r="K25" s="122">
        <v>51291</v>
      </c>
      <c r="L25" s="120">
        <f>_xlfn.COMPOUNDVALUE(732)</f>
        <v>10494</v>
      </c>
      <c r="M25" s="122">
        <v>15800923</v>
      </c>
      <c r="N25" s="120">
        <v>10457</v>
      </c>
      <c r="O25" s="123">
        <v>296</v>
      </c>
      <c r="P25" s="123">
        <v>29</v>
      </c>
      <c r="Q25" s="124">
        <v>10782</v>
      </c>
      <c r="R25" s="14" t="s">
        <v>36</v>
      </c>
    </row>
    <row r="26" spans="1:18" ht="18.75" customHeight="1">
      <c r="A26" s="13" t="s">
        <v>37</v>
      </c>
      <c r="B26" s="120">
        <f>_xlfn.COMPOUNDVALUE(733)</f>
        <v>702</v>
      </c>
      <c r="C26" s="121">
        <v>1051835</v>
      </c>
      <c r="D26" s="120">
        <f>_xlfn.COMPOUNDVALUE(734)</f>
        <v>452</v>
      </c>
      <c r="E26" s="121">
        <v>115787</v>
      </c>
      <c r="F26" s="120">
        <f>_xlfn.COMPOUNDVALUE(735)</f>
        <v>1154</v>
      </c>
      <c r="G26" s="121">
        <v>1167622</v>
      </c>
      <c r="H26" s="120">
        <f>_xlfn.COMPOUNDVALUE(736)</f>
        <v>30</v>
      </c>
      <c r="I26" s="122">
        <v>53627</v>
      </c>
      <c r="J26" s="120">
        <v>86</v>
      </c>
      <c r="K26" s="122">
        <v>4729</v>
      </c>
      <c r="L26" s="120">
        <f>_xlfn.COMPOUNDVALUE(736)</f>
        <v>1190</v>
      </c>
      <c r="M26" s="122">
        <v>1118724</v>
      </c>
      <c r="N26" s="120">
        <v>1132</v>
      </c>
      <c r="O26" s="123">
        <v>22</v>
      </c>
      <c r="P26" s="123">
        <v>0</v>
      </c>
      <c r="Q26" s="124">
        <v>1154</v>
      </c>
      <c r="R26" s="14" t="s">
        <v>37</v>
      </c>
    </row>
    <row r="27" spans="1:18" ht="18.75" customHeight="1">
      <c r="A27" s="13" t="s">
        <v>38</v>
      </c>
      <c r="B27" s="120">
        <f>_xlfn.COMPOUNDVALUE(737)</f>
        <v>1782</v>
      </c>
      <c r="C27" s="121">
        <v>3373479</v>
      </c>
      <c r="D27" s="120">
        <f>_xlfn.COMPOUNDVALUE(738)</f>
        <v>976</v>
      </c>
      <c r="E27" s="121">
        <v>272841</v>
      </c>
      <c r="F27" s="120">
        <f>_xlfn.COMPOUNDVALUE(739)</f>
        <v>2758</v>
      </c>
      <c r="G27" s="121">
        <v>3646319</v>
      </c>
      <c r="H27" s="120">
        <f>_xlfn.COMPOUNDVALUE(740)</f>
        <v>99</v>
      </c>
      <c r="I27" s="122">
        <v>238767</v>
      </c>
      <c r="J27" s="120">
        <v>170</v>
      </c>
      <c r="K27" s="122">
        <v>20175</v>
      </c>
      <c r="L27" s="120">
        <f>_xlfn.COMPOUNDVALUE(740)</f>
        <v>2886</v>
      </c>
      <c r="M27" s="122">
        <v>3427727</v>
      </c>
      <c r="N27" s="120">
        <v>2856</v>
      </c>
      <c r="O27" s="123">
        <v>64</v>
      </c>
      <c r="P27" s="123">
        <v>9</v>
      </c>
      <c r="Q27" s="124">
        <v>2929</v>
      </c>
      <c r="R27" s="14" t="s">
        <v>38</v>
      </c>
    </row>
    <row r="28" spans="1:18" ht="18.75" customHeight="1">
      <c r="A28" s="13" t="s">
        <v>39</v>
      </c>
      <c r="B28" s="120">
        <f>_xlfn.COMPOUNDVALUE(741)</f>
        <v>1016</v>
      </c>
      <c r="C28" s="121">
        <v>1473710</v>
      </c>
      <c r="D28" s="120">
        <f>_xlfn.COMPOUNDVALUE(742)</f>
        <v>486</v>
      </c>
      <c r="E28" s="121">
        <v>141008</v>
      </c>
      <c r="F28" s="120">
        <f>_xlfn.COMPOUNDVALUE(743)</f>
        <v>1502</v>
      </c>
      <c r="G28" s="121">
        <v>1614717</v>
      </c>
      <c r="H28" s="120">
        <f>_xlfn.COMPOUNDVALUE(744)</f>
        <v>40</v>
      </c>
      <c r="I28" s="122">
        <v>165214</v>
      </c>
      <c r="J28" s="120">
        <v>102</v>
      </c>
      <c r="K28" s="122">
        <v>7641</v>
      </c>
      <c r="L28" s="120">
        <f>_xlfn.COMPOUNDVALUE(744)</f>
        <v>1551</v>
      </c>
      <c r="M28" s="122">
        <v>1457144</v>
      </c>
      <c r="N28" s="120">
        <v>1541</v>
      </c>
      <c r="O28" s="123">
        <v>59</v>
      </c>
      <c r="P28" s="123">
        <v>1</v>
      </c>
      <c r="Q28" s="124">
        <v>1601</v>
      </c>
      <c r="R28" s="14" t="s">
        <v>39</v>
      </c>
    </row>
    <row r="29" spans="1:18" ht="18.75" customHeight="1">
      <c r="A29" s="15" t="s">
        <v>40</v>
      </c>
      <c r="B29" s="125">
        <v>39912</v>
      </c>
      <c r="C29" s="126">
        <v>143977415</v>
      </c>
      <c r="D29" s="125">
        <v>23147</v>
      </c>
      <c r="E29" s="126">
        <v>6985139</v>
      </c>
      <c r="F29" s="125">
        <v>63059</v>
      </c>
      <c r="G29" s="126">
        <v>150962554</v>
      </c>
      <c r="H29" s="125">
        <v>2841</v>
      </c>
      <c r="I29" s="127">
        <v>42922838</v>
      </c>
      <c r="J29" s="125">
        <v>3733</v>
      </c>
      <c r="K29" s="127">
        <v>353865</v>
      </c>
      <c r="L29" s="125">
        <v>66735</v>
      </c>
      <c r="M29" s="127">
        <v>108393580</v>
      </c>
      <c r="N29" s="125">
        <v>68464</v>
      </c>
      <c r="O29" s="128">
        <v>1554</v>
      </c>
      <c r="P29" s="128">
        <v>210</v>
      </c>
      <c r="Q29" s="129">
        <v>70228</v>
      </c>
      <c r="R29" s="16" t="s">
        <v>124</v>
      </c>
    </row>
    <row r="30" spans="1:18" ht="18.75" customHeight="1">
      <c r="A30" s="23"/>
      <c r="B30" s="130"/>
      <c r="C30" s="131"/>
      <c r="D30" s="130"/>
      <c r="E30" s="131"/>
      <c r="F30" s="132"/>
      <c r="G30" s="131"/>
      <c r="H30" s="132"/>
      <c r="I30" s="131"/>
      <c r="J30" s="132"/>
      <c r="K30" s="131"/>
      <c r="L30" s="132"/>
      <c r="M30" s="131"/>
      <c r="N30" s="133"/>
      <c r="O30" s="134"/>
      <c r="P30" s="134"/>
      <c r="Q30" s="135"/>
      <c r="R30" s="36" t="s">
        <v>122</v>
      </c>
    </row>
    <row r="31" spans="1:18" ht="18.75" customHeight="1">
      <c r="A31" s="11" t="s">
        <v>41</v>
      </c>
      <c r="B31" s="115">
        <f>_xlfn.COMPOUNDVALUE(745)</f>
        <v>3408</v>
      </c>
      <c r="C31" s="116">
        <v>22153393</v>
      </c>
      <c r="D31" s="115">
        <f>_xlfn.COMPOUNDVALUE(746)</f>
        <v>1316</v>
      </c>
      <c r="E31" s="116">
        <v>417549</v>
      </c>
      <c r="F31" s="115">
        <f>_xlfn.COMPOUNDVALUE(747)</f>
        <v>4724</v>
      </c>
      <c r="G31" s="116">
        <v>22570942</v>
      </c>
      <c r="H31" s="115">
        <f>_xlfn.COMPOUNDVALUE(748)</f>
        <v>427</v>
      </c>
      <c r="I31" s="117">
        <v>1365067</v>
      </c>
      <c r="J31" s="115">
        <v>316</v>
      </c>
      <c r="K31" s="117">
        <v>102607</v>
      </c>
      <c r="L31" s="115">
        <f>_xlfn.COMPOUNDVALUE(748)</f>
        <v>5211</v>
      </c>
      <c r="M31" s="117">
        <v>21308482</v>
      </c>
      <c r="N31" s="115">
        <v>5044</v>
      </c>
      <c r="O31" s="118">
        <v>152</v>
      </c>
      <c r="P31" s="118">
        <v>27</v>
      </c>
      <c r="Q31" s="136">
        <v>5223</v>
      </c>
      <c r="R31" s="14" t="s">
        <v>41</v>
      </c>
    </row>
    <row r="32" spans="1:18" ht="18.75" customHeight="1">
      <c r="A32" s="11" t="s">
        <v>42</v>
      </c>
      <c r="B32" s="115">
        <f>_xlfn.COMPOUNDVALUE(749)</f>
        <v>6264</v>
      </c>
      <c r="C32" s="116">
        <v>49208527</v>
      </c>
      <c r="D32" s="115">
        <f>_xlfn.COMPOUNDVALUE(750)</f>
        <v>1915</v>
      </c>
      <c r="E32" s="116">
        <v>702222</v>
      </c>
      <c r="F32" s="115">
        <f>_xlfn.COMPOUNDVALUE(751)</f>
        <v>8179</v>
      </c>
      <c r="G32" s="116">
        <v>49910750</v>
      </c>
      <c r="H32" s="115">
        <f>_xlfn.COMPOUNDVALUE(752)</f>
        <v>1155</v>
      </c>
      <c r="I32" s="117">
        <v>15436665</v>
      </c>
      <c r="J32" s="115">
        <v>565</v>
      </c>
      <c r="K32" s="117">
        <v>128015</v>
      </c>
      <c r="L32" s="115">
        <f>_xlfn.COMPOUNDVALUE(752)</f>
        <v>9432</v>
      </c>
      <c r="M32" s="117">
        <v>34602099</v>
      </c>
      <c r="N32" s="120">
        <v>9229</v>
      </c>
      <c r="O32" s="123">
        <v>303</v>
      </c>
      <c r="P32" s="123">
        <v>80</v>
      </c>
      <c r="Q32" s="124">
        <v>9612</v>
      </c>
      <c r="R32" s="14" t="s">
        <v>42</v>
      </c>
    </row>
    <row r="33" spans="1:18" ht="18.75" customHeight="1">
      <c r="A33" s="11" t="s">
        <v>43</v>
      </c>
      <c r="B33" s="115">
        <f>_xlfn.COMPOUNDVALUE(753)</f>
        <v>3103</v>
      </c>
      <c r="C33" s="116">
        <v>12157511</v>
      </c>
      <c r="D33" s="115">
        <f>_xlfn.COMPOUNDVALUE(754)</f>
        <v>1394</v>
      </c>
      <c r="E33" s="116">
        <v>413815</v>
      </c>
      <c r="F33" s="115">
        <f>_xlfn.COMPOUNDVALUE(755)</f>
        <v>4497</v>
      </c>
      <c r="G33" s="116">
        <v>12571326</v>
      </c>
      <c r="H33" s="115">
        <f>_xlfn.COMPOUNDVALUE(756)</f>
        <v>295</v>
      </c>
      <c r="I33" s="117">
        <v>596952</v>
      </c>
      <c r="J33" s="115">
        <v>299</v>
      </c>
      <c r="K33" s="117">
        <v>81962</v>
      </c>
      <c r="L33" s="115">
        <f>_xlfn.COMPOUNDVALUE(756)</f>
        <v>4859</v>
      </c>
      <c r="M33" s="117">
        <v>12056336</v>
      </c>
      <c r="N33" s="120">
        <v>4874</v>
      </c>
      <c r="O33" s="123">
        <v>103</v>
      </c>
      <c r="P33" s="123">
        <v>15</v>
      </c>
      <c r="Q33" s="124">
        <v>4992</v>
      </c>
      <c r="R33" s="14" t="s">
        <v>43</v>
      </c>
    </row>
    <row r="34" spans="1:18" ht="18.75" customHeight="1">
      <c r="A34" s="11" t="s">
        <v>44</v>
      </c>
      <c r="B34" s="115">
        <f>_xlfn.COMPOUNDVALUE(757)</f>
        <v>2553</v>
      </c>
      <c r="C34" s="116">
        <v>14109075</v>
      </c>
      <c r="D34" s="115">
        <f>_xlfn.COMPOUNDVALUE(758)</f>
        <v>1293</v>
      </c>
      <c r="E34" s="116">
        <v>426137</v>
      </c>
      <c r="F34" s="115">
        <f>_xlfn.COMPOUNDVALUE(759)</f>
        <v>3846</v>
      </c>
      <c r="G34" s="116">
        <v>14535212</v>
      </c>
      <c r="H34" s="115">
        <f>_xlfn.COMPOUNDVALUE(760)</f>
        <v>324</v>
      </c>
      <c r="I34" s="117">
        <v>739591</v>
      </c>
      <c r="J34" s="115">
        <v>208</v>
      </c>
      <c r="K34" s="117">
        <v>64810</v>
      </c>
      <c r="L34" s="115">
        <f>_xlfn.COMPOUNDVALUE(760)</f>
        <v>4213</v>
      </c>
      <c r="M34" s="117">
        <v>13860431</v>
      </c>
      <c r="N34" s="120">
        <v>4188</v>
      </c>
      <c r="O34" s="123">
        <v>149</v>
      </c>
      <c r="P34" s="123">
        <v>26</v>
      </c>
      <c r="Q34" s="124">
        <v>4363</v>
      </c>
      <c r="R34" s="14" t="s">
        <v>44</v>
      </c>
    </row>
    <row r="35" spans="1:18" ht="18.75" customHeight="1">
      <c r="A35" s="11" t="s">
        <v>45</v>
      </c>
      <c r="B35" s="115">
        <f>_xlfn.COMPOUNDVALUE(761)</f>
        <v>2785</v>
      </c>
      <c r="C35" s="116">
        <v>15506683</v>
      </c>
      <c r="D35" s="115">
        <f>_xlfn.COMPOUNDVALUE(762)</f>
        <v>900</v>
      </c>
      <c r="E35" s="116">
        <v>336586</v>
      </c>
      <c r="F35" s="115">
        <f>_xlfn.COMPOUNDVALUE(763)</f>
        <v>3685</v>
      </c>
      <c r="G35" s="116">
        <v>15843269</v>
      </c>
      <c r="H35" s="115">
        <f>_xlfn.COMPOUNDVALUE(764)</f>
        <v>366</v>
      </c>
      <c r="I35" s="117">
        <v>8655649</v>
      </c>
      <c r="J35" s="115">
        <v>265</v>
      </c>
      <c r="K35" s="117">
        <v>105246</v>
      </c>
      <c r="L35" s="115">
        <f>_xlfn.COMPOUNDVALUE(764)</f>
        <v>4102</v>
      </c>
      <c r="M35" s="117">
        <v>7292866</v>
      </c>
      <c r="N35" s="120">
        <v>4325</v>
      </c>
      <c r="O35" s="123">
        <v>149</v>
      </c>
      <c r="P35" s="123">
        <v>24</v>
      </c>
      <c r="Q35" s="124">
        <v>4498</v>
      </c>
      <c r="R35" s="14" t="s">
        <v>45</v>
      </c>
    </row>
    <row r="36" spans="1:18" ht="18.75" customHeight="1">
      <c r="A36" s="11" t="s">
        <v>46</v>
      </c>
      <c r="B36" s="115">
        <f>_xlfn.COMPOUNDVALUE(765)</f>
        <v>1911</v>
      </c>
      <c r="C36" s="116">
        <v>10044424</v>
      </c>
      <c r="D36" s="115">
        <f>_xlfn.COMPOUNDVALUE(766)</f>
        <v>839</v>
      </c>
      <c r="E36" s="116">
        <v>260424</v>
      </c>
      <c r="F36" s="115">
        <f>_xlfn.COMPOUNDVALUE(767)</f>
        <v>2750</v>
      </c>
      <c r="G36" s="116">
        <v>10304848</v>
      </c>
      <c r="H36" s="115">
        <f>_xlfn.COMPOUNDVALUE(768)</f>
        <v>146</v>
      </c>
      <c r="I36" s="117">
        <v>641311</v>
      </c>
      <c r="J36" s="115">
        <v>179</v>
      </c>
      <c r="K36" s="117">
        <v>14234</v>
      </c>
      <c r="L36" s="115">
        <f>_xlfn.COMPOUNDVALUE(768)</f>
        <v>2947</v>
      </c>
      <c r="M36" s="117">
        <v>9677771</v>
      </c>
      <c r="N36" s="120">
        <v>3064</v>
      </c>
      <c r="O36" s="123">
        <v>75</v>
      </c>
      <c r="P36" s="123">
        <v>6</v>
      </c>
      <c r="Q36" s="124">
        <v>3145</v>
      </c>
      <c r="R36" s="14" t="s">
        <v>46</v>
      </c>
    </row>
    <row r="37" spans="1:18" ht="18.75" customHeight="1">
      <c r="A37" s="11" t="s">
        <v>47</v>
      </c>
      <c r="B37" s="115">
        <f>_xlfn.COMPOUNDVALUE(769)</f>
        <v>2043</v>
      </c>
      <c r="C37" s="116">
        <v>8848323</v>
      </c>
      <c r="D37" s="115">
        <f>_xlfn.COMPOUNDVALUE(770)</f>
        <v>1166</v>
      </c>
      <c r="E37" s="116">
        <v>350233</v>
      </c>
      <c r="F37" s="115">
        <f>_xlfn.COMPOUNDVALUE(771)</f>
        <v>3209</v>
      </c>
      <c r="G37" s="116">
        <v>9198556</v>
      </c>
      <c r="H37" s="115">
        <f>_xlfn.COMPOUNDVALUE(772)</f>
        <v>187</v>
      </c>
      <c r="I37" s="117">
        <v>431595</v>
      </c>
      <c r="J37" s="115">
        <v>203</v>
      </c>
      <c r="K37" s="117">
        <v>51102</v>
      </c>
      <c r="L37" s="115">
        <f>_xlfn.COMPOUNDVALUE(772)</f>
        <v>3436</v>
      </c>
      <c r="M37" s="117">
        <v>8818062</v>
      </c>
      <c r="N37" s="120">
        <v>3412</v>
      </c>
      <c r="O37" s="123">
        <v>79</v>
      </c>
      <c r="P37" s="123">
        <v>3</v>
      </c>
      <c r="Q37" s="124">
        <v>3494</v>
      </c>
      <c r="R37" s="14" t="s">
        <v>47</v>
      </c>
    </row>
    <row r="38" spans="1:18" ht="18.75" customHeight="1">
      <c r="A38" s="11" t="s">
        <v>48</v>
      </c>
      <c r="B38" s="115">
        <f>_xlfn.COMPOUNDVALUE(773)</f>
        <v>2639</v>
      </c>
      <c r="C38" s="116">
        <v>8257992</v>
      </c>
      <c r="D38" s="115">
        <f>_xlfn.COMPOUNDVALUE(774)</f>
        <v>1736</v>
      </c>
      <c r="E38" s="116">
        <v>484495</v>
      </c>
      <c r="F38" s="115">
        <f>_xlfn.COMPOUNDVALUE(775)</f>
        <v>4375</v>
      </c>
      <c r="G38" s="116">
        <v>8742486</v>
      </c>
      <c r="H38" s="115">
        <f>_xlfn.COMPOUNDVALUE(776)</f>
        <v>212</v>
      </c>
      <c r="I38" s="117">
        <v>188775</v>
      </c>
      <c r="J38" s="115">
        <v>361</v>
      </c>
      <c r="K38" s="117">
        <v>68434</v>
      </c>
      <c r="L38" s="115">
        <f>_xlfn.COMPOUNDVALUE(776)</f>
        <v>4651</v>
      </c>
      <c r="M38" s="117">
        <v>8622145</v>
      </c>
      <c r="N38" s="120">
        <v>4762</v>
      </c>
      <c r="O38" s="123">
        <v>97</v>
      </c>
      <c r="P38" s="123">
        <v>18</v>
      </c>
      <c r="Q38" s="124">
        <v>4877</v>
      </c>
      <c r="R38" s="14" t="s">
        <v>48</v>
      </c>
    </row>
    <row r="39" spans="1:18" ht="18.75" customHeight="1">
      <c r="A39" s="11" t="s">
        <v>49</v>
      </c>
      <c r="B39" s="115">
        <f>_xlfn.COMPOUNDVALUE(777)</f>
        <v>3223</v>
      </c>
      <c r="C39" s="116">
        <v>9408299</v>
      </c>
      <c r="D39" s="115">
        <f>_xlfn.COMPOUNDVALUE(778)</f>
        <v>1665</v>
      </c>
      <c r="E39" s="116">
        <v>534759</v>
      </c>
      <c r="F39" s="115">
        <f>_xlfn.COMPOUNDVALUE(779)</f>
        <v>4888</v>
      </c>
      <c r="G39" s="116">
        <v>9943058</v>
      </c>
      <c r="H39" s="115">
        <f>_xlfn.COMPOUNDVALUE(780)</f>
        <v>263</v>
      </c>
      <c r="I39" s="117">
        <v>363090</v>
      </c>
      <c r="J39" s="115">
        <v>304</v>
      </c>
      <c r="K39" s="117">
        <v>33828</v>
      </c>
      <c r="L39" s="115">
        <f>_xlfn.COMPOUNDVALUE(780)</f>
        <v>5216</v>
      </c>
      <c r="M39" s="117">
        <v>9613797</v>
      </c>
      <c r="N39" s="120">
        <v>5528</v>
      </c>
      <c r="O39" s="123">
        <v>139</v>
      </c>
      <c r="P39" s="123">
        <v>26</v>
      </c>
      <c r="Q39" s="124">
        <v>5693</v>
      </c>
      <c r="R39" s="14" t="s">
        <v>49</v>
      </c>
    </row>
    <row r="40" spans="1:18" ht="18.75" customHeight="1">
      <c r="A40" s="11" t="s">
        <v>50</v>
      </c>
      <c r="B40" s="115">
        <f>_xlfn.COMPOUNDVALUE(781)</f>
        <v>3811</v>
      </c>
      <c r="C40" s="116">
        <v>13598716</v>
      </c>
      <c r="D40" s="115">
        <f>_xlfn.COMPOUNDVALUE(782)</f>
        <v>2014</v>
      </c>
      <c r="E40" s="116">
        <v>623905</v>
      </c>
      <c r="F40" s="115">
        <f>_xlfn.COMPOUNDVALUE(783)</f>
        <v>5825</v>
      </c>
      <c r="G40" s="116">
        <v>14222621</v>
      </c>
      <c r="H40" s="115">
        <f>_xlfn.COMPOUNDVALUE(784)</f>
        <v>300</v>
      </c>
      <c r="I40" s="117">
        <v>1202197</v>
      </c>
      <c r="J40" s="115">
        <v>435</v>
      </c>
      <c r="K40" s="117">
        <v>56745</v>
      </c>
      <c r="L40" s="115">
        <f>_xlfn.COMPOUNDVALUE(784)</f>
        <v>6217</v>
      </c>
      <c r="M40" s="117">
        <v>13077170</v>
      </c>
      <c r="N40" s="115">
        <v>6661</v>
      </c>
      <c r="O40" s="137">
        <v>137</v>
      </c>
      <c r="P40" s="137">
        <v>12</v>
      </c>
      <c r="Q40" s="138">
        <v>6810</v>
      </c>
      <c r="R40" s="12" t="s">
        <v>50</v>
      </c>
    </row>
    <row r="41" spans="1:18" ht="18.75" customHeight="1">
      <c r="A41" s="11" t="s">
        <v>51</v>
      </c>
      <c r="B41" s="115">
        <f>_xlfn.COMPOUNDVALUE(785)</f>
        <v>1765</v>
      </c>
      <c r="C41" s="116">
        <v>8330278</v>
      </c>
      <c r="D41" s="115">
        <f>_xlfn.COMPOUNDVALUE(786)</f>
        <v>1061</v>
      </c>
      <c r="E41" s="116">
        <v>340461</v>
      </c>
      <c r="F41" s="115">
        <f>_xlfn.COMPOUNDVALUE(787)</f>
        <v>2826</v>
      </c>
      <c r="G41" s="116">
        <v>8670739</v>
      </c>
      <c r="H41" s="115">
        <f>_xlfn.COMPOUNDVALUE(788)</f>
        <v>208</v>
      </c>
      <c r="I41" s="117">
        <v>12585871</v>
      </c>
      <c r="J41" s="115">
        <v>206</v>
      </c>
      <c r="K41" s="117">
        <v>39921</v>
      </c>
      <c r="L41" s="115">
        <f>_xlfn.COMPOUNDVALUE(788)</f>
        <v>3097</v>
      </c>
      <c r="M41" s="117">
        <v>-3875212</v>
      </c>
      <c r="N41" s="120">
        <v>2886</v>
      </c>
      <c r="O41" s="123">
        <v>90</v>
      </c>
      <c r="P41" s="123">
        <v>9</v>
      </c>
      <c r="Q41" s="124">
        <v>2985</v>
      </c>
      <c r="R41" s="14" t="s">
        <v>51</v>
      </c>
    </row>
    <row r="42" spans="1:18" ht="18.75" customHeight="1">
      <c r="A42" s="11" t="s">
        <v>52</v>
      </c>
      <c r="B42" s="115">
        <f>_xlfn.COMPOUNDVALUE(789)</f>
        <v>3921</v>
      </c>
      <c r="C42" s="116">
        <v>13291399</v>
      </c>
      <c r="D42" s="115">
        <f>_xlfn.COMPOUNDVALUE(790)</f>
        <v>1897</v>
      </c>
      <c r="E42" s="116">
        <v>613596</v>
      </c>
      <c r="F42" s="115">
        <f>_xlfn.COMPOUNDVALUE(791)</f>
        <v>5818</v>
      </c>
      <c r="G42" s="116">
        <v>13904996</v>
      </c>
      <c r="H42" s="115">
        <f>_xlfn.COMPOUNDVALUE(792)</f>
        <v>360</v>
      </c>
      <c r="I42" s="117">
        <v>930461</v>
      </c>
      <c r="J42" s="115">
        <v>429</v>
      </c>
      <c r="K42" s="117">
        <v>58170</v>
      </c>
      <c r="L42" s="115">
        <f>_xlfn.COMPOUNDVALUE(792)</f>
        <v>6268</v>
      </c>
      <c r="M42" s="117">
        <v>13032704</v>
      </c>
      <c r="N42" s="120">
        <v>6337</v>
      </c>
      <c r="O42" s="123">
        <v>186</v>
      </c>
      <c r="P42" s="123">
        <v>19</v>
      </c>
      <c r="Q42" s="124">
        <v>6542</v>
      </c>
      <c r="R42" s="14" t="s">
        <v>52</v>
      </c>
    </row>
    <row r="43" spans="1:18" ht="18.75" customHeight="1">
      <c r="A43" s="11" t="s">
        <v>53</v>
      </c>
      <c r="B43" s="115">
        <f>_xlfn.COMPOUNDVALUE(793)</f>
        <v>5783</v>
      </c>
      <c r="C43" s="116">
        <v>12657578</v>
      </c>
      <c r="D43" s="115">
        <f>_xlfn.COMPOUNDVALUE(794)</f>
        <v>3225</v>
      </c>
      <c r="E43" s="116">
        <v>980278</v>
      </c>
      <c r="F43" s="115">
        <f>_xlfn.COMPOUNDVALUE(795)</f>
        <v>9008</v>
      </c>
      <c r="G43" s="116">
        <v>13637856</v>
      </c>
      <c r="H43" s="115">
        <f>_xlfn.COMPOUNDVALUE(796)</f>
        <v>394</v>
      </c>
      <c r="I43" s="117">
        <v>935174</v>
      </c>
      <c r="J43" s="115">
        <v>534</v>
      </c>
      <c r="K43" s="117">
        <v>221984</v>
      </c>
      <c r="L43" s="115">
        <f>_xlfn.COMPOUNDVALUE(796)</f>
        <v>9481</v>
      </c>
      <c r="M43" s="117">
        <v>12924667</v>
      </c>
      <c r="N43" s="120">
        <v>9185</v>
      </c>
      <c r="O43" s="123">
        <v>165</v>
      </c>
      <c r="P43" s="123">
        <v>40</v>
      </c>
      <c r="Q43" s="124">
        <v>9390</v>
      </c>
      <c r="R43" s="14" t="s">
        <v>53</v>
      </c>
    </row>
    <row r="44" spans="1:18" ht="18.75" customHeight="1">
      <c r="A44" s="11" t="s">
        <v>54</v>
      </c>
      <c r="B44" s="115">
        <f>_xlfn.COMPOUNDVALUE(797)</f>
        <v>1766</v>
      </c>
      <c r="C44" s="116">
        <v>5951762</v>
      </c>
      <c r="D44" s="115">
        <f>_xlfn.COMPOUNDVALUE(798)</f>
        <v>912</v>
      </c>
      <c r="E44" s="116">
        <v>264187</v>
      </c>
      <c r="F44" s="115">
        <f>_xlfn.COMPOUNDVALUE(799)</f>
        <v>2678</v>
      </c>
      <c r="G44" s="116">
        <v>6215949</v>
      </c>
      <c r="H44" s="115">
        <f>_xlfn.COMPOUNDVALUE(800)</f>
        <v>141</v>
      </c>
      <c r="I44" s="117">
        <v>227089</v>
      </c>
      <c r="J44" s="115">
        <v>250</v>
      </c>
      <c r="K44" s="117">
        <v>34526</v>
      </c>
      <c r="L44" s="115">
        <f>_xlfn.COMPOUNDVALUE(800)</f>
        <v>2880</v>
      </c>
      <c r="M44" s="117">
        <v>6023386</v>
      </c>
      <c r="N44" s="120">
        <v>2940</v>
      </c>
      <c r="O44" s="123">
        <v>65</v>
      </c>
      <c r="P44" s="123">
        <v>10</v>
      </c>
      <c r="Q44" s="124">
        <v>3015</v>
      </c>
      <c r="R44" s="14" t="s">
        <v>54</v>
      </c>
    </row>
    <row r="45" spans="1:18" ht="18.75" customHeight="1">
      <c r="A45" s="11" t="s">
        <v>55</v>
      </c>
      <c r="B45" s="115">
        <f>_xlfn.COMPOUNDVALUE(801)</f>
        <v>6924</v>
      </c>
      <c r="C45" s="116">
        <v>44119514</v>
      </c>
      <c r="D45" s="115">
        <f>_xlfn.COMPOUNDVALUE(802)</f>
        <v>3034</v>
      </c>
      <c r="E45" s="116">
        <v>1098488</v>
      </c>
      <c r="F45" s="115">
        <f>_xlfn.COMPOUNDVALUE(803)</f>
        <v>9958</v>
      </c>
      <c r="G45" s="116">
        <v>45218002</v>
      </c>
      <c r="H45" s="115">
        <f>_xlfn.COMPOUNDVALUE(804)</f>
        <v>746</v>
      </c>
      <c r="I45" s="117">
        <v>6190271</v>
      </c>
      <c r="J45" s="115">
        <v>759</v>
      </c>
      <c r="K45" s="117">
        <v>154710</v>
      </c>
      <c r="L45" s="115">
        <f>_xlfn.COMPOUNDVALUE(804)</f>
        <v>10868</v>
      </c>
      <c r="M45" s="117">
        <v>39182440</v>
      </c>
      <c r="N45" s="120">
        <v>10692</v>
      </c>
      <c r="O45" s="123">
        <v>325</v>
      </c>
      <c r="P45" s="123">
        <v>95</v>
      </c>
      <c r="Q45" s="124">
        <v>11112</v>
      </c>
      <c r="R45" s="14" t="s">
        <v>55</v>
      </c>
    </row>
    <row r="46" spans="1:18" ht="18.75" customHeight="1">
      <c r="A46" s="11" t="s">
        <v>56</v>
      </c>
      <c r="B46" s="115">
        <f>_xlfn.COMPOUNDVALUE(805)</f>
        <v>6670</v>
      </c>
      <c r="C46" s="116">
        <v>94430510</v>
      </c>
      <c r="D46" s="115">
        <f>_xlfn.COMPOUNDVALUE(806)</f>
        <v>2736</v>
      </c>
      <c r="E46" s="116">
        <v>1183470</v>
      </c>
      <c r="F46" s="115">
        <f>_xlfn.COMPOUNDVALUE(807)</f>
        <v>9406</v>
      </c>
      <c r="G46" s="116">
        <v>95613980</v>
      </c>
      <c r="H46" s="115">
        <f>_xlfn.COMPOUNDVALUE(808)</f>
        <v>882</v>
      </c>
      <c r="I46" s="117">
        <v>53677050</v>
      </c>
      <c r="J46" s="115">
        <v>849</v>
      </c>
      <c r="K46" s="117">
        <v>350564</v>
      </c>
      <c r="L46" s="115">
        <f>_xlfn.COMPOUNDVALUE(808)</f>
        <v>10421</v>
      </c>
      <c r="M46" s="117">
        <v>42287494</v>
      </c>
      <c r="N46" s="120">
        <v>10520</v>
      </c>
      <c r="O46" s="123">
        <v>455</v>
      </c>
      <c r="P46" s="123">
        <v>124</v>
      </c>
      <c r="Q46" s="124">
        <v>11099</v>
      </c>
      <c r="R46" s="14" t="s">
        <v>56</v>
      </c>
    </row>
    <row r="47" spans="1:18" ht="18.75" customHeight="1">
      <c r="A47" s="11" t="s">
        <v>57</v>
      </c>
      <c r="B47" s="115">
        <f>_xlfn.COMPOUNDVALUE(809)</f>
        <v>3148</v>
      </c>
      <c r="C47" s="116">
        <v>55764233</v>
      </c>
      <c r="D47" s="115">
        <f>_xlfn.COMPOUNDVALUE(810)</f>
        <v>1259</v>
      </c>
      <c r="E47" s="116">
        <v>471609</v>
      </c>
      <c r="F47" s="115">
        <f>_xlfn.COMPOUNDVALUE(811)</f>
        <v>4407</v>
      </c>
      <c r="G47" s="116">
        <v>56235842</v>
      </c>
      <c r="H47" s="115">
        <f>_xlfn.COMPOUNDVALUE(812)</f>
        <v>379</v>
      </c>
      <c r="I47" s="117">
        <v>5179010</v>
      </c>
      <c r="J47" s="115">
        <v>274</v>
      </c>
      <c r="K47" s="117">
        <v>118909</v>
      </c>
      <c r="L47" s="115">
        <f>_xlfn.COMPOUNDVALUE(812)</f>
        <v>4836</v>
      </c>
      <c r="M47" s="117">
        <v>51175740</v>
      </c>
      <c r="N47" s="120">
        <v>5101</v>
      </c>
      <c r="O47" s="123">
        <v>150</v>
      </c>
      <c r="P47" s="123">
        <v>45</v>
      </c>
      <c r="Q47" s="124">
        <v>5296</v>
      </c>
      <c r="R47" s="14" t="s">
        <v>57</v>
      </c>
    </row>
    <row r="48" spans="1:18" ht="18.75" customHeight="1">
      <c r="A48" s="11" t="s">
        <v>58</v>
      </c>
      <c r="B48" s="115">
        <f>_xlfn.COMPOUNDVALUE(813)</f>
        <v>8635</v>
      </c>
      <c r="C48" s="116">
        <v>166233053</v>
      </c>
      <c r="D48" s="115">
        <f>_xlfn.COMPOUNDVALUE(814)</f>
        <v>2810</v>
      </c>
      <c r="E48" s="116">
        <v>1209672</v>
      </c>
      <c r="F48" s="115">
        <f>_xlfn.COMPOUNDVALUE(815)</f>
        <v>11445</v>
      </c>
      <c r="G48" s="116">
        <v>167442725</v>
      </c>
      <c r="H48" s="115">
        <f>_xlfn.COMPOUNDVALUE(816)</f>
        <v>2132</v>
      </c>
      <c r="I48" s="117">
        <v>34171192</v>
      </c>
      <c r="J48" s="115">
        <v>873</v>
      </c>
      <c r="K48" s="117">
        <v>-6137</v>
      </c>
      <c r="L48" s="115">
        <f>_xlfn.COMPOUNDVALUE(816)</f>
        <v>13694</v>
      </c>
      <c r="M48" s="117">
        <v>133265395</v>
      </c>
      <c r="N48" s="120">
        <v>12309</v>
      </c>
      <c r="O48" s="123">
        <v>680</v>
      </c>
      <c r="P48" s="123">
        <v>166</v>
      </c>
      <c r="Q48" s="124">
        <v>13155</v>
      </c>
      <c r="R48" s="14" t="s">
        <v>58</v>
      </c>
    </row>
    <row r="49" spans="1:18" ht="18.75" customHeight="1">
      <c r="A49" s="11" t="s">
        <v>59</v>
      </c>
      <c r="B49" s="115">
        <f>_xlfn.COMPOUNDVALUE(817)</f>
        <v>5188</v>
      </c>
      <c r="C49" s="116">
        <v>36436762</v>
      </c>
      <c r="D49" s="115">
        <f>_xlfn.COMPOUNDVALUE(818)</f>
        <v>1976</v>
      </c>
      <c r="E49" s="116">
        <v>740389</v>
      </c>
      <c r="F49" s="115">
        <f>_xlfn.COMPOUNDVALUE(819)</f>
        <v>7164</v>
      </c>
      <c r="G49" s="116">
        <v>37177152</v>
      </c>
      <c r="H49" s="115">
        <f>_xlfn.COMPOUNDVALUE(820)</f>
        <v>775</v>
      </c>
      <c r="I49" s="117">
        <v>7337977</v>
      </c>
      <c r="J49" s="115">
        <v>459</v>
      </c>
      <c r="K49" s="117">
        <v>153629</v>
      </c>
      <c r="L49" s="115">
        <f>_xlfn.COMPOUNDVALUE(820)</f>
        <v>8045</v>
      </c>
      <c r="M49" s="117">
        <v>29992804</v>
      </c>
      <c r="N49" s="120">
        <v>8417</v>
      </c>
      <c r="O49" s="123">
        <v>306</v>
      </c>
      <c r="P49" s="123">
        <v>74</v>
      </c>
      <c r="Q49" s="124">
        <v>8797</v>
      </c>
      <c r="R49" s="14" t="s">
        <v>59</v>
      </c>
    </row>
    <row r="50" spans="1:18" ht="18.75" customHeight="1">
      <c r="A50" s="11" t="s">
        <v>60</v>
      </c>
      <c r="B50" s="115">
        <f>_xlfn.COMPOUNDVALUE(821)</f>
        <v>11587</v>
      </c>
      <c r="C50" s="116">
        <v>34684073</v>
      </c>
      <c r="D50" s="115">
        <f>_xlfn.COMPOUNDVALUE(822)</f>
        <v>5499</v>
      </c>
      <c r="E50" s="116">
        <v>1780988</v>
      </c>
      <c r="F50" s="115">
        <f>_xlfn.COMPOUNDVALUE(823)</f>
        <v>17086</v>
      </c>
      <c r="G50" s="116">
        <v>36465061</v>
      </c>
      <c r="H50" s="115">
        <f>_xlfn.COMPOUNDVALUE(824)</f>
        <v>1002</v>
      </c>
      <c r="I50" s="117">
        <v>5920870</v>
      </c>
      <c r="J50" s="115">
        <v>935</v>
      </c>
      <c r="K50" s="117">
        <v>108208</v>
      </c>
      <c r="L50" s="115">
        <f>_xlfn.COMPOUNDVALUE(824)</f>
        <v>18303</v>
      </c>
      <c r="M50" s="117">
        <v>30652400</v>
      </c>
      <c r="N50" s="120">
        <v>18153</v>
      </c>
      <c r="O50" s="123">
        <v>458</v>
      </c>
      <c r="P50" s="123">
        <v>56</v>
      </c>
      <c r="Q50" s="124">
        <v>18667</v>
      </c>
      <c r="R50" s="14" t="s">
        <v>60</v>
      </c>
    </row>
    <row r="51" spans="1:18" ht="18.75" customHeight="1">
      <c r="A51" s="11" t="s">
        <v>61</v>
      </c>
      <c r="B51" s="115">
        <f>_xlfn.COMPOUNDVALUE(825)</f>
        <v>4032</v>
      </c>
      <c r="C51" s="116">
        <v>8703278</v>
      </c>
      <c r="D51" s="115">
        <f>_xlfn.COMPOUNDVALUE(826)</f>
        <v>1882</v>
      </c>
      <c r="E51" s="116">
        <v>562017</v>
      </c>
      <c r="F51" s="115">
        <f>_xlfn.COMPOUNDVALUE(827)</f>
        <v>5914</v>
      </c>
      <c r="G51" s="116">
        <v>9265295</v>
      </c>
      <c r="H51" s="115">
        <f>_xlfn.COMPOUNDVALUE(828)</f>
        <v>262</v>
      </c>
      <c r="I51" s="117">
        <v>699227</v>
      </c>
      <c r="J51" s="115">
        <v>385</v>
      </c>
      <c r="K51" s="117">
        <v>38289</v>
      </c>
      <c r="L51" s="115">
        <f>_xlfn.COMPOUNDVALUE(828)</f>
        <v>6273</v>
      </c>
      <c r="M51" s="117">
        <v>8604357</v>
      </c>
      <c r="N51" s="120">
        <v>6379</v>
      </c>
      <c r="O51" s="123">
        <v>129</v>
      </c>
      <c r="P51" s="123">
        <v>17</v>
      </c>
      <c r="Q51" s="124">
        <v>6525</v>
      </c>
      <c r="R51" s="14" t="s">
        <v>61</v>
      </c>
    </row>
    <row r="52" spans="1:18" ht="18.75" customHeight="1">
      <c r="A52" s="11" t="s">
        <v>62</v>
      </c>
      <c r="B52" s="115">
        <f>_xlfn.COMPOUNDVALUE(829)</f>
        <v>7732</v>
      </c>
      <c r="C52" s="116">
        <v>26777813</v>
      </c>
      <c r="D52" s="115">
        <f>_xlfn.COMPOUNDVALUE(830)</f>
        <v>5058</v>
      </c>
      <c r="E52" s="116">
        <v>1630685</v>
      </c>
      <c r="F52" s="115">
        <f>_xlfn.COMPOUNDVALUE(831)</f>
        <v>12790</v>
      </c>
      <c r="G52" s="116">
        <v>28408498</v>
      </c>
      <c r="H52" s="115">
        <f>_xlfn.COMPOUNDVALUE(832)</f>
        <v>779</v>
      </c>
      <c r="I52" s="117">
        <v>1179195</v>
      </c>
      <c r="J52" s="115">
        <v>782</v>
      </c>
      <c r="K52" s="117">
        <v>690032</v>
      </c>
      <c r="L52" s="115">
        <f>_xlfn.COMPOUNDVALUE(832)</f>
        <v>13744</v>
      </c>
      <c r="M52" s="117">
        <v>27919335</v>
      </c>
      <c r="N52" s="120">
        <v>14367</v>
      </c>
      <c r="O52" s="123">
        <v>382</v>
      </c>
      <c r="P52" s="123">
        <v>56</v>
      </c>
      <c r="Q52" s="124">
        <v>14805</v>
      </c>
      <c r="R52" s="14" t="s">
        <v>62</v>
      </c>
    </row>
    <row r="53" spans="1:18" ht="18.75" customHeight="1">
      <c r="A53" s="11" t="s">
        <v>63</v>
      </c>
      <c r="B53" s="115">
        <f>_xlfn.COMPOUNDVALUE(833)</f>
        <v>5749</v>
      </c>
      <c r="C53" s="116">
        <v>21758605</v>
      </c>
      <c r="D53" s="115">
        <f>_xlfn.COMPOUNDVALUE(834)</f>
        <v>3270</v>
      </c>
      <c r="E53" s="116">
        <v>1127547</v>
      </c>
      <c r="F53" s="115">
        <f>_xlfn.COMPOUNDVALUE(835)</f>
        <v>9019</v>
      </c>
      <c r="G53" s="116">
        <v>22886152</v>
      </c>
      <c r="H53" s="115">
        <f>_xlfn.COMPOUNDVALUE(836)</f>
        <v>544</v>
      </c>
      <c r="I53" s="117">
        <v>2280674</v>
      </c>
      <c r="J53" s="115">
        <v>665</v>
      </c>
      <c r="K53" s="117">
        <v>63764</v>
      </c>
      <c r="L53" s="115">
        <f>_xlfn.COMPOUNDVALUE(836)</f>
        <v>9734</v>
      </c>
      <c r="M53" s="117">
        <v>20669242</v>
      </c>
      <c r="N53" s="120">
        <v>9859</v>
      </c>
      <c r="O53" s="123">
        <v>293</v>
      </c>
      <c r="P53" s="123">
        <v>44</v>
      </c>
      <c r="Q53" s="124">
        <v>10196</v>
      </c>
      <c r="R53" s="14" t="s">
        <v>63</v>
      </c>
    </row>
    <row r="54" spans="1:18" ht="18.75" customHeight="1">
      <c r="A54" s="11" t="s">
        <v>64</v>
      </c>
      <c r="B54" s="115">
        <f>_xlfn.COMPOUNDVALUE(837)</f>
        <v>4154</v>
      </c>
      <c r="C54" s="116">
        <v>14337978</v>
      </c>
      <c r="D54" s="115">
        <f>_xlfn.COMPOUNDVALUE(838)</f>
        <v>1924</v>
      </c>
      <c r="E54" s="116">
        <v>593325</v>
      </c>
      <c r="F54" s="115">
        <f>_xlfn.COMPOUNDVALUE(839)</f>
        <v>6078</v>
      </c>
      <c r="G54" s="116">
        <v>14931303</v>
      </c>
      <c r="H54" s="115">
        <f>_xlfn.COMPOUNDVALUE(840)</f>
        <v>414</v>
      </c>
      <c r="I54" s="117">
        <v>1970956</v>
      </c>
      <c r="J54" s="115">
        <v>496</v>
      </c>
      <c r="K54" s="117">
        <v>58695</v>
      </c>
      <c r="L54" s="115">
        <f>_xlfn.COMPOUNDVALUE(840)</f>
        <v>6651</v>
      </c>
      <c r="M54" s="117">
        <v>13019043</v>
      </c>
      <c r="N54" s="120">
        <v>6720</v>
      </c>
      <c r="O54" s="123">
        <v>184</v>
      </c>
      <c r="P54" s="123">
        <v>18</v>
      </c>
      <c r="Q54" s="124">
        <v>6922</v>
      </c>
      <c r="R54" s="14" t="s">
        <v>64</v>
      </c>
    </row>
    <row r="55" spans="1:18" ht="18.75" customHeight="1">
      <c r="A55" s="13" t="s">
        <v>65</v>
      </c>
      <c r="B55" s="120">
        <f>_xlfn.COMPOUNDVALUE(841)</f>
        <v>7009</v>
      </c>
      <c r="C55" s="121">
        <v>16324957</v>
      </c>
      <c r="D55" s="120">
        <f>_xlfn.COMPOUNDVALUE(842)</f>
        <v>3799</v>
      </c>
      <c r="E55" s="121">
        <v>1234889</v>
      </c>
      <c r="F55" s="120">
        <f>_xlfn.COMPOUNDVALUE(843)</f>
        <v>10808</v>
      </c>
      <c r="G55" s="121">
        <v>17559846</v>
      </c>
      <c r="H55" s="120">
        <f>_xlfn.COMPOUNDVALUE(844)</f>
        <v>564</v>
      </c>
      <c r="I55" s="122">
        <v>899838</v>
      </c>
      <c r="J55" s="120">
        <v>846</v>
      </c>
      <c r="K55" s="122">
        <v>187691</v>
      </c>
      <c r="L55" s="120">
        <f>_xlfn.COMPOUNDVALUE(844)</f>
        <v>11616</v>
      </c>
      <c r="M55" s="122">
        <v>16847698</v>
      </c>
      <c r="N55" s="120">
        <v>11370</v>
      </c>
      <c r="O55" s="123">
        <v>273</v>
      </c>
      <c r="P55" s="123">
        <v>30</v>
      </c>
      <c r="Q55" s="124">
        <v>11673</v>
      </c>
      <c r="R55" s="14" t="s">
        <v>65</v>
      </c>
    </row>
    <row r="56" spans="1:18" ht="18.75" customHeight="1">
      <c r="A56" s="13" t="s">
        <v>66</v>
      </c>
      <c r="B56" s="120">
        <f>_xlfn.COMPOUNDVALUE(845)</f>
        <v>6325</v>
      </c>
      <c r="C56" s="121">
        <v>21228700</v>
      </c>
      <c r="D56" s="120">
        <f>_xlfn.COMPOUNDVALUE(846)</f>
        <v>3519</v>
      </c>
      <c r="E56" s="121">
        <v>1131419</v>
      </c>
      <c r="F56" s="120">
        <f>_xlfn.COMPOUNDVALUE(847)</f>
        <v>9844</v>
      </c>
      <c r="G56" s="121">
        <v>22360119</v>
      </c>
      <c r="H56" s="120">
        <f>_xlfn.COMPOUNDVALUE(848)</f>
        <v>467</v>
      </c>
      <c r="I56" s="122">
        <v>11486275</v>
      </c>
      <c r="J56" s="120">
        <v>669</v>
      </c>
      <c r="K56" s="122">
        <v>157173</v>
      </c>
      <c r="L56" s="120">
        <f>_xlfn.COMPOUNDVALUE(848)</f>
        <v>10501</v>
      </c>
      <c r="M56" s="122">
        <v>11031016</v>
      </c>
      <c r="N56" s="120">
        <v>10697</v>
      </c>
      <c r="O56" s="123">
        <v>277</v>
      </c>
      <c r="P56" s="123">
        <v>38</v>
      </c>
      <c r="Q56" s="124">
        <v>11012</v>
      </c>
      <c r="R56" s="14" t="s">
        <v>66</v>
      </c>
    </row>
    <row r="57" spans="1:18" ht="18.75" customHeight="1">
      <c r="A57" s="13" t="s">
        <v>67</v>
      </c>
      <c r="B57" s="120">
        <f>_xlfn.COMPOUNDVALUE(849)</f>
        <v>7393</v>
      </c>
      <c r="C57" s="121">
        <v>19152302</v>
      </c>
      <c r="D57" s="120">
        <f>_xlfn.COMPOUNDVALUE(850)</f>
        <v>4082</v>
      </c>
      <c r="E57" s="121">
        <v>1256056</v>
      </c>
      <c r="F57" s="120">
        <f>_xlfn.COMPOUNDVALUE(851)</f>
        <v>11475</v>
      </c>
      <c r="G57" s="121">
        <v>20408358</v>
      </c>
      <c r="H57" s="120">
        <f>_xlfn.COMPOUNDVALUE(852)</f>
        <v>476</v>
      </c>
      <c r="I57" s="122">
        <v>1936086</v>
      </c>
      <c r="J57" s="120">
        <v>862</v>
      </c>
      <c r="K57" s="122">
        <v>113318</v>
      </c>
      <c r="L57" s="120">
        <f>_xlfn.COMPOUNDVALUE(852)</f>
        <v>12094</v>
      </c>
      <c r="M57" s="122">
        <v>18585590</v>
      </c>
      <c r="N57" s="120">
        <v>12020</v>
      </c>
      <c r="O57" s="123">
        <v>246</v>
      </c>
      <c r="P57" s="123">
        <v>32</v>
      </c>
      <c r="Q57" s="124">
        <v>12298</v>
      </c>
      <c r="R57" s="14" t="s">
        <v>67</v>
      </c>
    </row>
    <row r="58" spans="1:18" ht="18.75" customHeight="1">
      <c r="A58" s="13" t="s">
        <v>68</v>
      </c>
      <c r="B58" s="120">
        <f>_xlfn.COMPOUNDVALUE(853)</f>
        <v>3489</v>
      </c>
      <c r="C58" s="121">
        <v>7792360</v>
      </c>
      <c r="D58" s="120">
        <f>_xlfn.COMPOUNDVALUE(854)</f>
        <v>1633</v>
      </c>
      <c r="E58" s="121">
        <v>472067</v>
      </c>
      <c r="F58" s="120">
        <f>_xlfn.COMPOUNDVALUE(855)</f>
        <v>5122</v>
      </c>
      <c r="G58" s="121">
        <v>8264426</v>
      </c>
      <c r="H58" s="120">
        <f>_xlfn.COMPOUNDVALUE(856)</f>
        <v>278</v>
      </c>
      <c r="I58" s="122">
        <v>1892585</v>
      </c>
      <c r="J58" s="120">
        <v>300</v>
      </c>
      <c r="K58" s="122">
        <v>97095</v>
      </c>
      <c r="L58" s="120">
        <f>_xlfn.COMPOUNDVALUE(856)</f>
        <v>5452</v>
      </c>
      <c r="M58" s="122">
        <v>6468936</v>
      </c>
      <c r="N58" s="120">
        <v>5946</v>
      </c>
      <c r="O58" s="123">
        <v>138</v>
      </c>
      <c r="P58" s="123">
        <v>10</v>
      </c>
      <c r="Q58" s="124">
        <v>6094</v>
      </c>
      <c r="R58" s="14" t="s">
        <v>68</v>
      </c>
    </row>
    <row r="59" spans="1:18" ht="18.75" customHeight="1">
      <c r="A59" s="13" t="s">
        <v>69</v>
      </c>
      <c r="B59" s="120">
        <f>_xlfn.COMPOUNDVALUE(857)</f>
        <v>5819</v>
      </c>
      <c r="C59" s="121">
        <v>11940572</v>
      </c>
      <c r="D59" s="120">
        <f>_xlfn.COMPOUNDVALUE(858)</f>
        <v>3138</v>
      </c>
      <c r="E59" s="121">
        <v>974441</v>
      </c>
      <c r="F59" s="120">
        <f>_xlfn.COMPOUNDVALUE(859)</f>
        <v>8957</v>
      </c>
      <c r="G59" s="121">
        <v>12915014</v>
      </c>
      <c r="H59" s="120">
        <f>_xlfn.COMPOUNDVALUE(860)</f>
        <v>421</v>
      </c>
      <c r="I59" s="122">
        <v>308121</v>
      </c>
      <c r="J59" s="120">
        <v>538</v>
      </c>
      <c r="K59" s="122">
        <v>73218</v>
      </c>
      <c r="L59" s="120">
        <f>_xlfn.COMPOUNDVALUE(860)</f>
        <v>9521</v>
      </c>
      <c r="M59" s="122">
        <v>12680110</v>
      </c>
      <c r="N59" s="120">
        <v>9414</v>
      </c>
      <c r="O59" s="123">
        <v>203</v>
      </c>
      <c r="P59" s="123">
        <v>18</v>
      </c>
      <c r="Q59" s="124">
        <v>9635</v>
      </c>
      <c r="R59" s="14" t="s">
        <v>69</v>
      </c>
    </row>
    <row r="60" spans="1:18" ht="18.75" customHeight="1">
      <c r="A60" s="13" t="s">
        <v>70</v>
      </c>
      <c r="B60" s="120">
        <f>_xlfn.COMPOUNDVALUE(861)</f>
        <v>7008</v>
      </c>
      <c r="C60" s="121">
        <v>22475400</v>
      </c>
      <c r="D60" s="120">
        <f>_xlfn.COMPOUNDVALUE(862)</f>
        <v>3680</v>
      </c>
      <c r="E60" s="121">
        <v>1214561</v>
      </c>
      <c r="F60" s="120">
        <f>_xlfn.COMPOUNDVALUE(863)</f>
        <v>10688</v>
      </c>
      <c r="G60" s="121">
        <v>23689962</v>
      </c>
      <c r="H60" s="120">
        <f>_xlfn.COMPOUNDVALUE(864)</f>
        <v>435</v>
      </c>
      <c r="I60" s="122">
        <v>12605525</v>
      </c>
      <c r="J60" s="120">
        <v>696</v>
      </c>
      <c r="K60" s="122">
        <v>53540</v>
      </c>
      <c r="L60" s="120">
        <f>_xlfn.COMPOUNDVALUE(864)</f>
        <v>11316</v>
      </c>
      <c r="M60" s="122">
        <v>11137976</v>
      </c>
      <c r="N60" s="120">
        <v>11202</v>
      </c>
      <c r="O60" s="123">
        <v>215</v>
      </c>
      <c r="P60" s="123">
        <v>31</v>
      </c>
      <c r="Q60" s="124">
        <v>11448</v>
      </c>
      <c r="R60" s="14" t="s">
        <v>70</v>
      </c>
    </row>
    <row r="61" spans="1:18" ht="18.75" customHeight="1">
      <c r="A61" s="13" t="s">
        <v>71</v>
      </c>
      <c r="B61" s="120">
        <f>_xlfn.COMPOUNDVALUE(865)</f>
        <v>10123</v>
      </c>
      <c r="C61" s="121">
        <v>29683319</v>
      </c>
      <c r="D61" s="120">
        <f>_xlfn.COMPOUNDVALUE(866)</f>
        <v>5488</v>
      </c>
      <c r="E61" s="121">
        <v>1710630</v>
      </c>
      <c r="F61" s="120">
        <f>_xlfn.COMPOUNDVALUE(867)</f>
        <v>15611</v>
      </c>
      <c r="G61" s="121">
        <v>31393950</v>
      </c>
      <c r="H61" s="120">
        <f>_xlfn.COMPOUNDVALUE(868)</f>
        <v>695</v>
      </c>
      <c r="I61" s="122">
        <v>1966756</v>
      </c>
      <c r="J61" s="120">
        <v>1057</v>
      </c>
      <c r="K61" s="122">
        <v>-91575</v>
      </c>
      <c r="L61" s="120">
        <f>_xlfn.COMPOUNDVALUE(868)</f>
        <v>16483</v>
      </c>
      <c r="M61" s="122">
        <v>29335619</v>
      </c>
      <c r="N61" s="120">
        <v>16942</v>
      </c>
      <c r="O61" s="123">
        <v>310</v>
      </c>
      <c r="P61" s="123">
        <v>48</v>
      </c>
      <c r="Q61" s="124">
        <v>17300</v>
      </c>
      <c r="R61" s="14" t="s">
        <v>71</v>
      </c>
    </row>
    <row r="62" spans="1:18" ht="18.75" customHeight="1">
      <c r="A62" s="15" t="s">
        <v>72</v>
      </c>
      <c r="B62" s="125">
        <v>155960</v>
      </c>
      <c r="C62" s="126">
        <v>835367388</v>
      </c>
      <c r="D62" s="125">
        <v>76120</v>
      </c>
      <c r="E62" s="126">
        <v>25140901</v>
      </c>
      <c r="F62" s="125">
        <v>232080</v>
      </c>
      <c r="G62" s="126">
        <v>860508289</v>
      </c>
      <c r="H62" s="125">
        <v>16029</v>
      </c>
      <c r="I62" s="127">
        <v>194001096</v>
      </c>
      <c r="J62" s="125">
        <v>15999</v>
      </c>
      <c r="K62" s="127">
        <v>3382706</v>
      </c>
      <c r="L62" s="125">
        <v>251562</v>
      </c>
      <c r="M62" s="127">
        <v>669889900</v>
      </c>
      <c r="N62" s="125">
        <v>252543</v>
      </c>
      <c r="O62" s="128">
        <v>6913</v>
      </c>
      <c r="P62" s="128">
        <v>1217</v>
      </c>
      <c r="Q62" s="129">
        <v>260673</v>
      </c>
      <c r="R62" s="16" t="s">
        <v>125</v>
      </c>
    </row>
    <row r="63" spans="1:18" ht="18.75" customHeight="1">
      <c r="A63" s="23"/>
      <c r="B63" s="130"/>
      <c r="C63" s="131"/>
      <c r="D63" s="130"/>
      <c r="E63" s="131"/>
      <c r="F63" s="132"/>
      <c r="G63" s="131"/>
      <c r="H63" s="132"/>
      <c r="I63" s="131"/>
      <c r="J63" s="132"/>
      <c r="K63" s="131"/>
      <c r="L63" s="132"/>
      <c r="M63" s="131"/>
      <c r="N63" s="133"/>
      <c r="O63" s="134"/>
      <c r="P63" s="134"/>
      <c r="Q63" s="135"/>
      <c r="R63" s="36" t="s">
        <v>122</v>
      </c>
    </row>
    <row r="64" spans="1:18" ht="18.75" customHeight="1">
      <c r="A64" s="11" t="s">
        <v>73</v>
      </c>
      <c r="B64" s="115">
        <f>_xlfn.COMPOUNDVALUE(869)</f>
        <v>1707</v>
      </c>
      <c r="C64" s="116">
        <v>7180851</v>
      </c>
      <c r="D64" s="115">
        <f>_xlfn.COMPOUNDVALUE(870)</f>
        <v>1016</v>
      </c>
      <c r="E64" s="116">
        <v>331556</v>
      </c>
      <c r="F64" s="115">
        <f>_xlfn.COMPOUNDVALUE(871)</f>
        <v>2723</v>
      </c>
      <c r="G64" s="116">
        <v>7512407</v>
      </c>
      <c r="H64" s="115">
        <f>_xlfn.COMPOUNDVALUE(872)</f>
        <v>290</v>
      </c>
      <c r="I64" s="117">
        <v>747052</v>
      </c>
      <c r="J64" s="115">
        <v>249</v>
      </c>
      <c r="K64" s="117">
        <v>88698</v>
      </c>
      <c r="L64" s="115">
        <f>_xlfn.COMPOUNDVALUE(872)</f>
        <v>3116</v>
      </c>
      <c r="M64" s="117">
        <v>6854053</v>
      </c>
      <c r="N64" s="120">
        <v>2914</v>
      </c>
      <c r="O64" s="123">
        <v>131</v>
      </c>
      <c r="P64" s="123">
        <v>10</v>
      </c>
      <c r="Q64" s="124">
        <v>3055</v>
      </c>
      <c r="R64" s="14" t="s">
        <v>73</v>
      </c>
    </row>
    <row r="65" spans="1:18" ht="18.75" customHeight="1">
      <c r="A65" s="11" t="s">
        <v>74</v>
      </c>
      <c r="B65" s="115">
        <f>_xlfn.COMPOUNDVALUE(873)</f>
        <v>4916</v>
      </c>
      <c r="C65" s="116">
        <v>14660525</v>
      </c>
      <c r="D65" s="115">
        <f>_xlfn.COMPOUNDVALUE(874)</f>
        <v>2519</v>
      </c>
      <c r="E65" s="116">
        <v>765276</v>
      </c>
      <c r="F65" s="115">
        <f>_xlfn.COMPOUNDVALUE(875)</f>
        <v>7435</v>
      </c>
      <c r="G65" s="116">
        <v>15425801</v>
      </c>
      <c r="H65" s="115">
        <f>_xlfn.COMPOUNDVALUE(876)</f>
        <v>555</v>
      </c>
      <c r="I65" s="117">
        <v>2603392</v>
      </c>
      <c r="J65" s="115">
        <v>548</v>
      </c>
      <c r="K65" s="117">
        <v>47334</v>
      </c>
      <c r="L65" s="115">
        <f>_xlfn.COMPOUNDVALUE(876)</f>
        <v>8081</v>
      </c>
      <c r="M65" s="117">
        <v>12869743</v>
      </c>
      <c r="N65" s="120">
        <v>8463</v>
      </c>
      <c r="O65" s="123">
        <v>285</v>
      </c>
      <c r="P65" s="123">
        <v>26</v>
      </c>
      <c r="Q65" s="124">
        <v>8774</v>
      </c>
      <c r="R65" s="14" t="s">
        <v>74</v>
      </c>
    </row>
    <row r="66" spans="1:18" ht="18.75" customHeight="1">
      <c r="A66" s="11" t="s">
        <v>75</v>
      </c>
      <c r="B66" s="115">
        <f>_xlfn.COMPOUNDVALUE(877)</f>
        <v>1916</v>
      </c>
      <c r="C66" s="116">
        <v>5327672</v>
      </c>
      <c r="D66" s="115">
        <f>_xlfn.COMPOUNDVALUE(878)</f>
        <v>952</v>
      </c>
      <c r="E66" s="116">
        <v>288103</v>
      </c>
      <c r="F66" s="115">
        <f>_xlfn.COMPOUNDVALUE(879)</f>
        <v>2868</v>
      </c>
      <c r="G66" s="116">
        <v>5615775</v>
      </c>
      <c r="H66" s="115">
        <f>_xlfn.COMPOUNDVALUE(880)</f>
        <v>164</v>
      </c>
      <c r="I66" s="117">
        <v>234420</v>
      </c>
      <c r="J66" s="115">
        <v>206</v>
      </c>
      <c r="K66" s="117">
        <v>69377</v>
      </c>
      <c r="L66" s="115">
        <f>_xlfn.COMPOUNDVALUE(880)</f>
        <v>3071</v>
      </c>
      <c r="M66" s="117">
        <v>5450732</v>
      </c>
      <c r="N66" s="120">
        <v>3088</v>
      </c>
      <c r="O66" s="123">
        <v>76</v>
      </c>
      <c r="P66" s="123">
        <v>9</v>
      </c>
      <c r="Q66" s="124">
        <v>3173</v>
      </c>
      <c r="R66" s="14" t="s">
        <v>75</v>
      </c>
    </row>
    <row r="67" spans="1:18" ht="18.75" customHeight="1">
      <c r="A67" s="11" t="s">
        <v>76</v>
      </c>
      <c r="B67" s="115">
        <f>_xlfn.COMPOUNDVALUE(881)</f>
        <v>2747</v>
      </c>
      <c r="C67" s="116">
        <v>4628953</v>
      </c>
      <c r="D67" s="115">
        <f>_xlfn.COMPOUNDVALUE(882)</f>
        <v>1794</v>
      </c>
      <c r="E67" s="116">
        <v>556140</v>
      </c>
      <c r="F67" s="115">
        <f>_xlfn.COMPOUNDVALUE(883)</f>
        <v>4541</v>
      </c>
      <c r="G67" s="116">
        <v>5185093</v>
      </c>
      <c r="H67" s="115">
        <f>_xlfn.COMPOUNDVALUE(884)</f>
        <v>321</v>
      </c>
      <c r="I67" s="117">
        <v>519663</v>
      </c>
      <c r="J67" s="115">
        <v>332</v>
      </c>
      <c r="K67" s="117">
        <v>58879</v>
      </c>
      <c r="L67" s="115">
        <f>_xlfn.COMPOUNDVALUE(884)</f>
        <v>4949</v>
      </c>
      <c r="M67" s="117">
        <v>4724309</v>
      </c>
      <c r="N67" s="120">
        <v>5031</v>
      </c>
      <c r="O67" s="123">
        <v>155</v>
      </c>
      <c r="P67" s="123">
        <v>15</v>
      </c>
      <c r="Q67" s="124">
        <v>5201</v>
      </c>
      <c r="R67" s="14" t="s">
        <v>76</v>
      </c>
    </row>
    <row r="68" spans="1:18" ht="18.75" customHeight="1">
      <c r="A68" s="11" t="s">
        <v>77</v>
      </c>
      <c r="B68" s="115">
        <f>_xlfn.COMPOUNDVALUE(885)</f>
        <v>5843</v>
      </c>
      <c r="C68" s="116">
        <v>52742321</v>
      </c>
      <c r="D68" s="115">
        <f>_xlfn.COMPOUNDVALUE(886)</f>
        <v>2656</v>
      </c>
      <c r="E68" s="116">
        <v>975428</v>
      </c>
      <c r="F68" s="115">
        <f>_xlfn.COMPOUNDVALUE(887)</f>
        <v>8499</v>
      </c>
      <c r="G68" s="116">
        <v>53717749</v>
      </c>
      <c r="H68" s="115">
        <f>_xlfn.COMPOUNDVALUE(888)</f>
        <v>1988</v>
      </c>
      <c r="I68" s="117">
        <v>21191657</v>
      </c>
      <c r="J68" s="115">
        <v>604</v>
      </c>
      <c r="K68" s="117">
        <v>347918</v>
      </c>
      <c r="L68" s="115">
        <f>_xlfn.COMPOUNDVALUE(888)</f>
        <v>10572</v>
      </c>
      <c r="M68" s="117">
        <v>32874010</v>
      </c>
      <c r="N68" s="120">
        <v>9609</v>
      </c>
      <c r="O68" s="123">
        <v>742</v>
      </c>
      <c r="P68" s="123">
        <v>66</v>
      </c>
      <c r="Q68" s="124">
        <v>10417</v>
      </c>
      <c r="R68" s="14" t="s">
        <v>77</v>
      </c>
    </row>
    <row r="69" spans="1:18" ht="18.75" customHeight="1">
      <c r="A69" s="11" t="s">
        <v>78</v>
      </c>
      <c r="B69" s="115">
        <f>_xlfn.COMPOUNDVALUE(889)</f>
        <v>9028</v>
      </c>
      <c r="C69" s="116">
        <v>29011174</v>
      </c>
      <c r="D69" s="115">
        <f>_xlfn.COMPOUNDVALUE(890)</f>
        <v>4498</v>
      </c>
      <c r="E69" s="116">
        <v>1405125</v>
      </c>
      <c r="F69" s="115">
        <f>_xlfn.COMPOUNDVALUE(891)</f>
        <v>13526</v>
      </c>
      <c r="G69" s="116">
        <v>30416299</v>
      </c>
      <c r="H69" s="115">
        <f>_xlfn.COMPOUNDVALUE(892)</f>
        <v>484</v>
      </c>
      <c r="I69" s="117">
        <v>2741998</v>
      </c>
      <c r="J69" s="115">
        <v>832</v>
      </c>
      <c r="K69" s="117">
        <v>107901</v>
      </c>
      <c r="L69" s="115">
        <f>_xlfn.COMPOUNDVALUE(892)</f>
        <v>14210</v>
      </c>
      <c r="M69" s="117">
        <v>27782202</v>
      </c>
      <c r="N69" s="120">
        <v>14213</v>
      </c>
      <c r="O69" s="123">
        <v>324</v>
      </c>
      <c r="P69" s="123">
        <v>38</v>
      </c>
      <c r="Q69" s="124">
        <v>14575</v>
      </c>
      <c r="R69" s="14" t="s">
        <v>78</v>
      </c>
    </row>
    <row r="70" spans="1:18" ht="18.75" customHeight="1">
      <c r="A70" s="11" t="s">
        <v>79</v>
      </c>
      <c r="B70" s="115">
        <f>_xlfn.COMPOUNDVALUE(893)</f>
        <v>6362</v>
      </c>
      <c r="C70" s="116">
        <v>26099058</v>
      </c>
      <c r="D70" s="115">
        <f>_xlfn.COMPOUNDVALUE(894)</f>
        <v>3384</v>
      </c>
      <c r="E70" s="116">
        <v>1084223</v>
      </c>
      <c r="F70" s="115">
        <f>_xlfn.COMPOUNDVALUE(895)</f>
        <v>9746</v>
      </c>
      <c r="G70" s="116">
        <v>27183280</v>
      </c>
      <c r="H70" s="115">
        <f>_xlfn.COMPOUNDVALUE(896)</f>
        <v>533</v>
      </c>
      <c r="I70" s="117">
        <v>1293426</v>
      </c>
      <c r="J70" s="115">
        <v>788</v>
      </c>
      <c r="K70" s="117">
        <v>150547</v>
      </c>
      <c r="L70" s="115">
        <f>_xlfn.COMPOUNDVALUE(896)</f>
        <v>10506</v>
      </c>
      <c r="M70" s="117">
        <v>26040402</v>
      </c>
      <c r="N70" s="120">
        <v>10642</v>
      </c>
      <c r="O70" s="123">
        <v>240</v>
      </c>
      <c r="P70" s="123">
        <v>22</v>
      </c>
      <c r="Q70" s="124">
        <v>10904</v>
      </c>
      <c r="R70" s="14" t="s">
        <v>79</v>
      </c>
    </row>
    <row r="71" spans="1:18" ht="18.75" customHeight="1">
      <c r="A71" s="11" t="s">
        <v>80</v>
      </c>
      <c r="B71" s="115">
        <f>_xlfn.COMPOUNDVALUE(897)</f>
        <v>4867</v>
      </c>
      <c r="C71" s="116">
        <v>13286193</v>
      </c>
      <c r="D71" s="115">
        <f>_xlfn.COMPOUNDVALUE(898)</f>
        <v>3301</v>
      </c>
      <c r="E71" s="116">
        <v>968310</v>
      </c>
      <c r="F71" s="115">
        <f>_xlfn.COMPOUNDVALUE(899)</f>
        <v>8168</v>
      </c>
      <c r="G71" s="116">
        <v>14254503</v>
      </c>
      <c r="H71" s="115">
        <f>_xlfn.COMPOUNDVALUE(900)</f>
        <v>427</v>
      </c>
      <c r="I71" s="117">
        <v>905191</v>
      </c>
      <c r="J71" s="115">
        <v>440</v>
      </c>
      <c r="K71" s="117">
        <v>57333</v>
      </c>
      <c r="L71" s="115">
        <f>_xlfn.COMPOUNDVALUE(900)</f>
        <v>8771</v>
      </c>
      <c r="M71" s="117">
        <v>13406645</v>
      </c>
      <c r="N71" s="120">
        <v>8700</v>
      </c>
      <c r="O71" s="123">
        <v>254</v>
      </c>
      <c r="P71" s="123">
        <v>20</v>
      </c>
      <c r="Q71" s="124">
        <v>8974</v>
      </c>
      <c r="R71" s="14" t="s">
        <v>80</v>
      </c>
    </row>
    <row r="72" spans="1:18" ht="18.75" customHeight="1">
      <c r="A72" s="11" t="s">
        <v>81</v>
      </c>
      <c r="B72" s="115">
        <f>_xlfn.COMPOUNDVALUE(901)</f>
        <v>6372</v>
      </c>
      <c r="C72" s="116">
        <v>18641266</v>
      </c>
      <c r="D72" s="115">
        <f>_xlfn.COMPOUNDVALUE(902)</f>
        <v>4555</v>
      </c>
      <c r="E72" s="116">
        <v>1495632</v>
      </c>
      <c r="F72" s="115">
        <f>_xlfn.COMPOUNDVALUE(903)</f>
        <v>10927</v>
      </c>
      <c r="G72" s="116">
        <v>20136897</v>
      </c>
      <c r="H72" s="115">
        <f>_xlfn.COMPOUNDVALUE(904)</f>
        <v>720</v>
      </c>
      <c r="I72" s="117">
        <v>2046155</v>
      </c>
      <c r="J72" s="115">
        <v>678</v>
      </c>
      <c r="K72" s="117">
        <v>84682</v>
      </c>
      <c r="L72" s="115">
        <f>_xlfn.COMPOUNDVALUE(904)</f>
        <v>11821</v>
      </c>
      <c r="M72" s="117">
        <v>18175424</v>
      </c>
      <c r="N72" s="120">
        <v>12428</v>
      </c>
      <c r="O72" s="123">
        <v>397</v>
      </c>
      <c r="P72" s="123">
        <v>51</v>
      </c>
      <c r="Q72" s="124">
        <v>12876</v>
      </c>
      <c r="R72" s="14" t="s">
        <v>81</v>
      </c>
    </row>
    <row r="73" spans="1:18" ht="18.75" customHeight="1">
      <c r="A73" s="11" t="s">
        <v>82</v>
      </c>
      <c r="B73" s="115">
        <f>_xlfn.COMPOUNDVALUE(905)</f>
        <v>2171</v>
      </c>
      <c r="C73" s="116">
        <v>4506587</v>
      </c>
      <c r="D73" s="115">
        <f>_xlfn.COMPOUNDVALUE(906)</f>
        <v>1929</v>
      </c>
      <c r="E73" s="116">
        <v>510657</v>
      </c>
      <c r="F73" s="115">
        <f>_xlfn.COMPOUNDVALUE(907)</f>
        <v>4100</v>
      </c>
      <c r="G73" s="116">
        <v>5017244</v>
      </c>
      <c r="H73" s="115">
        <f>_xlfn.COMPOUNDVALUE(908)</f>
        <v>154</v>
      </c>
      <c r="I73" s="117">
        <v>136317</v>
      </c>
      <c r="J73" s="115">
        <v>247</v>
      </c>
      <c r="K73" s="117">
        <v>19874</v>
      </c>
      <c r="L73" s="115">
        <f>_xlfn.COMPOUNDVALUE(908)</f>
        <v>4305</v>
      </c>
      <c r="M73" s="117">
        <v>4900800</v>
      </c>
      <c r="N73" s="120">
        <v>4554</v>
      </c>
      <c r="O73" s="123">
        <v>88</v>
      </c>
      <c r="P73" s="123">
        <v>11</v>
      </c>
      <c r="Q73" s="124">
        <v>4653</v>
      </c>
      <c r="R73" s="14" t="s">
        <v>82</v>
      </c>
    </row>
    <row r="74" spans="1:18" ht="18.75" customHeight="1">
      <c r="A74" s="11" t="s">
        <v>83</v>
      </c>
      <c r="B74" s="115">
        <f>_xlfn.COMPOUNDVALUE(909)</f>
        <v>3562</v>
      </c>
      <c r="C74" s="116">
        <v>17835247</v>
      </c>
      <c r="D74" s="115">
        <f>_xlfn.COMPOUNDVALUE(910)</f>
        <v>2225</v>
      </c>
      <c r="E74" s="116">
        <v>763084</v>
      </c>
      <c r="F74" s="115">
        <f>_xlfn.COMPOUNDVALUE(911)</f>
        <v>5787</v>
      </c>
      <c r="G74" s="116">
        <v>18598331</v>
      </c>
      <c r="H74" s="115">
        <f>_xlfn.COMPOUNDVALUE(912)</f>
        <v>632</v>
      </c>
      <c r="I74" s="117">
        <v>2673224</v>
      </c>
      <c r="J74" s="115">
        <v>348</v>
      </c>
      <c r="K74" s="117">
        <v>98458</v>
      </c>
      <c r="L74" s="115">
        <f>_xlfn.COMPOUNDVALUE(912)</f>
        <v>6520</v>
      </c>
      <c r="M74" s="117">
        <v>16023564</v>
      </c>
      <c r="N74" s="120">
        <v>6619</v>
      </c>
      <c r="O74" s="123">
        <v>327</v>
      </c>
      <c r="P74" s="123">
        <v>26</v>
      </c>
      <c r="Q74" s="124">
        <v>6972</v>
      </c>
      <c r="R74" s="14" t="s">
        <v>83</v>
      </c>
    </row>
    <row r="75" spans="1:18" ht="18.75" customHeight="1">
      <c r="A75" s="11" t="s">
        <v>84</v>
      </c>
      <c r="B75" s="115">
        <f>_xlfn.COMPOUNDVALUE(913)</f>
        <v>3624</v>
      </c>
      <c r="C75" s="116">
        <v>10724759</v>
      </c>
      <c r="D75" s="115">
        <f>_xlfn.COMPOUNDVALUE(914)</f>
        <v>2323</v>
      </c>
      <c r="E75" s="116">
        <v>718792</v>
      </c>
      <c r="F75" s="115">
        <f>_xlfn.COMPOUNDVALUE(915)</f>
        <v>5947</v>
      </c>
      <c r="G75" s="116">
        <v>11443551</v>
      </c>
      <c r="H75" s="115">
        <f>_xlfn.COMPOUNDVALUE(916)</f>
        <v>365</v>
      </c>
      <c r="I75" s="117">
        <v>684630</v>
      </c>
      <c r="J75" s="115">
        <v>488</v>
      </c>
      <c r="K75" s="117">
        <v>69960</v>
      </c>
      <c r="L75" s="115">
        <f>_xlfn.COMPOUNDVALUE(916)</f>
        <v>6505</v>
      </c>
      <c r="M75" s="117">
        <v>10828882</v>
      </c>
      <c r="N75" s="115">
        <v>6554</v>
      </c>
      <c r="O75" s="137">
        <v>187</v>
      </c>
      <c r="P75" s="137">
        <v>27</v>
      </c>
      <c r="Q75" s="138">
        <v>6768</v>
      </c>
      <c r="R75" s="12" t="s">
        <v>84</v>
      </c>
    </row>
    <row r="76" spans="1:18" ht="18.75" customHeight="1">
      <c r="A76" s="11" t="s">
        <v>85</v>
      </c>
      <c r="B76" s="115">
        <f>_xlfn.COMPOUNDVALUE(917)</f>
        <v>1309</v>
      </c>
      <c r="C76" s="116">
        <v>2798719</v>
      </c>
      <c r="D76" s="115">
        <f>_xlfn.COMPOUNDVALUE(918)</f>
        <v>790</v>
      </c>
      <c r="E76" s="116">
        <v>240892</v>
      </c>
      <c r="F76" s="115">
        <f>_xlfn.COMPOUNDVALUE(919)</f>
        <v>2099</v>
      </c>
      <c r="G76" s="116">
        <v>3039611</v>
      </c>
      <c r="H76" s="115">
        <f>_xlfn.COMPOUNDVALUE(920)</f>
        <v>83</v>
      </c>
      <c r="I76" s="117">
        <v>105170</v>
      </c>
      <c r="J76" s="115">
        <v>135</v>
      </c>
      <c r="K76" s="117">
        <v>14398</v>
      </c>
      <c r="L76" s="115">
        <f>_xlfn.COMPOUNDVALUE(920)</f>
        <v>2201</v>
      </c>
      <c r="M76" s="117">
        <v>2948839</v>
      </c>
      <c r="N76" s="120">
        <v>2176</v>
      </c>
      <c r="O76" s="123">
        <v>61</v>
      </c>
      <c r="P76" s="123">
        <v>3</v>
      </c>
      <c r="Q76" s="124">
        <v>2240</v>
      </c>
      <c r="R76" s="14" t="s">
        <v>85</v>
      </c>
    </row>
    <row r="77" spans="1:18" ht="18.75" customHeight="1">
      <c r="A77" s="11" t="s">
        <v>86</v>
      </c>
      <c r="B77" s="115">
        <f>_xlfn.COMPOUNDVALUE(921)</f>
        <v>2005</v>
      </c>
      <c r="C77" s="116">
        <v>3971946</v>
      </c>
      <c r="D77" s="115">
        <f>_xlfn.COMPOUNDVALUE(922)</f>
        <v>1201</v>
      </c>
      <c r="E77" s="116">
        <v>348472</v>
      </c>
      <c r="F77" s="115">
        <f>_xlfn.COMPOUNDVALUE(923)</f>
        <v>3206</v>
      </c>
      <c r="G77" s="116">
        <v>4320418</v>
      </c>
      <c r="H77" s="115">
        <f>_xlfn.COMPOUNDVALUE(924)</f>
        <v>85</v>
      </c>
      <c r="I77" s="117">
        <v>62182</v>
      </c>
      <c r="J77" s="115">
        <v>182</v>
      </c>
      <c r="K77" s="117">
        <v>15221</v>
      </c>
      <c r="L77" s="115">
        <f>_xlfn.COMPOUNDVALUE(924)</f>
        <v>3320</v>
      </c>
      <c r="M77" s="117">
        <v>4273458</v>
      </c>
      <c r="N77" s="120">
        <v>3204</v>
      </c>
      <c r="O77" s="123">
        <v>84</v>
      </c>
      <c r="P77" s="123">
        <v>3</v>
      </c>
      <c r="Q77" s="124">
        <v>3291</v>
      </c>
      <c r="R77" s="14" t="s">
        <v>86</v>
      </c>
    </row>
    <row r="78" spans="1:18" ht="18.75" customHeight="1">
      <c r="A78" s="13" t="s">
        <v>87</v>
      </c>
      <c r="B78" s="120">
        <f>_xlfn.COMPOUNDVALUE(925)</f>
        <v>4548</v>
      </c>
      <c r="C78" s="121">
        <v>11252889</v>
      </c>
      <c r="D78" s="120">
        <f>_xlfn.COMPOUNDVALUE(926)</f>
        <v>2237</v>
      </c>
      <c r="E78" s="121">
        <v>706757</v>
      </c>
      <c r="F78" s="120">
        <f>_xlfn.COMPOUNDVALUE(927)</f>
        <v>6785</v>
      </c>
      <c r="G78" s="121">
        <v>11959646</v>
      </c>
      <c r="H78" s="120">
        <f>_xlfn.COMPOUNDVALUE(928)</f>
        <v>276</v>
      </c>
      <c r="I78" s="122">
        <v>1747091</v>
      </c>
      <c r="J78" s="120">
        <v>471</v>
      </c>
      <c r="K78" s="122">
        <v>37704</v>
      </c>
      <c r="L78" s="120">
        <f>_xlfn.COMPOUNDVALUE(928)</f>
        <v>7183</v>
      </c>
      <c r="M78" s="122">
        <v>10250259</v>
      </c>
      <c r="N78" s="120">
        <v>7368</v>
      </c>
      <c r="O78" s="123">
        <v>167</v>
      </c>
      <c r="P78" s="123">
        <v>23</v>
      </c>
      <c r="Q78" s="124">
        <v>7558</v>
      </c>
      <c r="R78" s="14" t="s">
        <v>87</v>
      </c>
    </row>
    <row r="79" spans="1:18" ht="18.75" customHeight="1">
      <c r="A79" s="13" t="s">
        <v>88</v>
      </c>
      <c r="B79" s="120">
        <f>_xlfn.COMPOUNDVALUE(929)</f>
        <v>2196</v>
      </c>
      <c r="C79" s="121">
        <v>4846419</v>
      </c>
      <c r="D79" s="120">
        <f>_xlfn.COMPOUNDVALUE(930)</f>
        <v>1592</v>
      </c>
      <c r="E79" s="121">
        <v>486889</v>
      </c>
      <c r="F79" s="120">
        <f>_xlfn.COMPOUNDVALUE(931)</f>
        <v>3788</v>
      </c>
      <c r="G79" s="121">
        <v>5333308</v>
      </c>
      <c r="H79" s="120">
        <f>_xlfn.COMPOUNDVALUE(932)</f>
        <v>138</v>
      </c>
      <c r="I79" s="122">
        <v>1213487</v>
      </c>
      <c r="J79" s="120">
        <v>204</v>
      </c>
      <c r="K79" s="122">
        <v>21845</v>
      </c>
      <c r="L79" s="120">
        <f>_xlfn.COMPOUNDVALUE(932)</f>
        <v>3957</v>
      </c>
      <c r="M79" s="122">
        <v>4141666</v>
      </c>
      <c r="N79" s="120">
        <v>3883</v>
      </c>
      <c r="O79" s="123">
        <v>59</v>
      </c>
      <c r="P79" s="123">
        <v>1</v>
      </c>
      <c r="Q79" s="124">
        <v>3943</v>
      </c>
      <c r="R79" s="14" t="s">
        <v>88</v>
      </c>
    </row>
    <row r="80" spans="1:18" ht="18.75" customHeight="1">
      <c r="A80" s="13" t="s">
        <v>89</v>
      </c>
      <c r="B80" s="120">
        <f>_xlfn.COMPOUNDVALUE(933)</f>
        <v>1057</v>
      </c>
      <c r="C80" s="121">
        <v>2017112</v>
      </c>
      <c r="D80" s="120">
        <f>_xlfn.COMPOUNDVALUE(934)</f>
        <v>697</v>
      </c>
      <c r="E80" s="121">
        <v>209227</v>
      </c>
      <c r="F80" s="120">
        <f>_xlfn.COMPOUNDVALUE(935)</f>
        <v>1754</v>
      </c>
      <c r="G80" s="121">
        <v>2226339</v>
      </c>
      <c r="H80" s="120">
        <f>_xlfn.COMPOUNDVALUE(936)</f>
        <v>78</v>
      </c>
      <c r="I80" s="122">
        <v>87164</v>
      </c>
      <c r="J80" s="120">
        <v>120</v>
      </c>
      <c r="K80" s="122">
        <v>7008</v>
      </c>
      <c r="L80" s="120">
        <f>_xlfn.COMPOUNDVALUE(936)</f>
        <v>1837</v>
      </c>
      <c r="M80" s="122">
        <v>2146183</v>
      </c>
      <c r="N80" s="120">
        <v>1848</v>
      </c>
      <c r="O80" s="123">
        <v>28</v>
      </c>
      <c r="P80" s="123">
        <v>6</v>
      </c>
      <c r="Q80" s="124">
        <v>1882</v>
      </c>
      <c r="R80" s="14" t="s">
        <v>89</v>
      </c>
    </row>
    <row r="81" spans="1:18" ht="18.75" customHeight="1">
      <c r="A81" s="13" t="s">
        <v>90</v>
      </c>
      <c r="B81" s="120">
        <f>_xlfn.COMPOUNDVALUE(937)</f>
        <v>1107</v>
      </c>
      <c r="C81" s="121">
        <v>2577060</v>
      </c>
      <c r="D81" s="120">
        <f>_xlfn.COMPOUNDVALUE(938)</f>
        <v>571</v>
      </c>
      <c r="E81" s="121">
        <v>158301</v>
      </c>
      <c r="F81" s="120">
        <f>_xlfn.COMPOUNDVALUE(939)</f>
        <v>1678</v>
      </c>
      <c r="G81" s="121">
        <v>2735362</v>
      </c>
      <c r="H81" s="120">
        <f>_xlfn.COMPOUNDVALUE(940)</f>
        <v>175</v>
      </c>
      <c r="I81" s="122">
        <v>397566</v>
      </c>
      <c r="J81" s="120">
        <v>110</v>
      </c>
      <c r="K81" s="122">
        <v>19091</v>
      </c>
      <c r="L81" s="120">
        <f>_xlfn.COMPOUNDVALUE(940)</f>
        <v>1881</v>
      </c>
      <c r="M81" s="122">
        <v>2356887</v>
      </c>
      <c r="N81" s="120">
        <v>1805</v>
      </c>
      <c r="O81" s="123">
        <v>58</v>
      </c>
      <c r="P81" s="123">
        <v>8</v>
      </c>
      <c r="Q81" s="124">
        <v>1871</v>
      </c>
      <c r="R81" s="14" t="s">
        <v>90</v>
      </c>
    </row>
    <row r="82" spans="1:18" ht="18.75" customHeight="1">
      <c r="A82" s="13" t="s">
        <v>91</v>
      </c>
      <c r="B82" s="120">
        <f>_xlfn.COMPOUNDVALUE(941)</f>
        <v>1905</v>
      </c>
      <c r="C82" s="121">
        <v>5200666</v>
      </c>
      <c r="D82" s="120">
        <f>_xlfn.COMPOUNDVALUE(942)</f>
        <v>1141</v>
      </c>
      <c r="E82" s="121">
        <v>346492</v>
      </c>
      <c r="F82" s="120">
        <f>_xlfn.COMPOUNDVALUE(943)</f>
        <v>3046</v>
      </c>
      <c r="G82" s="121">
        <v>5547159</v>
      </c>
      <c r="H82" s="120">
        <f>_xlfn.COMPOUNDVALUE(944)</f>
        <v>169</v>
      </c>
      <c r="I82" s="122">
        <v>337903</v>
      </c>
      <c r="J82" s="120">
        <v>214</v>
      </c>
      <c r="K82" s="122">
        <v>3824</v>
      </c>
      <c r="L82" s="120">
        <f>_xlfn.COMPOUNDVALUE(944)</f>
        <v>3258</v>
      </c>
      <c r="M82" s="122">
        <v>5213080</v>
      </c>
      <c r="N82" s="120">
        <v>3048</v>
      </c>
      <c r="O82" s="123">
        <v>71</v>
      </c>
      <c r="P82" s="123">
        <v>7</v>
      </c>
      <c r="Q82" s="124">
        <v>3126</v>
      </c>
      <c r="R82" s="14" t="s">
        <v>91</v>
      </c>
    </row>
    <row r="83" spans="1:18" ht="18.75" customHeight="1">
      <c r="A83" s="13" t="s">
        <v>92</v>
      </c>
      <c r="B83" s="120">
        <f>_xlfn.COMPOUNDVALUE(945)</f>
        <v>793</v>
      </c>
      <c r="C83" s="121">
        <v>1802875</v>
      </c>
      <c r="D83" s="120">
        <f>_xlfn.COMPOUNDVALUE(946)</f>
        <v>416</v>
      </c>
      <c r="E83" s="121">
        <v>124435</v>
      </c>
      <c r="F83" s="120">
        <f>_xlfn.COMPOUNDVALUE(947)</f>
        <v>1209</v>
      </c>
      <c r="G83" s="121">
        <v>1927310</v>
      </c>
      <c r="H83" s="120">
        <f>_xlfn.COMPOUNDVALUE(948)</f>
        <v>40</v>
      </c>
      <c r="I83" s="122">
        <v>126891</v>
      </c>
      <c r="J83" s="120">
        <v>109</v>
      </c>
      <c r="K83" s="122">
        <v>24153</v>
      </c>
      <c r="L83" s="120">
        <f>_xlfn.COMPOUNDVALUE(948)</f>
        <v>1273</v>
      </c>
      <c r="M83" s="122">
        <v>1824572</v>
      </c>
      <c r="N83" s="120">
        <v>1286</v>
      </c>
      <c r="O83" s="123">
        <v>34</v>
      </c>
      <c r="P83" s="123">
        <v>3</v>
      </c>
      <c r="Q83" s="124">
        <v>1323</v>
      </c>
      <c r="R83" s="14" t="s">
        <v>92</v>
      </c>
    </row>
    <row r="84" spans="1:18" ht="18.75" customHeight="1">
      <c r="A84" s="13" t="s">
        <v>93</v>
      </c>
      <c r="B84" s="120">
        <f>_xlfn.COMPOUNDVALUE(949)</f>
        <v>1406</v>
      </c>
      <c r="C84" s="121">
        <v>3240729</v>
      </c>
      <c r="D84" s="120">
        <f>_xlfn.COMPOUNDVALUE(950)</f>
        <v>907</v>
      </c>
      <c r="E84" s="121">
        <v>246544</v>
      </c>
      <c r="F84" s="120">
        <f>_xlfn.COMPOUNDVALUE(951)</f>
        <v>2313</v>
      </c>
      <c r="G84" s="121">
        <v>3487273</v>
      </c>
      <c r="H84" s="120">
        <f>_xlfn.COMPOUNDVALUE(952)</f>
        <v>64</v>
      </c>
      <c r="I84" s="122">
        <v>75801</v>
      </c>
      <c r="J84" s="120">
        <v>196</v>
      </c>
      <c r="K84" s="122">
        <v>30336</v>
      </c>
      <c r="L84" s="120">
        <f>_xlfn.COMPOUNDVALUE(952)</f>
        <v>2430</v>
      </c>
      <c r="M84" s="122">
        <v>3441809</v>
      </c>
      <c r="N84" s="120">
        <v>2454</v>
      </c>
      <c r="O84" s="123">
        <v>57</v>
      </c>
      <c r="P84" s="123">
        <v>6</v>
      </c>
      <c r="Q84" s="124">
        <v>2517</v>
      </c>
      <c r="R84" s="14" t="s">
        <v>93</v>
      </c>
    </row>
    <row r="85" spans="1:18" s="17" customFormat="1" ht="18.75" customHeight="1">
      <c r="A85" s="15" t="s">
        <v>94</v>
      </c>
      <c r="B85" s="125">
        <v>69441</v>
      </c>
      <c r="C85" s="126">
        <v>242353020</v>
      </c>
      <c r="D85" s="125">
        <v>40704</v>
      </c>
      <c r="E85" s="126">
        <v>12730334</v>
      </c>
      <c r="F85" s="125">
        <v>110145</v>
      </c>
      <c r="G85" s="126">
        <v>255083353</v>
      </c>
      <c r="H85" s="125">
        <v>7741</v>
      </c>
      <c r="I85" s="127">
        <v>39930378</v>
      </c>
      <c r="J85" s="125">
        <v>7501</v>
      </c>
      <c r="K85" s="127">
        <v>1374542</v>
      </c>
      <c r="L85" s="125">
        <v>119767</v>
      </c>
      <c r="M85" s="127">
        <v>216527518</v>
      </c>
      <c r="N85" s="125">
        <v>119887</v>
      </c>
      <c r="O85" s="128">
        <v>3825</v>
      </c>
      <c r="P85" s="128">
        <v>381</v>
      </c>
      <c r="Q85" s="129">
        <v>124093</v>
      </c>
      <c r="R85" s="16" t="s">
        <v>126</v>
      </c>
    </row>
    <row r="86" spans="1:18" s="30" customFormat="1" ht="18.75" customHeight="1">
      <c r="A86" s="23"/>
      <c r="B86" s="130"/>
      <c r="C86" s="131"/>
      <c r="D86" s="130"/>
      <c r="E86" s="131"/>
      <c r="F86" s="132"/>
      <c r="G86" s="131"/>
      <c r="H86" s="132"/>
      <c r="I86" s="131"/>
      <c r="J86" s="132"/>
      <c r="K86" s="131"/>
      <c r="L86" s="132"/>
      <c r="M86" s="131"/>
      <c r="N86" s="133"/>
      <c r="O86" s="134"/>
      <c r="P86" s="134"/>
      <c r="Q86" s="135"/>
      <c r="R86" s="36" t="s">
        <v>122</v>
      </c>
    </row>
    <row r="87" spans="1:18" ht="18.75" customHeight="1">
      <c r="A87" s="13" t="s">
        <v>95</v>
      </c>
      <c r="B87" s="120">
        <f>_xlfn.COMPOUNDVALUE(953)</f>
        <v>7249</v>
      </c>
      <c r="C87" s="121">
        <v>16507592</v>
      </c>
      <c r="D87" s="120">
        <f>_xlfn.COMPOUNDVALUE(954)</f>
        <v>4515</v>
      </c>
      <c r="E87" s="121">
        <v>1372913</v>
      </c>
      <c r="F87" s="120">
        <f>_xlfn.COMPOUNDVALUE(955)</f>
        <v>11764</v>
      </c>
      <c r="G87" s="121">
        <v>17880505</v>
      </c>
      <c r="H87" s="120">
        <f>_xlfn.COMPOUNDVALUE(956)</f>
        <v>667</v>
      </c>
      <c r="I87" s="122">
        <v>4579530</v>
      </c>
      <c r="J87" s="120">
        <v>838</v>
      </c>
      <c r="K87" s="122">
        <v>100511</v>
      </c>
      <c r="L87" s="120">
        <f>_xlfn.COMPOUNDVALUE(956)</f>
        <v>12617</v>
      </c>
      <c r="M87" s="122">
        <v>13401486</v>
      </c>
      <c r="N87" s="139">
        <v>12618</v>
      </c>
      <c r="O87" s="140">
        <v>333</v>
      </c>
      <c r="P87" s="140">
        <v>30</v>
      </c>
      <c r="Q87" s="141">
        <v>12981</v>
      </c>
      <c r="R87" s="25" t="s">
        <v>95</v>
      </c>
    </row>
    <row r="88" spans="1:18" ht="18.75" customHeight="1">
      <c r="A88" s="13" t="s">
        <v>96</v>
      </c>
      <c r="B88" s="120">
        <f>_xlfn.COMPOUNDVALUE(957)</f>
        <v>5782</v>
      </c>
      <c r="C88" s="121">
        <v>11217224</v>
      </c>
      <c r="D88" s="120">
        <f>_xlfn.COMPOUNDVALUE(958)</f>
        <v>3276</v>
      </c>
      <c r="E88" s="121">
        <v>954107</v>
      </c>
      <c r="F88" s="120">
        <f>_xlfn.COMPOUNDVALUE(959)</f>
        <v>9058</v>
      </c>
      <c r="G88" s="121">
        <v>12171331</v>
      </c>
      <c r="H88" s="120">
        <f>_xlfn.COMPOUNDVALUE(960)</f>
        <v>411</v>
      </c>
      <c r="I88" s="122">
        <v>987030</v>
      </c>
      <c r="J88" s="120">
        <v>585</v>
      </c>
      <c r="K88" s="122">
        <v>123515</v>
      </c>
      <c r="L88" s="120">
        <f>_xlfn.COMPOUNDVALUE(960)</f>
        <v>9589</v>
      </c>
      <c r="M88" s="122">
        <v>11307816</v>
      </c>
      <c r="N88" s="120">
        <v>9463</v>
      </c>
      <c r="O88" s="123">
        <v>214</v>
      </c>
      <c r="P88" s="123">
        <v>30</v>
      </c>
      <c r="Q88" s="124">
        <v>9707</v>
      </c>
      <c r="R88" s="14" t="s">
        <v>96</v>
      </c>
    </row>
    <row r="89" spans="1:18" ht="18.75" customHeight="1">
      <c r="A89" s="13" t="s">
        <v>97</v>
      </c>
      <c r="B89" s="120">
        <f>_xlfn.COMPOUNDVALUE(961)</f>
        <v>2059</v>
      </c>
      <c r="C89" s="121">
        <v>3701671</v>
      </c>
      <c r="D89" s="120">
        <f>_xlfn.COMPOUNDVALUE(962)</f>
        <v>952</v>
      </c>
      <c r="E89" s="121">
        <v>262569</v>
      </c>
      <c r="F89" s="120">
        <f>_xlfn.COMPOUNDVALUE(963)</f>
        <v>3011</v>
      </c>
      <c r="G89" s="121">
        <v>3964240</v>
      </c>
      <c r="H89" s="120">
        <f>_xlfn.COMPOUNDVALUE(964)</f>
        <v>99</v>
      </c>
      <c r="I89" s="122">
        <v>232460</v>
      </c>
      <c r="J89" s="120">
        <v>202</v>
      </c>
      <c r="K89" s="122">
        <v>-4467</v>
      </c>
      <c r="L89" s="120">
        <f>_xlfn.COMPOUNDVALUE(964)</f>
        <v>3166</v>
      </c>
      <c r="M89" s="122">
        <v>3727313</v>
      </c>
      <c r="N89" s="120">
        <v>3277</v>
      </c>
      <c r="O89" s="123">
        <v>48</v>
      </c>
      <c r="P89" s="123">
        <v>1</v>
      </c>
      <c r="Q89" s="124">
        <v>3326</v>
      </c>
      <c r="R89" s="14" t="s">
        <v>97</v>
      </c>
    </row>
    <row r="90" spans="1:18" ht="18.75" customHeight="1">
      <c r="A90" s="13" t="s">
        <v>98</v>
      </c>
      <c r="B90" s="120">
        <f>_xlfn.COMPOUNDVALUE(965)</f>
        <v>841</v>
      </c>
      <c r="C90" s="121">
        <v>1388098</v>
      </c>
      <c r="D90" s="120">
        <f>_xlfn.COMPOUNDVALUE(966)</f>
        <v>555</v>
      </c>
      <c r="E90" s="121">
        <v>150989</v>
      </c>
      <c r="F90" s="120">
        <f>_xlfn.COMPOUNDVALUE(967)</f>
        <v>1396</v>
      </c>
      <c r="G90" s="121">
        <v>1539087</v>
      </c>
      <c r="H90" s="120">
        <f>_xlfn.COMPOUNDVALUE(968)</f>
        <v>39</v>
      </c>
      <c r="I90" s="122">
        <v>65052</v>
      </c>
      <c r="J90" s="120">
        <v>72</v>
      </c>
      <c r="K90" s="122">
        <v>20209</v>
      </c>
      <c r="L90" s="120">
        <f>_xlfn.COMPOUNDVALUE(968)</f>
        <v>1441</v>
      </c>
      <c r="M90" s="122">
        <v>1494244</v>
      </c>
      <c r="N90" s="120">
        <v>1423</v>
      </c>
      <c r="O90" s="123">
        <v>29</v>
      </c>
      <c r="P90" s="123">
        <v>4</v>
      </c>
      <c r="Q90" s="124">
        <v>1456</v>
      </c>
      <c r="R90" s="14" t="s">
        <v>98</v>
      </c>
    </row>
    <row r="91" spans="1:18" s="17" customFormat="1" ht="18.75" customHeight="1">
      <c r="A91" s="15" t="s">
        <v>99</v>
      </c>
      <c r="B91" s="125">
        <v>15931</v>
      </c>
      <c r="C91" s="126">
        <v>32814585</v>
      </c>
      <c r="D91" s="125">
        <v>9298</v>
      </c>
      <c r="E91" s="126">
        <v>2740578</v>
      </c>
      <c r="F91" s="125">
        <v>25229</v>
      </c>
      <c r="G91" s="126">
        <v>35555163</v>
      </c>
      <c r="H91" s="125">
        <v>1216</v>
      </c>
      <c r="I91" s="127">
        <v>5864072</v>
      </c>
      <c r="J91" s="125">
        <v>1697</v>
      </c>
      <c r="K91" s="127">
        <v>239768</v>
      </c>
      <c r="L91" s="125">
        <v>26813</v>
      </c>
      <c r="M91" s="127">
        <v>29930859</v>
      </c>
      <c r="N91" s="125">
        <v>26781</v>
      </c>
      <c r="O91" s="128">
        <v>624</v>
      </c>
      <c r="P91" s="128">
        <v>65</v>
      </c>
      <c r="Q91" s="129">
        <v>27470</v>
      </c>
      <c r="R91" s="16" t="s">
        <v>127</v>
      </c>
    </row>
    <row r="92" spans="1:18" s="30" customFormat="1" ht="18.75" customHeight="1">
      <c r="A92" s="23"/>
      <c r="B92" s="130"/>
      <c r="C92" s="131"/>
      <c r="D92" s="130"/>
      <c r="E92" s="131"/>
      <c r="F92" s="132"/>
      <c r="G92" s="131"/>
      <c r="H92" s="132"/>
      <c r="I92" s="131"/>
      <c r="J92" s="132"/>
      <c r="K92" s="131"/>
      <c r="L92" s="132"/>
      <c r="M92" s="131"/>
      <c r="N92" s="142"/>
      <c r="O92" s="143"/>
      <c r="P92" s="143"/>
      <c r="Q92" s="144"/>
      <c r="R92" s="34" t="s">
        <v>122</v>
      </c>
    </row>
    <row r="93" spans="1:18" ht="18.75" customHeight="1">
      <c r="A93" s="11" t="s">
        <v>100</v>
      </c>
      <c r="B93" s="115">
        <f>_xlfn.COMPOUNDVALUE(969)</f>
        <v>5642</v>
      </c>
      <c r="C93" s="116">
        <v>17553897</v>
      </c>
      <c r="D93" s="115">
        <f>_xlfn.COMPOUNDVALUE(970)</f>
        <v>3178</v>
      </c>
      <c r="E93" s="116">
        <v>995047</v>
      </c>
      <c r="F93" s="115">
        <f>_xlfn.COMPOUNDVALUE(971)</f>
        <v>8820</v>
      </c>
      <c r="G93" s="116">
        <v>18548943</v>
      </c>
      <c r="H93" s="115">
        <f>_xlfn.COMPOUNDVALUE(972)</f>
        <v>314</v>
      </c>
      <c r="I93" s="117">
        <v>1703687</v>
      </c>
      <c r="J93" s="115">
        <v>534</v>
      </c>
      <c r="K93" s="117">
        <v>45823</v>
      </c>
      <c r="L93" s="115">
        <f>_xlfn.COMPOUNDVALUE(972)</f>
        <v>9222</v>
      </c>
      <c r="M93" s="117">
        <v>16891079</v>
      </c>
      <c r="N93" s="139">
        <v>8933</v>
      </c>
      <c r="O93" s="140">
        <v>158</v>
      </c>
      <c r="P93" s="140">
        <v>12</v>
      </c>
      <c r="Q93" s="141">
        <v>9103</v>
      </c>
      <c r="R93" s="25" t="s">
        <v>100</v>
      </c>
    </row>
    <row r="94" spans="1:18" ht="18.75" customHeight="1">
      <c r="A94" s="13" t="s">
        <v>101</v>
      </c>
      <c r="B94" s="120">
        <f>_xlfn.COMPOUNDVALUE(973)</f>
        <v>1088</v>
      </c>
      <c r="C94" s="121">
        <v>2296209</v>
      </c>
      <c r="D94" s="120">
        <f>_xlfn.COMPOUNDVALUE(974)</f>
        <v>679</v>
      </c>
      <c r="E94" s="121">
        <v>164215</v>
      </c>
      <c r="F94" s="120">
        <f>_xlfn.COMPOUNDVALUE(975)</f>
        <v>1767</v>
      </c>
      <c r="G94" s="121">
        <v>2460424</v>
      </c>
      <c r="H94" s="120">
        <f>_xlfn.COMPOUNDVALUE(976)</f>
        <v>50</v>
      </c>
      <c r="I94" s="122">
        <v>165815</v>
      </c>
      <c r="J94" s="120">
        <v>146</v>
      </c>
      <c r="K94" s="122">
        <v>9221</v>
      </c>
      <c r="L94" s="120">
        <f>_xlfn.COMPOUNDVALUE(976)</f>
        <v>1851</v>
      </c>
      <c r="M94" s="122">
        <v>2303830</v>
      </c>
      <c r="N94" s="115">
        <v>1734</v>
      </c>
      <c r="O94" s="118">
        <v>20</v>
      </c>
      <c r="P94" s="118">
        <v>3</v>
      </c>
      <c r="Q94" s="136">
        <v>1757</v>
      </c>
      <c r="R94" s="12" t="s">
        <v>101</v>
      </c>
    </row>
    <row r="95" spans="1:18" ht="18.75" customHeight="1">
      <c r="A95" s="13" t="s">
        <v>102</v>
      </c>
      <c r="B95" s="120">
        <f>_xlfn.COMPOUNDVALUE(977)</f>
        <v>1251</v>
      </c>
      <c r="C95" s="121">
        <v>1998726</v>
      </c>
      <c r="D95" s="120">
        <f>_xlfn.COMPOUNDVALUE(978)</f>
        <v>1257</v>
      </c>
      <c r="E95" s="121">
        <v>298748</v>
      </c>
      <c r="F95" s="120">
        <f>_xlfn.COMPOUNDVALUE(979)</f>
        <v>2508</v>
      </c>
      <c r="G95" s="121">
        <v>2297473</v>
      </c>
      <c r="H95" s="120">
        <f>_xlfn.COMPOUNDVALUE(980)</f>
        <v>64</v>
      </c>
      <c r="I95" s="122">
        <v>83171</v>
      </c>
      <c r="J95" s="120">
        <v>161</v>
      </c>
      <c r="K95" s="122">
        <v>12849</v>
      </c>
      <c r="L95" s="120">
        <f>_xlfn.COMPOUNDVALUE(980)</f>
        <v>2583</v>
      </c>
      <c r="M95" s="122">
        <v>2227151</v>
      </c>
      <c r="N95" s="115">
        <v>2609</v>
      </c>
      <c r="O95" s="118">
        <v>42</v>
      </c>
      <c r="P95" s="118">
        <v>2</v>
      </c>
      <c r="Q95" s="136">
        <v>2653</v>
      </c>
      <c r="R95" s="12" t="s">
        <v>102</v>
      </c>
    </row>
    <row r="96" spans="1:18" ht="18.75" customHeight="1">
      <c r="A96" s="13" t="s">
        <v>103</v>
      </c>
      <c r="B96" s="120">
        <f>_xlfn.COMPOUNDVALUE(981)</f>
        <v>1822</v>
      </c>
      <c r="C96" s="121">
        <v>3424772</v>
      </c>
      <c r="D96" s="120">
        <f>_xlfn.COMPOUNDVALUE(982)</f>
        <v>1597</v>
      </c>
      <c r="E96" s="121">
        <v>462053</v>
      </c>
      <c r="F96" s="120">
        <f>_xlfn.COMPOUNDVALUE(983)</f>
        <v>3419</v>
      </c>
      <c r="G96" s="121">
        <v>3886825</v>
      </c>
      <c r="H96" s="120">
        <f>_xlfn.COMPOUNDVALUE(984)</f>
        <v>57</v>
      </c>
      <c r="I96" s="122">
        <v>123581</v>
      </c>
      <c r="J96" s="120">
        <v>223</v>
      </c>
      <c r="K96" s="122">
        <v>17893</v>
      </c>
      <c r="L96" s="120">
        <f>_xlfn.COMPOUNDVALUE(984)</f>
        <v>3512</v>
      </c>
      <c r="M96" s="122">
        <v>3781137</v>
      </c>
      <c r="N96" s="115">
        <v>3605</v>
      </c>
      <c r="O96" s="118">
        <v>56</v>
      </c>
      <c r="P96" s="118">
        <v>4</v>
      </c>
      <c r="Q96" s="136">
        <v>3665</v>
      </c>
      <c r="R96" s="12" t="s">
        <v>103</v>
      </c>
    </row>
    <row r="97" spans="1:18" ht="18.75" customHeight="1">
      <c r="A97" s="13" t="s">
        <v>104</v>
      </c>
      <c r="B97" s="120">
        <f>_xlfn.COMPOUNDVALUE(985)</f>
        <v>1141</v>
      </c>
      <c r="C97" s="121">
        <v>1476142</v>
      </c>
      <c r="D97" s="120">
        <f>_xlfn.COMPOUNDVALUE(986)</f>
        <v>780</v>
      </c>
      <c r="E97" s="121">
        <v>215182</v>
      </c>
      <c r="F97" s="120">
        <f>_xlfn.COMPOUNDVALUE(987)</f>
        <v>1921</v>
      </c>
      <c r="G97" s="121">
        <v>1691323</v>
      </c>
      <c r="H97" s="120">
        <f>_xlfn.COMPOUNDVALUE(988)</f>
        <v>49</v>
      </c>
      <c r="I97" s="122">
        <v>69303</v>
      </c>
      <c r="J97" s="120">
        <v>135</v>
      </c>
      <c r="K97" s="122">
        <v>21879</v>
      </c>
      <c r="L97" s="120">
        <f>_xlfn.COMPOUNDVALUE(988)</f>
        <v>1994</v>
      </c>
      <c r="M97" s="122">
        <v>1643899</v>
      </c>
      <c r="N97" s="115">
        <v>2025</v>
      </c>
      <c r="O97" s="118">
        <v>32</v>
      </c>
      <c r="P97" s="118">
        <v>8</v>
      </c>
      <c r="Q97" s="136">
        <v>2065</v>
      </c>
      <c r="R97" s="12" t="s">
        <v>104</v>
      </c>
    </row>
    <row r="98" spans="1:18" ht="18.75" customHeight="1">
      <c r="A98" s="13" t="s">
        <v>105</v>
      </c>
      <c r="B98" s="120">
        <f>_xlfn.COMPOUNDVALUE(989)</f>
        <v>2224</v>
      </c>
      <c r="C98" s="121">
        <v>3881639</v>
      </c>
      <c r="D98" s="120">
        <f>_xlfn.COMPOUNDVALUE(990)</f>
        <v>1450</v>
      </c>
      <c r="E98" s="121">
        <v>392520</v>
      </c>
      <c r="F98" s="120">
        <f>_xlfn.COMPOUNDVALUE(991)</f>
        <v>3674</v>
      </c>
      <c r="G98" s="121">
        <v>4274158</v>
      </c>
      <c r="H98" s="120">
        <f>_xlfn.COMPOUNDVALUE(992)</f>
        <v>106</v>
      </c>
      <c r="I98" s="122">
        <v>222391</v>
      </c>
      <c r="J98" s="120">
        <v>236</v>
      </c>
      <c r="K98" s="122">
        <v>27220</v>
      </c>
      <c r="L98" s="120">
        <f>_xlfn.COMPOUNDVALUE(992)</f>
        <v>3831</v>
      </c>
      <c r="M98" s="122">
        <v>4078987</v>
      </c>
      <c r="N98" s="115">
        <v>3761</v>
      </c>
      <c r="O98" s="118">
        <v>66</v>
      </c>
      <c r="P98" s="118">
        <v>11</v>
      </c>
      <c r="Q98" s="136">
        <v>3838</v>
      </c>
      <c r="R98" s="12" t="s">
        <v>105</v>
      </c>
    </row>
    <row r="99" spans="1:18" ht="18.75" customHeight="1">
      <c r="A99" s="13" t="s">
        <v>106</v>
      </c>
      <c r="B99" s="120">
        <f>_xlfn.COMPOUNDVALUE(993)</f>
        <v>1177</v>
      </c>
      <c r="C99" s="121">
        <v>2372881</v>
      </c>
      <c r="D99" s="120">
        <f>_xlfn.COMPOUNDVALUE(994)</f>
        <v>1313</v>
      </c>
      <c r="E99" s="121">
        <v>304428</v>
      </c>
      <c r="F99" s="120">
        <f>_xlfn.COMPOUNDVALUE(995)</f>
        <v>2490</v>
      </c>
      <c r="G99" s="121">
        <v>2677309</v>
      </c>
      <c r="H99" s="120">
        <f>_xlfn.COMPOUNDVALUE(996)</f>
        <v>37</v>
      </c>
      <c r="I99" s="122">
        <v>64174</v>
      </c>
      <c r="J99" s="120">
        <v>134</v>
      </c>
      <c r="K99" s="122">
        <v>37487</v>
      </c>
      <c r="L99" s="120">
        <f>_xlfn.COMPOUNDVALUE(996)</f>
        <v>2549</v>
      </c>
      <c r="M99" s="122">
        <v>2650623</v>
      </c>
      <c r="N99" s="115">
        <v>2726</v>
      </c>
      <c r="O99" s="118">
        <v>32</v>
      </c>
      <c r="P99" s="118">
        <v>2</v>
      </c>
      <c r="Q99" s="136">
        <v>2760</v>
      </c>
      <c r="R99" s="12" t="s">
        <v>106</v>
      </c>
    </row>
    <row r="100" spans="1:18" ht="18.75" customHeight="1">
      <c r="A100" s="15" t="s">
        <v>107</v>
      </c>
      <c r="B100" s="125">
        <v>14345</v>
      </c>
      <c r="C100" s="126">
        <v>33004264</v>
      </c>
      <c r="D100" s="125">
        <v>10254</v>
      </c>
      <c r="E100" s="126">
        <v>2832192</v>
      </c>
      <c r="F100" s="125">
        <v>24599</v>
      </c>
      <c r="G100" s="126">
        <v>35836456</v>
      </c>
      <c r="H100" s="125">
        <v>677</v>
      </c>
      <c r="I100" s="127">
        <v>2432121</v>
      </c>
      <c r="J100" s="125">
        <v>1569</v>
      </c>
      <c r="K100" s="127">
        <v>172372</v>
      </c>
      <c r="L100" s="125">
        <v>25542</v>
      </c>
      <c r="M100" s="127">
        <v>33576707</v>
      </c>
      <c r="N100" s="125">
        <v>25393</v>
      </c>
      <c r="O100" s="128">
        <v>406</v>
      </c>
      <c r="P100" s="128">
        <v>42</v>
      </c>
      <c r="Q100" s="129">
        <v>25841</v>
      </c>
      <c r="R100" s="16" t="s">
        <v>128</v>
      </c>
    </row>
    <row r="101" spans="1:18" ht="18.75" customHeight="1" thickBot="1">
      <c r="A101" s="18"/>
      <c r="B101" s="145"/>
      <c r="C101" s="146"/>
      <c r="D101" s="145"/>
      <c r="E101" s="146"/>
      <c r="F101" s="147"/>
      <c r="G101" s="146"/>
      <c r="H101" s="147"/>
      <c r="I101" s="146"/>
      <c r="J101" s="147"/>
      <c r="K101" s="146"/>
      <c r="L101" s="147"/>
      <c r="M101" s="146"/>
      <c r="N101" s="142"/>
      <c r="O101" s="143"/>
      <c r="P101" s="143"/>
      <c r="Q101" s="144"/>
      <c r="R101" s="34" t="s">
        <v>122</v>
      </c>
    </row>
    <row r="102" spans="1:18" ht="18.75" customHeight="1" thickBot="1" thickTop="1">
      <c r="A102" s="21" t="s">
        <v>121</v>
      </c>
      <c r="B102" s="148">
        <v>311771</v>
      </c>
      <c r="C102" s="149">
        <v>1335084088</v>
      </c>
      <c r="D102" s="148">
        <v>169788</v>
      </c>
      <c r="E102" s="149">
        <v>53540197</v>
      </c>
      <c r="F102" s="148">
        <v>481559</v>
      </c>
      <c r="G102" s="149">
        <v>1388624285</v>
      </c>
      <c r="H102" s="148">
        <v>29548</v>
      </c>
      <c r="I102" s="150">
        <v>293367779</v>
      </c>
      <c r="J102" s="148">
        <v>32155</v>
      </c>
      <c r="K102" s="150">
        <v>5727784</v>
      </c>
      <c r="L102" s="148">
        <v>518276</v>
      </c>
      <c r="M102" s="150">
        <v>1100984290</v>
      </c>
      <c r="N102" s="151">
        <v>521500</v>
      </c>
      <c r="O102" s="152">
        <v>13997</v>
      </c>
      <c r="P102" s="152">
        <v>1977</v>
      </c>
      <c r="Q102" s="153">
        <v>537474</v>
      </c>
      <c r="R102" s="35" t="s">
        <v>121</v>
      </c>
    </row>
    <row r="103" spans="1:9" ht="13.5">
      <c r="A103" s="193" t="s">
        <v>130</v>
      </c>
      <c r="B103" s="193"/>
      <c r="C103" s="193"/>
      <c r="D103" s="193"/>
      <c r="E103" s="193"/>
      <c r="F103" s="193"/>
      <c r="G103" s="193"/>
      <c r="H103" s="193"/>
      <c r="I103" s="193"/>
    </row>
  </sheetData>
  <sheetProtection/>
  <mergeCells count="16">
    <mergeCell ref="A103:I103"/>
    <mergeCell ref="A2:I2"/>
    <mergeCell ref="A3:A5"/>
    <mergeCell ref="B3:G3"/>
    <mergeCell ref="H3:I4"/>
    <mergeCell ref="R3:R5"/>
    <mergeCell ref="B4:C4"/>
    <mergeCell ref="D4:E4"/>
    <mergeCell ref="F4:G4"/>
    <mergeCell ref="N4:N5"/>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(H25)</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2015-05-19T09:31:25Z</cp:lastPrinted>
  <dcterms:created xsi:type="dcterms:W3CDTF">2011-12-09T10:59:54Z</dcterms:created>
  <dcterms:modified xsi:type="dcterms:W3CDTF">2015-06-26T04:38:45Z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