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0" tabRatio="914"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<sst xmlns="http://schemas.openxmlformats.org/spreadsheetml/2006/main" count="514" uniqueCount="234">
  <si>
    <t>７　消　費　税</t>
  </si>
  <si>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</si>
  <si>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</si>
  <si>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</si>
  <si>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</si>
  <si>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</si>
  <si>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</si>
  <si>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</si>
  <si>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</si>
  <si>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</si>
  <si>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</si>
  <si>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</si>
  <si>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</si>
  <si>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</si>
  <si>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</si>
  <si>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</si>
  <si>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</si>
  <si>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</si>
  <si>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</si>
  <si>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</si>
  <si>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</si>
  <si>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</si>
  <si>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</si>
  <si>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</si>
  <si>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</si>
  <si>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</si>
  <si>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</si>
  <si>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</si>
  <si>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</si>
  <si>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</si>
  <si>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</si>
  <si>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</si>
  <si>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</si>
  <si>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</si>
  <si>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</si>
  <si>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</si>
  <si>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</si>
  <si>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</si>
  <si>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</si>
  <si>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</si>
  <si>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</si>
  <si>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</si>
  <si>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</si>
  <si>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</si>
  <si>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</si>
  <si>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</si>
  <si>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</si>
  <si>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</si>
  <si>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</si>
  <si>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</si>
  <si>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</si>
  <si>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</si>
  <si>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</si>
  <si>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</si>
  <si>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</si>
  <si>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</si>
  <si>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</si>
  <si>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</si>
  <si>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</si>
  <si>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</si>
  <si>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</si>
  <si>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</si>
  <si>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</si>
  <si>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</si>
  <si>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</si>
  <si>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</si>
  <si>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</si>
  <si>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</si>
  <si>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</si>
  <si>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</si>
  <si>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</si>
  <si>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</si>
  <si>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</si>
  <si>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</si>
  <si>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</si>
  <si>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</si>
  <si>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</si>
  <si>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</si>
  <si>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</si>
  <si>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</si>
  <si>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</si>
  <si>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</si>
  <si>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</si>
  <si>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</si>
  <si>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</si>
  <si>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</si>
  <si>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</si>
  <si>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</si>
  <si>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</si>
  <si>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</si>
  <si>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</si>
  <si>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</si>
  <si>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</si>
  <si>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</si>
  <si>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</si>
  <si>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</si>
  <si>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</si>
  <si>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</si>
  <si>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</si>
  <si>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</si>
  <si>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</si>
  <si>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</si>
  <si>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</si>
  <si>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</si>
  <si>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</si>
  <si>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</si>
  <si>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</si>
  <si>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</si>
  <si>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</si>
  <si>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</si>
  <si>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</si>
  <si>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</si>
  <si>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</si>
  <si>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</si>
  <si>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</si>
  <si>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</si>
  <si>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</si>
  <si>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</si>
  <si>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</si>
  <si>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</si>
  <si>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</si>
  <si>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</si>
  <si>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</si>
  <si>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</si>
  <si>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</si>
  <si>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</si>
  <si>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</si>
  <si>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</si>
  <si>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</si>
  <si>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</si>
  <si>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</si>
  <si>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</si>
  <si>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</si>
  <si>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</si>
  <si>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</si>
  <si>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</si>
  <si>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</si>
  <si>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</si>
  <si>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</si>
  <si>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</si>
  <si>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</si>
  <si>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</si>
  <si>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</si>
  <si>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</si>
  <si>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</si>
  <si>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</si>
  <si>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</si>
  <si>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</si>
  <si>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</si>
  <si>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</si>
  <si>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</si>
  <si>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</si>
  <si>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</si>
  <si>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</si>
  <si>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</si>
  <si>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</si>
  <si>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</si>
  <si>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</si>
  <si>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</si>
  <si>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税関分は含まない。</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</si>
  <si>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</si>
  <si>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</si>
  <si>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</si>
  <si>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</si>
  <si>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</si>
  <si>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</si>
  <si>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</si>
  <si>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</si>
  <si>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</si>
  <si>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</si>
  <si>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</si>
  <si>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</si>
  <si>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</si>
  <si>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</si>
  <si>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</si>
  <si>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</si>
  <si>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</si>
  <si>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</si>
  <si>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</si>
  <si>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</si>
  <si>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</si>
  <si>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</si>
  <si>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</si>
  <si>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</si>
  <si>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</si>
  <si>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</si>
  <si>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</si>
  <si>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</si>
  <si>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</si>
  <si>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</si>
  <si>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</si>
  <si>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</si>
  <si>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</si>
  <si>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</si>
  <si>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</si>
  <si>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</si>
  <si>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</si>
  <si>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</si>
  <si>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</si>
  <si>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</si>
  <si>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</si>
  <si>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</si>
  <si>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</si>
  <si>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</si>
  <si>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</si>
  <si>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</si>
  <si>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</si>
  <si>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</si>
  <si>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</si>
  <si>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</si>
  <si>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</si>
  <si>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</si>
  <si>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</si>
  <si>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</si>
  <si>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</si>
  <si>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</si>
  <si>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</si>
  <si>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</si>
  <si>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</si>
  <si>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</si>
  <si>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</si>
  <si>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</si>
  <si>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</si>
  <si>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</si>
  <si>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　（注）</t>
  </si>
  <si>
    <t>個　人　事　業　者</t>
  </si>
  <si>
    <t>法　　　　　人</t>
  </si>
  <si>
    <t>合　　　　　計</t>
  </si>
  <si>
    <t>令和２年度</t>
  </si>
  <si>
    <t>調査対象等：</t>
  </si>
  <si>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</si>
  <si>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xml:space="preserve">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</si>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</sst>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6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0"/>
      <color indexed="8"/>
      <name val="ＭＳ 明朝"/>
      <family val="1"/>
    </font>
    <font>
      <sz val="10"/>
      <color indexed="8"/>
      <name val="ＭＳ ゴシック"/>
      <family val="3"/>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10"/>
      <color theme="1"/>
      <name val="ＭＳ 明朝"/>
      <family val="1"/>
    </font>
    <font>
      <sz val="10"/>
      <color theme="1"/>
      <name val="ＭＳ ゴシック"/>
      <family val="3"/>
    </font>
    <font>
      <b/>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color indexed="63"/>
      </top>
      <bottom style="medium"/>
    </border>
    <border>
      <left style="hair"/>
      <right/>
      <top/>
      <bottom style="mediu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hair">
        <color rgb="FF969696"/>
      </top>
      <bottom>
        <color indexed="63"/>
      </bottom>
    </border>
    <border>
      <left style="thin"/>
      <right style="hair"/>
      <top style="hair">
        <color rgb="FF969696"/>
      </top>
      <bottom>
        <color indexed="63"/>
      </bottom>
    </border>
    <border>
      <left style="hair"/>
      <right style="thin"/>
      <top style="hair">
        <color rgb="FF969696"/>
      </top>
      <bottom>
        <color indexed="63"/>
      </bottom>
    </border>
    <border>
      <left style="hair"/>
      <right/>
      <top style="hair">
        <color rgb="FF969696"/>
      </top>
      <bottom>
        <color indexed="63"/>
      </bottom>
    </border>
    <border>
      <left style="thin"/>
      <right style="medium"/>
      <top style="hair">
        <color rgb="FF969696"/>
      </top>
      <bottom>
        <color indexed="63"/>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color indexed="63"/>
      </top>
      <bottom style="double"/>
    </border>
    <border>
      <left style="thin"/>
      <right style="hair"/>
      <top>
        <color indexed="63"/>
      </top>
      <bottom style="double"/>
    </border>
    <border>
      <left style="medium"/>
      <right/>
      <top style="thin">
        <color theme="0" tint="-0.3499799966812134"/>
      </top>
      <bottom style="thin">
        <color rgb="FF969696"/>
      </bottom>
    </border>
    <border>
      <left style="thin"/>
      <right style="hair"/>
      <top style="thin">
        <color theme="0" tint="-0.3499799966812134"/>
      </top>
      <bottom style="thin">
        <color rgb="FF969696"/>
      </bottom>
    </border>
    <border>
      <left style="hair"/>
      <right style="thin"/>
      <top style="thin">
        <color theme="0" tint="-0.3499799966812134"/>
      </top>
      <bottom style="thin">
        <color rgb="FF969696"/>
      </bottom>
    </border>
    <border>
      <left style="hair"/>
      <right/>
      <top style="thin">
        <color theme="0" tint="-0.3499799966812134"/>
      </top>
      <bottom style="thin">
        <color rgb="FF969696"/>
      </bottom>
    </border>
    <border>
      <left style="thin"/>
      <right style="medium"/>
      <top style="thin">
        <color theme="0" tint="-0.3499799966812134"/>
      </top>
      <bottom style="thin">
        <color rgb="FF969696"/>
      </bottom>
    </border>
    <border>
      <left style="thin"/>
      <right/>
      <top>
        <color indexed="63"/>
      </top>
      <bottom style="double"/>
    </border>
    <border>
      <left style="thin"/>
      <right style="medium"/>
      <top/>
      <bottom/>
    </border>
    <border>
      <left style="hair"/>
      <right style="hair"/>
      <top>
        <color indexed="63"/>
      </top>
      <bottom style="hair">
        <color rgb="FF969696"/>
      </bottom>
    </border>
    <border>
      <left style="thin"/>
      <right style="hair"/>
      <top>
        <color indexed="63"/>
      </top>
      <bottom>
        <color indexed="63"/>
      </bottom>
    </border>
    <border>
      <left style="hair"/>
      <right style="hair"/>
      <top>
        <color indexed="63"/>
      </top>
      <bottom>
        <color indexed="63"/>
      </bottom>
    </border>
    <border>
      <left style="hair"/>
      <right/>
      <top/>
      <bottom>
        <color indexed="63"/>
      </bottom>
    </border>
    <border>
      <left style="hair"/>
      <right style="hair"/>
      <top style="thin">
        <color theme="0" tint="-0.3499799966812134"/>
      </top>
      <bottom style="thin">
        <color theme="0" tint="-0.3499799966812134"/>
      </bottom>
    </border>
    <border>
      <left style="hair"/>
      <right style="hair"/>
      <top style="hair">
        <color rgb="FF969696"/>
      </top>
      <bottom>
        <color indexed="63"/>
      </bottom>
    </border>
    <border>
      <left style="hair"/>
      <right style="hair"/>
      <top style="hair">
        <color rgb="FF969696"/>
      </top>
      <bottom style="hair">
        <color rgb="FF969696"/>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30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0"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1"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5"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6" xfId="61" applyFont="1" applyBorder="1" applyAlignment="1">
      <alignment horizontal="distributed" vertical="center" indent="1"/>
      <protection/>
    </xf>
    <xf numFmtId="0" fontId="10" fillId="0" borderId="37"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38" xfId="61" applyFont="1" applyFill="1" applyBorder="1" applyAlignment="1">
      <alignment horizontal="right" vertical="top"/>
      <protection/>
    </xf>
    <xf numFmtId="0" fontId="7" fillId="35" borderId="34"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39" xfId="61" applyFont="1" applyFill="1" applyBorder="1" applyAlignment="1">
      <alignment horizontal="distributed" vertical="center"/>
      <protection/>
    </xf>
    <xf numFmtId="0" fontId="10" fillId="35" borderId="40" xfId="61" applyFont="1" applyFill="1" applyBorder="1" applyAlignment="1">
      <alignment horizontal="distributed" vertical="center"/>
      <protection/>
    </xf>
    <xf numFmtId="0" fontId="9" fillId="0" borderId="0" xfId="61" applyFont="1" applyBorder="1">
      <alignment/>
      <protection/>
    </xf>
    <xf numFmtId="0" fontId="10" fillId="35" borderId="41" xfId="61" applyFont="1" applyFill="1" applyBorder="1" applyAlignment="1">
      <alignment horizontal="distributed" vertical="center"/>
      <protection/>
    </xf>
    <xf numFmtId="0" fontId="10" fillId="35" borderId="42" xfId="61" applyFont="1" applyFill="1" applyBorder="1" applyAlignment="1">
      <alignment horizontal="distributed" vertical="center"/>
      <protection/>
    </xf>
    <xf numFmtId="0" fontId="12" fillId="0" borderId="43" xfId="61" applyFont="1" applyFill="1" applyBorder="1" applyAlignment="1">
      <alignment horizontal="distributed" vertical="center"/>
      <protection/>
    </xf>
    <xf numFmtId="0" fontId="12" fillId="0" borderId="44" xfId="61" applyFont="1" applyFill="1" applyBorder="1" applyAlignment="1">
      <alignment horizontal="center"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29"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6" xfId="61" applyFont="1" applyFill="1" applyBorder="1" applyAlignment="1">
      <alignment horizontal="right" vertical="top"/>
      <protection/>
    </xf>
    <xf numFmtId="0" fontId="10" fillId="36" borderId="38" xfId="61" applyFont="1" applyFill="1" applyBorder="1" applyAlignment="1">
      <alignment horizontal="right" vertical="top"/>
      <protection/>
    </xf>
    <xf numFmtId="0" fontId="10" fillId="35" borderId="34" xfId="61" applyFont="1" applyFill="1" applyBorder="1" applyAlignment="1">
      <alignment horizontal="distributed" vertical="top"/>
      <protection/>
    </xf>
    <xf numFmtId="0" fontId="13" fillId="0" borderId="0" xfId="61" applyFont="1" applyBorder="1" applyAlignment="1">
      <alignment vertical="top"/>
      <protection/>
    </xf>
    <xf numFmtId="0" fontId="14" fillId="35" borderId="39" xfId="61" applyFont="1" applyFill="1" applyBorder="1" applyAlignment="1">
      <alignment horizontal="distributed" vertical="center" shrinkToFit="1"/>
      <protection/>
    </xf>
    <xf numFmtId="0" fontId="14" fillId="35" borderId="40" xfId="61" applyFont="1" applyFill="1" applyBorder="1" applyAlignment="1">
      <alignment horizontal="distributed" vertical="center" shrinkToFit="1"/>
      <protection/>
    </xf>
    <xf numFmtId="0" fontId="14" fillId="35" borderId="41" xfId="61" applyFont="1" applyFill="1" applyBorder="1" applyAlignment="1">
      <alignment horizontal="distributed" vertical="center" shrinkToFit="1"/>
      <protection/>
    </xf>
    <xf numFmtId="0" fontId="14" fillId="35" borderId="42" xfId="61" applyFont="1" applyFill="1" applyBorder="1" applyAlignment="1">
      <alignment horizontal="distributed" vertical="center" shrinkToFit="1"/>
      <protection/>
    </xf>
    <xf numFmtId="0" fontId="10" fillId="35" borderId="39" xfId="61" applyFont="1" applyFill="1" applyBorder="1" applyAlignment="1">
      <alignment horizontal="distributed" vertical="center" shrinkToFit="1"/>
      <protection/>
    </xf>
    <xf numFmtId="0" fontId="10" fillId="35" borderId="42" xfId="61" applyFont="1" applyFill="1" applyBorder="1" applyAlignment="1">
      <alignment horizontal="distributed" vertical="center" shrinkToFit="1"/>
      <protection/>
    </xf>
    <xf numFmtId="0" fontId="15" fillId="0" borderId="43" xfId="61" applyFont="1" applyFill="1" applyBorder="1" applyAlignment="1">
      <alignment horizontal="distributed" vertical="center" shrinkToFit="1"/>
      <protection/>
    </xf>
    <xf numFmtId="0" fontId="11" fillId="0" borderId="45" xfId="61" applyFont="1" applyBorder="1" applyAlignment="1">
      <alignment horizontal="center" vertical="center" shrinkToFit="1"/>
      <protection/>
    </xf>
    <xf numFmtId="0" fontId="11" fillId="0" borderId="47" xfId="61" applyFont="1" applyBorder="1" applyAlignment="1">
      <alignment horizontal="center" vertical="center" shrinkToFit="1"/>
      <protection/>
    </xf>
    <xf numFmtId="0" fontId="10" fillId="0" borderId="48" xfId="61" applyFont="1" applyBorder="1" applyAlignment="1">
      <alignment vertical="center"/>
      <protection/>
    </xf>
    <xf numFmtId="0" fontId="10" fillId="0" borderId="36" xfId="61" applyFont="1" applyBorder="1" applyAlignment="1">
      <alignment horizontal="distributed" vertical="center" wrapText="1" indent="1"/>
      <protection/>
    </xf>
    <xf numFmtId="0" fontId="10" fillId="0" borderId="36"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5" xfId="0" applyNumberFormat="1" applyFont="1" applyFill="1" applyBorder="1" applyAlignment="1">
      <alignment vertical="center"/>
    </xf>
    <xf numFmtId="3" fontId="2" fillId="34"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177" fontId="14" fillId="36" borderId="59" xfId="61" applyNumberFormat="1" applyFont="1" applyFill="1" applyBorder="1" applyAlignment="1">
      <alignment horizontal="right" vertical="center" shrinkToFit="1"/>
      <protection/>
    </xf>
    <xf numFmtId="177" fontId="14" fillId="37" borderId="60" xfId="61" applyNumberFormat="1" applyFont="1" applyFill="1" applyBorder="1" applyAlignment="1">
      <alignment horizontal="right" vertical="center" shrinkToFit="1"/>
      <protection/>
    </xf>
    <xf numFmtId="177" fontId="14" fillId="37" borderId="61" xfId="61" applyNumberFormat="1" applyFont="1" applyFill="1" applyBorder="1" applyAlignment="1">
      <alignment horizontal="right" vertical="center" shrinkToFit="1"/>
      <protection/>
    </xf>
    <xf numFmtId="177" fontId="14" fillId="36" borderId="62" xfId="61" applyNumberFormat="1" applyFont="1" applyFill="1" applyBorder="1" applyAlignment="1">
      <alignment horizontal="right" vertical="center" shrinkToFit="1"/>
      <protection/>
    </xf>
    <xf numFmtId="177" fontId="14" fillId="37" borderId="63" xfId="61" applyNumberFormat="1" applyFont="1" applyFill="1" applyBorder="1" applyAlignment="1">
      <alignment horizontal="right" vertical="center" shrinkToFit="1"/>
      <protection/>
    </xf>
    <xf numFmtId="177" fontId="14" fillId="37" borderId="64" xfId="61" applyNumberFormat="1" applyFont="1" applyFill="1" applyBorder="1" applyAlignment="1">
      <alignment horizontal="right" vertical="center" shrinkToFit="1"/>
      <protection/>
    </xf>
    <xf numFmtId="177" fontId="11" fillId="36" borderId="65" xfId="61" applyNumberFormat="1" applyFont="1" applyFill="1" applyBorder="1" applyAlignment="1">
      <alignment horizontal="right" vertical="center" shrinkToFit="1"/>
      <protection/>
    </xf>
    <xf numFmtId="177" fontId="11" fillId="37" borderId="57" xfId="61" applyNumberFormat="1" applyFont="1" applyFill="1" applyBorder="1" applyAlignment="1">
      <alignment horizontal="right" vertical="center" shrinkToFit="1"/>
      <protection/>
    </xf>
    <xf numFmtId="177" fontId="11" fillId="37" borderId="66"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59" xfId="61" applyNumberFormat="1" applyFont="1" applyFill="1" applyBorder="1" applyAlignment="1">
      <alignment horizontal="right" vertical="center"/>
      <protection/>
    </xf>
    <xf numFmtId="177" fontId="10" fillId="37" borderId="60" xfId="61" applyNumberFormat="1" applyFont="1" applyFill="1" applyBorder="1" applyAlignment="1">
      <alignment horizontal="right" vertical="center"/>
      <protection/>
    </xf>
    <xf numFmtId="177" fontId="10" fillId="37" borderId="61" xfId="61" applyNumberFormat="1" applyFont="1" applyFill="1" applyBorder="1" applyAlignment="1">
      <alignment horizontal="right" vertical="center"/>
      <protection/>
    </xf>
    <xf numFmtId="177" fontId="10" fillId="36" borderId="62" xfId="61" applyNumberFormat="1" applyFont="1" applyFill="1" applyBorder="1" applyAlignment="1">
      <alignment horizontal="right" vertical="center"/>
      <protection/>
    </xf>
    <xf numFmtId="177" fontId="10" fillId="37" borderId="63"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shrinkToFit="1"/>
      <protection/>
    </xf>
    <xf numFmtId="177" fontId="12" fillId="0" borderId="67" xfId="61" applyNumberFormat="1" applyFont="1" applyFill="1" applyBorder="1" applyAlignment="1">
      <alignment horizontal="right" vertical="center"/>
      <protection/>
    </xf>
    <xf numFmtId="177" fontId="12" fillId="0" borderId="68" xfId="61" applyNumberFormat="1" applyFont="1" applyFill="1" applyBorder="1" applyAlignment="1">
      <alignment horizontal="right" vertical="center"/>
      <protection/>
    </xf>
    <xf numFmtId="177" fontId="12" fillId="0" borderId="69" xfId="61" applyNumberFormat="1" applyFont="1" applyFill="1" applyBorder="1" applyAlignment="1">
      <alignment horizontal="right" vertical="center"/>
      <protection/>
    </xf>
    <xf numFmtId="177" fontId="11" fillId="36" borderId="65" xfId="61" applyNumberFormat="1" applyFont="1" applyFill="1" applyBorder="1" applyAlignment="1">
      <alignment horizontal="right" vertical="center"/>
      <protection/>
    </xf>
    <xf numFmtId="177" fontId="11" fillId="37" borderId="57" xfId="61" applyNumberFormat="1" applyFont="1" applyFill="1" applyBorder="1" applyAlignment="1">
      <alignment horizontal="right" vertical="center"/>
      <protection/>
    </xf>
    <xf numFmtId="177" fontId="11" fillId="37" borderId="6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70"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10" fillId="0" borderId="72" xfId="61" applyFont="1" applyBorder="1" applyAlignment="1">
      <alignment horizontal="centerContinuous" vertical="center" wrapText="1"/>
      <protection/>
    </xf>
    <xf numFmtId="0" fontId="10" fillId="0" borderId="73" xfId="61" applyFont="1" applyBorder="1" applyAlignment="1">
      <alignment horizontal="centerContinuous" vertical="center" wrapText="1"/>
      <protection/>
    </xf>
    <xf numFmtId="0" fontId="10" fillId="0" borderId="74" xfId="61" applyFont="1" applyBorder="1" applyAlignment="1">
      <alignment horizontal="centerContinuous" vertical="center" wrapText="1"/>
      <protection/>
    </xf>
    <xf numFmtId="3" fontId="2" fillId="34" borderId="75" xfId="0" applyNumberFormat="1" applyFont="1" applyFill="1" applyBorder="1" applyAlignment="1">
      <alignment vertical="center"/>
    </xf>
    <xf numFmtId="3" fontId="2" fillId="34" borderId="76" xfId="0" applyNumberFormat="1" applyFont="1" applyFill="1" applyBorder="1" applyAlignment="1">
      <alignment vertical="center"/>
    </xf>
    <xf numFmtId="3" fontId="2" fillId="34" borderId="77" xfId="0" applyNumberFormat="1" applyFont="1" applyFill="1" applyBorder="1" applyAlignment="1">
      <alignment vertical="center"/>
    </xf>
    <xf numFmtId="3" fontId="2" fillId="34" borderId="46" xfId="0" applyNumberFormat="1" applyFont="1" applyFill="1" applyBorder="1" applyAlignment="1">
      <alignment vertical="center"/>
    </xf>
    <xf numFmtId="0" fontId="10" fillId="35" borderId="78" xfId="61" applyFont="1" applyFill="1" applyBorder="1" applyAlignment="1">
      <alignment horizontal="distributed" vertical="center"/>
      <protection/>
    </xf>
    <xf numFmtId="177" fontId="10" fillId="36" borderId="79" xfId="61" applyNumberFormat="1" applyFont="1" applyFill="1" applyBorder="1" applyAlignment="1">
      <alignment horizontal="right" vertical="center"/>
      <protection/>
    </xf>
    <xf numFmtId="177" fontId="10" fillId="37" borderId="80" xfId="61" applyNumberFormat="1" applyFont="1" applyFill="1" applyBorder="1" applyAlignment="1">
      <alignment horizontal="right" vertical="center"/>
      <protection/>
    </xf>
    <xf numFmtId="177" fontId="10" fillId="37" borderId="81" xfId="61" applyNumberFormat="1" applyFont="1" applyFill="1" applyBorder="1" applyAlignment="1">
      <alignment horizontal="right" vertical="center"/>
      <protection/>
    </xf>
    <xf numFmtId="0" fontId="10" fillId="35" borderId="82" xfId="61" applyFont="1" applyFill="1" applyBorder="1" applyAlignment="1">
      <alignment horizontal="distributed" vertical="center"/>
      <protection/>
    </xf>
    <xf numFmtId="0" fontId="11" fillId="35" borderId="83" xfId="61" applyFont="1" applyFill="1" applyBorder="1" applyAlignment="1">
      <alignment horizontal="distributed" vertical="center"/>
      <protection/>
    </xf>
    <xf numFmtId="177" fontId="11" fillId="36" borderId="84" xfId="61" applyNumberFormat="1" applyFont="1" applyFill="1" applyBorder="1" applyAlignment="1">
      <alignment horizontal="right" vertical="center"/>
      <protection/>
    </xf>
    <xf numFmtId="177" fontId="11" fillId="37" borderId="85" xfId="61" applyNumberFormat="1" applyFont="1" applyFill="1" applyBorder="1" applyAlignment="1">
      <alignment horizontal="right" vertical="center"/>
      <protection/>
    </xf>
    <xf numFmtId="177" fontId="11" fillId="37" borderId="86" xfId="61" applyNumberFormat="1" applyFont="1" applyFill="1" applyBorder="1" applyAlignment="1">
      <alignment horizontal="right" vertical="center"/>
      <protection/>
    </xf>
    <xf numFmtId="0" fontId="11" fillId="35" borderId="87" xfId="61" applyFont="1" applyFill="1" applyBorder="1" applyAlignment="1">
      <alignment horizontal="distributed" vertical="center"/>
      <protection/>
    </xf>
    <xf numFmtId="0" fontId="12" fillId="0" borderId="83" xfId="61" applyFont="1" applyFill="1" applyBorder="1" applyAlignment="1">
      <alignment horizontal="distributed" vertical="center"/>
      <protection/>
    </xf>
    <xf numFmtId="177" fontId="12" fillId="0" borderId="88"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0" fontId="12" fillId="0" borderId="87" xfId="61" applyFont="1" applyFill="1" applyBorder="1" applyAlignment="1">
      <alignment horizontal="center" vertical="center"/>
      <protection/>
    </xf>
    <xf numFmtId="177" fontId="12" fillId="0" borderId="89" xfId="61" applyNumberFormat="1" applyFont="1" applyFill="1" applyBorder="1" applyAlignment="1">
      <alignment horizontal="right" vertical="center"/>
      <protection/>
    </xf>
    <xf numFmtId="177" fontId="12" fillId="0" borderId="90" xfId="61" applyNumberFormat="1" applyFont="1" applyFill="1" applyBorder="1" applyAlignment="1">
      <alignment horizontal="right" vertical="center"/>
      <protection/>
    </xf>
    <xf numFmtId="0" fontId="11" fillId="35" borderId="91" xfId="61" applyFont="1" applyFill="1" applyBorder="1" applyAlignment="1">
      <alignment horizontal="distributed" vertical="center"/>
      <protection/>
    </xf>
    <xf numFmtId="177" fontId="11" fillId="36" borderId="92" xfId="61" applyNumberFormat="1" applyFont="1" applyFill="1" applyBorder="1" applyAlignment="1">
      <alignment horizontal="right" vertical="center"/>
      <protection/>
    </xf>
    <xf numFmtId="177" fontId="11" fillId="37" borderId="93" xfId="61" applyNumberFormat="1" applyFont="1" applyFill="1" applyBorder="1" applyAlignment="1">
      <alignment horizontal="right" vertical="center"/>
      <protection/>
    </xf>
    <xf numFmtId="177" fontId="11" fillId="37" borderId="94" xfId="61" applyNumberFormat="1" applyFont="1" applyFill="1" applyBorder="1" applyAlignment="1">
      <alignment horizontal="right" vertical="center"/>
      <protection/>
    </xf>
    <xf numFmtId="0" fontId="11" fillId="35" borderId="95" xfId="61" applyFont="1" applyFill="1" applyBorder="1" applyAlignment="1">
      <alignment horizontal="distributed" vertical="center"/>
      <protection/>
    </xf>
    <xf numFmtId="0" fontId="14" fillId="35" borderId="78" xfId="61" applyFont="1" applyFill="1" applyBorder="1" applyAlignment="1">
      <alignment horizontal="distributed" vertical="center" shrinkToFit="1"/>
      <protection/>
    </xf>
    <xf numFmtId="177" fontId="14" fillId="36" borderId="79" xfId="61" applyNumberFormat="1" applyFont="1" applyFill="1" applyBorder="1" applyAlignment="1">
      <alignment horizontal="right" vertical="center" shrinkToFit="1"/>
      <protection/>
    </xf>
    <xf numFmtId="177" fontId="14" fillId="37" borderId="80" xfId="61" applyNumberFormat="1" applyFont="1" applyFill="1" applyBorder="1" applyAlignment="1">
      <alignment horizontal="right" vertical="center" shrinkToFit="1"/>
      <protection/>
    </xf>
    <xf numFmtId="177" fontId="14" fillId="37" borderId="81" xfId="61" applyNumberFormat="1" applyFont="1" applyFill="1" applyBorder="1" applyAlignment="1">
      <alignment horizontal="right" vertical="center" shrinkToFit="1"/>
      <protection/>
    </xf>
    <xf numFmtId="0" fontId="14" fillId="35" borderId="82" xfId="61" applyFont="1" applyFill="1" applyBorder="1" applyAlignment="1">
      <alignment horizontal="distributed" vertical="center" shrinkToFit="1"/>
      <protection/>
    </xf>
    <xf numFmtId="0" fontId="9" fillId="35" borderId="83" xfId="61" applyFont="1" applyFill="1" applyBorder="1" applyAlignment="1">
      <alignment horizontal="distributed" vertical="center" shrinkToFit="1"/>
      <protection/>
    </xf>
    <xf numFmtId="177" fontId="9" fillId="36" borderId="84" xfId="61" applyNumberFormat="1" applyFont="1" applyFill="1" applyBorder="1" applyAlignment="1">
      <alignment horizontal="right" vertical="center" shrinkToFit="1"/>
      <protection/>
    </xf>
    <xf numFmtId="177" fontId="9" fillId="37" borderId="85" xfId="61" applyNumberFormat="1" applyFont="1" applyFill="1" applyBorder="1" applyAlignment="1">
      <alignment horizontal="right" vertical="center" shrinkToFit="1"/>
      <protection/>
    </xf>
    <xf numFmtId="177" fontId="9" fillId="37" borderId="86" xfId="61" applyNumberFormat="1" applyFont="1" applyFill="1" applyBorder="1" applyAlignment="1">
      <alignment horizontal="right" vertical="center" shrinkToFit="1"/>
      <protection/>
    </xf>
    <xf numFmtId="0" fontId="9" fillId="35" borderId="87" xfId="61" applyFont="1" applyFill="1" applyBorder="1" applyAlignment="1">
      <alignment horizontal="distributed" vertical="center" shrinkToFit="1"/>
      <protection/>
    </xf>
    <xf numFmtId="0" fontId="15" fillId="0" borderId="83" xfId="61" applyFont="1" applyFill="1" applyBorder="1" applyAlignment="1">
      <alignment horizontal="distributed" vertical="center" shrinkToFit="1"/>
      <protection/>
    </xf>
    <xf numFmtId="177" fontId="15" fillId="0" borderId="88"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0" fontId="15" fillId="0" borderId="87" xfId="61" applyFont="1" applyFill="1" applyBorder="1" applyAlignment="1">
      <alignment horizontal="center" vertical="center" shrinkToFit="1"/>
      <protection/>
    </xf>
    <xf numFmtId="177" fontId="15" fillId="0" borderId="96" xfId="61" applyNumberFormat="1" applyFont="1" applyFill="1" applyBorder="1" applyAlignment="1">
      <alignment horizontal="right" vertical="center" shrinkToFit="1"/>
      <protection/>
    </xf>
    <xf numFmtId="177" fontId="15" fillId="0" borderId="89"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3" fontId="55" fillId="34" borderId="49" xfId="0" applyNumberFormat="1" applyFont="1" applyFill="1" applyBorder="1" applyAlignment="1">
      <alignment horizontal="right" vertical="center"/>
    </xf>
    <xf numFmtId="3" fontId="55" fillId="34" borderId="50" xfId="0" applyNumberFormat="1" applyFont="1" applyFill="1" applyBorder="1" applyAlignment="1">
      <alignment horizontal="right" vertical="center"/>
    </xf>
    <xf numFmtId="3" fontId="56" fillId="34" borderId="50" xfId="0" applyNumberFormat="1" applyFont="1" applyFill="1" applyBorder="1" applyAlignment="1">
      <alignment horizontal="right" vertical="center"/>
    </xf>
    <xf numFmtId="3" fontId="55" fillId="34" borderId="52" xfId="0" applyNumberFormat="1" applyFont="1" applyFill="1" applyBorder="1" applyAlignment="1">
      <alignment horizontal="right" vertical="center"/>
    </xf>
    <xf numFmtId="3" fontId="55" fillId="34" borderId="22" xfId="0" applyNumberFormat="1" applyFont="1" applyFill="1" applyBorder="1" applyAlignment="1">
      <alignment horizontal="right" vertical="center"/>
    </xf>
    <xf numFmtId="3" fontId="55" fillId="34" borderId="70" xfId="0" applyNumberFormat="1" applyFont="1" applyFill="1" applyBorder="1" applyAlignment="1">
      <alignment horizontal="right" vertical="center"/>
    </xf>
    <xf numFmtId="177" fontId="57" fillId="37" borderId="60" xfId="61" applyNumberFormat="1" applyFont="1" applyFill="1" applyBorder="1" applyAlignment="1">
      <alignment horizontal="right" vertical="center"/>
      <protection/>
    </xf>
    <xf numFmtId="177" fontId="57" fillId="36" borderId="59" xfId="61" applyNumberFormat="1" applyFont="1" applyFill="1" applyBorder="1" applyAlignment="1">
      <alignment horizontal="right" vertical="center"/>
      <protection/>
    </xf>
    <xf numFmtId="177" fontId="57" fillId="37" borderId="61" xfId="61" applyNumberFormat="1" applyFont="1" applyFill="1" applyBorder="1" applyAlignment="1">
      <alignment horizontal="right" vertical="center"/>
      <protection/>
    </xf>
    <xf numFmtId="177" fontId="57" fillId="37" borderId="63" xfId="61" applyNumberFormat="1" applyFont="1" applyFill="1" applyBorder="1" applyAlignment="1">
      <alignment horizontal="right" vertical="center"/>
      <protection/>
    </xf>
    <xf numFmtId="177" fontId="57" fillId="36" borderId="62" xfId="61" applyNumberFormat="1" applyFont="1" applyFill="1" applyBorder="1" applyAlignment="1">
      <alignment horizontal="right" vertical="center"/>
      <protection/>
    </xf>
    <xf numFmtId="177" fontId="57" fillId="37" borderId="64" xfId="61" applyNumberFormat="1" applyFont="1" applyFill="1" applyBorder="1" applyAlignment="1">
      <alignment horizontal="right" vertical="center"/>
      <protection/>
    </xf>
    <xf numFmtId="177" fontId="57" fillId="37" borderId="80" xfId="61" applyNumberFormat="1" applyFont="1" applyFill="1" applyBorder="1" applyAlignment="1">
      <alignment horizontal="right" vertical="center"/>
      <protection/>
    </xf>
    <xf numFmtId="177" fontId="57" fillId="36" borderId="79" xfId="61" applyNumberFormat="1" applyFont="1" applyFill="1" applyBorder="1" applyAlignment="1">
      <alignment horizontal="right" vertical="center"/>
      <protection/>
    </xf>
    <xf numFmtId="177" fontId="57" fillId="37" borderId="81" xfId="61" applyNumberFormat="1" applyFont="1" applyFill="1" applyBorder="1" applyAlignment="1">
      <alignment horizontal="right" vertical="center"/>
      <protection/>
    </xf>
    <xf numFmtId="177" fontId="58" fillId="36" borderId="84" xfId="61" applyNumberFormat="1" applyFont="1" applyFill="1" applyBorder="1" applyAlignment="1">
      <alignment horizontal="right" vertical="center"/>
      <protection/>
    </xf>
    <xf numFmtId="177" fontId="58" fillId="37" borderId="85" xfId="61" applyNumberFormat="1" applyFont="1" applyFill="1" applyBorder="1" applyAlignment="1">
      <alignment horizontal="right" vertical="center"/>
      <protection/>
    </xf>
    <xf numFmtId="177" fontId="58" fillId="37" borderId="86" xfId="61" applyNumberFormat="1" applyFont="1" applyFill="1" applyBorder="1" applyAlignment="1">
      <alignment horizontal="right" vertical="center"/>
      <protection/>
    </xf>
    <xf numFmtId="177" fontId="59" fillId="0" borderId="89" xfId="61" applyNumberFormat="1" applyFont="1" applyFill="1" applyBorder="1" applyAlignment="1">
      <alignment horizontal="right" vertical="center"/>
      <protection/>
    </xf>
    <xf numFmtId="177" fontId="59" fillId="0" borderId="96" xfId="61" applyNumberFormat="1" applyFont="1" applyFill="1" applyBorder="1" applyAlignment="1">
      <alignment horizontal="right" vertical="center"/>
      <protection/>
    </xf>
    <xf numFmtId="177" fontId="59" fillId="0" borderId="90" xfId="61" applyNumberFormat="1" applyFont="1" applyFill="1" applyBorder="1" applyAlignment="1">
      <alignment horizontal="right" vertical="center"/>
      <protection/>
    </xf>
    <xf numFmtId="177" fontId="58" fillId="37" borderId="57" xfId="61" applyNumberFormat="1" applyFont="1" applyFill="1" applyBorder="1" applyAlignment="1">
      <alignment horizontal="right" vertical="center"/>
      <protection/>
    </xf>
    <xf numFmtId="177" fontId="58" fillId="36" borderId="65" xfId="61" applyNumberFormat="1" applyFont="1" applyFill="1" applyBorder="1" applyAlignment="1">
      <alignment horizontal="right" vertical="center"/>
      <protection/>
    </xf>
    <xf numFmtId="177" fontId="58" fillId="37" borderId="66" xfId="61" applyNumberFormat="1" applyFont="1" applyFill="1" applyBorder="1" applyAlignment="1">
      <alignment horizontal="right" vertical="center"/>
      <protection/>
    </xf>
    <xf numFmtId="41" fontId="14" fillId="36" borderId="59" xfId="61" applyNumberFormat="1" applyFont="1" applyFill="1" applyBorder="1" applyAlignment="1">
      <alignment horizontal="right" vertical="center" shrinkToFit="1"/>
      <protection/>
    </xf>
    <xf numFmtId="41" fontId="14" fillId="36" borderId="98" xfId="61" applyNumberFormat="1" applyFont="1" applyFill="1" applyBorder="1" applyAlignment="1">
      <alignment horizontal="right" vertical="center" shrinkToFit="1"/>
      <protection/>
    </xf>
    <xf numFmtId="41" fontId="14" fillId="36" borderId="61" xfId="61" applyNumberFormat="1" applyFont="1" applyFill="1" applyBorder="1" applyAlignment="1">
      <alignment horizontal="right" vertical="center" shrinkToFit="1"/>
      <protection/>
    </xf>
    <xf numFmtId="41" fontId="14" fillId="36" borderId="99" xfId="61" applyNumberFormat="1" applyFont="1" applyFill="1" applyBorder="1" applyAlignment="1">
      <alignment horizontal="right" vertical="center" shrinkToFit="1"/>
      <protection/>
    </xf>
    <xf numFmtId="41" fontId="14" fillId="36" borderId="100" xfId="61" applyNumberFormat="1" applyFont="1" applyFill="1" applyBorder="1" applyAlignment="1">
      <alignment horizontal="right" vertical="center" shrinkToFit="1"/>
      <protection/>
    </xf>
    <xf numFmtId="41" fontId="14" fillId="36" borderId="101" xfId="61" applyNumberFormat="1" applyFont="1" applyFill="1" applyBorder="1" applyAlignment="1">
      <alignment horizontal="right" vertical="center" shrinkToFit="1"/>
      <protection/>
    </xf>
    <xf numFmtId="41" fontId="9" fillId="36" borderId="84" xfId="61" applyNumberFormat="1" applyFont="1" applyFill="1" applyBorder="1" applyAlignment="1">
      <alignment horizontal="right" vertical="center" shrinkToFit="1"/>
      <protection/>
    </xf>
    <xf numFmtId="41" fontId="9" fillId="36" borderId="102" xfId="61" applyNumberFormat="1" applyFont="1" applyFill="1" applyBorder="1" applyAlignment="1">
      <alignment horizontal="right" vertical="center" shrinkToFit="1"/>
      <protection/>
    </xf>
    <xf numFmtId="41" fontId="9" fillId="36" borderId="86" xfId="61" applyNumberFormat="1" applyFont="1" applyFill="1" applyBorder="1" applyAlignment="1">
      <alignment horizontal="right" vertical="center" shrinkToFit="1"/>
      <protection/>
    </xf>
    <xf numFmtId="41" fontId="14" fillId="0" borderId="84" xfId="61" applyNumberFormat="1" applyFont="1" applyFill="1" applyBorder="1" applyAlignment="1">
      <alignment horizontal="right" vertical="center" shrinkToFit="1"/>
      <protection/>
    </xf>
    <xf numFmtId="41" fontId="14" fillId="0" borderId="102" xfId="61" applyNumberFormat="1" applyFont="1" applyFill="1" applyBorder="1" applyAlignment="1">
      <alignment horizontal="right" vertical="center" shrinkToFit="1"/>
      <protection/>
    </xf>
    <xf numFmtId="41" fontId="14" fillId="0" borderId="86" xfId="61" applyNumberFormat="1" applyFont="1" applyFill="1" applyBorder="1" applyAlignment="1">
      <alignment horizontal="right" vertical="center" shrinkToFit="1"/>
      <protection/>
    </xf>
    <xf numFmtId="41" fontId="14" fillId="36" borderId="79" xfId="61" applyNumberFormat="1" applyFont="1" applyFill="1" applyBorder="1" applyAlignment="1">
      <alignment horizontal="right" vertical="center" shrinkToFit="1"/>
      <protection/>
    </xf>
    <xf numFmtId="41" fontId="14" fillId="36" borderId="103" xfId="61" applyNumberFormat="1" applyFont="1" applyFill="1" applyBorder="1" applyAlignment="1">
      <alignment horizontal="right" vertical="center" shrinkToFit="1"/>
      <protection/>
    </xf>
    <xf numFmtId="41" fontId="14" fillId="36" borderId="81" xfId="61" applyNumberFormat="1" applyFont="1" applyFill="1" applyBorder="1" applyAlignment="1">
      <alignment horizontal="right" vertical="center" shrinkToFit="1"/>
      <protection/>
    </xf>
    <xf numFmtId="41" fontId="14" fillId="36" borderId="62" xfId="61" applyNumberFormat="1" applyFont="1" applyFill="1" applyBorder="1" applyAlignment="1">
      <alignment horizontal="right" vertical="center" shrinkToFit="1"/>
      <protection/>
    </xf>
    <xf numFmtId="41" fontId="14" fillId="36" borderId="104" xfId="61" applyNumberFormat="1" applyFont="1" applyFill="1" applyBorder="1" applyAlignment="1">
      <alignment horizontal="right" vertical="center" shrinkToFit="1"/>
      <protection/>
    </xf>
    <xf numFmtId="41" fontId="14" fillId="36" borderId="64" xfId="61" applyNumberFormat="1" applyFont="1" applyFill="1" applyBorder="1" applyAlignment="1">
      <alignment horizontal="right" vertical="center" shrinkToFit="1"/>
      <protection/>
    </xf>
    <xf numFmtId="41" fontId="14" fillId="0" borderId="99" xfId="61" applyNumberFormat="1" applyFont="1" applyFill="1" applyBorder="1" applyAlignment="1">
      <alignment horizontal="right" vertical="center" shrinkToFit="1"/>
      <protection/>
    </xf>
    <xf numFmtId="41" fontId="14" fillId="0" borderId="100" xfId="61" applyNumberFormat="1" applyFont="1" applyFill="1" applyBorder="1" applyAlignment="1">
      <alignment horizontal="right" vertical="center" shrinkToFit="1"/>
      <protection/>
    </xf>
    <xf numFmtId="41" fontId="14" fillId="0" borderId="101" xfId="61" applyNumberFormat="1" applyFont="1" applyFill="1" applyBorder="1" applyAlignment="1">
      <alignment horizontal="right" vertical="center" shrinkToFit="1"/>
      <protection/>
    </xf>
    <xf numFmtId="41" fontId="11" fillId="36" borderId="105" xfId="61" applyNumberFormat="1" applyFont="1" applyFill="1" applyBorder="1" applyAlignment="1">
      <alignment horizontal="right" vertical="center" shrinkToFit="1"/>
      <protection/>
    </xf>
    <xf numFmtId="41" fontId="11" fillId="36" borderId="106" xfId="61" applyNumberFormat="1" applyFont="1" applyFill="1" applyBorder="1" applyAlignment="1">
      <alignment horizontal="right" vertical="center" shrinkToFit="1"/>
      <protection/>
    </xf>
    <xf numFmtId="41" fontId="11" fillId="36" borderId="107" xfId="61" applyNumberFormat="1" applyFont="1" applyFill="1" applyBorder="1" applyAlignment="1">
      <alignment horizontal="right" vertical="center" shrinkToFit="1"/>
      <protection/>
    </xf>
    <xf numFmtId="0" fontId="2" fillId="0" borderId="26" xfId="0" applyFont="1" applyBorder="1" applyAlignment="1">
      <alignment horizontal="center" vertical="center"/>
    </xf>
    <xf numFmtId="0" fontId="2" fillId="0" borderId="21" xfId="0" applyFont="1" applyBorder="1" applyAlignment="1">
      <alignment horizontal="distributed" vertical="center" wrapText="1"/>
    </xf>
    <xf numFmtId="3" fontId="2" fillId="34" borderId="108" xfId="0" applyNumberFormat="1" applyFont="1" applyFill="1" applyBorder="1" applyAlignment="1">
      <alignment horizontal="right" vertical="center"/>
    </xf>
    <xf numFmtId="3" fontId="2" fillId="34" borderId="108" xfId="0" applyNumberFormat="1" applyFont="1" applyFill="1" applyBorder="1" applyAlignment="1">
      <alignment vertical="center"/>
    </xf>
    <xf numFmtId="0" fontId="2" fillId="0" borderId="0" xfId="0" applyFont="1" applyAlignment="1">
      <alignment horizontal="right" vertical="top"/>
    </xf>
    <xf numFmtId="0" fontId="2" fillId="0" borderId="0" xfId="0" applyFont="1" applyBorder="1" applyAlignment="1">
      <alignment horizontal="left" vertical="top" wrapTex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wrapText="1"/>
    </xf>
    <xf numFmtId="0" fontId="2" fillId="0" borderId="114" xfId="0" applyFont="1" applyBorder="1" applyAlignment="1">
      <alignment horizontal="distributed" vertical="center"/>
    </xf>
    <xf numFmtId="0" fontId="2" fillId="0" borderId="45" xfId="0" applyFont="1" applyBorder="1" applyAlignment="1">
      <alignment horizontal="distributed" vertical="center"/>
    </xf>
    <xf numFmtId="0" fontId="2" fillId="0" borderId="115"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48"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0" xfId="61" applyFont="1" applyBorder="1" applyAlignment="1">
      <alignment horizontal="left" vertical="center"/>
      <protection/>
    </xf>
    <xf numFmtId="0" fontId="10" fillId="0" borderId="116" xfId="61" applyFont="1" applyBorder="1" applyAlignment="1">
      <alignment horizontal="distributed" vertical="center"/>
      <protection/>
    </xf>
    <xf numFmtId="0" fontId="10" fillId="0" borderId="118" xfId="61" applyFont="1" applyBorder="1" applyAlignment="1">
      <alignment horizontal="distributed" vertical="center"/>
      <protection/>
    </xf>
    <xf numFmtId="0" fontId="10" fillId="0" borderId="125" xfId="61" applyFont="1" applyBorder="1" applyAlignment="1">
      <alignment horizontal="distributed"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distributed" vertical="center" indent="1"/>
      <protection/>
    </xf>
    <xf numFmtId="0" fontId="10" fillId="0" borderId="128" xfId="61" applyFont="1" applyBorder="1" applyAlignment="1">
      <alignment horizontal="distributed" vertical="center" indent="1"/>
      <protection/>
    </xf>
    <xf numFmtId="0" fontId="10" fillId="0" borderId="129" xfId="61" applyFont="1" applyBorder="1" applyAlignment="1">
      <alignment horizontal="distributed" vertical="center" indent="1"/>
      <protection/>
    </xf>
    <xf numFmtId="0" fontId="10" fillId="0" borderId="130" xfId="61" applyFont="1" applyBorder="1" applyAlignment="1">
      <alignment horizontal="distributed" vertical="center" indent="1"/>
      <protection/>
    </xf>
    <xf numFmtId="0" fontId="10" fillId="0" borderId="127" xfId="61" applyFont="1" applyBorder="1" applyAlignment="1">
      <alignment horizontal="distributed" vertical="center" wrapText="1" indent="1"/>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35" xfId="61" applyFont="1" applyBorder="1" applyAlignment="1">
      <alignment horizontal="distributed" vertical="center" wrapText="1"/>
      <protection/>
    </xf>
    <xf numFmtId="0" fontId="10" fillId="0" borderId="97" xfId="61" applyFont="1" applyBorder="1" applyAlignment="1">
      <alignment horizontal="distributed" vertical="center" wrapText="1"/>
      <protection/>
    </xf>
    <xf numFmtId="0" fontId="10" fillId="0" borderId="131" xfId="61" applyFont="1" applyBorder="1" applyAlignment="1">
      <alignment horizontal="distributed" vertical="center" wrapText="1"/>
      <protection/>
    </xf>
    <xf numFmtId="0" fontId="10" fillId="0" borderId="132" xfId="61" applyFont="1" applyBorder="1" applyAlignment="1">
      <alignment horizontal="distributed" vertical="center" indent="1"/>
      <protection/>
    </xf>
    <xf numFmtId="0" fontId="10" fillId="0" borderId="133" xfId="61" applyFont="1" applyBorder="1" applyAlignment="1">
      <alignment horizontal="distributed" vertical="center" indent="1"/>
      <protection/>
    </xf>
    <xf numFmtId="0" fontId="10" fillId="0" borderId="133" xfId="61" applyFont="1" applyBorder="1" applyAlignment="1">
      <alignment horizontal="center" vertical="center"/>
      <protection/>
    </xf>
    <xf numFmtId="0" fontId="10" fillId="0" borderId="134" xfId="61" applyFont="1" applyBorder="1" applyAlignment="1">
      <alignment horizontal="left"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7" xfId="61" applyFont="1" applyBorder="1" applyAlignment="1">
      <alignment horizontal="distributed" vertical="center" wrapText="1"/>
      <protection/>
    </xf>
    <xf numFmtId="0" fontId="10" fillId="0" borderId="138" xfId="61" applyFont="1" applyBorder="1" applyAlignment="1">
      <alignment horizontal="distributed" vertical="center"/>
      <protection/>
    </xf>
    <xf numFmtId="0" fontId="10" fillId="0" borderId="139" xfId="61" applyFont="1" applyBorder="1" applyAlignment="1">
      <alignment horizontal="distributed" vertical="center" wrapText="1"/>
      <protection/>
    </xf>
    <xf numFmtId="0" fontId="10" fillId="0" borderId="140" xfId="61" applyFont="1" applyBorder="1" applyAlignment="1">
      <alignment horizontal="distributed" vertical="center"/>
      <protection/>
    </xf>
    <xf numFmtId="0" fontId="10" fillId="0" borderId="141" xfId="61" applyFont="1" applyBorder="1" applyAlignment="1">
      <alignment horizontal="distributed" vertical="center" wrapText="1"/>
      <protection/>
    </xf>
    <xf numFmtId="0" fontId="10" fillId="0" borderId="142" xfId="61" applyFont="1" applyBorder="1" applyAlignment="1">
      <alignment horizontal="distributed" vertical="center" wrapText="1"/>
      <protection/>
    </xf>
    <xf numFmtId="0" fontId="10" fillId="0" borderId="37" xfId="61" applyFont="1" applyBorder="1" applyAlignment="1">
      <alignment horizontal="center" vertical="center"/>
      <protection/>
    </xf>
    <xf numFmtId="0" fontId="10" fillId="0" borderId="126" xfId="61" applyFont="1" applyBorder="1" applyAlignment="1">
      <alignment horizontal="distributed" vertical="center" indent="1"/>
      <protection/>
    </xf>
    <xf numFmtId="0" fontId="10" fillId="0" borderId="126" xfId="61" applyFont="1" applyBorder="1" applyAlignment="1">
      <alignment horizontal="distributed" vertical="center" wrapText="1"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topLeftCell="A1">
      <selection activeCell="A1" sqref="A1:H1"/>
    </sheetView>
  </sheetViews>
  <sheetFormatPr defaultColWidth="5.875" defaultRowHeight="13.5"/>
  <cols>
    <col min="1" max="1" width="10.625" style="1" customWidth="1"/>
    <col min="2" max="2" width="16.00390625" style="1" customWidth="1"/>
    <col min="3" max="3" width="9.125" style="1" customWidth="1"/>
    <col min="4" max="4" width="9.75390625" style="1" customWidth="1"/>
    <col min="5" max="5" width="9.125" style="1" customWidth="1"/>
    <col min="6" max="6" width="11.375" style="1" customWidth="1"/>
    <col min="7" max="7" width="9.125" style="1" customWidth="1"/>
    <col min="8" max="8" width="11.375" style="1" bestFit="1" customWidth="1"/>
    <col min="9" max="16384" width="5.875" style="1" customWidth="1"/>
  </cols>
  <sheetData>
    <row r="1" spans="1:8" ht="15">
      <c r="A1" s="254" t="s">
        <v>0</v>
      </c>
      <c r="B1" s="254"/>
      <c r="C1" s="254"/>
      <c r="D1" s="254"/>
      <c r="E1" s="254"/>
      <c r="F1" s="254"/>
      <c r="G1" s="254"/>
      <c r="H1" s="254"/>
    </row>
    <row r="2" spans="1:8" ht="15">
      <c r="A2" s="43"/>
      <c r="B2" s="43"/>
      <c r="C2" s="43"/>
      <c r="D2" s="43"/>
      <c r="E2" s="43"/>
      <c r="F2" s="43"/>
      <c r="G2" s="43"/>
      <c r="H2" s="43"/>
    </row>
    <row r="3" spans="1:8" ht="11.25" thickBot="1">
      <c r="A3" s="255" t="s">
        <v>25</v>
      </c>
      <c r="B3" s="255"/>
      <c r="C3" s="255"/>
      <c r="D3" s="255"/>
      <c r="E3" s="255"/>
      <c r="F3" s="255"/>
      <c r="G3" s="255"/>
      <c r="H3" s="255"/>
    </row>
    <row r="4" spans="1:8" ht="24" customHeight="1">
      <c r="A4" s="256" t="s">
        <v>1</v>
      </c>
      <c r="B4" s="257"/>
      <c r="C4" s="243" t="s">
        <v>225</v>
      </c>
      <c r="D4" s="260"/>
      <c r="E4" s="243" t="s">
        <v>226</v>
      </c>
      <c r="F4" s="260"/>
      <c r="G4" s="243" t="s">
        <v>227</v>
      </c>
      <c r="H4" s="244"/>
    </row>
    <row r="5" spans="1:8" ht="24" customHeight="1">
      <c r="A5" s="258"/>
      <c r="B5" s="259"/>
      <c r="C5" s="237" t="s">
        <v>2</v>
      </c>
      <c r="D5" s="6" t="s">
        <v>3</v>
      </c>
      <c r="E5" s="237" t="s">
        <v>2</v>
      </c>
      <c r="F5" s="6" t="s">
        <v>3</v>
      </c>
      <c r="G5" s="237" t="s">
        <v>2</v>
      </c>
      <c r="H5" s="14" t="s">
        <v>3</v>
      </c>
    </row>
    <row r="6" spans="1:8" ht="12" customHeight="1">
      <c r="A6" s="31"/>
      <c r="B6" s="33"/>
      <c r="C6" s="27" t="s">
        <v>27</v>
      </c>
      <c r="D6" s="26" t="s">
        <v>26</v>
      </c>
      <c r="E6" s="27" t="s">
        <v>27</v>
      </c>
      <c r="F6" s="26" t="s">
        <v>26</v>
      </c>
      <c r="G6" s="27" t="s">
        <v>27</v>
      </c>
      <c r="H6" s="32" t="s">
        <v>26</v>
      </c>
    </row>
    <row r="7" spans="1:8" ht="30" customHeight="1">
      <c r="A7" s="245" t="s">
        <v>28</v>
      </c>
      <c r="B7" s="28" t="s">
        <v>14</v>
      </c>
      <c r="C7" s="189">
        <v>53510</v>
      </c>
      <c r="D7" s="29">
        <v>39646406</v>
      </c>
      <c r="E7" s="98">
        <v>155190</v>
      </c>
      <c r="F7" s="29">
        <v>1729447276</v>
      </c>
      <c r="G7" s="98">
        <v>208700</v>
      </c>
      <c r="H7" s="30">
        <v>1769093682</v>
      </c>
    </row>
    <row r="8" spans="1:8" ht="30" customHeight="1">
      <c r="A8" s="246"/>
      <c r="B8" s="18" t="s">
        <v>15</v>
      </c>
      <c r="C8" s="190">
        <v>85789</v>
      </c>
      <c r="D8" s="100">
        <v>41607666</v>
      </c>
      <c r="E8" s="99">
        <v>56494</v>
      </c>
      <c r="F8" s="100">
        <v>40292311</v>
      </c>
      <c r="G8" s="99">
        <v>142283</v>
      </c>
      <c r="H8" s="101">
        <v>81899976</v>
      </c>
    </row>
    <row r="9" spans="1:8" s="3" customFormat="1" ht="30" customHeight="1">
      <c r="A9" s="246"/>
      <c r="B9" s="19" t="s">
        <v>16</v>
      </c>
      <c r="C9" s="191">
        <v>139299</v>
      </c>
      <c r="D9" s="103">
        <v>81254071</v>
      </c>
      <c r="E9" s="102">
        <v>211684</v>
      </c>
      <c r="F9" s="103">
        <v>1769739586</v>
      </c>
      <c r="G9" s="102">
        <v>350983</v>
      </c>
      <c r="H9" s="104">
        <v>1850993658</v>
      </c>
    </row>
    <row r="10" spans="1:8" ht="30" customHeight="1">
      <c r="A10" s="247"/>
      <c r="B10" s="20" t="s">
        <v>17</v>
      </c>
      <c r="C10" s="192">
        <v>8605</v>
      </c>
      <c r="D10" s="106">
        <v>4633527</v>
      </c>
      <c r="E10" s="105">
        <v>16397</v>
      </c>
      <c r="F10" s="106">
        <v>935440055</v>
      </c>
      <c r="G10" s="105">
        <v>25002</v>
      </c>
      <c r="H10" s="107">
        <v>940073582</v>
      </c>
    </row>
    <row r="11" spans="1:8" ht="30" customHeight="1">
      <c r="A11" s="248" t="s">
        <v>29</v>
      </c>
      <c r="B11" s="44" t="s">
        <v>18</v>
      </c>
      <c r="C11" s="108">
        <v>8065</v>
      </c>
      <c r="D11" s="15">
        <v>2284322</v>
      </c>
      <c r="E11" s="109">
        <v>8322</v>
      </c>
      <c r="F11" s="15">
        <v>6747815</v>
      </c>
      <c r="G11" s="109">
        <v>16387</v>
      </c>
      <c r="H11" s="16">
        <v>9032137</v>
      </c>
    </row>
    <row r="12" spans="1:8" ht="30" customHeight="1">
      <c r="A12" s="249"/>
      <c r="B12" s="238" t="s">
        <v>19</v>
      </c>
      <c r="C12" s="239">
        <v>1733</v>
      </c>
      <c r="D12" s="23">
        <v>424673</v>
      </c>
      <c r="E12" s="240">
        <v>1584</v>
      </c>
      <c r="F12" s="23">
        <v>3734107</v>
      </c>
      <c r="G12" s="240">
        <v>3317</v>
      </c>
      <c r="H12" s="24">
        <v>4158781</v>
      </c>
    </row>
    <row r="13" spans="1:8" ht="30" customHeight="1" thickBot="1">
      <c r="A13" s="250" t="s">
        <v>6</v>
      </c>
      <c r="B13" s="251"/>
      <c r="C13" s="110">
        <v>8470</v>
      </c>
      <c r="D13" s="111">
        <v>475394</v>
      </c>
      <c r="E13" s="110">
        <v>7367</v>
      </c>
      <c r="F13" s="111">
        <v>999893</v>
      </c>
      <c r="G13" s="110">
        <v>15837</v>
      </c>
      <c r="H13" s="112">
        <v>1475287</v>
      </c>
    </row>
    <row r="14" spans="1:8" s="91" customFormat="1" ht="3" customHeight="1">
      <c r="A14" s="89"/>
      <c r="B14" s="89"/>
      <c r="C14" s="90"/>
      <c r="D14" s="90"/>
      <c r="E14" s="90"/>
      <c r="F14" s="90"/>
      <c r="G14" s="90"/>
      <c r="H14" s="90"/>
    </row>
    <row r="15" spans="1:8" s="4" customFormat="1" ht="48.75" customHeight="1">
      <c r="A15" s="242" t="s">
        <v>229</v>
      </c>
      <c r="B15" s="252" t="s">
        <v>230</v>
      </c>
      <c r="C15" s="252"/>
      <c r="D15" s="252"/>
      <c r="E15" s="252"/>
      <c r="F15" s="252"/>
      <c r="G15" s="252"/>
      <c r="H15" s="252"/>
    </row>
    <row r="16" spans="2:8" ht="46.5" customHeight="1">
      <c r="B16" s="253" t="s">
        <v>231</v>
      </c>
      <c r="C16" s="253"/>
      <c r="D16" s="253"/>
      <c r="E16" s="253"/>
      <c r="F16" s="253"/>
      <c r="G16" s="253"/>
      <c r="H16" s="253"/>
    </row>
    <row r="17" spans="1:2" ht="14.25" customHeight="1">
      <c r="A17" s="241" t="s">
        <v>224</v>
      </c>
      <c r="B17" s="1" t="s">
        <v>159</v>
      </c>
    </row>
    <row r="18" ht="10.5">
      <c r="A18" s="47"/>
    </row>
  </sheetData>
  <sheetProtection/>
  <mergeCells count="11">
    <mergeCell ref="A1:H1"/>
    <mergeCell ref="A3:H3"/>
    <mergeCell ref="A4:B5"/>
    <mergeCell ref="C4:D4"/>
    <mergeCell ref="E4:F4"/>
    <mergeCell ref="G4:H4"/>
    <mergeCell ref="A7:A10"/>
    <mergeCell ref="A11:A12"/>
    <mergeCell ref="A13:B13"/>
    <mergeCell ref="B15:H15"/>
    <mergeCell ref="B16:H16"/>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消費税（R03）</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3.5"/>
  <cols>
    <col min="1" max="1" width="10.625" style="46" customWidth="1"/>
    <col min="2" max="2" width="15.625" style="46" customWidth="1"/>
    <col min="3" max="3" width="8.625" style="46" customWidth="1"/>
    <col min="4" max="4" width="10.625" style="46" customWidth="1"/>
    <col min="5" max="5" width="8.625" style="46" customWidth="1"/>
    <col min="6" max="6" width="12.875" style="46" bestFit="1" customWidth="1"/>
    <col min="7" max="7" width="8.625" style="46" customWidth="1"/>
    <col min="8" max="8" width="12.875" style="46" bestFit="1" customWidth="1"/>
    <col min="9" max="16384" width="9.00390625" style="46" customWidth="1"/>
  </cols>
  <sheetData>
    <row r="1" s="1" customFormat="1" ht="11.25" thickBot="1">
      <c r="A1" s="1" t="s">
        <v>30</v>
      </c>
    </row>
    <row r="2" spans="1:8" s="1" customFormat="1" ht="15" customHeight="1">
      <c r="A2" s="256" t="s">
        <v>1</v>
      </c>
      <c r="B2" s="257"/>
      <c r="C2" s="261" t="s">
        <v>13</v>
      </c>
      <c r="D2" s="261"/>
      <c r="E2" s="261" t="s">
        <v>20</v>
      </c>
      <c r="F2" s="261"/>
      <c r="G2" s="262" t="s">
        <v>21</v>
      </c>
      <c r="H2" s="263"/>
    </row>
    <row r="3" spans="1:8" s="1" customFormat="1" ht="15" customHeight="1">
      <c r="A3" s="258"/>
      <c r="B3" s="259"/>
      <c r="C3" s="9" t="s">
        <v>22</v>
      </c>
      <c r="D3" s="6" t="s">
        <v>23</v>
      </c>
      <c r="E3" s="9" t="s">
        <v>22</v>
      </c>
      <c r="F3" s="7" t="s">
        <v>23</v>
      </c>
      <c r="G3" s="9" t="s">
        <v>22</v>
      </c>
      <c r="H3" s="8" t="s">
        <v>23</v>
      </c>
    </row>
    <row r="4" spans="1:8" s="10" customFormat="1" ht="15" customHeight="1">
      <c r="A4" s="35"/>
      <c r="B4" s="6"/>
      <c r="C4" s="36" t="s">
        <v>4</v>
      </c>
      <c r="D4" s="37" t="s">
        <v>5</v>
      </c>
      <c r="E4" s="36" t="s">
        <v>4</v>
      </c>
      <c r="F4" s="37" t="s">
        <v>5</v>
      </c>
      <c r="G4" s="36" t="s">
        <v>4</v>
      </c>
      <c r="H4" s="38" t="s">
        <v>5</v>
      </c>
    </row>
    <row r="5" spans="1:8" s="45" customFormat="1" ht="30" customHeight="1">
      <c r="A5" s="266" t="s">
        <v>221</v>
      </c>
      <c r="B5" s="28" t="s">
        <v>11</v>
      </c>
      <c r="C5" s="34">
        <v>147890</v>
      </c>
      <c r="D5" s="29">
        <v>77484928</v>
      </c>
      <c r="E5" s="34">
        <v>214624</v>
      </c>
      <c r="F5" s="29">
        <v>1552822819</v>
      </c>
      <c r="G5" s="34">
        <v>362514</v>
      </c>
      <c r="H5" s="30">
        <v>1630307747</v>
      </c>
    </row>
    <row r="6" spans="1:8" s="45" customFormat="1" ht="30" customHeight="1">
      <c r="A6" s="267"/>
      <c r="B6" s="20" t="s">
        <v>12</v>
      </c>
      <c r="C6" s="22">
        <v>4155</v>
      </c>
      <c r="D6" s="23">
        <v>3360593</v>
      </c>
      <c r="E6" s="22">
        <v>11944</v>
      </c>
      <c r="F6" s="23">
        <v>640633498</v>
      </c>
      <c r="G6" s="22">
        <v>16099</v>
      </c>
      <c r="H6" s="24">
        <v>643994091</v>
      </c>
    </row>
    <row r="7" spans="1:8" s="45" customFormat="1" ht="30" customHeight="1">
      <c r="A7" s="266" t="s">
        <v>222</v>
      </c>
      <c r="B7" s="17" t="s">
        <v>11</v>
      </c>
      <c r="C7" s="21">
        <v>146178</v>
      </c>
      <c r="D7" s="15">
        <v>76850144</v>
      </c>
      <c r="E7" s="21">
        <v>214351</v>
      </c>
      <c r="F7" s="15">
        <v>1597169853</v>
      </c>
      <c r="G7" s="21">
        <v>360529</v>
      </c>
      <c r="H7" s="16">
        <v>1674019997</v>
      </c>
    </row>
    <row r="8" spans="1:8" s="45" customFormat="1" ht="30" customHeight="1">
      <c r="A8" s="267"/>
      <c r="B8" s="20" t="s">
        <v>12</v>
      </c>
      <c r="C8" s="22">
        <v>4293</v>
      </c>
      <c r="D8" s="23">
        <v>3532751</v>
      </c>
      <c r="E8" s="22">
        <v>12519</v>
      </c>
      <c r="F8" s="23">
        <v>696535870</v>
      </c>
      <c r="G8" s="22">
        <v>16812</v>
      </c>
      <c r="H8" s="24">
        <v>700068621</v>
      </c>
    </row>
    <row r="9" spans="1:8" s="45" customFormat="1" ht="30" customHeight="1">
      <c r="A9" s="266" t="s">
        <v>223</v>
      </c>
      <c r="B9" s="17" t="s">
        <v>11</v>
      </c>
      <c r="C9" s="21">
        <v>142434</v>
      </c>
      <c r="D9" s="15">
        <v>78958097</v>
      </c>
      <c r="E9" s="21">
        <v>213805</v>
      </c>
      <c r="F9" s="15">
        <v>1537004615</v>
      </c>
      <c r="G9" s="21">
        <v>356239</v>
      </c>
      <c r="H9" s="16">
        <v>1615962712</v>
      </c>
    </row>
    <row r="10" spans="1:8" s="45" customFormat="1" ht="30" customHeight="1">
      <c r="A10" s="267"/>
      <c r="B10" s="20" t="s">
        <v>12</v>
      </c>
      <c r="C10" s="22">
        <v>4377</v>
      </c>
      <c r="D10" s="23">
        <v>3267817</v>
      </c>
      <c r="E10" s="22">
        <v>12830</v>
      </c>
      <c r="F10" s="23">
        <v>735064240</v>
      </c>
      <c r="G10" s="22">
        <v>17207</v>
      </c>
      <c r="H10" s="24">
        <v>738332057</v>
      </c>
    </row>
    <row r="11" spans="1:8" s="45" customFormat="1" ht="30" customHeight="1">
      <c r="A11" s="266" t="s">
        <v>228</v>
      </c>
      <c r="B11" s="17" t="s">
        <v>11</v>
      </c>
      <c r="C11" s="21">
        <v>140669</v>
      </c>
      <c r="D11" s="15">
        <v>81084404</v>
      </c>
      <c r="E11" s="21">
        <v>212184</v>
      </c>
      <c r="F11" s="15">
        <v>1718588613</v>
      </c>
      <c r="G11" s="21">
        <v>352853</v>
      </c>
      <c r="H11" s="16">
        <v>1799673017</v>
      </c>
    </row>
    <row r="12" spans="1:8" s="45" customFormat="1" ht="30" customHeight="1">
      <c r="A12" s="267"/>
      <c r="B12" s="20" t="s">
        <v>12</v>
      </c>
      <c r="C12" s="22">
        <v>6875</v>
      </c>
      <c r="D12" s="23">
        <v>4759151</v>
      </c>
      <c r="E12" s="22">
        <v>15237</v>
      </c>
      <c r="F12" s="23">
        <v>788593023</v>
      </c>
      <c r="G12" s="22">
        <v>22112</v>
      </c>
      <c r="H12" s="24">
        <v>793352175</v>
      </c>
    </row>
    <row r="13" spans="1:8" s="1" customFormat="1" ht="30" customHeight="1">
      <c r="A13" s="264" t="s">
        <v>232</v>
      </c>
      <c r="B13" s="17" t="s">
        <v>11</v>
      </c>
      <c r="C13" s="193">
        <v>139299</v>
      </c>
      <c r="D13" s="15">
        <v>81254071</v>
      </c>
      <c r="E13" s="21">
        <v>211684</v>
      </c>
      <c r="F13" s="15">
        <v>1769739586</v>
      </c>
      <c r="G13" s="21">
        <v>350983</v>
      </c>
      <c r="H13" s="16">
        <v>1850993658</v>
      </c>
    </row>
    <row r="14" spans="1:8" s="1" customFormat="1" ht="30" customHeight="1" thickBot="1">
      <c r="A14" s="265"/>
      <c r="B14" s="25" t="s">
        <v>12</v>
      </c>
      <c r="C14" s="194">
        <v>8605</v>
      </c>
      <c r="D14" s="139">
        <v>4633527</v>
      </c>
      <c r="E14" s="138">
        <v>16397</v>
      </c>
      <c r="F14" s="139">
        <v>935440055</v>
      </c>
      <c r="G14" s="138">
        <v>25002</v>
      </c>
      <c r="H14" s="140">
        <v>940073582</v>
      </c>
    </row>
    <row r="15" spans="5:7" s="1" customFormat="1" ht="10.5">
      <c r="E15" s="2"/>
      <c r="G15" s="2"/>
    </row>
    <row r="16" spans="5:7" s="1" customFormat="1" ht="10.5">
      <c r="E16" s="2"/>
      <c r="G16" s="2"/>
    </row>
    <row r="17" spans="5:7" s="1" customFormat="1" ht="10.5">
      <c r="E17" s="2"/>
      <c r="G17" s="2"/>
    </row>
    <row r="18" spans="5:7" s="1" customFormat="1" ht="10.5">
      <c r="E18" s="2"/>
      <c r="G18" s="2"/>
    </row>
    <row r="19" spans="5:7" s="1" customFormat="1" ht="10.5">
      <c r="E19" s="2"/>
      <c r="G19" s="2"/>
    </row>
    <row r="20" spans="5:7" s="1" customFormat="1" ht="10.5">
      <c r="E20" s="2"/>
      <c r="G20" s="2"/>
    </row>
    <row r="21" spans="5:7" s="1" customFormat="1" ht="10.5">
      <c r="E21" s="2"/>
      <c r="G21" s="2"/>
    </row>
    <row r="22" spans="5:7" s="1" customFormat="1" ht="10.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消費税（R03）</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100" workbookViewId="0" topLeftCell="A1">
      <selection activeCell="A1" sqref="A1"/>
    </sheetView>
  </sheetViews>
  <sheetFormatPr defaultColWidth="9.00390625" defaultRowHeight="13.5"/>
  <cols>
    <col min="1" max="2" width="18.625" style="46" customWidth="1"/>
    <col min="3" max="3" width="23.625" style="46" customWidth="1"/>
    <col min="4" max="4" width="18.625" style="46" customWidth="1"/>
    <col min="5" max="16384" width="9.00390625" style="46" customWidth="1"/>
  </cols>
  <sheetData>
    <row r="1" s="1" customFormat="1" ht="20.25" customHeight="1" thickBot="1">
      <c r="A1" s="1" t="s">
        <v>24</v>
      </c>
    </row>
    <row r="2" spans="1:4" s="4" customFormat="1" ht="19.5" customHeight="1">
      <c r="A2" s="11" t="s">
        <v>7</v>
      </c>
      <c r="B2" s="12" t="s">
        <v>8</v>
      </c>
      <c r="C2" s="13" t="s">
        <v>9</v>
      </c>
      <c r="D2" s="48" t="s">
        <v>31</v>
      </c>
    </row>
    <row r="3" spans="1:4" s="10" customFormat="1" ht="15" customHeight="1">
      <c r="A3" s="39" t="s">
        <v>4</v>
      </c>
      <c r="B3" s="40" t="s">
        <v>4</v>
      </c>
      <c r="C3" s="41" t="s">
        <v>4</v>
      </c>
      <c r="D3" s="42" t="s">
        <v>4</v>
      </c>
    </row>
    <row r="4" spans="1:9" s="4" customFormat="1" ht="30" customHeight="1" thickBot="1">
      <c r="A4" s="144">
        <v>368377</v>
      </c>
      <c r="B4" s="145">
        <v>11357</v>
      </c>
      <c r="C4" s="146">
        <v>1087</v>
      </c>
      <c r="D4" s="147">
        <v>380821</v>
      </c>
      <c r="E4" s="5"/>
      <c r="G4" s="5"/>
      <c r="I4" s="5"/>
    </row>
    <row r="5" spans="1:9" s="94" customFormat="1" ht="3" customHeight="1">
      <c r="A5" s="92"/>
      <c r="B5" s="92"/>
      <c r="C5" s="92"/>
      <c r="D5" s="92"/>
      <c r="E5" s="93"/>
      <c r="G5" s="93"/>
      <c r="I5" s="93"/>
    </row>
    <row r="6" spans="1:4" s="4" customFormat="1" ht="15" customHeight="1">
      <c r="A6" s="268" t="s">
        <v>233</v>
      </c>
      <c r="B6" s="268"/>
      <c r="C6" s="268"/>
      <c r="D6" s="268"/>
    </row>
    <row r="7" spans="1:4" s="4" customFormat="1" ht="15" customHeight="1">
      <c r="A7" s="269" t="s">
        <v>10</v>
      </c>
      <c r="B7" s="269"/>
      <c r="C7" s="269"/>
      <c r="D7" s="269"/>
    </row>
  </sheetData>
  <sheetProtection/>
  <mergeCells count="2">
    <mergeCell ref="A6:D6"/>
    <mergeCell ref="A7:D7"/>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&amp;R&amp;K01+000名古屋国税局 消費税（R03）</oddFooter>
  </headerFooter>
</worksheet>
</file>

<file path=xl/worksheets/sheet4.xml><?xml version="1.0" encoding="utf-8"?>
<worksheet xmlns="http://schemas.openxmlformats.org/spreadsheetml/2006/main" xmlns:r="http://schemas.openxmlformats.org/officeDocument/2006/relationships">
  <dimension ref="A1:N65"/>
  <sheetViews>
    <sheetView showGridLines="0" zoomScale="85" zoomScaleNormal="85" zoomScaleSheetLayoutView="100" zoomScalePageLayoutView="115" workbookViewId="0" topLeftCell="A1">
      <selection activeCell="A1" sqref="A1"/>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2.75">
      <c r="A1" s="49" t="s">
        <v>219</v>
      </c>
      <c r="B1" s="49"/>
      <c r="C1" s="49"/>
      <c r="D1" s="49"/>
      <c r="E1" s="49"/>
      <c r="F1" s="49"/>
      <c r="G1" s="49"/>
      <c r="H1" s="50"/>
      <c r="I1" s="50"/>
      <c r="J1" s="50"/>
      <c r="K1" s="50"/>
      <c r="L1" s="50"/>
      <c r="M1" s="50"/>
      <c r="N1" s="50"/>
    </row>
    <row r="2" spans="1:14" ht="13.5" thickBot="1">
      <c r="A2" s="270" t="s">
        <v>32</v>
      </c>
      <c r="B2" s="270"/>
      <c r="C2" s="270"/>
      <c r="D2" s="270"/>
      <c r="E2" s="270"/>
      <c r="F2" s="270"/>
      <c r="G2" s="270"/>
      <c r="H2" s="50"/>
      <c r="I2" s="50"/>
      <c r="J2" s="50"/>
      <c r="K2" s="50"/>
      <c r="L2" s="50"/>
      <c r="M2" s="50"/>
      <c r="N2" s="50"/>
    </row>
    <row r="3" spans="1:14" ht="22.5" customHeight="1">
      <c r="A3" s="271" t="s">
        <v>150</v>
      </c>
      <c r="B3" s="274" t="s">
        <v>151</v>
      </c>
      <c r="C3" s="274"/>
      <c r="D3" s="274"/>
      <c r="E3" s="274"/>
      <c r="F3" s="274"/>
      <c r="G3" s="274"/>
      <c r="H3" s="275" t="s">
        <v>12</v>
      </c>
      <c r="I3" s="276"/>
      <c r="J3" s="279" t="s">
        <v>33</v>
      </c>
      <c r="K3" s="276"/>
      <c r="L3" s="280" t="s">
        <v>34</v>
      </c>
      <c r="M3" s="281"/>
      <c r="N3" s="284" t="s">
        <v>35</v>
      </c>
    </row>
    <row r="4" spans="1:14" ht="18.75" customHeight="1">
      <c r="A4" s="272"/>
      <c r="B4" s="287" t="s">
        <v>14</v>
      </c>
      <c r="C4" s="287"/>
      <c r="D4" s="277" t="s">
        <v>36</v>
      </c>
      <c r="E4" s="288"/>
      <c r="F4" s="282" t="s">
        <v>37</v>
      </c>
      <c r="G4" s="289"/>
      <c r="H4" s="277"/>
      <c r="I4" s="278"/>
      <c r="J4" s="277"/>
      <c r="K4" s="278"/>
      <c r="L4" s="282"/>
      <c r="M4" s="283"/>
      <c r="N4" s="285"/>
    </row>
    <row r="5" spans="1:14" s="137" customFormat="1" ht="33.75" customHeight="1">
      <c r="A5" s="273"/>
      <c r="B5" s="143" t="s">
        <v>215</v>
      </c>
      <c r="C5" s="51" t="s">
        <v>152</v>
      </c>
      <c r="D5" s="143" t="s">
        <v>215</v>
      </c>
      <c r="E5" s="51" t="s">
        <v>152</v>
      </c>
      <c r="F5" s="143" t="s">
        <v>215</v>
      </c>
      <c r="G5" s="52" t="s">
        <v>212</v>
      </c>
      <c r="H5" s="143" t="s">
        <v>215</v>
      </c>
      <c r="I5" s="52" t="s">
        <v>213</v>
      </c>
      <c r="J5" s="143" t="s">
        <v>215</v>
      </c>
      <c r="K5" s="52" t="s">
        <v>214</v>
      </c>
      <c r="L5" s="143" t="s">
        <v>215</v>
      </c>
      <c r="M5" s="52" t="s">
        <v>153</v>
      </c>
      <c r="N5" s="286"/>
    </row>
    <row r="6" spans="1:14" s="58" customFormat="1" ht="9">
      <c r="A6" s="53"/>
      <c r="B6" s="54" t="s">
        <v>4</v>
      </c>
      <c r="C6" s="55" t="s">
        <v>5</v>
      </c>
      <c r="D6" s="54" t="s">
        <v>4</v>
      </c>
      <c r="E6" s="55" t="s">
        <v>5</v>
      </c>
      <c r="F6" s="54" t="s">
        <v>4</v>
      </c>
      <c r="G6" s="55" t="s">
        <v>5</v>
      </c>
      <c r="H6" s="54" t="s">
        <v>4</v>
      </c>
      <c r="I6" s="56" t="s">
        <v>5</v>
      </c>
      <c r="J6" s="54" t="s">
        <v>4</v>
      </c>
      <c r="K6" s="56" t="s">
        <v>5</v>
      </c>
      <c r="L6" s="54" t="s">
        <v>218</v>
      </c>
      <c r="M6" s="56" t="s">
        <v>5</v>
      </c>
      <c r="N6" s="57"/>
    </row>
    <row r="7" spans="1:14" s="61" customFormat="1" ht="22.5" customHeight="1">
      <c r="A7" s="59" t="s">
        <v>41</v>
      </c>
      <c r="B7" s="123">
        <f>_xlfn.COMPOUNDVALUE(1)</f>
        <v>1887</v>
      </c>
      <c r="C7" s="195">
        <v>1271083</v>
      </c>
      <c r="D7" s="196">
        <f>_xlfn.COMPOUNDVALUE(2)</f>
        <v>2359</v>
      </c>
      <c r="E7" s="195">
        <v>1178256</v>
      </c>
      <c r="F7" s="196">
        <f>_xlfn.COMPOUNDVALUE(3)</f>
        <v>4246</v>
      </c>
      <c r="G7" s="195">
        <v>2449339</v>
      </c>
      <c r="H7" s="196">
        <f>_xlfn.COMPOUNDVALUE(4)</f>
        <v>266</v>
      </c>
      <c r="I7" s="197">
        <v>104754</v>
      </c>
      <c r="J7" s="123">
        <v>347</v>
      </c>
      <c r="K7" s="125">
        <v>73885</v>
      </c>
      <c r="L7" s="123">
        <v>4673</v>
      </c>
      <c r="M7" s="125">
        <v>2418470</v>
      </c>
      <c r="N7" s="60" t="s">
        <v>42</v>
      </c>
    </row>
    <row r="8" spans="1:14" s="61" customFormat="1" ht="22.5" customHeight="1">
      <c r="A8" s="62" t="s">
        <v>43</v>
      </c>
      <c r="B8" s="126">
        <f>_xlfn.COMPOUNDVALUE(5)</f>
        <v>1606</v>
      </c>
      <c r="C8" s="198">
        <v>1164360</v>
      </c>
      <c r="D8" s="199">
        <f>_xlfn.COMPOUNDVALUE(6)</f>
        <v>2003</v>
      </c>
      <c r="E8" s="198">
        <v>1023634</v>
      </c>
      <c r="F8" s="199">
        <f>_xlfn.COMPOUNDVALUE(7)</f>
        <v>3609</v>
      </c>
      <c r="G8" s="198">
        <v>2187994</v>
      </c>
      <c r="H8" s="199">
        <f>_xlfn.COMPOUNDVALUE(8)</f>
        <v>176</v>
      </c>
      <c r="I8" s="200">
        <v>93547</v>
      </c>
      <c r="J8" s="126">
        <v>230</v>
      </c>
      <c r="K8" s="128">
        <v>50425</v>
      </c>
      <c r="L8" s="126">
        <v>3865</v>
      </c>
      <c r="M8" s="128">
        <v>2144872</v>
      </c>
      <c r="N8" s="63" t="s">
        <v>44</v>
      </c>
    </row>
    <row r="9" spans="1:14" s="61" customFormat="1" ht="22.5" customHeight="1">
      <c r="A9" s="62" t="s">
        <v>45</v>
      </c>
      <c r="B9" s="126">
        <f>_xlfn.COMPOUNDVALUE(9)</f>
        <v>1478</v>
      </c>
      <c r="C9" s="198">
        <v>1007941</v>
      </c>
      <c r="D9" s="199">
        <f>_xlfn.COMPOUNDVALUE(10)</f>
        <v>2011</v>
      </c>
      <c r="E9" s="198">
        <v>933944</v>
      </c>
      <c r="F9" s="199">
        <f>_xlfn.COMPOUNDVALUE(11)</f>
        <v>3489</v>
      </c>
      <c r="G9" s="198">
        <v>1941885</v>
      </c>
      <c r="H9" s="199">
        <f>_xlfn.COMPOUNDVALUE(12)</f>
        <v>203</v>
      </c>
      <c r="I9" s="200">
        <v>119010</v>
      </c>
      <c r="J9" s="126">
        <v>236</v>
      </c>
      <c r="K9" s="128">
        <v>54620</v>
      </c>
      <c r="L9" s="126">
        <v>3806</v>
      </c>
      <c r="M9" s="128">
        <v>1877496</v>
      </c>
      <c r="N9" s="63" t="s">
        <v>46</v>
      </c>
    </row>
    <row r="10" spans="1:14" s="61" customFormat="1" ht="22.5" customHeight="1">
      <c r="A10" s="62" t="s">
        <v>47</v>
      </c>
      <c r="B10" s="126">
        <f>_xlfn.COMPOUNDVALUE(13)</f>
        <v>611</v>
      </c>
      <c r="C10" s="198">
        <v>392952</v>
      </c>
      <c r="D10" s="199">
        <f>_xlfn.COMPOUNDVALUE(14)</f>
        <v>1297</v>
      </c>
      <c r="E10" s="198">
        <v>490608</v>
      </c>
      <c r="F10" s="199">
        <f>_xlfn.COMPOUNDVALUE(15)</f>
        <v>1908</v>
      </c>
      <c r="G10" s="198">
        <v>883561</v>
      </c>
      <c r="H10" s="199">
        <f>_xlfn.COMPOUNDVALUE(16)</f>
        <v>126</v>
      </c>
      <c r="I10" s="200">
        <v>59188</v>
      </c>
      <c r="J10" s="126">
        <v>87</v>
      </c>
      <c r="K10" s="128">
        <v>8140</v>
      </c>
      <c r="L10" s="126">
        <v>2056</v>
      </c>
      <c r="M10" s="128">
        <v>832513</v>
      </c>
      <c r="N10" s="63" t="s">
        <v>48</v>
      </c>
    </row>
    <row r="11" spans="1:14" s="61" customFormat="1" ht="22.5" customHeight="1">
      <c r="A11" s="62" t="s">
        <v>49</v>
      </c>
      <c r="B11" s="126">
        <f>_xlfn.COMPOUNDVALUE(17)</f>
        <v>1047</v>
      </c>
      <c r="C11" s="198">
        <v>738567</v>
      </c>
      <c r="D11" s="199">
        <f>_xlfn.COMPOUNDVALUE(18)</f>
        <v>1770</v>
      </c>
      <c r="E11" s="198">
        <v>839996</v>
      </c>
      <c r="F11" s="199">
        <f>_xlfn.COMPOUNDVALUE(19)</f>
        <v>2817</v>
      </c>
      <c r="G11" s="198">
        <v>1578563</v>
      </c>
      <c r="H11" s="199">
        <f>_xlfn.COMPOUNDVALUE(20)</f>
        <v>141</v>
      </c>
      <c r="I11" s="200">
        <v>78980</v>
      </c>
      <c r="J11" s="126">
        <v>273</v>
      </c>
      <c r="K11" s="128">
        <v>58911</v>
      </c>
      <c r="L11" s="126">
        <v>3060</v>
      </c>
      <c r="M11" s="128">
        <v>1558494</v>
      </c>
      <c r="N11" s="63" t="s">
        <v>50</v>
      </c>
    </row>
    <row r="12" spans="1:14" s="61" customFormat="1" ht="22.5" customHeight="1">
      <c r="A12" s="62" t="s">
        <v>51</v>
      </c>
      <c r="B12" s="126">
        <f>_xlfn.COMPOUNDVALUE(21)</f>
        <v>1131</v>
      </c>
      <c r="C12" s="198">
        <v>731749</v>
      </c>
      <c r="D12" s="199">
        <f>_xlfn.COMPOUNDVALUE(22)</f>
        <v>1744</v>
      </c>
      <c r="E12" s="198">
        <v>796583</v>
      </c>
      <c r="F12" s="199">
        <f>_xlfn.COMPOUNDVALUE(23)</f>
        <v>2875</v>
      </c>
      <c r="G12" s="198">
        <v>1528332</v>
      </c>
      <c r="H12" s="199">
        <f>_xlfn.COMPOUNDVALUE(24)</f>
        <v>176</v>
      </c>
      <c r="I12" s="200">
        <v>67187</v>
      </c>
      <c r="J12" s="126">
        <v>195</v>
      </c>
      <c r="K12" s="128">
        <v>30330</v>
      </c>
      <c r="L12" s="126">
        <v>3107</v>
      </c>
      <c r="M12" s="128">
        <v>1491476</v>
      </c>
      <c r="N12" s="63" t="s">
        <v>52</v>
      </c>
    </row>
    <row r="13" spans="1:14" s="61" customFormat="1" ht="22.5" customHeight="1">
      <c r="A13" s="148" t="s">
        <v>53</v>
      </c>
      <c r="B13" s="149">
        <f>_xlfn.COMPOUNDVALUE(25)</f>
        <v>445</v>
      </c>
      <c r="C13" s="201">
        <v>282549</v>
      </c>
      <c r="D13" s="202">
        <f>_xlfn.COMPOUNDVALUE(26)</f>
        <v>759</v>
      </c>
      <c r="E13" s="201">
        <v>354461</v>
      </c>
      <c r="F13" s="202">
        <f>_xlfn.COMPOUNDVALUE(27)</f>
        <v>1204</v>
      </c>
      <c r="G13" s="201">
        <v>637010</v>
      </c>
      <c r="H13" s="202">
        <f>_xlfn.COMPOUNDVALUE(28)</f>
        <v>77</v>
      </c>
      <c r="I13" s="203">
        <v>29493</v>
      </c>
      <c r="J13" s="149">
        <v>78</v>
      </c>
      <c r="K13" s="151">
        <v>6900</v>
      </c>
      <c r="L13" s="149">
        <v>1312</v>
      </c>
      <c r="M13" s="151">
        <v>614417</v>
      </c>
      <c r="N13" s="152" t="s">
        <v>54</v>
      </c>
    </row>
    <row r="14" spans="1:14" s="61" customFormat="1" ht="22.5" customHeight="1">
      <c r="A14" s="153" t="s">
        <v>55</v>
      </c>
      <c r="B14" s="154">
        <v>8205</v>
      </c>
      <c r="C14" s="155">
        <v>5589202</v>
      </c>
      <c r="D14" s="154">
        <v>11943</v>
      </c>
      <c r="E14" s="155">
        <v>5617481</v>
      </c>
      <c r="F14" s="154">
        <v>20148</v>
      </c>
      <c r="G14" s="155">
        <v>11206683</v>
      </c>
      <c r="H14" s="154">
        <v>1165</v>
      </c>
      <c r="I14" s="156">
        <v>552158</v>
      </c>
      <c r="J14" s="154">
        <v>1446</v>
      </c>
      <c r="K14" s="156">
        <v>283212</v>
      </c>
      <c r="L14" s="154">
        <v>21879</v>
      </c>
      <c r="M14" s="156">
        <v>10937737</v>
      </c>
      <c r="N14" s="157" t="s">
        <v>56</v>
      </c>
    </row>
    <row r="15" spans="1:14" s="61" customFormat="1" ht="22.5" customHeight="1">
      <c r="A15" s="158"/>
      <c r="B15" s="159"/>
      <c r="C15" s="160"/>
      <c r="D15" s="159"/>
      <c r="E15" s="160"/>
      <c r="F15" s="161"/>
      <c r="G15" s="160"/>
      <c r="H15" s="161"/>
      <c r="I15" s="160"/>
      <c r="J15" s="161"/>
      <c r="K15" s="160"/>
      <c r="L15" s="161"/>
      <c r="M15" s="160"/>
      <c r="N15" s="162"/>
    </row>
    <row r="16" spans="1:14" s="61" customFormat="1" ht="22.5" customHeight="1">
      <c r="A16" s="59" t="s">
        <v>57</v>
      </c>
      <c r="B16" s="196">
        <f>_xlfn.COMPOUNDVALUE(29)</f>
        <v>1798</v>
      </c>
      <c r="C16" s="195">
        <v>1293676</v>
      </c>
      <c r="D16" s="196">
        <f>_xlfn.COMPOUNDVALUE(30)</f>
        <v>3218</v>
      </c>
      <c r="E16" s="195">
        <v>1674313</v>
      </c>
      <c r="F16" s="196">
        <f>_xlfn.COMPOUNDVALUE(31)</f>
        <v>5016</v>
      </c>
      <c r="G16" s="195">
        <v>2967989</v>
      </c>
      <c r="H16" s="196">
        <f>_xlfn.COMPOUNDVALUE(32)</f>
        <v>185</v>
      </c>
      <c r="I16" s="197">
        <v>77442</v>
      </c>
      <c r="J16" s="123">
        <v>288</v>
      </c>
      <c r="K16" s="125">
        <v>76506</v>
      </c>
      <c r="L16" s="123">
        <v>5324</v>
      </c>
      <c r="M16" s="125">
        <v>2967053</v>
      </c>
      <c r="N16" s="60" t="s">
        <v>58</v>
      </c>
    </row>
    <row r="17" spans="1:14" s="61" customFormat="1" ht="22.5" customHeight="1">
      <c r="A17" s="59" t="s">
        <v>59</v>
      </c>
      <c r="B17" s="196">
        <f>_xlfn.COMPOUNDVALUE(33)</f>
        <v>831</v>
      </c>
      <c r="C17" s="195">
        <v>584588</v>
      </c>
      <c r="D17" s="196">
        <f>_xlfn.COMPOUNDVALUE(34)</f>
        <v>1636</v>
      </c>
      <c r="E17" s="195">
        <v>771541</v>
      </c>
      <c r="F17" s="196">
        <f>_xlfn.COMPOUNDVALUE(35)</f>
        <v>2467</v>
      </c>
      <c r="G17" s="195">
        <v>1356129</v>
      </c>
      <c r="H17" s="196">
        <f>_xlfn.COMPOUNDVALUE(36)</f>
        <v>85</v>
      </c>
      <c r="I17" s="197">
        <v>57198</v>
      </c>
      <c r="J17" s="123">
        <v>166</v>
      </c>
      <c r="K17" s="125">
        <v>23172</v>
      </c>
      <c r="L17" s="123">
        <v>2600</v>
      </c>
      <c r="M17" s="125">
        <v>1322103</v>
      </c>
      <c r="N17" s="60" t="s">
        <v>60</v>
      </c>
    </row>
    <row r="18" spans="1:14" s="61" customFormat="1" ht="22.5" customHeight="1">
      <c r="A18" s="59" t="s">
        <v>61</v>
      </c>
      <c r="B18" s="196">
        <f>_xlfn.COMPOUNDVALUE(37)</f>
        <v>1740</v>
      </c>
      <c r="C18" s="195">
        <v>1367061</v>
      </c>
      <c r="D18" s="196">
        <f>_xlfn.COMPOUNDVALUE(38)</f>
        <v>3513</v>
      </c>
      <c r="E18" s="195">
        <v>1622305</v>
      </c>
      <c r="F18" s="196">
        <f>_xlfn.COMPOUNDVALUE(39)</f>
        <v>5253</v>
      </c>
      <c r="G18" s="195">
        <v>2989366</v>
      </c>
      <c r="H18" s="196">
        <f>_xlfn.COMPOUNDVALUE(40)</f>
        <v>281</v>
      </c>
      <c r="I18" s="197">
        <v>187254</v>
      </c>
      <c r="J18" s="123">
        <v>327</v>
      </c>
      <c r="K18" s="125">
        <v>40497</v>
      </c>
      <c r="L18" s="123">
        <v>5630</v>
      </c>
      <c r="M18" s="125">
        <v>2842609</v>
      </c>
      <c r="N18" s="60" t="s">
        <v>62</v>
      </c>
    </row>
    <row r="19" spans="1:14" s="61" customFormat="1" ht="22.5" customHeight="1">
      <c r="A19" s="59" t="s">
        <v>63</v>
      </c>
      <c r="B19" s="196">
        <f>_xlfn.COMPOUNDVALUE(41)</f>
        <v>1125</v>
      </c>
      <c r="C19" s="195">
        <v>756834</v>
      </c>
      <c r="D19" s="196">
        <f>_xlfn.COMPOUNDVALUE(42)</f>
        <v>1961</v>
      </c>
      <c r="E19" s="195">
        <v>888404</v>
      </c>
      <c r="F19" s="196">
        <f>_xlfn.COMPOUNDVALUE(43)</f>
        <v>3086</v>
      </c>
      <c r="G19" s="195">
        <v>1645238</v>
      </c>
      <c r="H19" s="196">
        <f>_xlfn.COMPOUNDVALUE(44)</f>
        <v>125</v>
      </c>
      <c r="I19" s="197">
        <v>79491</v>
      </c>
      <c r="J19" s="123">
        <v>163</v>
      </c>
      <c r="K19" s="125">
        <v>27007</v>
      </c>
      <c r="L19" s="123">
        <v>3285</v>
      </c>
      <c r="M19" s="125">
        <v>1592754</v>
      </c>
      <c r="N19" s="60" t="s">
        <v>64</v>
      </c>
    </row>
    <row r="20" spans="1:14" s="61" customFormat="1" ht="22.5" customHeight="1">
      <c r="A20" s="59" t="s">
        <v>65</v>
      </c>
      <c r="B20" s="196">
        <f>_xlfn.COMPOUNDVALUE(45)</f>
        <v>1221</v>
      </c>
      <c r="C20" s="195">
        <v>892079</v>
      </c>
      <c r="D20" s="196">
        <f>_xlfn.COMPOUNDVALUE(46)</f>
        <v>2305</v>
      </c>
      <c r="E20" s="195">
        <v>1145128</v>
      </c>
      <c r="F20" s="196">
        <f>_xlfn.COMPOUNDVALUE(47)</f>
        <v>3526</v>
      </c>
      <c r="G20" s="195">
        <v>2037207</v>
      </c>
      <c r="H20" s="196">
        <f>_xlfn.COMPOUNDVALUE(48)</f>
        <v>137</v>
      </c>
      <c r="I20" s="197">
        <v>103635</v>
      </c>
      <c r="J20" s="123">
        <v>244</v>
      </c>
      <c r="K20" s="125">
        <v>48332</v>
      </c>
      <c r="L20" s="123">
        <v>3756</v>
      </c>
      <c r="M20" s="125">
        <v>1981904</v>
      </c>
      <c r="N20" s="60" t="s">
        <v>66</v>
      </c>
    </row>
    <row r="21" spans="1:14" s="61" customFormat="1" ht="22.5" customHeight="1">
      <c r="A21" s="59" t="s">
        <v>67</v>
      </c>
      <c r="B21" s="196">
        <f>_xlfn.COMPOUNDVALUE(49)</f>
        <v>420</v>
      </c>
      <c r="C21" s="195">
        <v>248498</v>
      </c>
      <c r="D21" s="196">
        <f>_xlfn.COMPOUNDVALUE(50)</f>
        <v>777</v>
      </c>
      <c r="E21" s="195">
        <v>368991</v>
      </c>
      <c r="F21" s="196">
        <f>_xlfn.COMPOUNDVALUE(51)</f>
        <v>1197</v>
      </c>
      <c r="G21" s="195">
        <v>617489</v>
      </c>
      <c r="H21" s="196">
        <f>_xlfn.COMPOUNDVALUE(52)</f>
        <v>72</v>
      </c>
      <c r="I21" s="197">
        <v>26667</v>
      </c>
      <c r="J21" s="123">
        <v>89</v>
      </c>
      <c r="K21" s="125">
        <v>4409</v>
      </c>
      <c r="L21" s="123">
        <v>1292</v>
      </c>
      <c r="M21" s="125">
        <v>595231</v>
      </c>
      <c r="N21" s="60" t="s">
        <v>68</v>
      </c>
    </row>
    <row r="22" spans="1:14" s="61" customFormat="1" ht="22.5" customHeight="1">
      <c r="A22" s="62" t="s">
        <v>69</v>
      </c>
      <c r="B22" s="199">
        <f>_xlfn.COMPOUNDVALUE(53)</f>
        <v>657</v>
      </c>
      <c r="C22" s="198">
        <v>445665</v>
      </c>
      <c r="D22" s="199">
        <f>_xlfn.COMPOUNDVALUE(54)</f>
        <v>1633</v>
      </c>
      <c r="E22" s="198">
        <v>723335</v>
      </c>
      <c r="F22" s="199">
        <f>_xlfn.COMPOUNDVALUE(55)</f>
        <v>2290</v>
      </c>
      <c r="G22" s="198">
        <v>1169000</v>
      </c>
      <c r="H22" s="199">
        <f>_xlfn.COMPOUNDVALUE(56)</f>
        <v>107</v>
      </c>
      <c r="I22" s="200">
        <v>38528</v>
      </c>
      <c r="J22" s="126">
        <v>209</v>
      </c>
      <c r="K22" s="128">
        <v>36770</v>
      </c>
      <c r="L22" s="126">
        <v>2478</v>
      </c>
      <c r="M22" s="128">
        <v>1167242</v>
      </c>
      <c r="N22" s="63" t="s">
        <v>70</v>
      </c>
    </row>
    <row r="23" spans="1:14" s="61" customFormat="1" ht="22.5" customHeight="1">
      <c r="A23" s="62" t="s">
        <v>71</v>
      </c>
      <c r="B23" s="199">
        <f>_xlfn.COMPOUNDVALUE(57)</f>
        <v>647</v>
      </c>
      <c r="C23" s="198">
        <v>454154</v>
      </c>
      <c r="D23" s="199">
        <f>_xlfn.COMPOUNDVALUE(58)</f>
        <v>1420</v>
      </c>
      <c r="E23" s="198">
        <v>560525</v>
      </c>
      <c r="F23" s="199">
        <f>_xlfn.COMPOUNDVALUE(59)</f>
        <v>2067</v>
      </c>
      <c r="G23" s="198">
        <v>1014679</v>
      </c>
      <c r="H23" s="199">
        <f>_xlfn.COMPOUNDVALUE(60)</f>
        <v>85</v>
      </c>
      <c r="I23" s="200">
        <v>41328</v>
      </c>
      <c r="J23" s="126">
        <v>104</v>
      </c>
      <c r="K23" s="128">
        <v>9015</v>
      </c>
      <c r="L23" s="126">
        <v>2179</v>
      </c>
      <c r="M23" s="128">
        <v>982365</v>
      </c>
      <c r="N23" s="63" t="s">
        <v>72</v>
      </c>
    </row>
    <row r="24" spans="1:14" s="61" customFormat="1" ht="22.5" customHeight="1">
      <c r="A24" s="62" t="s">
        <v>73</v>
      </c>
      <c r="B24" s="199">
        <f>_xlfn.COMPOUNDVALUE(61)</f>
        <v>1389</v>
      </c>
      <c r="C24" s="198">
        <v>1079815</v>
      </c>
      <c r="D24" s="199">
        <f>_xlfn.COMPOUNDVALUE(62)</f>
        <v>2564</v>
      </c>
      <c r="E24" s="198">
        <v>1263035</v>
      </c>
      <c r="F24" s="199">
        <f>_xlfn.COMPOUNDVALUE(63)</f>
        <v>3953</v>
      </c>
      <c r="G24" s="198">
        <v>2342850</v>
      </c>
      <c r="H24" s="199">
        <f>_xlfn.COMPOUNDVALUE(64)</f>
        <v>174</v>
      </c>
      <c r="I24" s="200">
        <v>83542</v>
      </c>
      <c r="J24" s="126">
        <v>279</v>
      </c>
      <c r="K24" s="128">
        <v>76070</v>
      </c>
      <c r="L24" s="126">
        <v>4231</v>
      </c>
      <c r="M24" s="128">
        <v>2335378</v>
      </c>
      <c r="N24" s="63" t="s">
        <v>74</v>
      </c>
    </row>
    <row r="25" spans="1:14" s="61" customFormat="1" ht="23.25" customHeight="1">
      <c r="A25" s="62" t="s">
        <v>75</v>
      </c>
      <c r="B25" s="199">
        <f>_xlfn.COMPOUNDVALUE(65)</f>
        <v>864</v>
      </c>
      <c r="C25" s="198">
        <v>553769</v>
      </c>
      <c r="D25" s="199">
        <f>_xlfn.COMPOUNDVALUE(66)</f>
        <v>1655</v>
      </c>
      <c r="E25" s="198">
        <v>705328</v>
      </c>
      <c r="F25" s="199">
        <f>_xlfn.COMPOUNDVALUE(67)</f>
        <v>2519</v>
      </c>
      <c r="G25" s="198">
        <v>1259097</v>
      </c>
      <c r="H25" s="199">
        <f>_xlfn.COMPOUNDVALUE(68)</f>
        <v>104</v>
      </c>
      <c r="I25" s="200">
        <v>67726</v>
      </c>
      <c r="J25" s="126">
        <v>98</v>
      </c>
      <c r="K25" s="128">
        <v>15791</v>
      </c>
      <c r="L25" s="126">
        <v>2671</v>
      </c>
      <c r="M25" s="128">
        <v>1207162</v>
      </c>
      <c r="N25" s="63" t="s">
        <v>76</v>
      </c>
    </row>
    <row r="26" spans="1:14" s="61" customFormat="1" ht="22.5" customHeight="1">
      <c r="A26" s="62" t="s">
        <v>77</v>
      </c>
      <c r="B26" s="199">
        <f>_xlfn.COMPOUNDVALUE(69)</f>
        <v>694</v>
      </c>
      <c r="C26" s="198">
        <v>493086</v>
      </c>
      <c r="D26" s="199">
        <f>_xlfn.COMPOUNDVALUE(70)</f>
        <v>1397</v>
      </c>
      <c r="E26" s="198">
        <v>570430</v>
      </c>
      <c r="F26" s="199">
        <f>_xlfn.COMPOUNDVALUE(71)</f>
        <v>2091</v>
      </c>
      <c r="G26" s="198">
        <v>1063516</v>
      </c>
      <c r="H26" s="199">
        <f>_xlfn.COMPOUNDVALUE(72)</f>
        <v>103</v>
      </c>
      <c r="I26" s="200">
        <v>49190</v>
      </c>
      <c r="J26" s="126">
        <v>118</v>
      </c>
      <c r="K26" s="128">
        <v>15085</v>
      </c>
      <c r="L26" s="126">
        <v>2237</v>
      </c>
      <c r="M26" s="128">
        <v>1029410</v>
      </c>
      <c r="N26" s="63" t="s">
        <v>78</v>
      </c>
    </row>
    <row r="27" spans="1:14" s="61" customFormat="1" ht="22.5" customHeight="1">
      <c r="A27" s="62" t="s">
        <v>79</v>
      </c>
      <c r="B27" s="199">
        <f>_xlfn.COMPOUNDVALUE(73)</f>
        <v>893</v>
      </c>
      <c r="C27" s="198">
        <v>701349</v>
      </c>
      <c r="D27" s="199">
        <f>_xlfn.COMPOUNDVALUE(74)</f>
        <v>1726</v>
      </c>
      <c r="E27" s="198">
        <v>815933</v>
      </c>
      <c r="F27" s="199">
        <f>_xlfn.COMPOUNDVALUE(75)</f>
        <v>2619</v>
      </c>
      <c r="G27" s="198">
        <v>1517283</v>
      </c>
      <c r="H27" s="199">
        <f>_xlfn.COMPOUNDVALUE(76)</f>
        <v>87</v>
      </c>
      <c r="I27" s="200">
        <v>37627</v>
      </c>
      <c r="J27" s="126">
        <v>170</v>
      </c>
      <c r="K27" s="128">
        <v>30986</v>
      </c>
      <c r="L27" s="126">
        <v>2769</v>
      </c>
      <c r="M27" s="128">
        <v>1510642</v>
      </c>
      <c r="N27" s="63" t="s">
        <v>80</v>
      </c>
    </row>
    <row r="28" spans="1:14" s="61" customFormat="1" ht="22.5" customHeight="1">
      <c r="A28" s="148" t="s">
        <v>81</v>
      </c>
      <c r="B28" s="202">
        <f>_xlfn.COMPOUNDVALUE(77)</f>
        <v>264</v>
      </c>
      <c r="C28" s="201">
        <v>160589</v>
      </c>
      <c r="D28" s="202">
        <f>_xlfn.COMPOUNDVALUE(78)</f>
        <v>587</v>
      </c>
      <c r="E28" s="201">
        <v>230393</v>
      </c>
      <c r="F28" s="202">
        <f>_xlfn.COMPOUNDVALUE(79)</f>
        <v>851</v>
      </c>
      <c r="G28" s="201">
        <v>390982</v>
      </c>
      <c r="H28" s="202">
        <f>_xlfn.COMPOUNDVALUE(80)</f>
        <v>49</v>
      </c>
      <c r="I28" s="203">
        <v>13875</v>
      </c>
      <c r="J28" s="149">
        <v>25</v>
      </c>
      <c r="K28" s="151">
        <v>2653</v>
      </c>
      <c r="L28" s="149">
        <v>910</v>
      </c>
      <c r="M28" s="151">
        <v>379760</v>
      </c>
      <c r="N28" s="152" t="s">
        <v>82</v>
      </c>
    </row>
    <row r="29" spans="1:14" s="61" customFormat="1" ht="22.5" customHeight="1">
      <c r="A29" s="153" t="s">
        <v>83</v>
      </c>
      <c r="B29" s="204">
        <v>12543</v>
      </c>
      <c r="C29" s="205">
        <v>9031163</v>
      </c>
      <c r="D29" s="204">
        <v>24392</v>
      </c>
      <c r="E29" s="205">
        <v>11339661</v>
      </c>
      <c r="F29" s="204">
        <v>36935</v>
      </c>
      <c r="G29" s="205">
        <v>20370824</v>
      </c>
      <c r="H29" s="204">
        <v>1594</v>
      </c>
      <c r="I29" s="206">
        <v>863503</v>
      </c>
      <c r="J29" s="154">
        <v>2280</v>
      </c>
      <c r="K29" s="156">
        <v>406292</v>
      </c>
      <c r="L29" s="154">
        <v>39362</v>
      </c>
      <c r="M29" s="156">
        <v>19913614</v>
      </c>
      <c r="N29" s="157" t="s">
        <v>84</v>
      </c>
    </row>
    <row r="30" spans="1:14" s="61" customFormat="1" ht="22.5" customHeight="1">
      <c r="A30" s="158"/>
      <c r="B30" s="159"/>
      <c r="C30" s="160"/>
      <c r="D30" s="159"/>
      <c r="E30" s="160"/>
      <c r="F30" s="161"/>
      <c r="G30" s="160"/>
      <c r="H30" s="161"/>
      <c r="I30" s="160"/>
      <c r="J30" s="161"/>
      <c r="K30" s="160"/>
      <c r="L30" s="161"/>
      <c r="M30" s="160"/>
      <c r="N30" s="162"/>
    </row>
    <row r="31" spans="1:14" s="61" customFormat="1" ht="22.5" customHeight="1">
      <c r="A31" s="59" t="s">
        <v>85</v>
      </c>
      <c r="B31" s="123">
        <f>_xlfn.COMPOUNDVALUE(81)</f>
        <v>1202</v>
      </c>
      <c r="C31" s="195">
        <v>1231120</v>
      </c>
      <c r="D31" s="196">
        <f>_xlfn.COMPOUNDVALUE(82)</f>
        <v>1703</v>
      </c>
      <c r="E31" s="195">
        <v>1078096</v>
      </c>
      <c r="F31" s="196">
        <f>_xlfn.COMPOUNDVALUE(83)</f>
        <v>2905</v>
      </c>
      <c r="G31" s="195">
        <v>2309216</v>
      </c>
      <c r="H31" s="196">
        <f>_xlfn.COMPOUNDVALUE(84)</f>
        <v>286</v>
      </c>
      <c r="I31" s="197">
        <v>146882</v>
      </c>
      <c r="J31" s="123">
        <v>139</v>
      </c>
      <c r="K31" s="125">
        <v>50527</v>
      </c>
      <c r="L31" s="123">
        <v>3250</v>
      </c>
      <c r="M31" s="125">
        <v>2212861</v>
      </c>
      <c r="N31" s="60" t="s">
        <v>86</v>
      </c>
    </row>
    <row r="32" spans="1:14" s="61" customFormat="1" ht="22.5" customHeight="1">
      <c r="A32" s="59" t="s">
        <v>87</v>
      </c>
      <c r="B32" s="123">
        <f>_xlfn.COMPOUNDVALUE(85)</f>
        <v>432</v>
      </c>
      <c r="C32" s="195">
        <v>424384</v>
      </c>
      <c r="D32" s="196">
        <f>_xlfn.COMPOUNDVALUE(86)</f>
        <v>583</v>
      </c>
      <c r="E32" s="195">
        <v>387120</v>
      </c>
      <c r="F32" s="196">
        <f>_xlfn.COMPOUNDVALUE(87)</f>
        <v>1015</v>
      </c>
      <c r="G32" s="195">
        <v>811503</v>
      </c>
      <c r="H32" s="196">
        <f>_xlfn.COMPOUNDVALUE(88)</f>
        <v>165</v>
      </c>
      <c r="I32" s="197">
        <v>95877</v>
      </c>
      <c r="J32" s="123">
        <v>54</v>
      </c>
      <c r="K32" s="125">
        <v>3366</v>
      </c>
      <c r="L32" s="123">
        <v>1200</v>
      </c>
      <c r="M32" s="125">
        <v>718992</v>
      </c>
      <c r="N32" s="60" t="s">
        <v>88</v>
      </c>
    </row>
    <row r="33" spans="1:14" s="61" customFormat="1" ht="22.5" customHeight="1">
      <c r="A33" s="59" t="s">
        <v>89</v>
      </c>
      <c r="B33" s="123">
        <f>_xlfn.COMPOUNDVALUE(89)</f>
        <v>1203</v>
      </c>
      <c r="C33" s="195">
        <v>782432</v>
      </c>
      <c r="D33" s="196">
        <f>_xlfn.COMPOUNDVALUE(90)</f>
        <v>1531</v>
      </c>
      <c r="E33" s="195">
        <v>807939</v>
      </c>
      <c r="F33" s="196">
        <f>_xlfn.COMPOUNDVALUE(91)</f>
        <v>2734</v>
      </c>
      <c r="G33" s="195">
        <v>1590371</v>
      </c>
      <c r="H33" s="196">
        <f>_xlfn.COMPOUNDVALUE(92)</f>
        <v>207</v>
      </c>
      <c r="I33" s="197">
        <v>70002</v>
      </c>
      <c r="J33" s="123">
        <v>290</v>
      </c>
      <c r="K33" s="125">
        <v>69048</v>
      </c>
      <c r="L33" s="123">
        <v>3113</v>
      </c>
      <c r="M33" s="125">
        <v>1589417</v>
      </c>
      <c r="N33" s="60" t="s">
        <v>90</v>
      </c>
    </row>
    <row r="34" spans="1:14" s="61" customFormat="1" ht="22.5" customHeight="1">
      <c r="A34" s="59" t="s">
        <v>91</v>
      </c>
      <c r="B34" s="123">
        <f>_xlfn.COMPOUNDVALUE(93)</f>
        <v>1192</v>
      </c>
      <c r="C34" s="195">
        <v>778152</v>
      </c>
      <c r="D34" s="196">
        <f>_xlfn.COMPOUNDVALUE(94)</f>
        <v>1639</v>
      </c>
      <c r="E34" s="195">
        <v>849736</v>
      </c>
      <c r="F34" s="196">
        <f>_xlfn.COMPOUNDVALUE(95)</f>
        <v>2831</v>
      </c>
      <c r="G34" s="195">
        <v>1627888</v>
      </c>
      <c r="H34" s="196">
        <f>_xlfn.COMPOUNDVALUE(96)</f>
        <v>215</v>
      </c>
      <c r="I34" s="197">
        <v>90627</v>
      </c>
      <c r="J34" s="123">
        <v>244</v>
      </c>
      <c r="K34" s="125">
        <v>61680</v>
      </c>
      <c r="L34" s="123">
        <v>3170</v>
      </c>
      <c r="M34" s="125">
        <v>1598941</v>
      </c>
      <c r="N34" s="60" t="s">
        <v>92</v>
      </c>
    </row>
    <row r="35" spans="1:14" s="61" customFormat="1" ht="22.5" customHeight="1">
      <c r="A35" s="59" t="s">
        <v>93</v>
      </c>
      <c r="B35" s="123">
        <f>_xlfn.COMPOUNDVALUE(97)</f>
        <v>546</v>
      </c>
      <c r="C35" s="195">
        <v>415030</v>
      </c>
      <c r="D35" s="196">
        <f>_xlfn.COMPOUNDVALUE(98)</f>
        <v>732</v>
      </c>
      <c r="E35" s="195">
        <v>400738</v>
      </c>
      <c r="F35" s="196">
        <f>_xlfn.COMPOUNDVALUE(99)</f>
        <v>1278</v>
      </c>
      <c r="G35" s="195">
        <v>815768</v>
      </c>
      <c r="H35" s="196">
        <f>_xlfn.COMPOUNDVALUE(100)</f>
        <v>128</v>
      </c>
      <c r="I35" s="197">
        <v>89652</v>
      </c>
      <c r="J35" s="123">
        <v>80</v>
      </c>
      <c r="K35" s="125">
        <v>4959</v>
      </c>
      <c r="L35" s="123">
        <v>1442</v>
      </c>
      <c r="M35" s="125">
        <v>731075</v>
      </c>
      <c r="N35" s="60" t="s">
        <v>94</v>
      </c>
    </row>
    <row r="36" spans="1:14" s="61" customFormat="1" ht="22.5" customHeight="1">
      <c r="A36" s="59" t="s">
        <v>95</v>
      </c>
      <c r="B36" s="123">
        <f>_xlfn.COMPOUNDVALUE(101)</f>
        <v>899</v>
      </c>
      <c r="C36" s="195">
        <v>1067175</v>
      </c>
      <c r="D36" s="196">
        <f>_xlfn.COMPOUNDVALUE(102)</f>
        <v>932</v>
      </c>
      <c r="E36" s="195">
        <v>595219</v>
      </c>
      <c r="F36" s="196">
        <f>_xlfn.COMPOUNDVALUE(103)</f>
        <v>1831</v>
      </c>
      <c r="G36" s="195">
        <v>1662394</v>
      </c>
      <c r="H36" s="196">
        <f>_xlfn.COMPOUNDVALUE(104)</f>
        <v>388</v>
      </c>
      <c r="I36" s="197">
        <v>141186</v>
      </c>
      <c r="J36" s="123">
        <v>91</v>
      </c>
      <c r="K36" s="125">
        <v>16604</v>
      </c>
      <c r="L36" s="123">
        <v>2269</v>
      </c>
      <c r="M36" s="125">
        <v>1537812</v>
      </c>
      <c r="N36" s="60" t="s">
        <v>96</v>
      </c>
    </row>
    <row r="37" spans="1:14" s="61" customFormat="1" ht="22.5" customHeight="1">
      <c r="A37" s="59" t="s">
        <v>97</v>
      </c>
      <c r="B37" s="123">
        <f>_xlfn.COMPOUNDVALUE(105)</f>
        <v>1832</v>
      </c>
      <c r="C37" s="195">
        <v>1752689</v>
      </c>
      <c r="D37" s="196">
        <f>_xlfn.COMPOUNDVALUE(106)</f>
        <v>2713</v>
      </c>
      <c r="E37" s="195">
        <v>1626061</v>
      </c>
      <c r="F37" s="196">
        <f>_xlfn.COMPOUNDVALUE(107)</f>
        <v>4545</v>
      </c>
      <c r="G37" s="195">
        <v>3378750</v>
      </c>
      <c r="H37" s="196">
        <f>_xlfn.COMPOUNDVALUE(108)</f>
        <v>364</v>
      </c>
      <c r="I37" s="197">
        <v>240021</v>
      </c>
      <c r="J37" s="123">
        <v>366</v>
      </c>
      <c r="K37" s="125">
        <v>51773</v>
      </c>
      <c r="L37" s="123">
        <v>5049</v>
      </c>
      <c r="M37" s="125">
        <v>3190502</v>
      </c>
      <c r="N37" s="60" t="s">
        <v>98</v>
      </c>
    </row>
    <row r="38" spans="1:14" s="61" customFormat="1" ht="22.5" customHeight="1">
      <c r="A38" s="59" t="s">
        <v>99</v>
      </c>
      <c r="B38" s="123">
        <f>_xlfn.COMPOUNDVALUE(109)</f>
        <v>1615</v>
      </c>
      <c r="C38" s="195">
        <v>1112479</v>
      </c>
      <c r="D38" s="196">
        <f>_xlfn.COMPOUNDVALUE(110)</f>
        <v>2162</v>
      </c>
      <c r="E38" s="195">
        <v>1109495</v>
      </c>
      <c r="F38" s="196">
        <f>_xlfn.COMPOUNDVALUE(111)</f>
        <v>3777</v>
      </c>
      <c r="G38" s="195">
        <v>2221974</v>
      </c>
      <c r="H38" s="196">
        <f>_xlfn.COMPOUNDVALUE(112)</f>
        <v>257</v>
      </c>
      <c r="I38" s="197">
        <v>198529</v>
      </c>
      <c r="J38" s="123">
        <v>329</v>
      </c>
      <c r="K38" s="125">
        <v>53053</v>
      </c>
      <c r="L38" s="123">
        <v>4237</v>
      </c>
      <c r="M38" s="125">
        <v>2076498</v>
      </c>
      <c r="N38" s="60" t="s">
        <v>100</v>
      </c>
    </row>
    <row r="39" spans="1:14" s="61" customFormat="1" ht="22.5" customHeight="1">
      <c r="A39" s="59" t="s">
        <v>101</v>
      </c>
      <c r="B39" s="123">
        <f>_xlfn.COMPOUNDVALUE(113)</f>
        <v>1252</v>
      </c>
      <c r="C39" s="195">
        <v>820563</v>
      </c>
      <c r="D39" s="196">
        <f>_xlfn.COMPOUNDVALUE(114)</f>
        <v>1661</v>
      </c>
      <c r="E39" s="195">
        <v>814073</v>
      </c>
      <c r="F39" s="196">
        <f>_xlfn.COMPOUNDVALUE(115)</f>
        <v>2913</v>
      </c>
      <c r="G39" s="195">
        <v>1634636</v>
      </c>
      <c r="H39" s="196">
        <f>_xlfn.COMPOUNDVALUE(116)</f>
        <v>283</v>
      </c>
      <c r="I39" s="197">
        <v>216392</v>
      </c>
      <c r="J39" s="123">
        <v>235</v>
      </c>
      <c r="K39" s="125">
        <v>67833</v>
      </c>
      <c r="L39" s="123">
        <v>3314</v>
      </c>
      <c r="M39" s="125">
        <v>1486077</v>
      </c>
      <c r="N39" s="60" t="s">
        <v>102</v>
      </c>
    </row>
    <row r="40" spans="1:14" s="61" customFormat="1" ht="22.5" customHeight="1">
      <c r="A40" s="59" t="s">
        <v>103</v>
      </c>
      <c r="B40" s="123">
        <f>_xlfn.COMPOUNDVALUE(117)</f>
        <v>2540</v>
      </c>
      <c r="C40" s="195">
        <v>2011848</v>
      </c>
      <c r="D40" s="196">
        <f>_xlfn.COMPOUNDVALUE(118)</f>
        <v>6365</v>
      </c>
      <c r="E40" s="195">
        <v>2705416</v>
      </c>
      <c r="F40" s="196">
        <f>_xlfn.COMPOUNDVALUE(119)</f>
        <v>8905</v>
      </c>
      <c r="G40" s="195">
        <v>4717264</v>
      </c>
      <c r="H40" s="196">
        <f>_xlfn.COMPOUNDVALUE(120)</f>
        <v>504</v>
      </c>
      <c r="I40" s="197">
        <v>265892</v>
      </c>
      <c r="J40" s="123">
        <v>598</v>
      </c>
      <c r="K40" s="125">
        <v>75272</v>
      </c>
      <c r="L40" s="123">
        <v>9663</v>
      </c>
      <c r="M40" s="125">
        <v>4526644</v>
      </c>
      <c r="N40" s="60" t="s">
        <v>104</v>
      </c>
    </row>
    <row r="41" spans="1:14" s="61" customFormat="1" ht="22.5" customHeight="1">
      <c r="A41" s="59" t="s">
        <v>105</v>
      </c>
      <c r="B41" s="123">
        <f>_xlfn.COMPOUNDVALUE(121)</f>
        <v>1369</v>
      </c>
      <c r="C41" s="195">
        <v>1040739</v>
      </c>
      <c r="D41" s="196">
        <f>_xlfn.COMPOUNDVALUE(122)</f>
        <v>2131</v>
      </c>
      <c r="E41" s="195">
        <v>1090769</v>
      </c>
      <c r="F41" s="196">
        <f>_xlfn.COMPOUNDVALUE(123)</f>
        <v>3500</v>
      </c>
      <c r="G41" s="195">
        <v>2131508</v>
      </c>
      <c r="H41" s="196">
        <f>_xlfn.COMPOUNDVALUE(124)</f>
        <v>207</v>
      </c>
      <c r="I41" s="197">
        <v>102540</v>
      </c>
      <c r="J41" s="123">
        <v>237</v>
      </c>
      <c r="K41" s="125">
        <v>36746</v>
      </c>
      <c r="L41" s="123">
        <v>3787</v>
      </c>
      <c r="M41" s="125">
        <v>2065714</v>
      </c>
      <c r="N41" s="60" t="s">
        <v>106</v>
      </c>
    </row>
    <row r="42" spans="1:14" s="61" customFormat="1" ht="22.5" customHeight="1">
      <c r="A42" s="59" t="s">
        <v>107</v>
      </c>
      <c r="B42" s="123">
        <f>_xlfn.COMPOUNDVALUE(125)</f>
        <v>1719</v>
      </c>
      <c r="C42" s="195">
        <v>1092327</v>
      </c>
      <c r="D42" s="196">
        <f>_xlfn.COMPOUNDVALUE(126)</f>
        <v>2500</v>
      </c>
      <c r="E42" s="195">
        <v>1257214</v>
      </c>
      <c r="F42" s="196">
        <f>_xlfn.COMPOUNDVALUE(127)</f>
        <v>4219</v>
      </c>
      <c r="G42" s="195">
        <v>2349541</v>
      </c>
      <c r="H42" s="196">
        <f>_xlfn.COMPOUNDVALUE(128)</f>
        <v>233</v>
      </c>
      <c r="I42" s="197">
        <v>112988</v>
      </c>
      <c r="J42" s="123">
        <v>318</v>
      </c>
      <c r="K42" s="125">
        <v>60359</v>
      </c>
      <c r="L42" s="123">
        <v>4586</v>
      </c>
      <c r="M42" s="125">
        <v>2296913</v>
      </c>
      <c r="N42" s="60" t="s">
        <v>108</v>
      </c>
    </row>
    <row r="43" spans="1:14" s="61" customFormat="1" ht="22.5" customHeight="1">
      <c r="A43" s="59" t="s">
        <v>109</v>
      </c>
      <c r="B43" s="123">
        <f>_xlfn.COMPOUNDVALUE(129)</f>
        <v>707</v>
      </c>
      <c r="C43" s="195">
        <v>466296</v>
      </c>
      <c r="D43" s="196">
        <f>_xlfn.COMPOUNDVALUE(130)</f>
        <v>977</v>
      </c>
      <c r="E43" s="195">
        <v>483774</v>
      </c>
      <c r="F43" s="196">
        <f>_xlfn.COMPOUNDVALUE(131)</f>
        <v>1684</v>
      </c>
      <c r="G43" s="195">
        <v>950070</v>
      </c>
      <c r="H43" s="196">
        <f>_xlfn.COMPOUNDVALUE(132)</f>
        <v>76</v>
      </c>
      <c r="I43" s="197">
        <v>24907</v>
      </c>
      <c r="J43" s="123">
        <v>143</v>
      </c>
      <c r="K43" s="125">
        <v>32514</v>
      </c>
      <c r="L43" s="123">
        <v>1855</v>
      </c>
      <c r="M43" s="125">
        <v>957677</v>
      </c>
      <c r="N43" s="60" t="s">
        <v>110</v>
      </c>
    </row>
    <row r="44" spans="1:14" s="61" customFormat="1" ht="22.5" customHeight="1">
      <c r="A44" s="62" t="s">
        <v>111</v>
      </c>
      <c r="B44" s="126">
        <f>_xlfn.COMPOUNDVALUE(133)</f>
        <v>2072</v>
      </c>
      <c r="C44" s="198">
        <v>1512269</v>
      </c>
      <c r="D44" s="199">
        <f>_xlfn.COMPOUNDVALUE(134)</f>
        <v>3285</v>
      </c>
      <c r="E44" s="198">
        <v>1507424</v>
      </c>
      <c r="F44" s="199">
        <f>_xlfn.COMPOUNDVALUE(135)</f>
        <v>5357</v>
      </c>
      <c r="G44" s="198">
        <v>3019693</v>
      </c>
      <c r="H44" s="199">
        <f>_xlfn.COMPOUNDVALUE(136)</f>
        <v>334</v>
      </c>
      <c r="I44" s="200">
        <v>186973</v>
      </c>
      <c r="J44" s="126">
        <v>464</v>
      </c>
      <c r="K44" s="128">
        <v>97554</v>
      </c>
      <c r="L44" s="126">
        <v>5870</v>
      </c>
      <c r="M44" s="128">
        <v>2930274</v>
      </c>
      <c r="N44" s="63" t="s">
        <v>112</v>
      </c>
    </row>
    <row r="45" spans="1:14" s="61" customFormat="1" ht="22.5" customHeight="1">
      <c r="A45" s="62" t="s">
        <v>113</v>
      </c>
      <c r="B45" s="126">
        <f>_xlfn.COMPOUNDVALUE(137)</f>
        <v>1351</v>
      </c>
      <c r="C45" s="198">
        <v>914914</v>
      </c>
      <c r="D45" s="199">
        <f>_xlfn.COMPOUNDVALUE(138)</f>
        <v>1927</v>
      </c>
      <c r="E45" s="198">
        <v>896183</v>
      </c>
      <c r="F45" s="199">
        <f>_xlfn.COMPOUNDVALUE(139)</f>
        <v>3278</v>
      </c>
      <c r="G45" s="198">
        <v>1811098</v>
      </c>
      <c r="H45" s="199">
        <f>_xlfn.COMPOUNDVALUE(140)</f>
        <v>179</v>
      </c>
      <c r="I45" s="200">
        <v>108105</v>
      </c>
      <c r="J45" s="126">
        <v>294</v>
      </c>
      <c r="K45" s="128">
        <v>96221</v>
      </c>
      <c r="L45" s="126">
        <v>3608</v>
      </c>
      <c r="M45" s="128">
        <v>1799214</v>
      </c>
      <c r="N45" s="63" t="s">
        <v>114</v>
      </c>
    </row>
    <row r="46" spans="1:14" s="61" customFormat="1" ht="22.5" customHeight="1">
      <c r="A46" s="62" t="s">
        <v>115</v>
      </c>
      <c r="B46" s="126">
        <f>_xlfn.COMPOUNDVALUE(141)</f>
        <v>1589</v>
      </c>
      <c r="C46" s="198">
        <v>1294009</v>
      </c>
      <c r="D46" s="199">
        <f>_xlfn.COMPOUNDVALUE(142)</f>
        <v>2619</v>
      </c>
      <c r="E46" s="198">
        <v>1277780</v>
      </c>
      <c r="F46" s="199">
        <f>_xlfn.COMPOUNDVALUE(143)</f>
        <v>4208</v>
      </c>
      <c r="G46" s="198">
        <v>2571789</v>
      </c>
      <c r="H46" s="199">
        <f>_xlfn.COMPOUNDVALUE(144)</f>
        <v>264</v>
      </c>
      <c r="I46" s="200">
        <v>133167</v>
      </c>
      <c r="J46" s="126">
        <v>260</v>
      </c>
      <c r="K46" s="128">
        <v>10980</v>
      </c>
      <c r="L46" s="126">
        <v>4526</v>
      </c>
      <c r="M46" s="128">
        <v>2449601</v>
      </c>
      <c r="N46" s="63" t="s">
        <v>116</v>
      </c>
    </row>
    <row r="47" spans="1:14" s="61" customFormat="1" ht="22.5" customHeight="1">
      <c r="A47" s="62" t="s">
        <v>117</v>
      </c>
      <c r="B47" s="126">
        <f>_xlfn.COMPOUNDVALUE(145)</f>
        <v>1196</v>
      </c>
      <c r="C47" s="198">
        <v>907038</v>
      </c>
      <c r="D47" s="199">
        <f>_xlfn.COMPOUNDVALUE(146)</f>
        <v>1747</v>
      </c>
      <c r="E47" s="198">
        <v>893969</v>
      </c>
      <c r="F47" s="199">
        <f>_xlfn.COMPOUNDVALUE(147)</f>
        <v>2943</v>
      </c>
      <c r="G47" s="198">
        <v>1801007</v>
      </c>
      <c r="H47" s="199">
        <f>_xlfn.COMPOUNDVALUE(148)</f>
        <v>199</v>
      </c>
      <c r="I47" s="200">
        <v>87348</v>
      </c>
      <c r="J47" s="126">
        <v>203</v>
      </c>
      <c r="K47" s="128">
        <v>30978</v>
      </c>
      <c r="L47" s="126">
        <v>3187</v>
      </c>
      <c r="M47" s="128">
        <v>1744637</v>
      </c>
      <c r="N47" s="63" t="s">
        <v>118</v>
      </c>
    </row>
    <row r="48" spans="1:14" s="61" customFormat="1" ht="22.5" customHeight="1">
      <c r="A48" s="62" t="s">
        <v>119</v>
      </c>
      <c r="B48" s="126">
        <f>_xlfn.COMPOUNDVALUE(149)</f>
        <v>717</v>
      </c>
      <c r="C48" s="198">
        <v>766509</v>
      </c>
      <c r="D48" s="199">
        <f>_xlfn.COMPOUNDVALUE(150)</f>
        <v>1388</v>
      </c>
      <c r="E48" s="198">
        <v>650318</v>
      </c>
      <c r="F48" s="199">
        <f>_xlfn.COMPOUNDVALUE(151)</f>
        <v>2105</v>
      </c>
      <c r="G48" s="198">
        <v>1416827</v>
      </c>
      <c r="H48" s="199">
        <f>_xlfn.COMPOUNDVALUE(152)</f>
        <v>130</v>
      </c>
      <c r="I48" s="200">
        <v>67031</v>
      </c>
      <c r="J48" s="126">
        <v>99</v>
      </c>
      <c r="K48" s="128">
        <v>18502</v>
      </c>
      <c r="L48" s="126">
        <v>2285</v>
      </c>
      <c r="M48" s="128">
        <v>1368298</v>
      </c>
      <c r="N48" s="63" t="s">
        <v>120</v>
      </c>
    </row>
    <row r="49" spans="1:14" s="61" customFormat="1" ht="22.5" customHeight="1">
      <c r="A49" s="62" t="s">
        <v>121</v>
      </c>
      <c r="B49" s="126">
        <f>_xlfn.COMPOUNDVALUE(153)</f>
        <v>2080</v>
      </c>
      <c r="C49" s="198">
        <v>1335349</v>
      </c>
      <c r="D49" s="199">
        <f>_xlfn.COMPOUNDVALUE(154)</f>
        <v>3023</v>
      </c>
      <c r="E49" s="198">
        <v>1545103</v>
      </c>
      <c r="F49" s="199">
        <f>_xlfn.COMPOUNDVALUE(155)</f>
        <v>5103</v>
      </c>
      <c r="G49" s="198">
        <v>2880452</v>
      </c>
      <c r="H49" s="199">
        <f>_xlfn.COMPOUNDVALUE(156)</f>
        <v>361</v>
      </c>
      <c r="I49" s="200">
        <v>287169</v>
      </c>
      <c r="J49" s="126">
        <v>364</v>
      </c>
      <c r="K49" s="128">
        <v>83375</v>
      </c>
      <c r="L49" s="126">
        <v>5644</v>
      </c>
      <c r="M49" s="128">
        <v>2676658</v>
      </c>
      <c r="N49" s="63" t="s">
        <v>122</v>
      </c>
    </row>
    <row r="50" spans="1:14" s="61" customFormat="1" ht="22.5" customHeight="1">
      <c r="A50" s="148" t="s">
        <v>123</v>
      </c>
      <c r="B50" s="149">
        <f>_xlfn.COMPOUNDVALUE(157)</f>
        <v>159</v>
      </c>
      <c r="C50" s="201">
        <v>98113</v>
      </c>
      <c r="D50" s="202">
        <f>_xlfn.COMPOUNDVALUE(158)</f>
        <v>368</v>
      </c>
      <c r="E50" s="201">
        <v>143377</v>
      </c>
      <c r="F50" s="202">
        <f>_xlfn.COMPOUNDVALUE(159)</f>
        <v>527</v>
      </c>
      <c r="G50" s="201">
        <v>241490</v>
      </c>
      <c r="H50" s="202">
        <f>_xlfn.COMPOUNDVALUE(160)</f>
        <v>31</v>
      </c>
      <c r="I50" s="203">
        <v>9672</v>
      </c>
      <c r="J50" s="149">
        <v>28</v>
      </c>
      <c r="K50" s="151">
        <v>5829</v>
      </c>
      <c r="L50" s="149">
        <v>571</v>
      </c>
      <c r="M50" s="151">
        <v>237646</v>
      </c>
      <c r="N50" s="152" t="s">
        <v>124</v>
      </c>
    </row>
    <row r="51" spans="1:14" s="61" customFormat="1" ht="22.5" customHeight="1">
      <c r="A51" s="153" t="s">
        <v>125</v>
      </c>
      <c r="B51" s="154">
        <v>25672</v>
      </c>
      <c r="C51" s="155">
        <v>19823432</v>
      </c>
      <c r="D51" s="154">
        <v>39986</v>
      </c>
      <c r="E51" s="155">
        <v>20119805</v>
      </c>
      <c r="F51" s="154">
        <v>65658</v>
      </c>
      <c r="G51" s="155">
        <v>39943237</v>
      </c>
      <c r="H51" s="154">
        <v>4811</v>
      </c>
      <c r="I51" s="156">
        <v>2674959</v>
      </c>
      <c r="J51" s="154">
        <v>4836</v>
      </c>
      <c r="K51" s="156">
        <v>927172</v>
      </c>
      <c r="L51" s="154">
        <v>72626</v>
      </c>
      <c r="M51" s="156">
        <v>38195450</v>
      </c>
      <c r="N51" s="157" t="s">
        <v>126</v>
      </c>
    </row>
    <row r="52" spans="1:14" s="61" customFormat="1" ht="22.5" customHeight="1">
      <c r="A52" s="158"/>
      <c r="B52" s="159"/>
      <c r="C52" s="160"/>
      <c r="D52" s="159"/>
      <c r="E52" s="160"/>
      <c r="F52" s="161"/>
      <c r="G52" s="160"/>
      <c r="H52" s="161"/>
      <c r="I52" s="160"/>
      <c r="J52" s="161"/>
      <c r="K52" s="160"/>
      <c r="L52" s="161"/>
      <c r="M52" s="160"/>
      <c r="N52" s="162"/>
    </row>
    <row r="53" spans="1:14" s="61" customFormat="1" ht="22.5" customHeight="1">
      <c r="A53" s="59" t="s">
        <v>127</v>
      </c>
      <c r="B53" s="123">
        <f>_xlfn.COMPOUNDVALUE(161)</f>
        <v>990</v>
      </c>
      <c r="C53" s="195">
        <v>757353</v>
      </c>
      <c r="D53" s="196">
        <f>_xlfn.COMPOUNDVALUE(162)</f>
        <v>1302</v>
      </c>
      <c r="E53" s="195">
        <v>681448</v>
      </c>
      <c r="F53" s="196">
        <f>_xlfn.COMPOUNDVALUE(163)</f>
        <v>2292</v>
      </c>
      <c r="G53" s="195">
        <v>1438802</v>
      </c>
      <c r="H53" s="196">
        <f>_xlfn.COMPOUNDVALUE(164)</f>
        <v>126</v>
      </c>
      <c r="I53" s="197">
        <v>67715</v>
      </c>
      <c r="J53" s="123">
        <v>245</v>
      </c>
      <c r="K53" s="125">
        <v>33421</v>
      </c>
      <c r="L53" s="123">
        <v>2508</v>
      </c>
      <c r="M53" s="125">
        <v>1404508</v>
      </c>
      <c r="N53" s="60" t="s">
        <v>128</v>
      </c>
    </row>
    <row r="54" spans="1:14" s="61" customFormat="1" ht="22.5" customHeight="1">
      <c r="A54" s="62" t="s">
        <v>129</v>
      </c>
      <c r="B54" s="126">
        <f>_xlfn.COMPOUNDVALUE(165)</f>
        <v>1389</v>
      </c>
      <c r="C54" s="198">
        <v>1068425</v>
      </c>
      <c r="D54" s="199">
        <f>_xlfn.COMPOUNDVALUE(166)</f>
        <v>1942</v>
      </c>
      <c r="E54" s="198">
        <v>1019333</v>
      </c>
      <c r="F54" s="199">
        <f>_xlfn.COMPOUNDVALUE(167)</f>
        <v>3331</v>
      </c>
      <c r="G54" s="198">
        <v>2087758</v>
      </c>
      <c r="H54" s="199">
        <f>_xlfn.COMPOUNDVALUE(168)</f>
        <v>210</v>
      </c>
      <c r="I54" s="200">
        <v>94191</v>
      </c>
      <c r="J54" s="126">
        <v>193</v>
      </c>
      <c r="K54" s="128">
        <v>51631</v>
      </c>
      <c r="L54" s="126">
        <v>3635</v>
      </c>
      <c r="M54" s="128">
        <v>2045199</v>
      </c>
      <c r="N54" s="63" t="s">
        <v>130</v>
      </c>
    </row>
    <row r="55" spans="1:14" s="61" customFormat="1" ht="22.5" customHeight="1">
      <c r="A55" s="62" t="s">
        <v>131</v>
      </c>
      <c r="B55" s="126">
        <f>_xlfn.COMPOUNDVALUE(169)</f>
        <v>1161</v>
      </c>
      <c r="C55" s="198">
        <v>757317</v>
      </c>
      <c r="D55" s="199">
        <f>_xlfn.COMPOUNDVALUE(170)</f>
        <v>1549</v>
      </c>
      <c r="E55" s="198">
        <v>629512</v>
      </c>
      <c r="F55" s="199">
        <f>_xlfn.COMPOUNDVALUE(171)</f>
        <v>2710</v>
      </c>
      <c r="G55" s="198">
        <v>1386829</v>
      </c>
      <c r="H55" s="199">
        <f>_xlfn.COMPOUNDVALUE(172)</f>
        <v>177</v>
      </c>
      <c r="I55" s="200">
        <v>93017</v>
      </c>
      <c r="J55" s="126">
        <v>141</v>
      </c>
      <c r="K55" s="128">
        <v>11988</v>
      </c>
      <c r="L55" s="126">
        <v>2953</v>
      </c>
      <c r="M55" s="128">
        <v>1305799</v>
      </c>
      <c r="N55" s="63" t="s">
        <v>132</v>
      </c>
    </row>
    <row r="56" spans="1:14" s="61" customFormat="1" ht="22.5" customHeight="1">
      <c r="A56" s="62" t="s">
        <v>133</v>
      </c>
      <c r="B56" s="126">
        <f>_xlfn.COMPOUNDVALUE(173)</f>
        <v>898</v>
      </c>
      <c r="C56" s="198">
        <v>668451</v>
      </c>
      <c r="D56" s="199">
        <f>_xlfn.COMPOUNDVALUE(174)</f>
        <v>1143</v>
      </c>
      <c r="E56" s="198">
        <v>538456</v>
      </c>
      <c r="F56" s="199">
        <f>_xlfn.COMPOUNDVALUE(175)</f>
        <v>2041</v>
      </c>
      <c r="G56" s="198">
        <v>1206906</v>
      </c>
      <c r="H56" s="199">
        <f>_xlfn.COMPOUNDVALUE(176)</f>
        <v>131</v>
      </c>
      <c r="I56" s="200">
        <v>51666</v>
      </c>
      <c r="J56" s="126">
        <v>185</v>
      </c>
      <c r="K56" s="128">
        <v>49826</v>
      </c>
      <c r="L56" s="126">
        <v>2229</v>
      </c>
      <c r="M56" s="128">
        <v>1205066</v>
      </c>
      <c r="N56" s="63" t="s">
        <v>134</v>
      </c>
    </row>
    <row r="57" spans="1:14" s="61" customFormat="1" ht="22.5" customHeight="1">
      <c r="A57" s="62" t="s">
        <v>135</v>
      </c>
      <c r="B57" s="126">
        <f>_xlfn.COMPOUNDVALUE(177)</f>
        <v>693</v>
      </c>
      <c r="C57" s="198">
        <v>537598</v>
      </c>
      <c r="D57" s="199">
        <f>_xlfn.COMPOUNDVALUE(178)</f>
        <v>1047</v>
      </c>
      <c r="E57" s="198">
        <v>489031</v>
      </c>
      <c r="F57" s="199">
        <f>_xlfn.COMPOUNDVALUE(179)</f>
        <v>1740</v>
      </c>
      <c r="G57" s="198">
        <v>1026628</v>
      </c>
      <c r="H57" s="199">
        <f>_xlfn.COMPOUNDVALUE(180)</f>
        <v>108</v>
      </c>
      <c r="I57" s="200">
        <v>53744</v>
      </c>
      <c r="J57" s="126">
        <v>107</v>
      </c>
      <c r="K57" s="128">
        <v>33112</v>
      </c>
      <c r="L57" s="126">
        <v>1891</v>
      </c>
      <c r="M57" s="128">
        <v>1005996</v>
      </c>
      <c r="N57" s="63" t="s">
        <v>136</v>
      </c>
    </row>
    <row r="58" spans="1:14" s="61" customFormat="1" ht="22.5" customHeight="1">
      <c r="A58" s="62" t="s">
        <v>137</v>
      </c>
      <c r="B58" s="126">
        <f>_xlfn.COMPOUNDVALUE(181)</f>
        <v>645</v>
      </c>
      <c r="C58" s="198">
        <v>376329</v>
      </c>
      <c r="D58" s="199">
        <f>_xlfn.COMPOUNDVALUE(182)</f>
        <v>627</v>
      </c>
      <c r="E58" s="198">
        <v>291532</v>
      </c>
      <c r="F58" s="199">
        <f>_xlfn.COMPOUNDVALUE(183)</f>
        <v>1272</v>
      </c>
      <c r="G58" s="198">
        <v>667861</v>
      </c>
      <c r="H58" s="199">
        <f>_xlfn.COMPOUNDVALUE(184)</f>
        <v>102</v>
      </c>
      <c r="I58" s="200">
        <v>76555</v>
      </c>
      <c r="J58" s="126">
        <v>145</v>
      </c>
      <c r="K58" s="128">
        <v>29370</v>
      </c>
      <c r="L58" s="126">
        <v>1458</v>
      </c>
      <c r="M58" s="128">
        <v>620676</v>
      </c>
      <c r="N58" s="63" t="s">
        <v>138</v>
      </c>
    </row>
    <row r="59" spans="1:14" s="61" customFormat="1" ht="22.5" customHeight="1">
      <c r="A59" s="62" t="s">
        <v>139</v>
      </c>
      <c r="B59" s="199">
        <f>_xlfn.COMPOUNDVALUE(185)</f>
        <v>937</v>
      </c>
      <c r="C59" s="198">
        <v>725069</v>
      </c>
      <c r="D59" s="199">
        <f>_xlfn.COMPOUNDVALUE(186)</f>
        <v>1294</v>
      </c>
      <c r="E59" s="198">
        <v>634864</v>
      </c>
      <c r="F59" s="199">
        <f>_xlfn.COMPOUNDVALUE(187)</f>
        <v>2231</v>
      </c>
      <c r="G59" s="198">
        <v>1359933</v>
      </c>
      <c r="H59" s="199">
        <f>_xlfn.COMPOUNDVALUE(188)</f>
        <v>130</v>
      </c>
      <c r="I59" s="200">
        <v>68139</v>
      </c>
      <c r="J59" s="126">
        <v>188</v>
      </c>
      <c r="K59" s="128">
        <v>30610</v>
      </c>
      <c r="L59" s="126">
        <v>2436</v>
      </c>
      <c r="M59" s="128">
        <v>1322404</v>
      </c>
      <c r="N59" s="63" t="s">
        <v>140</v>
      </c>
    </row>
    <row r="60" spans="1:14" s="61" customFormat="1" ht="22.5" customHeight="1">
      <c r="A60" s="148" t="s">
        <v>141</v>
      </c>
      <c r="B60" s="202">
        <f>_xlfn.COMPOUNDVALUE(189)</f>
        <v>377</v>
      </c>
      <c r="C60" s="201">
        <v>312068</v>
      </c>
      <c r="D60" s="202">
        <f>_xlfn.COMPOUNDVALUE(190)</f>
        <v>564</v>
      </c>
      <c r="E60" s="201">
        <v>246543</v>
      </c>
      <c r="F60" s="202">
        <f>_xlfn.COMPOUNDVALUE(191)</f>
        <v>941</v>
      </c>
      <c r="G60" s="201">
        <v>558611</v>
      </c>
      <c r="H60" s="202">
        <f>_xlfn.COMPOUNDVALUE(192)</f>
        <v>51</v>
      </c>
      <c r="I60" s="203">
        <v>37880</v>
      </c>
      <c r="J60" s="149">
        <v>32</v>
      </c>
      <c r="K60" s="151">
        <v>3014</v>
      </c>
      <c r="L60" s="149">
        <v>996</v>
      </c>
      <c r="M60" s="151">
        <v>523745</v>
      </c>
      <c r="N60" s="152" t="s">
        <v>142</v>
      </c>
    </row>
    <row r="61" spans="1:14" s="61" customFormat="1" ht="22.5" customHeight="1">
      <c r="A61" s="153" t="s">
        <v>143</v>
      </c>
      <c r="B61" s="204">
        <v>7090</v>
      </c>
      <c r="C61" s="205">
        <v>5202609</v>
      </c>
      <c r="D61" s="204">
        <v>9468</v>
      </c>
      <c r="E61" s="205">
        <v>4530719</v>
      </c>
      <c r="F61" s="204">
        <v>16558</v>
      </c>
      <c r="G61" s="205">
        <v>9733328</v>
      </c>
      <c r="H61" s="204">
        <v>1035</v>
      </c>
      <c r="I61" s="206">
        <v>542906</v>
      </c>
      <c r="J61" s="154">
        <v>1236</v>
      </c>
      <c r="K61" s="156">
        <v>242972</v>
      </c>
      <c r="L61" s="154">
        <v>18106</v>
      </c>
      <c r="M61" s="156">
        <v>9433394</v>
      </c>
      <c r="N61" s="157" t="s">
        <v>144</v>
      </c>
    </row>
    <row r="62" spans="1:14" s="61" customFormat="1" ht="22.5" customHeight="1" thickBot="1">
      <c r="A62" s="64"/>
      <c r="B62" s="208"/>
      <c r="C62" s="207"/>
      <c r="D62" s="208"/>
      <c r="E62" s="207"/>
      <c r="F62" s="209"/>
      <c r="G62" s="207"/>
      <c r="H62" s="209"/>
      <c r="I62" s="207"/>
      <c r="J62" s="164"/>
      <c r="K62" s="163"/>
      <c r="L62" s="164"/>
      <c r="M62" s="163"/>
      <c r="N62" s="65"/>
    </row>
    <row r="63" spans="1:14" s="61" customFormat="1" ht="22.5" customHeight="1" thickBot="1" thickTop="1">
      <c r="A63" s="66" t="s">
        <v>38</v>
      </c>
      <c r="B63" s="211">
        <v>53510</v>
      </c>
      <c r="C63" s="210">
        <v>39646406</v>
      </c>
      <c r="D63" s="211">
        <v>85789</v>
      </c>
      <c r="E63" s="210">
        <v>41607666</v>
      </c>
      <c r="F63" s="211">
        <v>139299</v>
      </c>
      <c r="G63" s="210">
        <v>81254071</v>
      </c>
      <c r="H63" s="211">
        <v>8605</v>
      </c>
      <c r="I63" s="212">
        <v>4633527</v>
      </c>
      <c r="J63" s="133">
        <v>9798</v>
      </c>
      <c r="K63" s="135">
        <v>1859649</v>
      </c>
      <c r="L63" s="133">
        <v>151973</v>
      </c>
      <c r="M63" s="135">
        <v>78480194</v>
      </c>
      <c r="N63" s="67" t="s">
        <v>39</v>
      </c>
    </row>
    <row r="64" spans="1:14" s="97" customFormat="1" ht="3" customHeight="1">
      <c r="A64" s="95"/>
      <c r="B64" s="96"/>
      <c r="C64" s="96"/>
      <c r="D64" s="96"/>
      <c r="E64" s="96"/>
      <c r="F64" s="96"/>
      <c r="G64" s="96"/>
      <c r="H64" s="96"/>
      <c r="I64" s="96"/>
      <c r="J64" s="96"/>
      <c r="K64" s="96"/>
      <c r="L64" s="96"/>
      <c r="M64" s="96"/>
      <c r="N64" s="95"/>
    </row>
    <row r="65" spans="1:14" ht="22.5" customHeight="1">
      <c r="A65" s="270" t="s">
        <v>216</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G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消費税（R03）</oddFooter>
  </headerFooter>
</worksheet>
</file>

<file path=xl/worksheets/sheet5.xml><?xml version="1.0" encoding="utf-8"?>
<worksheet xmlns="http://schemas.openxmlformats.org/spreadsheetml/2006/main" xmlns:r="http://schemas.openxmlformats.org/officeDocument/2006/relationships">
  <dimension ref="A1:N65"/>
  <sheetViews>
    <sheetView showGridLines="0" zoomScale="85" zoomScaleNormal="85" zoomScaleSheetLayoutView="100" workbookViewId="0" topLeftCell="A1">
      <selection activeCell="A1" sqref="A1"/>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2.75">
      <c r="A1" s="49" t="s">
        <v>220</v>
      </c>
      <c r="B1" s="49"/>
      <c r="C1" s="49"/>
      <c r="D1" s="49"/>
      <c r="E1" s="49"/>
      <c r="F1" s="49"/>
      <c r="G1" s="49"/>
      <c r="H1" s="49"/>
      <c r="I1" s="49"/>
      <c r="J1" s="49"/>
      <c r="K1" s="49"/>
      <c r="L1" s="50"/>
      <c r="M1" s="50"/>
      <c r="N1" s="68"/>
    </row>
    <row r="2" spans="1:14" ht="13.5" thickBot="1">
      <c r="A2" s="290" t="s">
        <v>145</v>
      </c>
      <c r="B2" s="290"/>
      <c r="C2" s="290"/>
      <c r="D2" s="290"/>
      <c r="E2" s="290"/>
      <c r="F2" s="290"/>
      <c r="G2" s="290"/>
      <c r="H2" s="290"/>
      <c r="I2" s="290"/>
      <c r="J2" s="49"/>
      <c r="K2" s="49"/>
      <c r="L2" s="50"/>
      <c r="M2" s="50"/>
      <c r="N2" s="68"/>
    </row>
    <row r="3" spans="1:14" ht="22.5" customHeight="1">
      <c r="A3" s="271" t="s">
        <v>150</v>
      </c>
      <c r="B3" s="274" t="s">
        <v>151</v>
      </c>
      <c r="C3" s="274"/>
      <c r="D3" s="274"/>
      <c r="E3" s="274"/>
      <c r="F3" s="274"/>
      <c r="G3" s="274"/>
      <c r="H3" s="275" t="s">
        <v>12</v>
      </c>
      <c r="I3" s="276"/>
      <c r="J3" s="279" t="s">
        <v>33</v>
      </c>
      <c r="K3" s="276"/>
      <c r="L3" s="280" t="s">
        <v>34</v>
      </c>
      <c r="M3" s="281"/>
      <c r="N3" s="284" t="s">
        <v>146</v>
      </c>
    </row>
    <row r="4" spans="1:14" ht="18.75" customHeight="1">
      <c r="A4" s="272"/>
      <c r="B4" s="277" t="s">
        <v>14</v>
      </c>
      <c r="C4" s="288"/>
      <c r="D4" s="277" t="s">
        <v>36</v>
      </c>
      <c r="E4" s="288"/>
      <c r="F4" s="282" t="s">
        <v>37</v>
      </c>
      <c r="G4" s="289"/>
      <c r="H4" s="277"/>
      <c r="I4" s="278"/>
      <c r="J4" s="277"/>
      <c r="K4" s="278"/>
      <c r="L4" s="282"/>
      <c r="M4" s="283"/>
      <c r="N4" s="285"/>
    </row>
    <row r="5" spans="1:14" ht="33.75" customHeight="1">
      <c r="A5" s="273"/>
      <c r="B5" s="143" t="s">
        <v>215</v>
      </c>
      <c r="C5" s="51" t="s">
        <v>152</v>
      </c>
      <c r="D5" s="143" t="s">
        <v>215</v>
      </c>
      <c r="E5" s="51" t="s">
        <v>152</v>
      </c>
      <c r="F5" s="143" t="s">
        <v>215</v>
      </c>
      <c r="G5" s="52" t="s">
        <v>212</v>
      </c>
      <c r="H5" s="143" t="s">
        <v>215</v>
      </c>
      <c r="I5" s="52" t="s">
        <v>213</v>
      </c>
      <c r="J5" s="143" t="s">
        <v>215</v>
      </c>
      <c r="K5" s="52" t="s">
        <v>214</v>
      </c>
      <c r="L5" s="143" t="s">
        <v>215</v>
      </c>
      <c r="M5" s="52" t="s">
        <v>153</v>
      </c>
      <c r="N5" s="286"/>
    </row>
    <row r="6" spans="1:14" s="69" customFormat="1" ht="9">
      <c r="A6" s="53"/>
      <c r="B6" s="54" t="s">
        <v>4</v>
      </c>
      <c r="C6" s="55" t="s">
        <v>5</v>
      </c>
      <c r="D6" s="54" t="s">
        <v>4</v>
      </c>
      <c r="E6" s="55" t="s">
        <v>5</v>
      </c>
      <c r="F6" s="54" t="s">
        <v>4</v>
      </c>
      <c r="G6" s="55" t="s">
        <v>5</v>
      </c>
      <c r="H6" s="54" t="s">
        <v>4</v>
      </c>
      <c r="I6" s="56" t="s">
        <v>5</v>
      </c>
      <c r="J6" s="54" t="s">
        <v>4</v>
      </c>
      <c r="K6" s="56" t="s">
        <v>5</v>
      </c>
      <c r="L6" s="54" t="s">
        <v>218</v>
      </c>
      <c r="M6" s="56" t="s">
        <v>5</v>
      </c>
      <c r="N6" s="57"/>
    </row>
    <row r="7" spans="1:14" ht="22.5" customHeight="1">
      <c r="A7" s="59" t="s">
        <v>154</v>
      </c>
      <c r="B7" s="123">
        <f>_xlfn.COMPOUNDVALUE(193)</f>
        <v>4523</v>
      </c>
      <c r="C7" s="124">
        <v>39106750</v>
      </c>
      <c r="D7" s="123">
        <f>_xlfn.COMPOUNDVALUE(194)</f>
        <v>1674</v>
      </c>
      <c r="E7" s="124">
        <v>1239253</v>
      </c>
      <c r="F7" s="123">
        <f>_xlfn.COMPOUNDVALUE(195)</f>
        <v>6197</v>
      </c>
      <c r="G7" s="124">
        <v>40346002</v>
      </c>
      <c r="H7" s="123">
        <f>_xlfn.COMPOUNDVALUE(196)</f>
        <v>473</v>
      </c>
      <c r="I7" s="125">
        <v>2028200</v>
      </c>
      <c r="J7" s="123">
        <v>213</v>
      </c>
      <c r="K7" s="125">
        <v>21876</v>
      </c>
      <c r="L7" s="123">
        <v>6697</v>
      </c>
      <c r="M7" s="125">
        <v>38339678</v>
      </c>
      <c r="N7" s="60" t="s">
        <v>42</v>
      </c>
    </row>
    <row r="8" spans="1:14" ht="22.5" customHeight="1">
      <c r="A8" s="62" t="s">
        <v>160</v>
      </c>
      <c r="B8" s="126">
        <f>_xlfn.COMPOUNDVALUE(197)</f>
        <v>4409</v>
      </c>
      <c r="C8" s="127">
        <v>43405519</v>
      </c>
      <c r="D8" s="126">
        <f>_xlfn.COMPOUNDVALUE(198)</f>
        <v>1425</v>
      </c>
      <c r="E8" s="127">
        <v>990864</v>
      </c>
      <c r="F8" s="126">
        <f>_xlfn.COMPOUNDVALUE(199)</f>
        <v>5834</v>
      </c>
      <c r="G8" s="127">
        <v>44396383</v>
      </c>
      <c r="H8" s="126">
        <f>_xlfn.COMPOUNDVALUE(200)</f>
        <v>381</v>
      </c>
      <c r="I8" s="128">
        <v>2026306</v>
      </c>
      <c r="J8" s="126">
        <v>248</v>
      </c>
      <c r="K8" s="128">
        <v>43909</v>
      </c>
      <c r="L8" s="126">
        <v>6229</v>
      </c>
      <c r="M8" s="128">
        <v>42413986</v>
      </c>
      <c r="N8" s="63" t="s">
        <v>44</v>
      </c>
    </row>
    <row r="9" spans="1:14" ht="22.5" customHeight="1">
      <c r="A9" s="62" t="s">
        <v>161</v>
      </c>
      <c r="B9" s="126">
        <f>_xlfn.COMPOUNDVALUE(201)</f>
        <v>3507</v>
      </c>
      <c r="C9" s="127">
        <v>47035119</v>
      </c>
      <c r="D9" s="126">
        <f>_xlfn.COMPOUNDVALUE(202)</f>
        <v>1143</v>
      </c>
      <c r="E9" s="127">
        <v>900779</v>
      </c>
      <c r="F9" s="126">
        <f>_xlfn.COMPOUNDVALUE(203)</f>
        <v>4650</v>
      </c>
      <c r="G9" s="127">
        <v>47935898</v>
      </c>
      <c r="H9" s="126">
        <f>_xlfn.COMPOUNDVALUE(204)</f>
        <v>406</v>
      </c>
      <c r="I9" s="128">
        <v>13834410</v>
      </c>
      <c r="J9" s="126">
        <v>164</v>
      </c>
      <c r="K9" s="128">
        <v>28519</v>
      </c>
      <c r="L9" s="126">
        <v>5079</v>
      </c>
      <c r="M9" s="128">
        <v>34130007</v>
      </c>
      <c r="N9" s="63" t="s">
        <v>46</v>
      </c>
    </row>
    <row r="10" spans="1:14" ht="22.5" customHeight="1">
      <c r="A10" s="62" t="s">
        <v>162</v>
      </c>
      <c r="B10" s="126">
        <f>_xlfn.COMPOUNDVALUE(205)</f>
        <v>1855</v>
      </c>
      <c r="C10" s="127">
        <v>12984886</v>
      </c>
      <c r="D10" s="126">
        <f>_xlfn.COMPOUNDVALUE(206)</f>
        <v>743</v>
      </c>
      <c r="E10" s="127">
        <v>491122</v>
      </c>
      <c r="F10" s="126">
        <f>_xlfn.COMPOUNDVALUE(207)</f>
        <v>2598</v>
      </c>
      <c r="G10" s="127">
        <v>13476008</v>
      </c>
      <c r="H10" s="126">
        <f>_xlfn.COMPOUNDVALUE(208)</f>
        <v>223</v>
      </c>
      <c r="I10" s="128">
        <v>475830</v>
      </c>
      <c r="J10" s="126">
        <v>88</v>
      </c>
      <c r="K10" s="128">
        <v>-81883</v>
      </c>
      <c r="L10" s="126">
        <v>2841</v>
      </c>
      <c r="M10" s="128">
        <v>12918295</v>
      </c>
      <c r="N10" s="63" t="s">
        <v>48</v>
      </c>
    </row>
    <row r="11" spans="1:14" ht="22.5" customHeight="1">
      <c r="A11" s="62" t="s">
        <v>163</v>
      </c>
      <c r="B11" s="126">
        <f>_xlfn.COMPOUNDVALUE(209)</f>
        <v>2944</v>
      </c>
      <c r="C11" s="127">
        <v>26958465</v>
      </c>
      <c r="D11" s="126">
        <f>_xlfn.COMPOUNDVALUE(210)</f>
        <v>1319</v>
      </c>
      <c r="E11" s="127">
        <v>853697</v>
      </c>
      <c r="F11" s="126">
        <f>_xlfn.COMPOUNDVALUE(211)</f>
        <v>4263</v>
      </c>
      <c r="G11" s="127">
        <v>27812161</v>
      </c>
      <c r="H11" s="126">
        <f>_xlfn.COMPOUNDVALUE(212)</f>
        <v>290</v>
      </c>
      <c r="I11" s="128">
        <v>1039509</v>
      </c>
      <c r="J11" s="126">
        <v>170</v>
      </c>
      <c r="K11" s="128">
        <v>50152</v>
      </c>
      <c r="L11" s="126">
        <v>4579</v>
      </c>
      <c r="M11" s="128">
        <v>26822804</v>
      </c>
      <c r="N11" s="63" t="s">
        <v>50</v>
      </c>
    </row>
    <row r="12" spans="1:14" ht="22.5" customHeight="1">
      <c r="A12" s="62" t="s">
        <v>164</v>
      </c>
      <c r="B12" s="126">
        <f>_xlfn.COMPOUNDVALUE(213)</f>
        <v>2769</v>
      </c>
      <c r="C12" s="127">
        <v>22874613</v>
      </c>
      <c r="D12" s="126">
        <f>_xlfn.COMPOUNDVALUE(214)</f>
        <v>981</v>
      </c>
      <c r="E12" s="127">
        <v>666514</v>
      </c>
      <c r="F12" s="126">
        <f>_xlfn.COMPOUNDVALUE(215)</f>
        <v>3750</v>
      </c>
      <c r="G12" s="127">
        <v>23541128</v>
      </c>
      <c r="H12" s="126">
        <f>_xlfn.COMPOUNDVALUE(216)</f>
        <v>273</v>
      </c>
      <c r="I12" s="128">
        <v>1003223</v>
      </c>
      <c r="J12" s="126">
        <v>186</v>
      </c>
      <c r="K12" s="128">
        <v>18429</v>
      </c>
      <c r="L12" s="126">
        <v>4035</v>
      </c>
      <c r="M12" s="128">
        <v>22556334</v>
      </c>
      <c r="N12" s="63" t="s">
        <v>52</v>
      </c>
    </row>
    <row r="13" spans="1:14" ht="22.5" customHeight="1">
      <c r="A13" s="148" t="s">
        <v>165</v>
      </c>
      <c r="B13" s="149">
        <f>_xlfn.COMPOUNDVALUE(217)</f>
        <v>1151</v>
      </c>
      <c r="C13" s="150">
        <v>12371303</v>
      </c>
      <c r="D13" s="149">
        <f>_xlfn.COMPOUNDVALUE(218)</f>
        <v>479</v>
      </c>
      <c r="E13" s="150">
        <v>316408</v>
      </c>
      <c r="F13" s="149">
        <f>_xlfn.COMPOUNDVALUE(219)</f>
        <v>1630</v>
      </c>
      <c r="G13" s="150">
        <v>12687711</v>
      </c>
      <c r="H13" s="149">
        <f>_xlfn.COMPOUNDVALUE(220)</f>
        <v>114</v>
      </c>
      <c r="I13" s="151">
        <v>1009399</v>
      </c>
      <c r="J13" s="149">
        <v>77</v>
      </c>
      <c r="K13" s="151">
        <v>25723</v>
      </c>
      <c r="L13" s="149">
        <v>1756</v>
      </c>
      <c r="M13" s="151">
        <v>11704035</v>
      </c>
      <c r="N13" s="152" t="s">
        <v>54</v>
      </c>
    </row>
    <row r="14" spans="1:14" ht="22.5" customHeight="1">
      <c r="A14" s="153" t="s">
        <v>166</v>
      </c>
      <c r="B14" s="154">
        <v>21158</v>
      </c>
      <c r="C14" s="155">
        <v>204736655</v>
      </c>
      <c r="D14" s="154">
        <v>7764</v>
      </c>
      <c r="E14" s="155">
        <v>5458636</v>
      </c>
      <c r="F14" s="154">
        <v>28922</v>
      </c>
      <c r="G14" s="155">
        <v>210195291</v>
      </c>
      <c r="H14" s="154">
        <v>2160</v>
      </c>
      <c r="I14" s="156">
        <v>21416877</v>
      </c>
      <c r="J14" s="154">
        <v>1146</v>
      </c>
      <c r="K14" s="156">
        <v>106725</v>
      </c>
      <c r="L14" s="154">
        <v>31216</v>
      </c>
      <c r="M14" s="156">
        <v>188885138</v>
      </c>
      <c r="N14" s="157" t="s">
        <v>56</v>
      </c>
    </row>
    <row r="15" spans="1:14" ht="22.5" customHeight="1">
      <c r="A15" s="158"/>
      <c r="B15" s="159"/>
      <c r="C15" s="160"/>
      <c r="D15" s="159"/>
      <c r="E15" s="160"/>
      <c r="F15" s="161"/>
      <c r="G15" s="160"/>
      <c r="H15" s="161"/>
      <c r="I15" s="160"/>
      <c r="J15" s="161"/>
      <c r="K15" s="160"/>
      <c r="L15" s="161"/>
      <c r="M15" s="160"/>
      <c r="N15" s="162"/>
    </row>
    <row r="16" spans="1:14" ht="22.5" customHeight="1">
      <c r="A16" s="59" t="s">
        <v>167</v>
      </c>
      <c r="B16" s="123">
        <f>_xlfn.COMPOUNDVALUE(221)</f>
        <v>5286</v>
      </c>
      <c r="C16" s="124">
        <v>63935623</v>
      </c>
      <c r="D16" s="123">
        <f>_xlfn.COMPOUNDVALUE(222)</f>
        <v>2106</v>
      </c>
      <c r="E16" s="124">
        <v>1538031</v>
      </c>
      <c r="F16" s="123">
        <f>_xlfn.COMPOUNDVALUE(223)</f>
        <v>7392</v>
      </c>
      <c r="G16" s="124">
        <v>65473654</v>
      </c>
      <c r="H16" s="123">
        <f>_xlfn.COMPOUNDVALUE(224)</f>
        <v>439</v>
      </c>
      <c r="I16" s="125">
        <v>3795964</v>
      </c>
      <c r="J16" s="123">
        <v>374</v>
      </c>
      <c r="K16" s="125">
        <v>71849</v>
      </c>
      <c r="L16" s="123">
        <v>7888</v>
      </c>
      <c r="M16" s="125">
        <v>61749539</v>
      </c>
      <c r="N16" s="60" t="s">
        <v>58</v>
      </c>
    </row>
    <row r="17" spans="1:14" ht="22.5" customHeight="1">
      <c r="A17" s="59" t="s">
        <v>168</v>
      </c>
      <c r="B17" s="123">
        <f>_xlfn.COMPOUNDVALUE(225)</f>
        <v>2331</v>
      </c>
      <c r="C17" s="124">
        <v>24553448</v>
      </c>
      <c r="D17" s="123">
        <f>_xlfn.COMPOUNDVALUE(226)</f>
        <v>896</v>
      </c>
      <c r="E17" s="124">
        <v>623451</v>
      </c>
      <c r="F17" s="123">
        <f>_xlfn.COMPOUNDVALUE(227)</f>
        <v>3227</v>
      </c>
      <c r="G17" s="124">
        <v>25176899</v>
      </c>
      <c r="H17" s="123">
        <f>_xlfn.COMPOUNDVALUE(228)</f>
        <v>210</v>
      </c>
      <c r="I17" s="125">
        <v>2121811</v>
      </c>
      <c r="J17" s="123">
        <v>132</v>
      </c>
      <c r="K17" s="125">
        <v>203537</v>
      </c>
      <c r="L17" s="123">
        <v>3459</v>
      </c>
      <c r="M17" s="125">
        <v>23258626</v>
      </c>
      <c r="N17" s="60" t="s">
        <v>60</v>
      </c>
    </row>
    <row r="18" spans="1:14" ht="22.5" customHeight="1">
      <c r="A18" s="59" t="s">
        <v>169</v>
      </c>
      <c r="B18" s="123">
        <f>_xlfn.COMPOUNDVALUE(229)</f>
        <v>5064</v>
      </c>
      <c r="C18" s="124">
        <v>52861445</v>
      </c>
      <c r="D18" s="123">
        <f>_xlfn.COMPOUNDVALUE(230)</f>
        <v>2303</v>
      </c>
      <c r="E18" s="124">
        <v>1608322</v>
      </c>
      <c r="F18" s="123">
        <f>_xlfn.COMPOUNDVALUE(231)</f>
        <v>7367</v>
      </c>
      <c r="G18" s="124">
        <v>54469767</v>
      </c>
      <c r="H18" s="123">
        <f>_xlfn.COMPOUNDVALUE(232)</f>
        <v>544</v>
      </c>
      <c r="I18" s="125">
        <v>8701030</v>
      </c>
      <c r="J18" s="123">
        <v>356</v>
      </c>
      <c r="K18" s="125">
        <v>71688</v>
      </c>
      <c r="L18" s="123">
        <v>7948</v>
      </c>
      <c r="M18" s="125">
        <v>45840424</v>
      </c>
      <c r="N18" s="60" t="s">
        <v>62</v>
      </c>
    </row>
    <row r="19" spans="1:14" ht="22.5" customHeight="1">
      <c r="A19" s="59" t="s">
        <v>170</v>
      </c>
      <c r="B19" s="123">
        <f>_xlfn.COMPOUNDVALUE(233)</f>
        <v>3766</v>
      </c>
      <c r="C19" s="124">
        <v>35112187</v>
      </c>
      <c r="D19" s="123">
        <f>_xlfn.COMPOUNDVALUE(234)</f>
        <v>1520</v>
      </c>
      <c r="E19" s="124">
        <v>1012179</v>
      </c>
      <c r="F19" s="123">
        <f>_xlfn.COMPOUNDVALUE(235)</f>
        <v>5286</v>
      </c>
      <c r="G19" s="124">
        <v>36124366</v>
      </c>
      <c r="H19" s="123">
        <f>_xlfn.COMPOUNDVALUE(236)</f>
        <v>367</v>
      </c>
      <c r="I19" s="125">
        <v>29059520</v>
      </c>
      <c r="J19" s="123">
        <v>270</v>
      </c>
      <c r="K19" s="125">
        <v>17317</v>
      </c>
      <c r="L19" s="123">
        <v>5675</v>
      </c>
      <c r="M19" s="125">
        <v>7082162</v>
      </c>
      <c r="N19" s="60" t="s">
        <v>64</v>
      </c>
    </row>
    <row r="20" spans="1:14" ht="22.5" customHeight="1">
      <c r="A20" s="59" t="s">
        <v>171</v>
      </c>
      <c r="B20" s="123">
        <f>_xlfn.COMPOUNDVALUE(237)</f>
        <v>4136</v>
      </c>
      <c r="C20" s="124">
        <v>36569370</v>
      </c>
      <c r="D20" s="123">
        <f>_xlfn.COMPOUNDVALUE(238)</f>
        <v>1925</v>
      </c>
      <c r="E20" s="124">
        <v>1325619</v>
      </c>
      <c r="F20" s="123">
        <f>_xlfn.COMPOUNDVALUE(239)</f>
        <v>6061</v>
      </c>
      <c r="G20" s="124">
        <v>37894989</v>
      </c>
      <c r="H20" s="123">
        <f>_xlfn.COMPOUNDVALUE(240)</f>
        <v>331</v>
      </c>
      <c r="I20" s="125">
        <v>4329173</v>
      </c>
      <c r="J20" s="123">
        <v>288</v>
      </c>
      <c r="K20" s="125">
        <v>43172</v>
      </c>
      <c r="L20" s="123">
        <v>6451</v>
      </c>
      <c r="M20" s="125">
        <v>33608988</v>
      </c>
      <c r="N20" s="60" t="s">
        <v>66</v>
      </c>
    </row>
    <row r="21" spans="1:14" ht="22.5" customHeight="1">
      <c r="A21" s="59" t="s">
        <v>172</v>
      </c>
      <c r="B21" s="123">
        <f>_xlfn.COMPOUNDVALUE(241)</f>
        <v>1152</v>
      </c>
      <c r="C21" s="124">
        <v>4875519</v>
      </c>
      <c r="D21" s="123">
        <f>_xlfn.COMPOUNDVALUE(242)</f>
        <v>648</v>
      </c>
      <c r="E21" s="124">
        <v>388845</v>
      </c>
      <c r="F21" s="123">
        <f>_xlfn.COMPOUNDVALUE(243)</f>
        <v>1800</v>
      </c>
      <c r="G21" s="124">
        <v>5264364</v>
      </c>
      <c r="H21" s="123">
        <f>_xlfn.COMPOUNDVALUE(244)</f>
        <v>138</v>
      </c>
      <c r="I21" s="125">
        <v>1032933</v>
      </c>
      <c r="J21" s="123">
        <v>80</v>
      </c>
      <c r="K21" s="125">
        <v>12289</v>
      </c>
      <c r="L21" s="123">
        <v>1950</v>
      </c>
      <c r="M21" s="125">
        <v>4243720</v>
      </c>
      <c r="N21" s="60" t="s">
        <v>68</v>
      </c>
    </row>
    <row r="22" spans="1:14" ht="22.5" customHeight="1">
      <c r="A22" s="62" t="s">
        <v>173</v>
      </c>
      <c r="B22" s="126">
        <f>_xlfn.COMPOUNDVALUE(245)</f>
        <v>1908</v>
      </c>
      <c r="C22" s="127">
        <v>13175834</v>
      </c>
      <c r="D22" s="126">
        <f>_xlfn.COMPOUNDVALUE(246)</f>
        <v>998</v>
      </c>
      <c r="E22" s="127">
        <v>677930</v>
      </c>
      <c r="F22" s="126">
        <f>_xlfn.COMPOUNDVALUE(247)</f>
        <v>2906</v>
      </c>
      <c r="G22" s="127">
        <v>13853764</v>
      </c>
      <c r="H22" s="126">
        <f>_xlfn.COMPOUNDVALUE(248)</f>
        <v>143</v>
      </c>
      <c r="I22" s="128">
        <v>641687</v>
      </c>
      <c r="J22" s="126">
        <v>151</v>
      </c>
      <c r="K22" s="128">
        <v>-73853</v>
      </c>
      <c r="L22" s="126">
        <v>3072</v>
      </c>
      <c r="M22" s="128">
        <v>13138224</v>
      </c>
      <c r="N22" s="63" t="s">
        <v>70</v>
      </c>
    </row>
    <row r="23" spans="1:14" ht="22.5" customHeight="1">
      <c r="A23" s="62" t="s">
        <v>174</v>
      </c>
      <c r="B23" s="126">
        <f>_xlfn.COMPOUNDVALUE(249)</f>
        <v>1715</v>
      </c>
      <c r="C23" s="127">
        <v>14847124</v>
      </c>
      <c r="D23" s="126">
        <f>_xlfn.COMPOUNDVALUE(250)</f>
        <v>599</v>
      </c>
      <c r="E23" s="127">
        <v>386177</v>
      </c>
      <c r="F23" s="126">
        <f>_xlfn.COMPOUNDVALUE(251)</f>
        <v>2314</v>
      </c>
      <c r="G23" s="127">
        <v>15233301</v>
      </c>
      <c r="H23" s="126">
        <f>_xlfn.COMPOUNDVALUE(252)</f>
        <v>147</v>
      </c>
      <c r="I23" s="128">
        <v>3623535</v>
      </c>
      <c r="J23" s="126">
        <v>62</v>
      </c>
      <c r="K23" s="128">
        <v>-11588</v>
      </c>
      <c r="L23" s="126">
        <v>2480</v>
      </c>
      <c r="M23" s="128">
        <v>11598178</v>
      </c>
      <c r="N23" s="63" t="s">
        <v>72</v>
      </c>
    </row>
    <row r="24" spans="1:14" ht="22.5" customHeight="1">
      <c r="A24" s="62" t="s">
        <v>175</v>
      </c>
      <c r="B24" s="126">
        <f>_xlfn.COMPOUNDVALUE(253)</f>
        <v>3788</v>
      </c>
      <c r="C24" s="127">
        <v>33062330</v>
      </c>
      <c r="D24" s="126">
        <f>_xlfn.COMPOUNDVALUE(254)</f>
        <v>1435</v>
      </c>
      <c r="E24" s="127">
        <v>1036442</v>
      </c>
      <c r="F24" s="126">
        <f>_xlfn.COMPOUNDVALUE(255)</f>
        <v>5223</v>
      </c>
      <c r="G24" s="127">
        <v>34098772</v>
      </c>
      <c r="H24" s="126">
        <f>_xlfn.COMPOUNDVALUE(256)</f>
        <v>296</v>
      </c>
      <c r="I24" s="128">
        <v>5702845</v>
      </c>
      <c r="J24" s="126">
        <v>251</v>
      </c>
      <c r="K24" s="128">
        <v>127011</v>
      </c>
      <c r="L24" s="126">
        <v>5572</v>
      </c>
      <c r="M24" s="128">
        <v>28522938</v>
      </c>
      <c r="N24" s="63" t="s">
        <v>74</v>
      </c>
    </row>
    <row r="25" spans="1:14" ht="22.5" customHeight="1">
      <c r="A25" s="62" t="s">
        <v>176</v>
      </c>
      <c r="B25" s="126">
        <f>_xlfn.COMPOUNDVALUE(257)</f>
        <v>2138</v>
      </c>
      <c r="C25" s="127">
        <v>21147039</v>
      </c>
      <c r="D25" s="126">
        <f>_xlfn.COMPOUNDVALUE(258)</f>
        <v>881</v>
      </c>
      <c r="E25" s="127">
        <v>597593</v>
      </c>
      <c r="F25" s="126">
        <f>_xlfn.COMPOUNDVALUE(259)</f>
        <v>3019</v>
      </c>
      <c r="G25" s="127">
        <v>21744632</v>
      </c>
      <c r="H25" s="126">
        <f>_xlfn.COMPOUNDVALUE(260)</f>
        <v>196</v>
      </c>
      <c r="I25" s="128">
        <v>32998456</v>
      </c>
      <c r="J25" s="126">
        <v>146</v>
      </c>
      <c r="K25" s="128">
        <v>38417</v>
      </c>
      <c r="L25" s="126">
        <v>3249</v>
      </c>
      <c r="M25" s="128">
        <v>-11215407</v>
      </c>
      <c r="N25" s="63" t="s">
        <v>76</v>
      </c>
    </row>
    <row r="26" spans="1:14" ht="22.5" customHeight="1">
      <c r="A26" s="62" t="s">
        <v>177</v>
      </c>
      <c r="B26" s="126">
        <f>_xlfn.COMPOUNDVALUE(261)</f>
        <v>1591</v>
      </c>
      <c r="C26" s="127">
        <v>11970820</v>
      </c>
      <c r="D26" s="126">
        <f>_xlfn.COMPOUNDVALUE(262)</f>
        <v>583</v>
      </c>
      <c r="E26" s="127">
        <v>394816</v>
      </c>
      <c r="F26" s="126">
        <f>_xlfn.COMPOUNDVALUE(263)</f>
        <v>2174</v>
      </c>
      <c r="G26" s="127">
        <v>12365636</v>
      </c>
      <c r="H26" s="126">
        <f>_xlfn.COMPOUNDVALUE(264)</f>
        <v>167</v>
      </c>
      <c r="I26" s="128">
        <v>16986665</v>
      </c>
      <c r="J26" s="126">
        <v>103</v>
      </c>
      <c r="K26" s="128">
        <v>56250</v>
      </c>
      <c r="L26" s="126">
        <v>2354</v>
      </c>
      <c r="M26" s="128">
        <v>-4564779</v>
      </c>
      <c r="N26" s="63" t="s">
        <v>78</v>
      </c>
    </row>
    <row r="27" spans="1:14" ht="22.5" customHeight="1">
      <c r="A27" s="62" t="s">
        <v>178</v>
      </c>
      <c r="B27" s="126">
        <f>_xlfn.COMPOUNDVALUE(265)</f>
        <v>2517</v>
      </c>
      <c r="C27" s="127">
        <v>18883191</v>
      </c>
      <c r="D27" s="126">
        <f>_xlfn.COMPOUNDVALUE(266)</f>
        <v>891</v>
      </c>
      <c r="E27" s="127">
        <v>629592</v>
      </c>
      <c r="F27" s="126">
        <f>_xlfn.COMPOUNDVALUE(267)</f>
        <v>3408</v>
      </c>
      <c r="G27" s="127">
        <v>19512783</v>
      </c>
      <c r="H27" s="126">
        <f>_xlfn.COMPOUNDVALUE(268)</f>
        <v>212</v>
      </c>
      <c r="I27" s="128">
        <v>705774</v>
      </c>
      <c r="J27" s="126">
        <v>153</v>
      </c>
      <c r="K27" s="128">
        <v>256211</v>
      </c>
      <c r="L27" s="126">
        <v>3627</v>
      </c>
      <c r="M27" s="128">
        <v>19063220</v>
      </c>
      <c r="N27" s="63" t="s">
        <v>80</v>
      </c>
    </row>
    <row r="28" spans="1:14" ht="22.5" customHeight="1">
      <c r="A28" s="148" t="s">
        <v>179</v>
      </c>
      <c r="B28" s="149">
        <f>_xlfn.COMPOUNDVALUE(269)</f>
        <v>645</v>
      </c>
      <c r="C28" s="150">
        <v>2782796</v>
      </c>
      <c r="D28" s="149">
        <f>_xlfn.COMPOUNDVALUE(270)</f>
        <v>277</v>
      </c>
      <c r="E28" s="150">
        <v>164661</v>
      </c>
      <c r="F28" s="149">
        <f>_xlfn.COMPOUNDVALUE(271)</f>
        <v>922</v>
      </c>
      <c r="G28" s="150">
        <v>2947457</v>
      </c>
      <c r="H28" s="149">
        <f>_xlfn.COMPOUNDVALUE(272)</f>
        <v>52</v>
      </c>
      <c r="I28" s="151">
        <v>99799</v>
      </c>
      <c r="J28" s="149">
        <v>49</v>
      </c>
      <c r="K28" s="151">
        <v>11936</v>
      </c>
      <c r="L28" s="149">
        <v>981</v>
      </c>
      <c r="M28" s="151">
        <v>2859595</v>
      </c>
      <c r="N28" s="152" t="s">
        <v>82</v>
      </c>
    </row>
    <row r="29" spans="1:14" ht="22.5" customHeight="1">
      <c r="A29" s="153" t="s">
        <v>180</v>
      </c>
      <c r="B29" s="154">
        <v>36037</v>
      </c>
      <c r="C29" s="155">
        <v>333776727</v>
      </c>
      <c r="D29" s="154">
        <v>15062</v>
      </c>
      <c r="E29" s="155">
        <v>10383657</v>
      </c>
      <c r="F29" s="154">
        <v>51099</v>
      </c>
      <c r="G29" s="155">
        <v>344160383</v>
      </c>
      <c r="H29" s="154">
        <v>3242</v>
      </c>
      <c r="I29" s="156">
        <v>109799191</v>
      </c>
      <c r="J29" s="154">
        <v>2415</v>
      </c>
      <c r="K29" s="156">
        <v>824236</v>
      </c>
      <c r="L29" s="154">
        <v>54706</v>
      </c>
      <c r="M29" s="156">
        <v>235185428</v>
      </c>
      <c r="N29" s="157" t="s">
        <v>84</v>
      </c>
    </row>
    <row r="30" spans="1:14" ht="22.5" customHeight="1">
      <c r="A30" s="158"/>
      <c r="B30" s="159"/>
      <c r="C30" s="160"/>
      <c r="D30" s="159"/>
      <c r="E30" s="160"/>
      <c r="F30" s="161"/>
      <c r="G30" s="160"/>
      <c r="H30" s="161"/>
      <c r="I30" s="160"/>
      <c r="J30" s="161"/>
      <c r="K30" s="160"/>
      <c r="L30" s="161"/>
      <c r="M30" s="160"/>
      <c r="N30" s="162"/>
    </row>
    <row r="31" spans="1:14" ht="22.5" customHeight="1">
      <c r="A31" s="59" t="s">
        <v>181</v>
      </c>
      <c r="B31" s="123">
        <f>_xlfn.COMPOUNDVALUE(273)</f>
        <v>3443</v>
      </c>
      <c r="C31" s="124">
        <v>35008668</v>
      </c>
      <c r="D31" s="123">
        <f>_xlfn.COMPOUNDVALUE(274)</f>
        <v>1449</v>
      </c>
      <c r="E31" s="124">
        <v>1141980</v>
      </c>
      <c r="F31" s="123">
        <f>_xlfn.COMPOUNDVALUE(275)</f>
        <v>4892</v>
      </c>
      <c r="G31" s="124">
        <v>36150647</v>
      </c>
      <c r="H31" s="123">
        <f>_xlfn.COMPOUNDVALUE(276)</f>
        <v>558</v>
      </c>
      <c r="I31" s="125">
        <v>2718665</v>
      </c>
      <c r="J31" s="123">
        <v>243</v>
      </c>
      <c r="K31" s="125">
        <v>36631</v>
      </c>
      <c r="L31" s="123">
        <v>5477</v>
      </c>
      <c r="M31" s="125">
        <v>33468613</v>
      </c>
      <c r="N31" s="60" t="s">
        <v>86</v>
      </c>
    </row>
    <row r="32" spans="1:14" ht="22.5" customHeight="1">
      <c r="A32" s="59" t="s">
        <v>182</v>
      </c>
      <c r="B32" s="123">
        <f>_xlfn.COMPOUNDVALUE(277)</f>
        <v>2102</v>
      </c>
      <c r="C32" s="124">
        <v>55735890</v>
      </c>
      <c r="D32" s="123">
        <f>_xlfn.COMPOUNDVALUE(278)</f>
        <v>617</v>
      </c>
      <c r="E32" s="124">
        <v>460544</v>
      </c>
      <c r="F32" s="123">
        <f>_xlfn.COMPOUNDVALUE(279)</f>
        <v>2719</v>
      </c>
      <c r="G32" s="124">
        <v>56196433</v>
      </c>
      <c r="H32" s="123">
        <f>_xlfn.COMPOUNDVALUE(280)</f>
        <v>406</v>
      </c>
      <c r="I32" s="125">
        <v>12123842</v>
      </c>
      <c r="J32" s="123">
        <v>100</v>
      </c>
      <c r="K32" s="125">
        <v>92010</v>
      </c>
      <c r="L32" s="123">
        <v>3144</v>
      </c>
      <c r="M32" s="125">
        <v>44164602</v>
      </c>
      <c r="N32" s="60" t="s">
        <v>88</v>
      </c>
    </row>
    <row r="33" spans="1:14" ht="22.5" customHeight="1">
      <c r="A33" s="59" t="s">
        <v>183</v>
      </c>
      <c r="B33" s="123">
        <f>_xlfn.COMPOUNDVALUE(281)</f>
        <v>3899</v>
      </c>
      <c r="C33" s="124">
        <v>30303408</v>
      </c>
      <c r="D33" s="123">
        <f>_xlfn.COMPOUNDVALUE(282)</f>
        <v>1394</v>
      </c>
      <c r="E33" s="124">
        <v>972314</v>
      </c>
      <c r="F33" s="123">
        <f>_xlfn.COMPOUNDVALUE(283)</f>
        <v>5293</v>
      </c>
      <c r="G33" s="124">
        <v>31275722</v>
      </c>
      <c r="H33" s="123">
        <f>_xlfn.COMPOUNDVALUE(284)</f>
        <v>373</v>
      </c>
      <c r="I33" s="125">
        <v>1177216</v>
      </c>
      <c r="J33" s="123">
        <v>209</v>
      </c>
      <c r="K33" s="125">
        <v>199941</v>
      </c>
      <c r="L33" s="123">
        <v>5694</v>
      </c>
      <c r="M33" s="125">
        <v>30298447</v>
      </c>
      <c r="N33" s="60" t="s">
        <v>90</v>
      </c>
    </row>
    <row r="34" spans="1:14" ht="22.5" customHeight="1">
      <c r="A34" s="59" t="s">
        <v>184</v>
      </c>
      <c r="B34" s="123">
        <f>_xlfn.COMPOUNDVALUE(285)</f>
        <v>4636</v>
      </c>
      <c r="C34" s="124">
        <v>53860420</v>
      </c>
      <c r="D34" s="123">
        <f>_xlfn.COMPOUNDVALUE(286)</f>
        <v>1371</v>
      </c>
      <c r="E34" s="124">
        <v>940648</v>
      </c>
      <c r="F34" s="123">
        <f>_xlfn.COMPOUNDVALUE(287)</f>
        <v>6007</v>
      </c>
      <c r="G34" s="124">
        <v>54801069</v>
      </c>
      <c r="H34" s="123">
        <f>_xlfn.COMPOUNDVALUE(288)</f>
        <v>435</v>
      </c>
      <c r="I34" s="125">
        <v>5053115</v>
      </c>
      <c r="J34" s="123">
        <v>260</v>
      </c>
      <c r="K34" s="125">
        <v>-15051</v>
      </c>
      <c r="L34" s="123">
        <v>6488</v>
      </c>
      <c r="M34" s="125">
        <v>49732903</v>
      </c>
      <c r="N34" s="60" t="s">
        <v>92</v>
      </c>
    </row>
    <row r="35" spans="1:14" ht="22.5" customHeight="1">
      <c r="A35" s="59" t="s">
        <v>185</v>
      </c>
      <c r="B35" s="123">
        <f>_xlfn.COMPOUNDVALUE(289)</f>
        <v>3002</v>
      </c>
      <c r="C35" s="124">
        <v>72052474</v>
      </c>
      <c r="D35" s="123">
        <f>_xlfn.COMPOUNDVALUE(290)</f>
        <v>837</v>
      </c>
      <c r="E35" s="124">
        <v>725487</v>
      </c>
      <c r="F35" s="123">
        <f>_xlfn.COMPOUNDVALUE(291)</f>
        <v>3839</v>
      </c>
      <c r="G35" s="124">
        <v>72777961</v>
      </c>
      <c r="H35" s="123">
        <f>_xlfn.COMPOUNDVALUE(292)</f>
        <v>494</v>
      </c>
      <c r="I35" s="125">
        <v>106693743</v>
      </c>
      <c r="J35" s="123">
        <v>220</v>
      </c>
      <c r="K35" s="125">
        <v>-44606</v>
      </c>
      <c r="L35" s="123">
        <v>4360</v>
      </c>
      <c r="M35" s="125">
        <v>-33960388</v>
      </c>
      <c r="N35" s="60" t="s">
        <v>94</v>
      </c>
    </row>
    <row r="36" spans="1:14" ht="22.5" customHeight="1">
      <c r="A36" s="59" t="s">
        <v>186</v>
      </c>
      <c r="B36" s="123">
        <f>_xlfn.COMPOUNDVALUE(293)</f>
        <v>6143</v>
      </c>
      <c r="C36" s="124">
        <v>155386110</v>
      </c>
      <c r="D36" s="123">
        <f>_xlfn.COMPOUNDVALUE(294)</f>
        <v>1666</v>
      </c>
      <c r="E36" s="124">
        <v>1483148</v>
      </c>
      <c r="F36" s="123">
        <f>_xlfn.COMPOUNDVALUE(295)</f>
        <v>7809</v>
      </c>
      <c r="G36" s="124">
        <v>156869258</v>
      </c>
      <c r="H36" s="123">
        <f>_xlfn.COMPOUNDVALUE(296)</f>
        <v>1168</v>
      </c>
      <c r="I36" s="125">
        <v>15269994</v>
      </c>
      <c r="J36" s="123">
        <v>487</v>
      </c>
      <c r="K36" s="125">
        <v>452107</v>
      </c>
      <c r="L36" s="123">
        <v>9077</v>
      </c>
      <c r="M36" s="125">
        <v>142051372</v>
      </c>
      <c r="N36" s="60" t="s">
        <v>96</v>
      </c>
    </row>
    <row r="37" spans="1:14" ht="22.5" customHeight="1">
      <c r="A37" s="59" t="s">
        <v>187</v>
      </c>
      <c r="B37" s="123">
        <f>_xlfn.COMPOUNDVALUE(297)</f>
        <v>5773</v>
      </c>
      <c r="C37" s="124">
        <v>62918425</v>
      </c>
      <c r="D37" s="123">
        <f>_xlfn.COMPOUNDVALUE(298)</f>
        <v>2118</v>
      </c>
      <c r="E37" s="124">
        <v>1532865</v>
      </c>
      <c r="F37" s="123">
        <f>_xlfn.COMPOUNDVALUE(299)</f>
        <v>7891</v>
      </c>
      <c r="G37" s="124">
        <v>64451290</v>
      </c>
      <c r="H37" s="123">
        <f>_xlfn.COMPOUNDVALUE(300)</f>
        <v>724</v>
      </c>
      <c r="I37" s="125">
        <v>22882788</v>
      </c>
      <c r="J37" s="123">
        <v>361</v>
      </c>
      <c r="K37" s="125">
        <v>888773</v>
      </c>
      <c r="L37" s="123">
        <v>8663</v>
      </c>
      <c r="M37" s="125">
        <v>42457275</v>
      </c>
      <c r="N37" s="60" t="s">
        <v>98</v>
      </c>
    </row>
    <row r="38" spans="1:14" ht="22.5" customHeight="1">
      <c r="A38" s="59" t="s">
        <v>188</v>
      </c>
      <c r="B38" s="123">
        <f>_xlfn.COMPOUNDVALUE(301)</f>
        <v>5717</v>
      </c>
      <c r="C38" s="124">
        <v>77076777</v>
      </c>
      <c r="D38" s="123">
        <f>_xlfn.COMPOUNDVALUE(302)</f>
        <v>1989</v>
      </c>
      <c r="E38" s="124">
        <v>1426789</v>
      </c>
      <c r="F38" s="123">
        <f>_xlfn.COMPOUNDVALUE(303)</f>
        <v>7706</v>
      </c>
      <c r="G38" s="124">
        <v>78503566</v>
      </c>
      <c r="H38" s="123">
        <f>_xlfn.COMPOUNDVALUE(304)</f>
        <v>472</v>
      </c>
      <c r="I38" s="125">
        <v>2980360</v>
      </c>
      <c r="J38" s="123">
        <v>376</v>
      </c>
      <c r="K38" s="125">
        <v>79693</v>
      </c>
      <c r="L38" s="123">
        <v>8220</v>
      </c>
      <c r="M38" s="125">
        <v>75602900</v>
      </c>
      <c r="N38" s="60" t="s">
        <v>100</v>
      </c>
    </row>
    <row r="39" spans="1:14" ht="22.5" customHeight="1">
      <c r="A39" s="59" t="s">
        <v>189</v>
      </c>
      <c r="B39" s="123">
        <f>_xlfn.COMPOUNDVALUE(305)</f>
        <v>4921</v>
      </c>
      <c r="C39" s="124">
        <v>50576827</v>
      </c>
      <c r="D39" s="123">
        <f>_xlfn.COMPOUNDVALUE(306)</f>
        <v>1461</v>
      </c>
      <c r="E39" s="124">
        <v>1009928</v>
      </c>
      <c r="F39" s="123">
        <f>_xlfn.COMPOUNDVALUE(307)</f>
        <v>6382</v>
      </c>
      <c r="G39" s="124">
        <v>51586755</v>
      </c>
      <c r="H39" s="123">
        <f>_xlfn.COMPOUNDVALUE(308)</f>
        <v>749</v>
      </c>
      <c r="I39" s="125">
        <v>4901389</v>
      </c>
      <c r="J39" s="123">
        <v>426</v>
      </c>
      <c r="K39" s="125">
        <v>258471</v>
      </c>
      <c r="L39" s="123">
        <v>7193</v>
      </c>
      <c r="M39" s="125">
        <v>46943837</v>
      </c>
      <c r="N39" s="60" t="s">
        <v>102</v>
      </c>
    </row>
    <row r="40" spans="1:14" ht="22.5" customHeight="1">
      <c r="A40" s="59" t="s">
        <v>190</v>
      </c>
      <c r="B40" s="123">
        <f>_xlfn.COMPOUNDVALUE(309)</f>
        <v>6679</v>
      </c>
      <c r="C40" s="124">
        <v>64147825</v>
      </c>
      <c r="D40" s="123">
        <f>_xlfn.COMPOUNDVALUE(310)</f>
        <v>2707</v>
      </c>
      <c r="E40" s="124">
        <v>1832861</v>
      </c>
      <c r="F40" s="123">
        <f>_xlfn.COMPOUNDVALUE(311)</f>
        <v>9386</v>
      </c>
      <c r="G40" s="124">
        <v>65980686</v>
      </c>
      <c r="H40" s="123">
        <f>_xlfn.COMPOUNDVALUE(312)</f>
        <v>608</v>
      </c>
      <c r="I40" s="125">
        <v>7434000</v>
      </c>
      <c r="J40" s="123">
        <v>406</v>
      </c>
      <c r="K40" s="125">
        <v>-192440</v>
      </c>
      <c r="L40" s="123">
        <v>10028</v>
      </c>
      <c r="M40" s="125">
        <v>58354245</v>
      </c>
      <c r="N40" s="60" t="s">
        <v>104</v>
      </c>
    </row>
    <row r="41" spans="1:14" ht="22.5" customHeight="1">
      <c r="A41" s="59" t="s">
        <v>191</v>
      </c>
      <c r="B41" s="123">
        <f>_xlfn.COMPOUNDVALUE(313)</f>
        <v>3734</v>
      </c>
      <c r="C41" s="124">
        <v>32594458</v>
      </c>
      <c r="D41" s="123">
        <f>_xlfn.COMPOUNDVALUE(314)</f>
        <v>1355</v>
      </c>
      <c r="E41" s="124">
        <v>955437</v>
      </c>
      <c r="F41" s="123">
        <f>_xlfn.COMPOUNDVALUE(315)</f>
        <v>5089</v>
      </c>
      <c r="G41" s="124">
        <v>33549896</v>
      </c>
      <c r="H41" s="123">
        <f>_xlfn.COMPOUNDVALUE(316)</f>
        <v>283</v>
      </c>
      <c r="I41" s="125">
        <v>1047361</v>
      </c>
      <c r="J41" s="123">
        <v>214</v>
      </c>
      <c r="K41" s="125">
        <v>102780</v>
      </c>
      <c r="L41" s="123">
        <v>5411</v>
      </c>
      <c r="M41" s="125">
        <v>32605315</v>
      </c>
      <c r="N41" s="60" t="s">
        <v>106</v>
      </c>
    </row>
    <row r="42" spans="1:14" ht="22.5" customHeight="1">
      <c r="A42" s="59" t="s">
        <v>192</v>
      </c>
      <c r="B42" s="123">
        <f>_xlfn.COMPOUNDVALUE(317)</f>
        <v>4336</v>
      </c>
      <c r="C42" s="124">
        <v>46143144</v>
      </c>
      <c r="D42" s="123">
        <f>_xlfn.COMPOUNDVALUE(318)</f>
        <v>1744</v>
      </c>
      <c r="E42" s="124">
        <v>1252631</v>
      </c>
      <c r="F42" s="123">
        <f>_xlfn.COMPOUNDVALUE(319)</f>
        <v>6080</v>
      </c>
      <c r="G42" s="124">
        <v>47395775</v>
      </c>
      <c r="H42" s="123">
        <f>_xlfn.COMPOUNDVALUE(320)</f>
        <v>454</v>
      </c>
      <c r="I42" s="125">
        <v>1513349</v>
      </c>
      <c r="J42" s="123">
        <v>261</v>
      </c>
      <c r="K42" s="125">
        <v>69465</v>
      </c>
      <c r="L42" s="123">
        <v>6583</v>
      </c>
      <c r="M42" s="125">
        <v>45951891</v>
      </c>
      <c r="N42" s="60" t="s">
        <v>108</v>
      </c>
    </row>
    <row r="43" spans="1:14" ht="22.5" customHeight="1">
      <c r="A43" s="59" t="s">
        <v>193</v>
      </c>
      <c r="B43" s="123">
        <f>_xlfn.COMPOUNDVALUE(321)</f>
        <v>1923</v>
      </c>
      <c r="C43" s="124">
        <v>15706086</v>
      </c>
      <c r="D43" s="123">
        <f>_xlfn.COMPOUNDVALUE(322)</f>
        <v>808</v>
      </c>
      <c r="E43" s="124">
        <v>523173</v>
      </c>
      <c r="F43" s="123">
        <f>_xlfn.COMPOUNDVALUE(323)</f>
        <v>2731</v>
      </c>
      <c r="G43" s="124">
        <v>16229259</v>
      </c>
      <c r="H43" s="123">
        <f>_xlfn.COMPOUNDVALUE(324)</f>
        <v>165</v>
      </c>
      <c r="I43" s="125">
        <v>2741887</v>
      </c>
      <c r="J43" s="123">
        <v>114</v>
      </c>
      <c r="K43" s="125">
        <v>12653</v>
      </c>
      <c r="L43" s="123">
        <v>2921</v>
      </c>
      <c r="M43" s="125">
        <v>13500025</v>
      </c>
      <c r="N43" s="60" t="s">
        <v>110</v>
      </c>
    </row>
    <row r="44" spans="1:14" ht="22.5" customHeight="1">
      <c r="A44" s="62" t="s">
        <v>194</v>
      </c>
      <c r="B44" s="126">
        <f>_xlfn.COMPOUNDVALUE(325)</f>
        <v>5062</v>
      </c>
      <c r="C44" s="127">
        <v>53137241</v>
      </c>
      <c r="D44" s="126">
        <f>_xlfn.COMPOUNDVALUE(326)</f>
        <v>1638</v>
      </c>
      <c r="E44" s="127">
        <v>1239449</v>
      </c>
      <c r="F44" s="126">
        <f>_xlfn.COMPOUNDVALUE(327)</f>
        <v>6700</v>
      </c>
      <c r="G44" s="127">
        <v>54376691</v>
      </c>
      <c r="H44" s="126">
        <f>_xlfn.COMPOUNDVALUE(328)</f>
        <v>463</v>
      </c>
      <c r="I44" s="128">
        <v>5791120</v>
      </c>
      <c r="J44" s="126">
        <v>303</v>
      </c>
      <c r="K44" s="128">
        <v>74769</v>
      </c>
      <c r="L44" s="126">
        <v>7197</v>
      </c>
      <c r="M44" s="128">
        <v>48660340</v>
      </c>
      <c r="N44" s="63" t="s">
        <v>112</v>
      </c>
    </row>
    <row r="45" spans="1:14" ht="22.5" customHeight="1">
      <c r="A45" s="62" t="s">
        <v>195</v>
      </c>
      <c r="B45" s="126">
        <f>_xlfn.COMPOUNDVALUE(329)</f>
        <v>3416</v>
      </c>
      <c r="C45" s="127">
        <v>30199164</v>
      </c>
      <c r="D45" s="126">
        <f>_xlfn.COMPOUNDVALUE(330)</f>
        <v>1104</v>
      </c>
      <c r="E45" s="127">
        <v>765190</v>
      </c>
      <c r="F45" s="126">
        <f>_xlfn.COMPOUNDVALUE(331)</f>
        <v>4520</v>
      </c>
      <c r="G45" s="127">
        <v>30964354</v>
      </c>
      <c r="H45" s="126">
        <f>_xlfn.COMPOUNDVALUE(332)</f>
        <v>545</v>
      </c>
      <c r="I45" s="128">
        <v>5736659</v>
      </c>
      <c r="J45" s="126">
        <v>236</v>
      </c>
      <c r="K45" s="128">
        <v>-444422</v>
      </c>
      <c r="L45" s="126">
        <v>5113</v>
      </c>
      <c r="M45" s="128">
        <v>24783273</v>
      </c>
      <c r="N45" s="63" t="s">
        <v>114</v>
      </c>
    </row>
    <row r="46" spans="1:14" ht="22.5" customHeight="1">
      <c r="A46" s="62" t="s">
        <v>196</v>
      </c>
      <c r="B46" s="126">
        <f>_xlfn.COMPOUNDVALUE(333)</f>
        <v>4718</v>
      </c>
      <c r="C46" s="127">
        <v>74603411</v>
      </c>
      <c r="D46" s="126">
        <f>_xlfn.COMPOUNDVALUE(334)</f>
        <v>1493</v>
      </c>
      <c r="E46" s="127">
        <v>1166552</v>
      </c>
      <c r="F46" s="126">
        <f>_xlfn.COMPOUNDVALUE(335)</f>
        <v>6211</v>
      </c>
      <c r="G46" s="127">
        <v>75769962</v>
      </c>
      <c r="H46" s="126">
        <f>_xlfn.COMPOUNDVALUE(336)</f>
        <v>408</v>
      </c>
      <c r="I46" s="128">
        <v>100006701</v>
      </c>
      <c r="J46" s="126">
        <v>323</v>
      </c>
      <c r="K46" s="128">
        <v>-14333</v>
      </c>
      <c r="L46" s="126">
        <v>6656</v>
      </c>
      <c r="M46" s="128">
        <v>-24251072</v>
      </c>
      <c r="N46" s="63" t="s">
        <v>116</v>
      </c>
    </row>
    <row r="47" spans="1:14" ht="22.5" customHeight="1">
      <c r="A47" s="62" t="s">
        <v>197</v>
      </c>
      <c r="B47" s="126">
        <f>_xlfn.COMPOUNDVALUE(337)</f>
        <v>3800</v>
      </c>
      <c r="C47" s="127">
        <v>50139130</v>
      </c>
      <c r="D47" s="126">
        <f>_xlfn.COMPOUNDVALUE(338)</f>
        <v>1338</v>
      </c>
      <c r="E47" s="127">
        <v>916183</v>
      </c>
      <c r="F47" s="126">
        <f>_xlfn.COMPOUNDVALUE(339)</f>
        <v>5138</v>
      </c>
      <c r="G47" s="127">
        <v>51055313</v>
      </c>
      <c r="H47" s="126">
        <f>_xlfn.COMPOUNDVALUE(340)</f>
        <v>326</v>
      </c>
      <c r="I47" s="128">
        <v>436747844</v>
      </c>
      <c r="J47" s="126">
        <v>257</v>
      </c>
      <c r="K47" s="128">
        <v>259210</v>
      </c>
      <c r="L47" s="126">
        <v>5499</v>
      </c>
      <c r="M47" s="129">
        <v>-385433321</v>
      </c>
      <c r="N47" s="63" t="s">
        <v>118</v>
      </c>
    </row>
    <row r="48" spans="1:14" ht="22.5" customHeight="1">
      <c r="A48" s="62" t="s">
        <v>198</v>
      </c>
      <c r="B48" s="126">
        <f>_xlfn.COMPOUNDVALUE(341)</f>
        <v>1594</v>
      </c>
      <c r="C48" s="127">
        <v>16243227</v>
      </c>
      <c r="D48" s="126">
        <f>_xlfn.COMPOUNDVALUE(342)</f>
        <v>492</v>
      </c>
      <c r="E48" s="127">
        <v>374735</v>
      </c>
      <c r="F48" s="126">
        <f>_xlfn.COMPOUNDVALUE(343)</f>
        <v>2086</v>
      </c>
      <c r="G48" s="127">
        <v>16617961</v>
      </c>
      <c r="H48" s="126">
        <f>_xlfn.COMPOUNDVALUE(344)</f>
        <v>117</v>
      </c>
      <c r="I48" s="128">
        <v>991209</v>
      </c>
      <c r="J48" s="126">
        <v>84</v>
      </c>
      <c r="K48" s="128">
        <v>37589</v>
      </c>
      <c r="L48" s="126">
        <v>2213</v>
      </c>
      <c r="M48" s="128">
        <v>15664341</v>
      </c>
      <c r="N48" s="63" t="s">
        <v>120</v>
      </c>
    </row>
    <row r="49" spans="1:14" ht="22.5" customHeight="1">
      <c r="A49" s="62" t="s">
        <v>199</v>
      </c>
      <c r="B49" s="126">
        <f>_xlfn.COMPOUNDVALUE(345)</f>
        <v>6711</v>
      </c>
      <c r="C49" s="127">
        <v>65083616</v>
      </c>
      <c r="D49" s="126">
        <f>_xlfn.COMPOUNDVALUE(346)</f>
        <v>2421</v>
      </c>
      <c r="E49" s="127">
        <v>1681612</v>
      </c>
      <c r="F49" s="126">
        <f>_xlfn.COMPOUNDVALUE(347)</f>
        <v>9132</v>
      </c>
      <c r="G49" s="127">
        <v>66765228</v>
      </c>
      <c r="H49" s="126">
        <f>_xlfn.COMPOUNDVALUE(348)</f>
        <v>593</v>
      </c>
      <c r="I49" s="128">
        <v>21948247</v>
      </c>
      <c r="J49" s="126">
        <v>343</v>
      </c>
      <c r="K49" s="128">
        <v>104631</v>
      </c>
      <c r="L49" s="126">
        <v>9783</v>
      </c>
      <c r="M49" s="128">
        <v>44921613</v>
      </c>
      <c r="N49" s="63" t="s">
        <v>122</v>
      </c>
    </row>
    <row r="50" spans="1:14" ht="22.5" customHeight="1">
      <c r="A50" s="148" t="s">
        <v>200</v>
      </c>
      <c r="B50" s="149">
        <f>_xlfn.COMPOUNDVALUE(349)</f>
        <v>471</v>
      </c>
      <c r="C50" s="150">
        <v>3146370</v>
      </c>
      <c r="D50" s="149">
        <f>_xlfn.COMPOUNDVALUE(350)</f>
        <v>183</v>
      </c>
      <c r="E50" s="150">
        <v>119836</v>
      </c>
      <c r="F50" s="149">
        <f>_xlfn.COMPOUNDVALUE(351)</f>
        <v>654</v>
      </c>
      <c r="G50" s="150">
        <v>3266206</v>
      </c>
      <c r="H50" s="149">
        <f>_xlfn.COMPOUNDVALUE(352)</f>
        <v>36</v>
      </c>
      <c r="I50" s="151">
        <v>31916</v>
      </c>
      <c r="J50" s="149">
        <v>15</v>
      </c>
      <c r="K50" s="151">
        <v>3492</v>
      </c>
      <c r="L50" s="149">
        <v>697</v>
      </c>
      <c r="M50" s="151">
        <v>3237781</v>
      </c>
      <c r="N50" s="152" t="s">
        <v>124</v>
      </c>
    </row>
    <row r="51" spans="1:14" ht="22.5" customHeight="1">
      <c r="A51" s="153" t="s">
        <v>201</v>
      </c>
      <c r="B51" s="154">
        <v>82080</v>
      </c>
      <c r="C51" s="155">
        <v>1044062671</v>
      </c>
      <c r="D51" s="154">
        <v>28185</v>
      </c>
      <c r="E51" s="155">
        <v>20521361</v>
      </c>
      <c r="F51" s="154">
        <v>110265</v>
      </c>
      <c r="G51" s="155">
        <v>1064584032</v>
      </c>
      <c r="H51" s="154">
        <v>9377</v>
      </c>
      <c r="I51" s="156">
        <v>757791404</v>
      </c>
      <c r="J51" s="154">
        <v>5238</v>
      </c>
      <c r="K51" s="156">
        <v>1961363</v>
      </c>
      <c r="L51" s="154">
        <v>120417</v>
      </c>
      <c r="M51" s="156">
        <v>308753991</v>
      </c>
      <c r="N51" s="157" t="s">
        <v>126</v>
      </c>
    </row>
    <row r="52" spans="1:14" ht="22.5" customHeight="1">
      <c r="A52" s="158"/>
      <c r="B52" s="159"/>
      <c r="C52" s="160"/>
      <c r="D52" s="159"/>
      <c r="E52" s="160"/>
      <c r="F52" s="161"/>
      <c r="G52" s="160"/>
      <c r="H52" s="161"/>
      <c r="I52" s="160"/>
      <c r="J52" s="161"/>
      <c r="K52" s="160"/>
      <c r="L52" s="161"/>
      <c r="M52" s="160"/>
      <c r="N52" s="162"/>
    </row>
    <row r="53" spans="1:14" ht="22.5" customHeight="1">
      <c r="A53" s="59" t="s">
        <v>202</v>
      </c>
      <c r="B53" s="123">
        <f>_xlfn.COMPOUNDVALUE(353)</f>
        <v>2262</v>
      </c>
      <c r="C53" s="124">
        <v>22843344</v>
      </c>
      <c r="D53" s="123">
        <f>_xlfn.COMPOUNDVALUE(354)</f>
        <v>845</v>
      </c>
      <c r="E53" s="124">
        <v>596965</v>
      </c>
      <c r="F53" s="123">
        <f>_xlfn.COMPOUNDVALUE(355)</f>
        <v>3107</v>
      </c>
      <c r="G53" s="124">
        <v>23440309</v>
      </c>
      <c r="H53" s="123">
        <f>_xlfn.COMPOUNDVALUE(356)</f>
        <v>218</v>
      </c>
      <c r="I53" s="125">
        <v>2532589</v>
      </c>
      <c r="J53" s="123">
        <v>205</v>
      </c>
      <c r="K53" s="125">
        <v>37308</v>
      </c>
      <c r="L53" s="123">
        <v>3353</v>
      </c>
      <c r="M53" s="125">
        <v>20945028</v>
      </c>
      <c r="N53" s="60" t="s">
        <v>128</v>
      </c>
    </row>
    <row r="54" spans="1:14" ht="22.5" customHeight="1">
      <c r="A54" s="62" t="s">
        <v>203</v>
      </c>
      <c r="B54" s="126">
        <f>_xlfn.COMPOUNDVALUE(357)</f>
        <v>3988</v>
      </c>
      <c r="C54" s="127">
        <v>49250828</v>
      </c>
      <c r="D54" s="126">
        <f>_xlfn.COMPOUNDVALUE(358)</f>
        <v>1361</v>
      </c>
      <c r="E54" s="127">
        <v>1007580</v>
      </c>
      <c r="F54" s="126">
        <f>_xlfn.COMPOUNDVALUE(359)</f>
        <v>5349</v>
      </c>
      <c r="G54" s="127">
        <v>50258408</v>
      </c>
      <c r="H54" s="126">
        <f>_xlfn.COMPOUNDVALUE(360)</f>
        <v>337</v>
      </c>
      <c r="I54" s="128">
        <v>24015331</v>
      </c>
      <c r="J54" s="126">
        <v>299</v>
      </c>
      <c r="K54" s="128">
        <v>-3492</v>
      </c>
      <c r="L54" s="126">
        <v>5719</v>
      </c>
      <c r="M54" s="128">
        <v>26239585</v>
      </c>
      <c r="N54" s="63" t="s">
        <v>130</v>
      </c>
    </row>
    <row r="55" spans="1:14" ht="22.5" customHeight="1">
      <c r="A55" s="62" t="s">
        <v>204</v>
      </c>
      <c r="B55" s="126">
        <f>_xlfn.COMPOUNDVALUE(361)</f>
        <v>2185</v>
      </c>
      <c r="C55" s="127">
        <v>13541440</v>
      </c>
      <c r="D55" s="126">
        <f>_xlfn.COMPOUNDVALUE(362)</f>
        <v>796</v>
      </c>
      <c r="E55" s="127">
        <v>524551</v>
      </c>
      <c r="F55" s="126">
        <f>_xlfn.COMPOUNDVALUE(363)</f>
        <v>2981</v>
      </c>
      <c r="G55" s="127">
        <v>14065991</v>
      </c>
      <c r="H55" s="126">
        <f>_xlfn.COMPOUNDVALUE(364)</f>
        <v>279</v>
      </c>
      <c r="I55" s="128">
        <v>3489623</v>
      </c>
      <c r="J55" s="126">
        <v>115</v>
      </c>
      <c r="K55" s="128">
        <v>25977</v>
      </c>
      <c r="L55" s="126">
        <v>3280</v>
      </c>
      <c r="M55" s="128">
        <v>10602345</v>
      </c>
      <c r="N55" s="63" t="s">
        <v>132</v>
      </c>
    </row>
    <row r="56" spans="1:14" ht="22.5" customHeight="1">
      <c r="A56" s="62" t="s">
        <v>205</v>
      </c>
      <c r="B56" s="126">
        <f>_xlfn.COMPOUNDVALUE(365)</f>
        <v>1810</v>
      </c>
      <c r="C56" s="127">
        <v>15981085</v>
      </c>
      <c r="D56" s="126">
        <f>_xlfn.COMPOUNDVALUE(366)</f>
        <v>549</v>
      </c>
      <c r="E56" s="127">
        <v>393016</v>
      </c>
      <c r="F56" s="126">
        <f>_xlfn.COMPOUNDVALUE(367)</f>
        <v>2359</v>
      </c>
      <c r="G56" s="127">
        <v>16374100</v>
      </c>
      <c r="H56" s="126">
        <f>_xlfn.COMPOUNDVALUE(368)</f>
        <v>210</v>
      </c>
      <c r="I56" s="128">
        <v>8523347</v>
      </c>
      <c r="J56" s="126">
        <v>76</v>
      </c>
      <c r="K56" s="128">
        <v>-4812</v>
      </c>
      <c r="L56" s="126">
        <v>2587</v>
      </c>
      <c r="M56" s="128">
        <v>7845941</v>
      </c>
      <c r="N56" s="63" t="s">
        <v>134</v>
      </c>
    </row>
    <row r="57" spans="1:14" ht="22.5" customHeight="1">
      <c r="A57" s="62" t="s">
        <v>206</v>
      </c>
      <c r="B57" s="126">
        <f>_xlfn.COMPOUNDVALUE(369)</f>
        <v>1917</v>
      </c>
      <c r="C57" s="127">
        <v>16632926</v>
      </c>
      <c r="D57" s="126">
        <f>_xlfn.COMPOUNDVALUE(370)</f>
        <v>727</v>
      </c>
      <c r="E57" s="127">
        <v>526036</v>
      </c>
      <c r="F57" s="126">
        <f>_xlfn.COMPOUNDVALUE(371)</f>
        <v>2644</v>
      </c>
      <c r="G57" s="127">
        <v>17158962</v>
      </c>
      <c r="H57" s="126">
        <f>_xlfn.COMPOUNDVALUE(372)</f>
        <v>203</v>
      </c>
      <c r="I57" s="128">
        <v>774514</v>
      </c>
      <c r="J57" s="126">
        <v>89</v>
      </c>
      <c r="K57" s="128">
        <v>51133</v>
      </c>
      <c r="L57" s="126">
        <v>2860</v>
      </c>
      <c r="M57" s="128">
        <v>16435582</v>
      </c>
      <c r="N57" s="63" t="s">
        <v>136</v>
      </c>
    </row>
    <row r="58" spans="1:14" ht="22.5" customHeight="1">
      <c r="A58" s="62" t="s">
        <v>207</v>
      </c>
      <c r="B58" s="126">
        <f>_xlfn.COMPOUNDVALUE(373)</f>
        <v>1209</v>
      </c>
      <c r="C58" s="127">
        <v>9724448</v>
      </c>
      <c r="D58" s="126">
        <f>_xlfn.COMPOUNDVALUE(374)</f>
        <v>425</v>
      </c>
      <c r="E58" s="127">
        <v>305778</v>
      </c>
      <c r="F58" s="126">
        <f>_xlfn.COMPOUNDVALUE(375)</f>
        <v>1634</v>
      </c>
      <c r="G58" s="127">
        <v>10030225</v>
      </c>
      <c r="H58" s="126">
        <f>_xlfn.COMPOUNDVALUE(376)</f>
        <v>138</v>
      </c>
      <c r="I58" s="128">
        <v>2332213</v>
      </c>
      <c r="J58" s="126">
        <v>146</v>
      </c>
      <c r="K58" s="128">
        <v>27601</v>
      </c>
      <c r="L58" s="126">
        <v>1785</v>
      </c>
      <c r="M58" s="128">
        <v>7725614</v>
      </c>
      <c r="N58" s="63" t="s">
        <v>138</v>
      </c>
    </row>
    <row r="59" spans="1:14" ht="22.5" customHeight="1">
      <c r="A59" s="62" t="s">
        <v>208</v>
      </c>
      <c r="B59" s="126">
        <f>_xlfn.COMPOUNDVALUE(377)</f>
        <v>2001</v>
      </c>
      <c r="C59" s="127">
        <v>15716958</v>
      </c>
      <c r="D59" s="126">
        <f>_xlfn.COMPOUNDVALUE(378)</f>
        <v>595</v>
      </c>
      <c r="E59" s="127">
        <v>433111</v>
      </c>
      <c r="F59" s="126">
        <f>_xlfn.COMPOUNDVALUE(379)</f>
        <v>2596</v>
      </c>
      <c r="G59" s="127">
        <v>16150070</v>
      </c>
      <c r="H59" s="126">
        <f>_xlfn.COMPOUNDVALUE(380)</f>
        <v>190</v>
      </c>
      <c r="I59" s="128">
        <v>4621001</v>
      </c>
      <c r="J59" s="126">
        <v>135</v>
      </c>
      <c r="K59" s="128">
        <v>-1213</v>
      </c>
      <c r="L59" s="126">
        <v>2810</v>
      </c>
      <c r="M59" s="128">
        <v>11527855</v>
      </c>
      <c r="N59" s="63" t="s">
        <v>140</v>
      </c>
    </row>
    <row r="60" spans="1:14" ht="22.5" customHeight="1">
      <c r="A60" s="148" t="s">
        <v>209</v>
      </c>
      <c r="B60" s="149">
        <f>_xlfn.COMPOUNDVALUE(381)</f>
        <v>543</v>
      </c>
      <c r="C60" s="150">
        <v>3180195</v>
      </c>
      <c r="D60" s="149">
        <f>_xlfn.COMPOUNDVALUE(382)</f>
        <v>185</v>
      </c>
      <c r="E60" s="150">
        <v>141620</v>
      </c>
      <c r="F60" s="149">
        <f>_xlfn.COMPOUNDVALUE(383)</f>
        <v>728</v>
      </c>
      <c r="G60" s="150">
        <v>3321815</v>
      </c>
      <c r="H60" s="149">
        <f>_xlfn.COMPOUNDVALUE(384)</f>
        <v>43</v>
      </c>
      <c r="I60" s="151">
        <v>143965</v>
      </c>
      <c r="J60" s="149">
        <v>42</v>
      </c>
      <c r="K60" s="151">
        <v>-11118</v>
      </c>
      <c r="L60" s="149">
        <v>776</v>
      </c>
      <c r="M60" s="151">
        <v>3166732</v>
      </c>
      <c r="N60" s="152" t="s">
        <v>142</v>
      </c>
    </row>
    <row r="61" spans="1:14" ht="22.5" customHeight="1">
      <c r="A61" s="165" t="s">
        <v>210</v>
      </c>
      <c r="B61" s="166">
        <v>15915</v>
      </c>
      <c r="C61" s="167">
        <v>146871223</v>
      </c>
      <c r="D61" s="166">
        <v>5483</v>
      </c>
      <c r="E61" s="167">
        <v>3928656</v>
      </c>
      <c r="F61" s="166">
        <v>21398</v>
      </c>
      <c r="G61" s="167">
        <v>150799880</v>
      </c>
      <c r="H61" s="166">
        <v>1618</v>
      </c>
      <c r="I61" s="168">
        <v>46432582</v>
      </c>
      <c r="J61" s="166">
        <v>1107</v>
      </c>
      <c r="K61" s="168">
        <v>121384</v>
      </c>
      <c r="L61" s="166">
        <v>23170</v>
      </c>
      <c r="M61" s="168">
        <v>104488681</v>
      </c>
      <c r="N61" s="169" t="s">
        <v>144</v>
      </c>
    </row>
    <row r="62" spans="1:14" ht="22.5" customHeight="1" thickBot="1">
      <c r="A62" s="64"/>
      <c r="B62" s="130"/>
      <c r="C62" s="131"/>
      <c r="D62" s="130"/>
      <c r="E62" s="131"/>
      <c r="F62" s="132"/>
      <c r="G62" s="131"/>
      <c r="H62" s="132"/>
      <c r="I62" s="131"/>
      <c r="J62" s="132"/>
      <c r="K62" s="131"/>
      <c r="L62" s="132"/>
      <c r="M62" s="131"/>
      <c r="N62" s="65"/>
    </row>
    <row r="63" spans="1:14" ht="22.5" customHeight="1" thickBot="1" thickTop="1">
      <c r="A63" s="66" t="s">
        <v>211</v>
      </c>
      <c r="B63" s="133">
        <v>155190</v>
      </c>
      <c r="C63" s="134">
        <v>1729447276</v>
      </c>
      <c r="D63" s="133">
        <v>56494</v>
      </c>
      <c r="E63" s="134">
        <v>40292311</v>
      </c>
      <c r="F63" s="133">
        <v>211684</v>
      </c>
      <c r="G63" s="134">
        <v>1769739586</v>
      </c>
      <c r="H63" s="133">
        <v>16397</v>
      </c>
      <c r="I63" s="135">
        <v>935440055</v>
      </c>
      <c r="J63" s="133">
        <v>9906</v>
      </c>
      <c r="K63" s="135">
        <v>3013707</v>
      </c>
      <c r="L63" s="133">
        <v>229509</v>
      </c>
      <c r="M63" s="135">
        <v>837313238</v>
      </c>
      <c r="N63" s="67" t="s">
        <v>39</v>
      </c>
    </row>
    <row r="64" spans="1:14" s="136" customFormat="1" ht="3" customHeight="1">
      <c r="A64" s="95"/>
      <c r="B64" s="96"/>
      <c r="C64" s="96"/>
      <c r="D64" s="96"/>
      <c r="E64" s="96"/>
      <c r="F64" s="96"/>
      <c r="G64" s="96"/>
      <c r="H64" s="96"/>
      <c r="I64" s="96"/>
      <c r="J64" s="96"/>
      <c r="K64" s="96"/>
      <c r="L64" s="96"/>
      <c r="M64" s="96"/>
      <c r="N64" s="95"/>
    </row>
    <row r="65" spans="1:14" ht="22.5" customHeight="1">
      <c r="A65" s="270" t="s">
        <v>216</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消費税（R03）</oddFooter>
  </headerFooter>
</worksheet>
</file>

<file path=xl/worksheets/sheet6.xml><?xml version="1.0" encoding="utf-8"?>
<worksheet xmlns="http://schemas.openxmlformats.org/spreadsheetml/2006/main" xmlns:r="http://schemas.openxmlformats.org/officeDocument/2006/relationships">
  <dimension ref="A1:R64"/>
  <sheetViews>
    <sheetView showGridLines="0" zoomScale="70" zoomScaleNormal="70" zoomScaleSheetLayoutView="75" workbookViewId="0" topLeftCell="A1">
      <selection activeCell="A1" sqref="A1"/>
    </sheetView>
  </sheetViews>
  <sheetFormatPr defaultColWidth="9.00390625" defaultRowHeight="13.5"/>
  <cols>
    <col min="1" max="1" width="10.00390625" style="68" customWidth="1"/>
    <col min="2" max="2" width="10.625" style="68" customWidth="1"/>
    <col min="3" max="3" width="12.625" style="68" customWidth="1"/>
    <col min="4" max="4" width="10.625" style="68" customWidth="1"/>
    <col min="5" max="5" width="12.625" style="68" customWidth="1"/>
    <col min="6" max="6" width="10.625" style="68" customWidth="1"/>
    <col min="7" max="7" width="12.625" style="68" customWidth="1"/>
    <col min="8" max="8" width="10.625" style="68" customWidth="1"/>
    <col min="9" max="9" width="12.625" style="68" customWidth="1"/>
    <col min="10" max="10" width="10.625" style="68" customWidth="1"/>
    <col min="11" max="11" width="12.625" style="68" customWidth="1"/>
    <col min="12" max="12" width="10.625" style="68" customWidth="1"/>
    <col min="13" max="13" width="12.625" style="68" customWidth="1"/>
    <col min="14" max="17" width="10.625" style="68" customWidth="1"/>
    <col min="18" max="18" width="10.00390625" style="68" customWidth="1"/>
    <col min="19" max="16384" width="9.00390625" style="68" customWidth="1"/>
  </cols>
  <sheetData>
    <row r="1" spans="1:16" ht="12">
      <c r="A1" s="49" t="s">
        <v>220</v>
      </c>
      <c r="B1" s="49"/>
      <c r="C1" s="49"/>
      <c r="D1" s="49"/>
      <c r="E1" s="49"/>
      <c r="F1" s="49"/>
      <c r="G1" s="49"/>
      <c r="H1" s="49"/>
      <c r="I1" s="49"/>
      <c r="J1" s="49"/>
      <c r="K1" s="49"/>
      <c r="L1" s="50"/>
      <c r="M1" s="50"/>
      <c r="N1" s="50"/>
      <c r="O1" s="50"/>
      <c r="P1" s="50"/>
    </row>
    <row r="2" spans="1:16" ht="12" thickBot="1">
      <c r="A2" s="290" t="s">
        <v>147</v>
      </c>
      <c r="B2" s="290"/>
      <c r="C2" s="290"/>
      <c r="D2" s="290"/>
      <c r="E2" s="290"/>
      <c r="F2" s="290"/>
      <c r="G2" s="290"/>
      <c r="H2" s="290"/>
      <c r="I2" s="290"/>
      <c r="J2" s="49"/>
      <c r="K2" s="49"/>
      <c r="L2" s="50"/>
      <c r="M2" s="50"/>
      <c r="N2" s="50"/>
      <c r="O2" s="50"/>
      <c r="P2" s="50"/>
    </row>
    <row r="3" spans="1:18" ht="23.25" customHeight="1">
      <c r="A3" s="271" t="s">
        <v>150</v>
      </c>
      <c r="B3" s="274" t="s">
        <v>151</v>
      </c>
      <c r="C3" s="274"/>
      <c r="D3" s="274"/>
      <c r="E3" s="274"/>
      <c r="F3" s="274"/>
      <c r="G3" s="274"/>
      <c r="H3" s="301" t="s">
        <v>12</v>
      </c>
      <c r="I3" s="301"/>
      <c r="J3" s="302" t="s">
        <v>33</v>
      </c>
      <c r="K3" s="301"/>
      <c r="L3" s="274" t="s">
        <v>34</v>
      </c>
      <c r="M3" s="274"/>
      <c r="N3" s="291" t="s">
        <v>155</v>
      </c>
      <c r="O3" s="292"/>
      <c r="P3" s="292"/>
      <c r="Q3" s="292"/>
      <c r="R3" s="284" t="s">
        <v>146</v>
      </c>
    </row>
    <row r="4" spans="1:18" ht="23.25" customHeight="1">
      <c r="A4" s="272"/>
      <c r="B4" s="287" t="s">
        <v>14</v>
      </c>
      <c r="C4" s="287"/>
      <c r="D4" s="287" t="s">
        <v>36</v>
      </c>
      <c r="E4" s="287"/>
      <c r="F4" s="293" t="s">
        <v>37</v>
      </c>
      <c r="G4" s="293"/>
      <c r="H4" s="287"/>
      <c r="I4" s="287"/>
      <c r="J4" s="287"/>
      <c r="K4" s="287"/>
      <c r="L4" s="293"/>
      <c r="M4" s="293"/>
      <c r="N4" s="294" t="s">
        <v>148</v>
      </c>
      <c r="O4" s="296" t="s">
        <v>156</v>
      </c>
      <c r="P4" s="298" t="s">
        <v>157</v>
      </c>
      <c r="Q4" s="283" t="s">
        <v>149</v>
      </c>
      <c r="R4" s="285"/>
    </row>
    <row r="5" spans="1:18" ht="30" customHeight="1">
      <c r="A5" s="273"/>
      <c r="B5" s="142" t="s">
        <v>215</v>
      </c>
      <c r="C5" s="87" t="s">
        <v>152</v>
      </c>
      <c r="D5" s="52" t="s">
        <v>215</v>
      </c>
      <c r="E5" s="87" t="s">
        <v>152</v>
      </c>
      <c r="F5" s="52" t="s">
        <v>215</v>
      </c>
      <c r="G5" s="88" t="s">
        <v>212</v>
      </c>
      <c r="H5" s="141" t="s">
        <v>215</v>
      </c>
      <c r="I5" s="52" t="s">
        <v>213</v>
      </c>
      <c r="J5" s="142" t="s">
        <v>215</v>
      </c>
      <c r="K5" s="88" t="s">
        <v>214</v>
      </c>
      <c r="L5" s="141" t="s">
        <v>215</v>
      </c>
      <c r="M5" s="88" t="s">
        <v>158</v>
      </c>
      <c r="N5" s="295"/>
      <c r="O5" s="297"/>
      <c r="P5" s="299"/>
      <c r="Q5" s="300"/>
      <c r="R5" s="286"/>
    </row>
    <row r="6" spans="1:18" s="76" customFormat="1" ht="12">
      <c r="A6" s="70"/>
      <c r="B6" s="71" t="s">
        <v>4</v>
      </c>
      <c r="C6" s="72" t="s">
        <v>5</v>
      </c>
      <c r="D6" s="71" t="s">
        <v>4</v>
      </c>
      <c r="E6" s="72" t="s">
        <v>5</v>
      </c>
      <c r="F6" s="71" t="s">
        <v>4</v>
      </c>
      <c r="G6" s="72" t="s">
        <v>5</v>
      </c>
      <c r="H6" s="71" t="s">
        <v>4</v>
      </c>
      <c r="I6" s="72" t="s">
        <v>5</v>
      </c>
      <c r="J6" s="71" t="s">
        <v>4</v>
      </c>
      <c r="K6" s="72" t="s">
        <v>5</v>
      </c>
      <c r="L6" s="71" t="s">
        <v>218</v>
      </c>
      <c r="M6" s="72" t="s">
        <v>5</v>
      </c>
      <c r="N6" s="71" t="s">
        <v>4</v>
      </c>
      <c r="O6" s="73" t="s">
        <v>4</v>
      </c>
      <c r="P6" s="73" t="s">
        <v>4</v>
      </c>
      <c r="Q6" s="74" t="s">
        <v>4</v>
      </c>
      <c r="R6" s="75"/>
    </row>
    <row r="7" spans="1:18" ht="25.5" customHeight="1">
      <c r="A7" s="77" t="s">
        <v>41</v>
      </c>
      <c r="B7" s="113">
        <f>_xlfn.COMPOUNDVALUE(385)</f>
        <v>6410</v>
      </c>
      <c r="C7" s="114">
        <v>40377833</v>
      </c>
      <c r="D7" s="113">
        <f>_xlfn.COMPOUNDVALUE(386)</f>
        <v>4033</v>
      </c>
      <c r="E7" s="114">
        <v>2417508</v>
      </c>
      <c r="F7" s="113">
        <f>_xlfn.COMPOUNDVALUE(387)</f>
        <v>10443</v>
      </c>
      <c r="G7" s="114">
        <v>42795341</v>
      </c>
      <c r="H7" s="113">
        <f>_xlfn.COMPOUNDVALUE(388)</f>
        <v>739</v>
      </c>
      <c r="I7" s="115">
        <v>2132954</v>
      </c>
      <c r="J7" s="113">
        <v>560</v>
      </c>
      <c r="K7" s="115">
        <v>95760</v>
      </c>
      <c r="L7" s="113">
        <v>11370</v>
      </c>
      <c r="M7" s="115">
        <v>40758148</v>
      </c>
      <c r="N7" s="213">
        <v>10941</v>
      </c>
      <c r="O7" s="214">
        <v>286</v>
      </c>
      <c r="P7" s="214">
        <v>26</v>
      </c>
      <c r="Q7" s="215">
        <v>11253</v>
      </c>
      <c r="R7" s="78" t="s">
        <v>42</v>
      </c>
    </row>
    <row r="8" spans="1:18" ht="25.5" customHeight="1">
      <c r="A8" s="79" t="s">
        <v>43</v>
      </c>
      <c r="B8" s="116">
        <f>_xlfn.COMPOUNDVALUE(389)</f>
        <v>6015</v>
      </c>
      <c r="C8" s="117">
        <v>44569879</v>
      </c>
      <c r="D8" s="116">
        <f>_xlfn.COMPOUNDVALUE(390)</f>
        <v>3428</v>
      </c>
      <c r="E8" s="117">
        <v>2014498</v>
      </c>
      <c r="F8" s="116">
        <f>_xlfn.COMPOUNDVALUE(391)</f>
        <v>9443</v>
      </c>
      <c r="G8" s="117">
        <v>46584377</v>
      </c>
      <c r="H8" s="116">
        <f>_xlfn.COMPOUNDVALUE(392)</f>
        <v>557</v>
      </c>
      <c r="I8" s="118">
        <v>2119853</v>
      </c>
      <c r="J8" s="116">
        <v>478</v>
      </c>
      <c r="K8" s="118">
        <v>94334</v>
      </c>
      <c r="L8" s="116">
        <v>10094</v>
      </c>
      <c r="M8" s="118">
        <v>44558858</v>
      </c>
      <c r="N8" s="213">
        <v>9754</v>
      </c>
      <c r="O8" s="214">
        <v>250</v>
      </c>
      <c r="P8" s="214">
        <v>34</v>
      </c>
      <c r="Q8" s="215">
        <v>10038</v>
      </c>
      <c r="R8" s="80" t="s">
        <v>44</v>
      </c>
    </row>
    <row r="9" spans="1:18" ht="25.5" customHeight="1">
      <c r="A9" s="79" t="s">
        <v>45</v>
      </c>
      <c r="B9" s="116">
        <f>_xlfn.COMPOUNDVALUE(393)</f>
        <v>4985</v>
      </c>
      <c r="C9" s="117">
        <v>48043060</v>
      </c>
      <c r="D9" s="116">
        <f>_xlfn.COMPOUNDVALUE(394)</f>
        <v>3154</v>
      </c>
      <c r="E9" s="117">
        <v>1834723</v>
      </c>
      <c r="F9" s="116">
        <f>_xlfn.COMPOUNDVALUE(395)</f>
        <v>8139</v>
      </c>
      <c r="G9" s="117">
        <v>49877783</v>
      </c>
      <c r="H9" s="116">
        <f>_xlfn.COMPOUNDVALUE(396)</f>
        <v>609</v>
      </c>
      <c r="I9" s="118">
        <v>13953420</v>
      </c>
      <c r="J9" s="116">
        <v>400</v>
      </c>
      <c r="K9" s="118">
        <v>83139</v>
      </c>
      <c r="L9" s="116">
        <v>8885</v>
      </c>
      <c r="M9" s="118">
        <v>36007502</v>
      </c>
      <c r="N9" s="213">
        <v>8228</v>
      </c>
      <c r="O9" s="214">
        <v>294</v>
      </c>
      <c r="P9" s="214">
        <v>22</v>
      </c>
      <c r="Q9" s="215">
        <v>8544</v>
      </c>
      <c r="R9" s="80" t="s">
        <v>46</v>
      </c>
    </row>
    <row r="10" spans="1:18" ht="25.5" customHeight="1">
      <c r="A10" s="79" t="s">
        <v>47</v>
      </c>
      <c r="B10" s="116">
        <f>_xlfn.COMPOUNDVALUE(397)</f>
        <v>2466</v>
      </c>
      <c r="C10" s="117">
        <v>13377838</v>
      </c>
      <c r="D10" s="116">
        <f>_xlfn.COMPOUNDVALUE(398)</f>
        <v>2040</v>
      </c>
      <c r="E10" s="117">
        <v>981730</v>
      </c>
      <c r="F10" s="116">
        <f>_xlfn.COMPOUNDVALUE(399)</f>
        <v>4506</v>
      </c>
      <c r="G10" s="117">
        <v>14359568</v>
      </c>
      <c r="H10" s="116">
        <f>_xlfn.COMPOUNDVALUE(400)</f>
        <v>349</v>
      </c>
      <c r="I10" s="118">
        <v>535018</v>
      </c>
      <c r="J10" s="116">
        <v>175</v>
      </c>
      <c r="K10" s="118">
        <v>-73743</v>
      </c>
      <c r="L10" s="116">
        <v>4897</v>
      </c>
      <c r="M10" s="118">
        <v>13750808</v>
      </c>
      <c r="N10" s="213">
        <v>4468</v>
      </c>
      <c r="O10" s="214">
        <v>150</v>
      </c>
      <c r="P10" s="214">
        <v>11</v>
      </c>
      <c r="Q10" s="215">
        <v>4629</v>
      </c>
      <c r="R10" s="80" t="s">
        <v>48</v>
      </c>
    </row>
    <row r="11" spans="1:18" ht="25.5" customHeight="1">
      <c r="A11" s="79" t="s">
        <v>49</v>
      </c>
      <c r="B11" s="116">
        <f>_xlfn.COMPOUNDVALUE(401)</f>
        <v>3991</v>
      </c>
      <c r="C11" s="117">
        <v>27697031</v>
      </c>
      <c r="D11" s="116">
        <f>_xlfn.COMPOUNDVALUE(402)</f>
        <v>3089</v>
      </c>
      <c r="E11" s="117">
        <v>1693693</v>
      </c>
      <c r="F11" s="116">
        <f>_xlfn.COMPOUNDVALUE(403)</f>
        <v>7080</v>
      </c>
      <c r="G11" s="117">
        <v>29390724</v>
      </c>
      <c r="H11" s="116">
        <f>_xlfn.COMPOUNDVALUE(404)</f>
        <v>431</v>
      </c>
      <c r="I11" s="118">
        <v>1118489</v>
      </c>
      <c r="J11" s="116">
        <v>443</v>
      </c>
      <c r="K11" s="118">
        <v>109063</v>
      </c>
      <c r="L11" s="116">
        <v>7639</v>
      </c>
      <c r="M11" s="118">
        <v>28381298</v>
      </c>
      <c r="N11" s="213">
        <v>7133</v>
      </c>
      <c r="O11" s="214">
        <v>214</v>
      </c>
      <c r="P11" s="214">
        <v>19</v>
      </c>
      <c r="Q11" s="215">
        <v>7366</v>
      </c>
      <c r="R11" s="80" t="s">
        <v>50</v>
      </c>
    </row>
    <row r="12" spans="1:18" ht="25.5" customHeight="1">
      <c r="A12" s="79" t="s">
        <v>51</v>
      </c>
      <c r="B12" s="116">
        <f>_xlfn.COMPOUNDVALUE(405)</f>
        <v>3900</v>
      </c>
      <c r="C12" s="117">
        <v>23606363</v>
      </c>
      <c r="D12" s="116">
        <f>_xlfn.COMPOUNDVALUE(406)</f>
        <v>2725</v>
      </c>
      <c r="E12" s="117">
        <v>1463097</v>
      </c>
      <c r="F12" s="116">
        <f>_xlfn.COMPOUNDVALUE(407)</f>
        <v>6625</v>
      </c>
      <c r="G12" s="117">
        <v>25069460</v>
      </c>
      <c r="H12" s="116">
        <f>_xlfn.COMPOUNDVALUE(408)</f>
        <v>449</v>
      </c>
      <c r="I12" s="118">
        <v>1070410</v>
      </c>
      <c r="J12" s="116">
        <v>381</v>
      </c>
      <c r="K12" s="118">
        <v>48760</v>
      </c>
      <c r="L12" s="116">
        <v>7142</v>
      </c>
      <c r="M12" s="118">
        <v>24047810</v>
      </c>
      <c r="N12" s="213">
        <v>6639</v>
      </c>
      <c r="O12" s="214">
        <v>207</v>
      </c>
      <c r="P12" s="214">
        <v>20</v>
      </c>
      <c r="Q12" s="215">
        <v>6866</v>
      </c>
      <c r="R12" s="80" t="s">
        <v>52</v>
      </c>
    </row>
    <row r="13" spans="1:18" ht="25.5" customHeight="1">
      <c r="A13" s="170" t="s">
        <v>53</v>
      </c>
      <c r="B13" s="171">
        <f>_xlfn.COMPOUNDVALUE(409)</f>
        <v>1596</v>
      </c>
      <c r="C13" s="172">
        <v>12653852</v>
      </c>
      <c r="D13" s="171">
        <f>_xlfn.COMPOUNDVALUE(410)</f>
        <v>1238</v>
      </c>
      <c r="E13" s="172">
        <v>670869</v>
      </c>
      <c r="F13" s="171">
        <f>_xlfn.COMPOUNDVALUE(411)</f>
        <v>2834</v>
      </c>
      <c r="G13" s="172">
        <v>13324721</v>
      </c>
      <c r="H13" s="171">
        <f>_xlfn.COMPOUNDVALUE(412)</f>
        <v>191</v>
      </c>
      <c r="I13" s="173">
        <v>1038893</v>
      </c>
      <c r="J13" s="171">
        <v>155</v>
      </c>
      <c r="K13" s="173">
        <v>32624</v>
      </c>
      <c r="L13" s="171">
        <v>3068</v>
      </c>
      <c r="M13" s="173">
        <v>12318452</v>
      </c>
      <c r="N13" s="216">
        <v>2900</v>
      </c>
      <c r="O13" s="217">
        <v>92</v>
      </c>
      <c r="P13" s="217">
        <v>9</v>
      </c>
      <c r="Q13" s="218">
        <v>3001</v>
      </c>
      <c r="R13" s="174" t="s">
        <v>54</v>
      </c>
    </row>
    <row r="14" spans="1:18" ht="25.5" customHeight="1">
      <c r="A14" s="175" t="s">
        <v>55</v>
      </c>
      <c r="B14" s="176">
        <v>29363</v>
      </c>
      <c r="C14" s="177">
        <v>210325857</v>
      </c>
      <c r="D14" s="176">
        <v>19707</v>
      </c>
      <c r="E14" s="177">
        <v>11076118</v>
      </c>
      <c r="F14" s="176">
        <v>49070</v>
      </c>
      <c r="G14" s="177">
        <v>221401974</v>
      </c>
      <c r="H14" s="176">
        <v>3325</v>
      </c>
      <c r="I14" s="178">
        <v>21969036</v>
      </c>
      <c r="J14" s="176">
        <v>2592</v>
      </c>
      <c r="K14" s="178">
        <v>389937</v>
      </c>
      <c r="L14" s="176">
        <v>53095</v>
      </c>
      <c r="M14" s="178">
        <v>199822876</v>
      </c>
      <c r="N14" s="219">
        <v>50063</v>
      </c>
      <c r="O14" s="220">
        <v>1493</v>
      </c>
      <c r="P14" s="220">
        <v>141</v>
      </c>
      <c r="Q14" s="221">
        <v>51697</v>
      </c>
      <c r="R14" s="179" t="s">
        <v>56</v>
      </c>
    </row>
    <row r="15" spans="1:18" ht="25.5" customHeight="1">
      <c r="A15" s="180"/>
      <c r="B15" s="181"/>
      <c r="C15" s="182"/>
      <c r="D15" s="181"/>
      <c r="E15" s="182"/>
      <c r="F15" s="183"/>
      <c r="G15" s="182"/>
      <c r="H15" s="183"/>
      <c r="I15" s="182"/>
      <c r="J15" s="183"/>
      <c r="K15" s="182"/>
      <c r="L15" s="183"/>
      <c r="M15" s="182"/>
      <c r="N15" s="222"/>
      <c r="O15" s="223"/>
      <c r="P15" s="223"/>
      <c r="Q15" s="224"/>
      <c r="R15" s="184" t="s">
        <v>40</v>
      </c>
    </row>
    <row r="16" spans="1:18" ht="25.5" customHeight="1">
      <c r="A16" s="77" t="s">
        <v>57</v>
      </c>
      <c r="B16" s="113">
        <f>_xlfn.COMPOUNDVALUE(413)</f>
        <v>7084</v>
      </c>
      <c r="C16" s="114">
        <v>65229299</v>
      </c>
      <c r="D16" s="113">
        <f>_xlfn.COMPOUNDVALUE(414)</f>
        <v>5324</v>
      </c>
      <c r="E16" s="114">
        <v>3212344</v>
      </c>
      <c r="F16" s="113">
        <f>_xlfn.COMPOUNDVALUE(415)</f>
        <v>12408</v>
      </c>
      <c r="G16" s="114">
        <v>68441643</v>
      </c>
      <c r="H16" s="113">
        <f>_xlfn.COMPOUNDVALUE(416)</f>
        <v>624</v>
      </c>
      <c r="I16" s="115">
        <v>3873407</v>
      </c>
      <c r="J16" s="113">
        <v>662</v>
      </c>
      <c r="K16" s="115">
        <v>148355</v>
      </c>
      <c r="L16" s="113">
        <v>13212</v>
      </c>
      <c r="M16" s="115">
        <v>64716591</v>
      </c>
      <c r="N16" s="213">
        <v>12763</v>
      </c>
      <c r="O16" s="214">
        <v>363</v>
      </c>
      <c r="P16" s="214">
        <v>37</v>
      </c>
      <c r="Q16" s="215">
        <v>13163</v>
      </c>
      <c r="R16" s="78" t="s">
        <v>58</v>
      </c>
    </row>
    <row r="17" spans="1:18" ht="25.5" customHeight="1">
      <c r="A17" s="77" t="s">
        <v>59</v>
      </c>
      <c r="B17" s="113">
        <f>_xlfn.COMPOUNDVALUE(417)</f>
        <v>3162</v>
      </c>
      <c r="C17" s="114">
        <v>25138036</v>
      </c>
      <c r="D17" s="113">
        <f>_xlfn.COMPOUNDVALUE(418)</f>
        <v>2532</v>
      </c>
      <c r="E17" s="114">
        <v>1394992</v>
      </c>
      <c r="F17" s="113">
        <f>_xlfn.COMPOUNDVALUE(419)</f>
        <v>5694</v>
      </c>
      <c r="G17" s="114">
        <v>26533028</v>
      </c>
      <c r="H17" s="113">
        <f>_xlfn.COMPOUNDVALUE(420)</f>
        <v>295</v>
      </c>
      <c r="I17" s="115">
        <v>2179008</v>
      </c>
      <c r="J17" s="113">
        <v>298</v>
      </c>
      <c r="K17" s="115">
        <v>226709</v>
      </c>
      <c r="L17" s="113">
        <v>6059</v>
      </c>
      <c r="M17" s="115">
        <v>24580728</v>
      </c>
      <c r="N17" s="213">
        <v>5986</v>
      </c>
      <c r="O17" s="214">
        <v>149</v>
      </c>
      <c r="P17" s="214">
        <v>16</v>
      </c>
      <c r="Q17" s="215">
        <v>6151</v>
      </c>
      <c r="R17" s="80" t="s">
        <v>60</v>
      </c>
    </row>
    <row r="18" spans="1:18" ht="25.5" customHeight="1">
      <c r="A18" s="77" t="s">
        <v>61</v>
      </c>
      <c r="B18" s="113">
        <f>_xlfn.COMPOUNDVALUE(421)</f>
        <v>6804</v>
      </c>
      <c r="C18" s="114">
        <v>54228505</v>
      </c>
      <c r="D18" s="113">
        <f>_xlfn.COMPOUNDVALUE(422)</f>
        <v>5816</v>
      </c>
      <c r="E18" s="114">
        <v>3230627</v>
      </c>
      <c r="F18" s="113">
        <f>_xlfn.COMPOUNDVALUE(423)</f>
        <v>12620</v>
      </c>
      <c r="G18" s="114">
        <v>57459133</v>
      </c>
      <c r="H18" s="113">
        <f>_xlfn.COMPOUNDVALUE(424)</f>
        <v>825</v>
      </c>
      <c r="I18" s="115">
        <v>8888285</v>
      </c>
      <c r="J18" s="113">
        <v>683</v>
      </c>
      <c r="K18" s="115">
        <v>112185</v>
      </c>
      <c r="L18" s="113">
        <v>13578</v>
      </c>
      <c r="M18" s="115">
        <v>48683033</v>
      </c>
      <c r="N18" s="213">
        <v>13124</v>
      </c>
      <c r="O18" s="214">
        <v>473</v>
      </c>
      <c r="P18" s="214">
        <v>33</v>
      </c>
      <c r="Q18" s="215">
        <v>13630</v>
      </c>
      <c r="R18" s="80" t="s">
        <v>62</v>
      </c>
    </row>
    <row r="19" spans="1:18" ht="25.5" customHeight="1">
      <c r="A19" s="77" t="s">
        <v>63</v>
      </c>
      <c r="B19" s="113">
        <f>_xlfn.COMPOUNDVALUE(425)</f>
        <v>4891</v>
      </c>
      <c r="C19" s="114">
        <v>35869021</v>
      </c>
      <c r="D19" s="113">
        <f>_xlfn.COMPOUNDVALUE(426)</f>
        <v>3481</v>
      </c>
      <c r="E19" s="114">
        <v>1900583</v>
      </c>
      <c r="F19" s="113">
        <f>_xlfn.COMPOUNDVALUE(427)</f>
        <v>8372</v>
      </c>
      <c r="G19" s="114">
        <v>37769604</v>
      </c>
      <c r="H19" s="113">
        <f>_xlfn.COMPOUNDVALUE(428)</f>
        <v>492</v>
      </c>
      <c r="I19" s="115">
        <v>29139011</v>
      </c>
      <c r="J19" s="113">
        <v>433</v>
      </c>
      <c r="K19" s="115">
        <v>44324</v>
      </c>
      <c r="L19" s="113">
        <v>8960</v>
      </c>
      <c r="M19" s="115">
        <v>8674916</v>
      </c>
      <c r="N19" s="213">
        <v>9190</v>
      </c>
      <c r="O19" s="214">
        <v>255</v>
      </c>
      <c r="P19" s="214">
        <v>17</v>
      </c>
      <c r="Q19" s="215">
        <v>9462</v>
      </c>
      <c r="R19" s="80" t="s">
        <v>64</v>
      </c>
    </row>
    <row r="20" spans="1:18" ht="25.5" customHeight="1">
      <c r="A20" s="77" t="s">
        <v>65</v>
      </c>
      <c r="B20" s="113">
        <f>_xlfn.COMPOUNDVALUE(429)</f>
        <v>5357</v>
      </c>
      <c r="C20" s="114">
        <v>37461449</v>
      </c>
      <c r="D20" s="113">
        <f>_xlfn.COMPOUNDVALUE(430)</f>
        <v>4230</v>
      </c>
      <c r="E20" s="114">
        <v>2470747</v>
      </c>
      <c r="F20" s="113">
        <f>_xlfn.COMPOUNDVALUE(431)</f>
        <v>9587</v>
      </c>
      <c r="G20" s="114">
        <v>39932196</v>
      </c>
      <c r="H20" s="113">
        <f>_xlfn.COMPOUNDVALUE(432)</f>
        <v>468</v>
      </c>
      <c r="I20" s="115">
        <v>4432807</v>
      </c>
      <c r="J20" s="113">
        <v>532</v>
      </c>
      <c r="K20" s="115">
        <v>91504</v>
      </c>
      <c r="L20" s="113">
        <v>10207</v>
      </c>
      <c r="M20" s="115">
        <v>35590892</v>
      </c>
      <c r="N20" s="213">
        <v>9760</v>
      </c>
      <c r="O20" s="214">
        <v>283</v>
      </c>
      <c r="P20" s="214">
        <v>24</v>
      </c>
      <c r="Q20" s="215">
        <v>10067</v>
      </c>
      <c r="R20" s="80" t="s">
        <v>66</v>
      </c>
    </row>
    <row r="21" spans="1:18" ht="25.5" customHeight="1">
      <c r="A21" s="77" t="s">
        <v>67</v>
      </c>
      <c r="B21" s="113">
        <f>_xlfn.COMPOUNDVALUE(433)</f>
        <v>1572</v>
      </c>
      <c r="C21" s="114">
        <v>5124017</v>
      </c>
      <c r="D21" s="113">
        <f>_xlfn.COMPOUNDVALUE(434)</f>
        <v>1425</v>
      </c>
      <c r="E21" s="114">
        <v>757836</v>
      </c>
      <c r="F21" s="113">
        <f>_xlfn.COMPOUNDVALUE(435)</f>
        <v>2997</v>
      </c>
      <c r="G21" s="114">
        <v>5881854</v>
      </c>
      <c r="H21" s="113">
        <f>_xlfn.COMPOUNDVALUE(436)</f>
        <v>210</v>
      </c>
      <c r="I21" s="115">
        <v>1059600</v>
      </c>
      <c r="J21" s="113">
        <v>169</v>
      </c>
      <c r="K21" s="115">
        <v>16698</v>
      </c>
      <c r="L21" s="113">
        <v>3242</v>
      </c>
      <c r="M21" s="115">
        <v>4838952</v>
      </c>
      <c r="N21" s="213">
        <v>3128</v>
      </c>
      <c r="O21" s="214">
        <v>97</v>
      </c>
      <c r="P21" s="214">
        <v>11</v>
      </c>
      <c r="Q21" s="215">
        <v>3236</v>
      </c>
      <c r="R21" s="80" t="s">
        <v>68</v>
      </c>
    </row>
    <row r="22" spans="1:18" ht="25.5" customHeight="1">
      <c r="A22" s="79" t="s">
        <v>69</v>
      </c>
      <c r="B22" s="116">
        <f>_xlfn.COMPOUNDVALUE(437)</f>
        <v>2565</v>
      </c>
      <c r="C22" s="117">
        <v>13621499</v>
      </c>
      <c r="D22" s="116">
        <f>_xlfn.COMPOUNDVALUE(438)</f>
        <v>2631</v>
      </c>
      <c r="E22" s="117">
        <v>1401264</v>
      </c>
      <c r="F22" s="116">
        <f>_xlfn.COMPOUNDVALUE(439)</f>
        <v>5196</v>
      </c>
      <c r="G22" s="117">
        <v>15022764</v>
      </c>
      <c r="H22" s="116">
        <f>_xlfn.COMPOUNDVALUE(440)</f>
        <v>250</v>
      </c>
      <c r="I22" s="118">
        <v>680214</v>
      </c>
      <c r="J22" s="116">
        <v>360</v>
      </c>
      <c r="K22" s="118">
        <v>-37083</v>
      </c>
      <c r="L22" s="116">
        <v>5550</v>
      </c>
      <c r="M22" s="118">
        <v>14305466</v>
      </c>
      <c r="N22" s="213">
        <v>5410</v>
      </c>
      <c r="O22" s="214">
        <v>142</v>
      </c>
      <c r="P22" s="214">
        <v>13</v>
      </c>
      <c r="Q22" s="215">
        <v>5565</v>
      </c>
      <c r="R22" s="80" t="s">
        <v>70</v>
      </c>
    </row>
    <row r="23" spans="1:18" ht="25.5" customHeight="1">
      <c r="A23" s="79" t="s">
        <v>71</v>
      </c>
      <c r="B23" s="116">
        <f>_xlfn.COMPOUNDVALUE(441)</f>
        <v>2362</v>
      </c>
      <c r="C23" s="117">
        <v>15301278</v>
      </c>
      <c r="D23" s="116">
        <f>_xlfn.COMPOUNDVALUE(442)</f>
        <v>2019</v>
      </c>
      <c r="E23" s="117">
        <v>946702</v>
      </c>
      <c r="F23" s="116">
        <f>_xlfn.COMPOUNDVALUE(443)</f>
        <v>4381</v>
      </c>
      <c r="G23" s="117">
        <v>16247980</v>
      </c>
      <c r="H23" s="116">
        <f>_xlfn.COMPOUNDVALUE(444)</f>
        <v>232</v>
      </c>
      <c r="I23" s="118">
        <v>3664863</v>
      </c>
      <c r="J23" s="116">
        <v>166</v>
      </c>
      <c r="K23" s="118">
        <v>-2573</v>
      </c>
      <c r="L23" s="116">
        <v>4659</v>
      </c>
      <c r="M23" s="118">
        <v>12580543</v>
      </c>
      <c r="N23" s="213">
        <v>4505</v>
      </c>
      <c r="O23" s="214">
        <v>128</v>
      </c>
      <c r="P23" s="214">
        <v>13</v>
      </c>
      <c r="Q23" s="215">
        <v>4646</v>
      </c>
      <c r="R23" s="80" t="s">
        <v>72</v>
      </c>
    </row>
    <row r="24" spans="1:18" ht="25.5" customHeight="1">
      <c r="A24" s="79" t="s">
        <v>73</v>
      </c>
      <c r="B24" s="116">
        <f>_xlfn.COMPOUNDVALUE(445)</f>
        <v>5177</v>
      </c>
      <c r="C24" s="117">
        <v>34142146</v>
      </c>
      <c r="D24" s="116">
        <f>_xlfn.COMPOUNDVALUE(446)</f>
        <v>3999</v>
      </c>
      <c r="E24" s="117">
        <v>2299477</v>
      </c>
      <c r="F24" s="116">
        <f>_xlfn.COMPOUNDVALUE(447)</f>
        <v>9176</v>
      </c>
      <c r="G24" s="117">
        <v>36441622</v>
      </c>
      <c r="H24" s="116">
        <f>_xlfn.COMPOUNDVALUE(448)</f>
        <v>470</v>
      </c>
      <c r="I24" s="118">
        <v>5786387</v>
      </c>
      <c r="J24" s="116">
        <v>530</v>
      </c>
      <c r="K24" s="118">
        <v>203081</v>
      </c>
      <c r="L24" s="116">
        <v>9803</v>
      </c>
      <c r="M24" s="118">
        <v>30858316</v>
      </c>
      <c r="N24" s="213">
        <v>9308</v>
      </c>
      <c r="O24" s="214">
        <v>245</v>
      </c>
      <c r="P24" s="214">
        <v>21</v>
      </c>
      <c r="Q24" s="215">
        <v>9574</v>
      </c>
      <c r="R24" s="80" t="s">
        <v>74</v>
      </c>
    </row>
    <row r="25" spans="1:18" ht="25.5" customHeight="1">
      <c r="A25" s="79" t="s">
        <v>75</v>
      </c>
      <c r="B25" s="116">
        <f>_xlfn.COMPOUNDVALUE(449)</f>
        <v>3002</v>
      </c>
      <c r="C25" s="117">
        <v>21700809</v>
      </c>
      <c r="D25" s="116">
        <f>_xlfn.COMPOUNDVALUE(450)</f>
        <v>2536</v>
      </c>
      <c r="E25" s="117">
        <v>1302921</v>
      </c>
      <c r="F25" s="116">
        <f>_xlfn.COMPOUNDVALUE(451)</f>
        <v>5538</v>
      </c>
      <c r="G25" s="117">
        <v>23003729</v>
      </c>
      <c r="H25" s="116">
        <f>_xlfn.COMPOUNDVALUE(452)</f>
        <v>300</v>
      </c>
      <c r="I25" s="118">
        <v>33066182</v>
      </c>
      <c r="J25" s="116">
        <v>244</v>
      </c>
      <c r="K25" s="118">
        <v>54208</v>
      </c>
      <c r="L25" s="116">
        <v>5920</v>
      </c>
      <c r="M25" s="118">
        <v>-10008244</v>
      </c>
      <c r="N25" s="213">
        <v>6123</v>
      </c>
      <c r="O25" s="214">
        <v>204</v>
      </c>
      <c r="P25" s="214">
        <v>7</v>
      </c>
      <c r="Q25" s="215">
        <v>6334</v>
      </c>
      <c r="R25" s="80" t="s">
        <v>76</v>
      </c>
    </row>
    <row r="26" spans="1:18" ht="25.5" customHeight="1">
      <c r="A26" s="79" t="s">
        <v>77</v>
      </c>
      <c r="B26" s="116">
        <f>_xlfn.COMPOUNDVALUE(453)</f>
        <v>2285</v>
      </c>
      <c r="C26" s="117">
        <v>12463906</v>
      </c>
      <c r="D26" s="116">
        <f>_xlfn.COMPOUNDVALUE(454)</f>
        <v>1980</v>
      </c>
      <c r="E26" s="117">
        <v>965246</v>
      </c>
      <c r="F26" s="116">
        <f>_xlfn.COMPOUNDVALUE(455)</f>
        <v>4265</v>
      </c>
      <c r="G26" s="117">
        <v>13429151</v>
      </c>
      <c r="H26" s="116">
        <f>_xlfn.COMPOUNDVALUE(456)</f>
        <v>270</v>
      </c>
      <c r="I26" s="118">
        <v>17035855</v>
      </c>
      <c r="J26" s="116">
        <v>221</v>
      </c>
      <c r="K26" s="118">
        <v>71335</v>
      </c>
      <c r="L26" s="116">
        <v>4591</v>
      </c>
      <c r="M26" s="118">
        <v>-3535369</v>
      </c>
      <c r="N26" s="213">
        <v>4294</v>
      </c>
      <c r="O26" s="214">
        <v>134</v>
      </c>
      <c r="P26" s="214">
        <v>10</v>
      </c>
      <c r="Q26" s="215">
        <v>4438</v>
      </c>
      <c r="R26" s="80" t="s">
        <v>78</v>
      </c>
    </row>
    <row r="27" spans="1:18" ht="25.5" customHeight="1">
      <c r="A27" s="79" t="s">
        <v>79</v>
      </c>
      <c r="B27" s="116">
        <f>_xlfn.COMPOUNDVALUE(457)</f>
        <v>3410</v>
      </c>
      <c r="C27" s="117">
        <v>19584541</v>
      </c>
      <c r="D27" s="116">
        <f>_xlfn.COMPOUNDVALUE(458)</f>
        <v>2617</v>
      </c>
      <c r="E27" s="117">
        <v>1445525</v>
      </c>
      <c r="F27" s="116">
        <f>_xlfn.COMPOUNDVALUE(459)</f>
        <v>6027</v>
      </c>
      <c r="G27" s="117">
        <v>21030066</v>
      </c>
      <c r="H27" s="116">
        <f>_xlfn.COMPOUNDVALUE(460)</f>
        <v>299</v>
      </c>
      <c r="I27" s="118">
        <v>743401</v>
      </c>
      <c r="J27" s="116">
        <v>323</v>
      </c>
      <c r="K27" s="118">
        <v>287197</v>
      </c>
      <c r="L27" s="116">
        <v>6396</v>
      </c>
      <c r="M27" s="118">
        <v>20573861</v>
      </c>
      <c r="N27" s="213">
        <v>6116</v>
      </c>
      <c r="O27" s="214">
        <v>131</v>
      </c>
      <c r="P27" s="214">
        <v>16</v>
      </c>
      <c r="Q27" s="215">
        <v>6263</v>
      </c>
      <c r="R27" s="80" t="s">
        <v>80</v>
      </c>
    </row>
    <row r="28" spans="1:18" ht="25.5" customHeight="1">
      <c r="A28" s="170" t="s">
        <v>81</v>
      </c>
      <c r="B28" s="171">
        <f>_xlfn.COMPOUNDVALUE(461)</f>
        <v>909</v>
      </c>
      <c r="C28" s="172">
        <v>2943385</v>
      </c>
      <c r="D28" s="171">
        <f>_xlfn.COMPOUNDVALUE(462)</f>
        <v>864</v>
      </c>
      <c r="E28" s="172">
        <v>395054</v>
      </c>
      <c r="F28" s="171">
        <f>_xlfn.COMPOUNDVALUE(463)</f>
        <v>1773</v>
      </c>
      <c r="G28" s="172">
        <v>3338439</v>
      </c>
      <c r="H28" s="171">
        <f>_xlfn.COMPOUNDVALUE(464)</f>
        <v>101</v>
      </c>
      <c r="I28" s="173">
        <v>113674</v>
      </c>
      <c r="J28" s="171">
        <v>74</v>
      </c>
      <c r="K28" s="173">
        <v>14589</v>
      </c>
      <c r="L28" s="171">
        <v>1891</v>
      </c>
      <c r="M28" s="173">
        <v>3239355</v>
      </c>
      <c r="N28" s="225">
        <v>1697</v>
      </c>
      <c r="O28" s="226">
        <v>42</v>
      </c>
      <c r="P28" s="226">
        <v>0</v>
      </c>
      <c r="Q28" s="227">
        <v>1739</v>
      </c>
      <c r="R28" s="174" t="s">
        <v>82</v>
      </c>
    </row>
    <row r="29" spans="1:18" ht="25.5" customHeight="1">
      <c r="A29" s="175" t="s">
        <v>83</v>
      </c>
      <c r="B29" s="176">
        <v>48580</v>
      </c>
      <c r="C29" s="177">
        <v>342807890</v>
      </c>
      <c r="D29" s="176">
        <v>39454</v>
      </c>
      <c r="E29" s="177">
        <v>21723317</v>
      </c>
      <c r="F29" s="176">
        <v>88034</v>
      </c>
      <c r="G29" s="177">
        <v>364531207</v>
      </c>
      <c r="H29" s="176">
        <v>4836</v>
      </c>
      <c r="I29" s="178">
        <v>110662694</v>
      </c>
      <c r="J29" s="176">
        <v>4695</v>
      </c>
      <c r="K29" s="178">
        <v>1230529</v>
      </c>
      <c r="L29" s="176">
        <v>94068</v>
      </c>
      <c r="M29" s="178">
        <v>255099042</v>
      </c>
      <c r="N29" s="219">
        <v>91404</v>
      </c>
      <c r="O29" s="220">
        <v>2646</v>
      </c>
      <c r="P29" s="220">
        <v>218</v>
      </c>
      <c r="Q29" s="221">
        <v>94268</v>
      </c>
      <c r="R29" s="179" t="s">
        <v>84</v>
      </c>
    </row>
    <row r="30" spans="1:18" ht="25.5" customHeight="1">
      <c r="A30" s="180"/>
      <c r="B30" s="181"/>
      <c r="C30" s="182"/>
      <c r="D30" s="181"/>
      <c r="E30" s="182"/>
      <c r="F30" s="183"/>
      <c r="G30" s="182"/>
      <c r="H30" s="183"/>
      <c r="I30" s="182"/>
      <c r="J30" s="183"/>
      <c r="K30" s="182"/>
      <c r="L30" s="183"/>
      <c r="M30" s="182"/>
      <c r="N30" s="222"/>
      <c r="O30" s="223"/>
      <c r="P30" s="223"/>
      <c r="Q30" s="224"/>
      <c r="R30" s="184" t="s">
        <v>40</v>
      </c>
    </row>
    <row r="31" spans="1:18" ht="25.5" customHeight="1">
      <c r="A31" s="77" t="s">
        <v>85</v>
      </c>
      <c r="B31" s="113">
        <f>_xlfn.COMPOUNDVALUE(465)</f>
        <v>4645</v>
      </c>
      <c r="C31" s="114">
        <v>36239788</v>
      </c>
      <c r="D31" s="113">
        <f>_xlfn.COMPOUNDVALUE(466)</f>
        <v>3152</v>
      </c>
      <c r="E31" s="114">
        <v>2220075</v>
      </c>
      <c r="F31" s="113">
        <f>_xlfn.COMPOUNDVALUE(467)</f>
        <v>7797</v>
      </c>
      <c r="G31" s="114">
        <v>38459863</v>
      </c>
      <c r="H31" s="113">
        <f>_xlfn.COMPOUNDVALUE(468)</f>
        <v>844</v>
      </c>
      <c r="I31" s="115">
        <v>2865547</v>
      </c>
      <c r="J31" s="113">
        <v>382</v>
      </c>
      <c r="K31" s="115">
        <v>87158</v>
      </c>
      <c r="L31" s="113">
        <v>8727</v>
      </c>
      <c r="M31" s="115">
        <v>35681474</v>
      </c>
      <c r="N31" s="213">
        <v>8784</v>
      </c>
      <c r="O31" s="214">
        <v>400</v>
      </c>
      <c r="P31" s="214">
        <v>30</v>
      </c>
      <c r="Q31" s="215">
        <v>9214</v>
      </c>
      <c r="R31" s="78" t="s">
        <v>86</v>
      </c>
    </row>
    <row r="32" spans="1:18" ht="25.5" customHeight="1">
      <c r="A32" s="77" t="s">
        <v>87</v>
      </c>
      <c r="B32" s="113">
        <f>_xlfn.COMPOUNDVALUE(469)</f>
        <v>2534</v>
      </c>
      <c r="C32" s="114">
        <v>56160273</v>
      </c>
      <c r="D32" s="113">
        <f>_xlfn.COMPOUNDVALUE(470)</f>
        <v>1200</v>
      </c>
      <c r="E32" s="114">
        <v>847664</v>
      </c>
      <c r="F32" s="113">
        <f>_xlfn.COMPOUNDVALUE(471)</f>
        <v>3734</v>
      </c>
      <c r="G32" s="114">
        <v>57007937</v>
      </c>
      <c r="H32" s="113">
        <f>_xlfn.COMPOUNDVALUE(472)</f>
        <v>571</v>
      </c>
      <c r="I32" s="115">
        <v>12219719</v>
      </c>
      <c r="J32" s="113">
        <v>154</v>
      </c>
      <c r="K32" s="115">
        <v>95376</v>
      </c>
      <c r="L32" s="113">
        <v>4344</v>
      </c>
      <c r="M32" s="115">
        <v>44883593</v>
      </c>
      <c r="N32" s="228">
        <v>4311</v>
      </c>
      <c r="O32" s="229">
        <v>196</v>
      </c>
      <c r="P32" s="229">
        <v>32</v>
      </c>
      <c r="Q32" s="230">
        <v>4539</v>
      </c>
      <c r="R32" s="80" t="s">
        <v>88</v>
      </c>
    </row>
    <row r="33" spans="1:18" ht="25.5" customHeight="1">
      <c r="A33" s="77" t="s">
        <v>89</v>
      </c>
      <c r="B33" s="113">
        <f>_xlfn.COMPOUNDVALUE(473)</f>
        <v>5102</v>
      </c>
      <c r="C33" s="114">
        <v>31085840</v>
      </c>
      <c r="D33" s="113">
        <f>_xlfn.COMPOUNDVALUE(474)</f>
        <v>2925</v>
      </c>
      <c r="E33" s="114">
        <v>1780253</v>
      </c>
      <c r="F33" s="113">
        <f>_xlfn.COMPOUNDVALUE(475)</f>
        <v>8027</v>
      </c>
      <c r="G33" s="114">
        <v>32866093</v>
      </c>
      <c r="H33" s="113">
        <f>_xlfn.COMPOUNDVALUE(476)</f>
        <v>580</v>
      </c>
      <c r="I33" s="115">
        <v>1247218</v>
      </c>
      <c r="J33" s="113">
        <v>499</v>
      </c>
      <c r="K33" s="115">
        <v>268989</v>
      </c>
      <c r="L33" s="113">
        <v>8807</v>
      </c>
      <c r="M33" s="115">
        <v>31887864</v>
      </c>
      <c r="N33" s="228">
        <v>8719</v>
      </c>
      <c r="O33" s="229">
        <v>272</v>
      </c>
      <c r="P33" s="229">
        <v>26</v>
      </c>
      <c r="Q33" s="230">
        <v>9017</v>
      </c>
      <c r="R33" s="80" t="s">
        <v>90</v>
      </c>
    </row>
    <row r="34" spans="1:18" ht="25.5" customHeight="1">
      <c r="A34" s="77" t="s">
        <v>91</v>
      </c>
      <c r="B34" s="113">
        <f>_xlfn.COMPOUNDVALUE(477)</f>
        <v>5828</v>
      </c>
      <c r="C34" s="114">
        <v>54638573</v>
      </c>
      <c r="D34" s="113">
        <f>_xlfn.COMPOUNDVALUE(478)</f>
        <v>3010</v>
      </c>
      <c r="E34" s="114">
        <v>1790384</v>
      </c>
      <c r="F34" s="113">
        <f>_xlfn.COMPOUNDVALUE(479)</f>
        <v>8838</v>
      </c>
      <c r="G34" s="114">
        <v>56428956</v>
      </c>
      <c r="H34" s="113">
        <f>_xlfn.COMPOUNDVALUE(480)</f>
        <v>650</v>
      </c>
      <c r="I34" s="115">
        <v>5143742</v>
      </c>
      <c r="J34" s="113">
        <v>504</v>
      </c>
      <c r="K34" s="115">
        <v>46629</v>
      </c>
      <c r="L34" s="113">
        <v>9658</v>
      </c>
      <c r="M34" s="115">
        <v>51331843</v>
      </c>
      <c r="N34" s="228">
        <v>9639</v>
      </c>
      <c r="O34" s="229">
        <v>234</v>
      </c>
      <c r="P34" s="229">
        <v>38</v>
      </c>
      <c r="Q34" s="230">
        <v>9911</v>
      </c>
      <c r="R34" s="80" t="s">
        <v>92</v>
      </c>
    </row>
    <row r="35" spans="1:18" ht="25.5" customHeight="1">
      <c r="A35" s="81" t="s">
        <v>93</v>
      </c>
      <c r="B35" s="113">
        <f>_xlfn.COMPOUNDVALUE(481)</f>
        <v>3548</v>
      </c>
      <c r="C35" s="114">
        <v>72467504</v>
      </c>
      <c r="D35" s="113">
        <f>_xlfn.COMPOUNDVALUE(482)</f>
        <v>1569</v>
      </c>
      <c r="E35" s="114">
        <v>1126225</v>
      </c>
      <c r="F35" s="113">
        <f>_xlfn.COMPOUNDVALUE(483)</f>
        <v>5117</v>
      </c>
      <c r="G35" s="114">
        <v>73593728</v>
      </c>
      <c r="H35" s="113">
        <f>_xlfn.COMPOUNDVALUE(484)</f>
        <v>622</v>
      </c>
      <c r="I35" s="115">
        <v>106783394</v>
      </c>
      <c r="J35" s="113">
        <v>300</v>
      </c>
      <c r="K35" s="115">
        <v>-39646</v>
      </c>
      <c r="L35" s="113">
        <v>5802</v>
      </c>
      <c r="M35" s="115">
        <v>-33229312</v>
      </c>
      <c r="N35" s="228">
        <v>5662</v>
      </c>
      <c r="O35" s="229">
        <v>232</v>
      </c>
      <c r="P35" s="229">
        <v>45</v>
      </c>
      <c r="Q35" s="230">
        <v>5939</v>
      </c>
      <c r="R35" s="82" t="s">
        <v>94</v>
      </c>
    </row>
    <row r="36" spans="1:18" ht="25.5" customHeight="1">
      <c r="A36" s="77" t="s">
        <v>95</v>
      </c>
      <c r="B36" s="113">
        <f>_xlfn.COMPOUNDVALUE(485)</f>
        <v>7042</v>
      </c>
      <c r="C36" s="114">
        <v>156453286</v>
      </c>
      <c r="D36" s="113">
        <f>_xlfn.COMPOUNDVALUE(486)</f>
        <v>2598</v>
      </c>
      <c r="E36" s="114">
        <v>2078367</v>
      </c>
      <c r="F36" s="113">
        <f>_xlfn.COMPOUNDVALUE(487)</f>
        <v>9640</v>
      </c>
      <c r="G36" s="114">
        <v>158531652</v>
      </c>
      <c r="H36" s="113">
        <f>_xlfn.COMPOUNDVALUE(488)</f>
        <v>1556</v>
      </c>
      <c r="I36" s="115">
        <v>15411179</v>
      </c>
      <c r="J36" s="113">
        <v>578</v>
      </c>
      <c r="K36" s="115">
        <v>468711</v>
      </c>
      <c r="L36" s="113">
        <v>11346</v>
      </c>
      <c r="M36" s="115">
        <v>143589184</v>
      </c>
      <c r="N36" s="228">
        <v>11276</v>
      </c>
      <c r="O36" s="229">
        <v>548</v>
      </c>
      <c r="P36" s="229">
        <v>111</v>
      </c>
      <c r="Q36" s="230">
        <v>11935</v>
      </c>
      <c r="R36" s="80" t="s">
        <v>96</v>
      </c>
    </row>
    <row r="37" spans="1:18" ht="25.5" customHeight="1">
      <c r="A37" s="77" t="s">
        <v>97</v>
      </c>
      <c r="B37" s="113">
        <f>_xlfn.COMPOUNDVALUE(489)</f>
        <v>7605</v>
      </c>
      <c r="C37" s="114">
        <v>64671114</v>
      </c>
      <c r="D37" s="113">
        <f>_xlfn.COMPOUNDVALUE(490)</f>
        <v>4831</v>
      </c>
      <c r="E37" s="114">
        <v>3158926</v>
      </c>
      <c r="F37" s="113">
        <f>_xlfn.COMPOUNDVALUE(491)</f>
        <v>12436</v>
      </c>
      <c r="G37" s="114">
        <v>67830040</v>
      </c>
      <c r="H37" s="113">
        <f>_xlfn.COMPOUNDVALUE(492)</f>
        <v>1088</v>
      </c>
      <c r="I37" s="115">
        <v>23122809</v>
      </c>
      <c r="J37" s="113">
        <v>727</v>
      </c>
      <c r="K37" s="115">
        <v>940545</v>
      </c>
      <c r="L37" s="113">
        <v>13712</v>
      </c>
      <c r="M37" s="115">
        <v>45647777</v>
      </c>
      <c r="N37" s="228">
        <v>13604</v>
      </c>
      <c r="O37" s="229">
        <v>479</v>
      </c>
      <c r="P37" s="229">
        <v>41</v>
      </c>
      <c r="Q37" s="230">
        <v>14124</v>
      </c>
      <c r="R37" s="80" t="s">
        <v>98</v>
      </c>
    </row>
    <row r="38" spans="1:18" ht="25.5" customHeight="1">
      <c r="A38" s="77" t="s">
        <v>99</v>
      </c>
      <c r="B38" s="113">
        <f>_xlfn.COMPOUNDVALUE(493)</f>
        <v>7332</v>
      </c>
      <c r="C38" s="114">
        <v>78189256</v>
      </c>
      <c r="D38" s="113">
        <f>_xlfn.COMPOUNDVALUE(494)</f>
        <v>4151</v>
      </c>
      <c r="E38" s="114">
        <v>2536284</v>
      </c>
      <c r="F38" s="113">
        <f>_xlfn.COMPOUNDVALUE(495)</f>
        <v>11483</v>
      </c>
      <c r="G38" s="114">
        <v>80725540</v>
      </c>
      <c r="H38" s="113">
        <f>_xlfn.COMPOUNDVALUE(496)</f>
        <v>729</v>
      </c>
      <c r="I38" s="115">
        <v>3178889</v>
      </c>
      <c r="J38" s="113">
        <v>705</v>
      </c>
      <c r="K38" s="115">
        <v>132746</v>
      </c>
      <c r="L38" s="113">
        <v>12457</v>
      </c>
      <c r="M38" s="115">
        <v>77679397</v>
      </c>
      <c r="N38" s="228">
        <v>12170</v>
      </c>
      <c r="O38" s="229">
        <v>299</v>
      </c>
      <c r="P38" s="229">
        <v>42</v>
      </c>
      <c r="Q38" s="230">
        <v>12511</v>
      </c>
      <c r="R38" s="80" t="s">
        <v>100</v>
      </c>
    </row>
    <row r="39" spans="1:18" ht="25.5" customHeight="1">
      <c r="A39" s="77" t="s">
        <v>101</v>
      </c>
      <c r="B39" s="113">
        <f>_xlfn.COMPOUNDVALUE(497)</f>
        <v>6173</v>
      </c>
      <c r="C39" s="114">
        <v>51397390</v>
      </c>
      <c r="D39" s="113">
        <f>_xlfn.COMPOUNDVALUE(498)</f>
        <v>3122</v>
      </c>
      <c r="E39" s="114">
        <v>1824002</v>
      </c>
      <c r="F39" s="113">
        <f>_xlfn.COMPOUNDVALUE(499)</f>
        <v>9295</v>
      </c>
      <c r="G39" s="114">
        <v>53221391</v>
      </c>
      <c r="H39" s="113">
        <f>_xlfn.COMPOUNDVALUE(500)</f>
        <v>1032</v>
      </c>
      <c r="I39" s="115">
        <v>5117781</v>
      </c>
      <c r="J39" s="113">
        <v>661</v>
      </c>
      <c r="K39" s="115">
        <v>326304</v>
      </c>
      <c r="L39" s="113">
        <v>10507</v>
      </c>
      <c r="M39" s="115">
        <v>48429914</v>
      </c>
      <c r="N39" s="228">
        <v>10171</v>
      </c>
      <c r="O39" s="229">
        <v>425</v>
      </c>
      <c r="P39" s="229">
        <v>27</v>
      </c>
      <c r="Q39" s="230">
        <v>10623</v>
      </c>
      <c r="R39" s="80" t="s">
        <v>102</v>
      </c>
    </row>
    <row r="40" spans="1:18" ht="25.5" customHeight="1">
      <c r="A40" s="77" t="s">
        <v>103</v>
      </c>
      <c r="B40" s="113">
        <f>_xlfn.COMPOUNDVALUE(501)</f>
        <v>9219</v>
      </c>
      <c r="C40" s="114">
        <v>66159672</v>
      </c>
      <c r="D40" s="113">
        <f>_xlfn.COMPOUNDVALUE(502)</f>
        <v>9072</v>
      </c>
      <c r="E40" s="114">
        <v>4538277</v>
      </c>
      <c r="F40" s="113">
        <f>_xlfn.COMPOUNDVALUE(503)</f>
        <v>18291</v>
      </c>
      <c r="G40" s="114">
        <v>70697949</v>
      </c>
      <c r="H40" s="113">
        <f>_xlfn.COMPOUNDVALUE(504)</f>
        <v>1112</v>
      </c>
      <c r="I40" s="115">
        <v>7699892</v>
      </c>
      <c r="J40" s="113">
        <v>1004</v>
      </c>
      <c r="K40" s="115">
        <v>-117168</v>
      </c>
      <c r="L40" s="113">
        <v>19691</v>
      </c>
      <c r="M40" s="115">
        <v>62880890</v>
      </c>
      <c r="N40" s="228">
        <v>18629</v>
      </c>
      <c r="O40" s="229">
        <v>459</v>
      </c>
      <c r="P40" s="229">
        <v>23</v>
      </c>
      <c r="Q40" s="230">
        <v>19111</v>
      </c>
      <c r="R40" s="80" t="s">
        <v>104</v>
      </c>
    </row>
    <row r="41" spans="1:18" ht="25.5" customHeight="1">
      <c r="A41" s="77" t="s">
        <v>105</v>
      </c>
      <c r="B41" s="113">
        <f>_xlfn.COMPOUNDVALUE(505)</f>
        <v>5103</v>
      </c>
      <c r="C41" s="114">
        <v>33635197</v>
      </c>
      <c r="D41" s="113">
        <f>_xlfn.COMPOUNDVALUE(506)</f>
        <v>3486</v>
      </c>
      <c r="E41" s="114">
        <v>2046207</v>
      </c>
      <c r="F41" s="113">
        <f>_xlfn.COMPOUNDVALUE(507)</f>
        <v>8589</v>
      </c>
      <c r="G41" s="114">
        <v>35681403</v>
      </c>
      <c r="H41" s="113">
        <f>_xlfn.COMPOUNDVALUE(508)</f>
        <v>490</v>
      </c>
      <c r="I41" s="115">
        <v>1149900</v>
      </c>
      <c r="J41" s="113">
        <v>451</v>
      </c>
      <c r="K41" s="115">
        <v>139526</v>
      </c>
      <c r="L41" s="113">
        <v>9198</v>
      </c>
      <c r="M41" s="115">
        <v>34671029</v>
      </c>
      <c r="N41" s="228">
        <v>8767</v>
      </c>
      <c r="O41" s="229">
        <v>204</v>
      </c>
      <c r="P41" s="229">
        <v>25</v>
      </c>
      <c r="Q41" s="230">
        <v>8996</v>
      </c>
      <c r="R41" s="80" t="s">
        <v>106</v>
      </c>
    </row>
    <row r="42" spans="1:18" ht="25.5" customHeight="1">
      <c r="A42" s="77" t="s">
        <v>107</v>
      </c>
      <c r="B42" s="113">
        <f>_xlfn.COMPOUNDVALUE(509)</f>
        <v>6055</v>
      </c>
      <c r="C42" s="114">
        <v>47235471</v>
      </c>
      <c r="D42" s="113">
        <f>_xlfn.COMPOUNDVALUE(510)</f>
        <v>4244</v>
      </c>
      <c r="E42" s="114">
        <v>2509845</v>
      </c>
      <c r="F42" s="113">
        <f>_xlfn.COMPOUNDVALUE(511)</f>
        <v>10299</v>
      </c>
      <c r="G42" s="114">
        <v>49745316</v>
      </c>
      <c r="H42" s="113">
        <f>_xlfn.COMPOUNDVALUE(512)</f>
        <v>687</v>
      </c>
      <c r="I42" s="115">
        <v>1626337</v>
      </c>
      <c r="J42" s="113">
        <v>579</v>
      </c>
      <c r="K42" s="115">
        <v>129824</v>
      </c>
      <c r="L42" s="113">
        <v>11169</v>
      </c>
      <c r="M42" s="115">
        <v>48248803</v>
      </c>
      <c r="N42" s="228">
        <v>10716</v>
      </c>
      <c r="O42" s="229">
        <v>281</v>
      </c>
      <c r="P42" s="229">
        <v>25</v>
      </c>
      <c r="Q42" s="230">
        <v>11022</v>
      </c>
      <c r="R42" s="80" t="s">
        <v>108</v>
      </c>
    </row>
    <row r="43" spans="1:18" ht="25.5" customHeight="1">
      <c r="A43" s="77" t="s">
        <v>109</v>
      </c>
      <c r="B43" s="113">
        <f>_xlfn.COMPOUNDVALUE(513)</f>
        <v>2630</v>
      </c>
      <c r="C43" s="114">
        <v>16172382</v>
      </c>
      <c r="D43" s="113">
        <f>_xlfn.COMPOUNDVALUE(514)</f>
        <v>1785</v>
      </c>
      <c r="E43" s="114">
        <v>1006948</v>
      </c>
      <c r="F43" s="113">
        <f>_xlfn.COMPOUNDVALUE(515)</f>
        <v>4415</v>
      </c>
      <c r="G43" s="114">
        <v>17179329</v>
      </c>
      <c r="H43" s="113">
        <f>_xlfn.COMPOUNDVALUE(516)</f>
        <v>241</v>
      </c>
      <c r="I43" s="115">
        <v>2766794</v>
      </c>
      <c r="J43" s="113">
        <v>257</v>
      </c>
      <c r="K43" s="115">
        <v>45167</v>
      </c>
      <c r="L43" s="113">
        <v>4776</v>
      </c>
      <c r="M43" s="115">
        <v>14457702</v>
      </c>
      <c r="N43" s="228">
        <v>4609</v>
      </c>
      <c r="O43" s="229">
        <v>99</v>
      </c>
      <c r="P43" s="229">
        <v>9</v>
      </c>
      <c r="Q43" s="230">
        <v>4717</v>
      </c>
      <c r="R43" s="80" t="s">
        <v>110</v>
      </c>
    </row>
    <row r="44" spans="1:18" ht="24.75" customHeight="1">
      <c r="A44" s="79" t="s">
        <v>111</v>
      </c>
      <c r="B44" s="116">
        <f>_xlfn.COMPOUNDVALUE(517)</f>
        <v>7134</v>
      </c>
      <c r="C44" s="117">
        <v>54649510</v>
      </c>
      <c r="D44" s="116">
        <f>_xlfn.COMPOUNDVALUE(518)</f>
        <v>4923</v>
      </c>
      <c r="E44" s="117">
        <v>2746874</v>
      </c>
      <c r="F44" s="116">
        <f>_xlfn.COMPOUNDVALUE(519)</f>
        <v>12057</v>
      </c>
      <c r="G44" s="117">
        <v>57396383</v>
      </c>
      <c r="H44" s="116">
        <f>_xlfn.COMPOUNDVALUE(520)</f>
        <v>797</v>
      </c>
      <c r="I44" s="118">
        <v>5978093</v>
      </c>
      <c r="J44" s="116">
        <v>767</v>
      </c>
      <c r="K44" s="118">
        <v>172323</v>
      </c>
      <c r="L44" s="116">
        <v>13067</v>
      </c>
      <c r="M44" s="118">
        <v>51590614</v>
      </c>
      <c r="N44" s="228">
        <v>12391</v>
      </c>
      <c r="O44" s="229">
        <v>426</v>
      </c>
      <c r="P44" s="229">
        <v>33</v>
      </c>
      <c r="Q44" s="230">
        <v>12850</v>
      </c>
      <c r="R44" s="80" t="s">
        <v>112</v>
      </c>
    </row>
    <row r="45" spans="1:18" ht="25.5" customHeight="1">
      <c r="A45" s="79" t="s">
        <v>113</v>
      </c>
      <c r="B45" s="116">
        <f>_xlfn.COMPOUNDVALUE(521)</f>
        <v>4767</v>
      </c>
      <c r="C45" s="117">
        <v>31114079</v>
      </c>
      <c r="D45" s="116">
        <f>_xlfn.COMPOUNDVALUE(522)</f>
        <v>3031</v>
      </c>
      <c r="E45" s="117">
        <v>1661373</v>
      </c>
      <c r="F45" s="116">
        <f>_xlfn.COMPOUNDVALUE(523)</f>
        <v>7798</v>
      </c>
      <c r="G45" s="117">
        <v>32775451</v>
      </c>
      <c r="H45" s="116">
        <f>_xlfn.COMPOUNDVALUE(524)</f>
        <v>724</v>
      </c>
      <c r="I45" s="118">
        <v>5844763</v>
      </c>
      <c r="J45" s="116">
        <v>530</v>
      </c>
      <c r="K45" s="118">
        <v>-348201</v>
      </c>
      <c r="L45" s="116">
        <v>8721</v>
      </c>
      <c r="M45" s="118">
        <v>26582487</v>
      </c>
      <c r="N45" s="228">
        <v>8345</v>
      </c>
      <c r="O45" s="229">
        <v>297</v>
      </c>
      <c r="P45" s="229">
        <v>18</v>
      </c>
      <c r="Q45" s="230">
        <v>8660</v>
      </c>
      <c r="R45" s="80" t="s">
        <v>114</v>
      </c>
    </row>
    <row r="46" spans="1:18" ht="25.5" customHeight="1">
      <c r="A46" s="79" t="s">
        <v>115</v>
      </c>
      <c r="B46" s="116">
        <f>_xlfn.COMPOUNDVALUE(525)</f>
        <v>6307</v>
      </c>
      <c r="C46" s="117">
        <v>75897419</v>
      </c>
      <c r="D46" s="116">
        <f>_xlfn.COMPOUNDVALUE(526)</f>
        <v>4112</v>
      </c>
      <c r="E46" s="117">
        <v>2444332</v>
      </c>
      <c r="F46" s="116">
        <f>_xlfn.COMPOUNDVALUE(527)</f>
        <v>10419</v>
      </c>
      <c r="G46" s="117">
        <v>78341751</v>
      </c>
      <c r="H46" s="116">
        <f>_xlfn.COMPOUNDVALUE(528)</f>
        <v>672</v>
      </c>
      <c r="I46" s="118">
        <v>100139868</v>
      </c>
      <c r="J46" s="116">
        <v>583</v>
      </c>
      <c r="K46" s="118">
        <v>-3354</v>
      </c>
      <c r="L46" s="116">
        <v>11182</v>
      </c>
      <c r="M46" s="118">
        <v>-21801471</v>
      </c>
      <c r="N46" s="228">
        <v>10619</v>
      </c>
      <c r="O46" s="229">
        <v>325</v>
      </c>
      <c r="P46" s="229">
        <v>29</v>
      </c>
      <c r="Q46" s="230">
        <v>10973</v>
      </c>
      <c r="R46" s="80" t="s">
        <v>116</v>
      </c>
    </row>
    <row r="47" spans="1:18" ht="25.5" customHeight="1">
      <c r="A47" s="79" t="s">
        <v>117</v>
      </c>
      <c r="B47" s="116">
        <f>_xlfn.COMPOUNDVALUE(529)</f>
        <v>4996</v>
      </c>
      <c r="C47" s="117">
        <v>51046168</v>
      </c>
      <c r="D47" s="116">
        <f>_xlfn.COMPOUNDVALUE(530)</f>
        <v>3085</v>
      </c>
      <c r="E47" s="117">
        <v>1810152</v>
      </c>
      <c r="F47" s="116">
        <f>_xlfn.COMPOUNDVALUE(531)</f>
        <v>8081</v>
      </c>
      <c r="G47" s="117">
        <v>52856320</v>
      </c>
      <c r="H47" s="116">
        <f>_xlfn.COMPOUNDVALUE(532)</f>
        <v>525</v>
      </c>
      <c r="I47" s="118">
        <v>436835192</v>
      </c>
      <c r="J47" s="116">
        <v>460</v>
      </c>
      <c r="K47" s="118">
        <v>290188</v>
      </c>
      <c r="L47" s="116">
        <v>8686</v>
      </c>
      <c r="M47" s="118">
        <v>-383688684</v>
      </c>
      <c r="N47" s="228">
        <v>8281</v>
      </c>
      <c r="O47" s="229">
        <v>244</v>
      </c>
      <c r="P47" s="229">
        <v>28</v>
      </c>
      <c r="Q47" s="230">
        <v>8553</v>
      </c>
      <c r="R47" s="80" t="s">
        <v>118</v>
      </c>
    </row>
    <row r="48" spans="1:18" ht="25.5" customHeight="1">
      <c r="A48" s="79" t="s">
        <v>119</v>
      </c>
      <c r="B48" s="116">
        <f>_xlfn.COMPOUNDVALUE(533)</f>
        <v>2311</v>
      </c>
      <c r="C48" s="117">
        <v>17009736</v>
      </c>
      <c r="D48" s="116">
        <f>_xlfn.COMPOUNDVALUE(534)</f>
        <v>1880</v>
      </c>
      <c r="E48" s="117">
        <v>1025053</v>
      </c>
      <c r="F48" s="116">
        <f>_xlfn.COMPOUNDVALUE(535)</f>
        <v>4191</v>
      </c>
      <c r="G48" s="117">
        <v>18034789</v>
      </c>
      <c r="H48" s="116">
        <f>_xlfn.COMPOUNDVALUE(536)</f>
        <v>247</v>
      </c>
      <c r="I48" s="118">
        <v>1058240</v>
      </c>
      <c r="J48" s="116">
        <v>183</v>
      </c>
      <c r="K48" s="118">
        <v>56091</v>
      </c>
      <c r="L48" s="116">
        <v>4498</v>
      </c>
      <c r="M48" s="118">
        <v>17032639</v>
      </c>
      <c r="N48" s="228">
        <v>4293</v>
      </c>
      <c r="O48" s="229">
        <v>92</v>
      </c>
      <c r="P48" s="229">
        <v>11</v>
      </c>
      <c r="Q48" s="230">
        <v>4396</v>
      </c>
      <c r="R48" s="80" t="s">
        <v>120</v>
      </c>
    </row>
    <row r="49" spans="1:18" ht="25.5" customHeight="1">
      <c r="A49" s="79" t="s">
        <v>121</v>
      </c>
      <c r="B49" s="116">
        <f>_xlfn.COMPOUNDVALUE(537)</f>
        <v>8791</v>
      </c>
      <c r="C49" s="117">
        <v>66418966</v>
      </c>
      <c r="D49" s="116">
        <f>_xlfn.COMPOUNDVALUE(538)</f>
        <v>5444</v>
      </c>
      <c r="E49" s="117">
        <v>3226715</v>
      </c>
      <c r="F49" s="116">
        <f>_xlfn.COMPOUNDVALUE(539)</f>
        <v>14235</v>
      </c>
      <c r="G49" s="117">
        <v>69645681</v>
      </c>
      <c r="H49" s="116">
        <f>_xlfn.COMPOUNDVALUE(540)</f>
        <v>954</v>
      </c>
      <c r="I49" s="118">
        <v>22235416</v>
      </c>
      <c r="J49" s="116">
        <v>707</v>
      </c>
      <c r="K49" s="118">
        <v>188006</v>
      </c>
      <c r="L49" s="116">
        <v>15427</v>
      </c>
      <c r="M49" s="118">
        <v>47598270</v>
      </c>
      <c r="N49" s="228">
        <v>15013</v>
      </c>
      <c r="O49" s="229">
        <v>437</v>
      </c>
      <c r="P49" s="229">
        <v>37</v>
      </c>
      <c r="Q49" s="230">
        <v>15487</v>
      </c>
      <c r="R49" s="80" t="s">
        <v>122</v>
      </c>
    </row>
    <row r="50" spans="1:18" ht="25.5" customHeight="1">
      <c r="A50" s="170" t="s">
        <v>123</v>
      </c>
      <c r="B50" s="171">
        <f>_xlfn.COMPOUNDVALUE(541)</f>
        <v>630</v>
      </c>
      <c r="C50" s="172">
        <v>3244483</v>
      </c>
      <c r="D50" s="171">
        <f>_xlfn.COMPOUNDVALUE(542)</f>
        <v>551</v>
      </c>
      <c r="E50" s="172">
        <v>263213</v>
      </c>
      <c r="F50" s="171">
        <f>_xlfn.COMPOUNDVALUE(543)</f>
        <v>1181</v>
      </c>
      <c r="G50" s="172">
        <v>3507696</v>
      </c>
      <c r="H50" s="171">
        <f>_xlfn.COMPOUNDVALUE(544)</f>
        <v>67</v>
      </c>
      <c r="I50" s="173">
        <v>41588</v>
      </c>
      <c r="J50" s="171">
        <v>43</v>
      </c>
      <c r="K50" s="173">
        <v>9321</v>
      </c>
      <c r="L50" s="171">
        <v>1268</v>
      </c>
      <c r="M50" s="173">
        <v>3475428</v>
      </c>
      <c r="N50" s="225">
        <v>1205</v>
      </c>
      <c r="O50" s="226">
        <v>30</v>
      </c>
      <c r="P50" s="226">
        <v>3</v>
      </c>
      <c r="Q50" s="227">
        <v>1238</v>
      </c>
      <c r="R50" s="174" t="s">
        <v>124</v>
      </c>
    </row>
    <row r="51" spans="1:18" ht="25.5" customHeight="1">
      <c r="A51" s="175" t="s">
        <v>125</v>
      </c>
      <c r="B51" s="176">
        <v>107752</v>
      </c>
      <c r="C51" s="177">
        <v>1063886103</v>
      </c>
      <c r="D51" s="176">
        <v>68171</v>
      </c>
      <c r="E51" s="177">
        <v>40641166</v>
      </c>
      <c r="F51" s="176">
        <v>175923</v>
      </c>
      <c r="G51" s="177">
        <v>1104527269</v>
      </c>
      <c r="H51" s="176">
        <v>14188</v>
      </c>
      <c r="I51" s="178">
        <v>760466363</v>
      </c>
      <c r="J51" s="176">
        <v>10074</v>
      </c>
      <c r="K51" s="178">
        <v>2888534</v>
      </c>
      <c r="L51" s="176">
        <v>193043</v>
      </c>
      <c r="M51" s="178">
        <v>346949440</v>
      </c>
      <c r="N51" s="219">
        <v>187204</v>
      </c>
      <c r="O51" s="220">
        <v>5979</v>
      </c>
      <c r="P51" s="220">
        <v>633</v>
      </c>
      <c r="Q51" s="221">
        <v>193816</v>
      </c>
      <c r="R51" s="179" t="s">
        <v>126</v>
      </c>
    </row>
    <row r="52" spans="1:18" ht="25.5" customHeight="1">
      <c r="A52" s="180"/>
      <c r="B52" s="181"/>
      <c r="C52" s="182"/>
      <c r="D52" s="181"/>
      <c r="E52" s="182"/>
      <c r="F52" s="183"/>
      <c r="G52" s="182"/>
      <c r="H52" s="183"/>
      <c r="I52" s="182"/>
      <c r="J52" s="183"/>
      <c r="K52" s="182"/>
      <c r="L52" s="183"/>
      <c r="M52" s="182"/>
      <c r="N52" s="222"/>
      <c r="O52" s="223"/>
      <c r="P52" s="223"/>
      <c r="Q52" s="224"/>
      <c r="R52" s="184" t="s">
        <v>40</v>
      </c>
    </row>
    <row r="53" spans="1:18" ht="25.5" customHeight="1">
      <c r="A53" s="77" t="s">
        <v>127</v>
      </c>
      <c r="B53" s="113">
        <f>_xlfn.COMPOUNDVALUE(545)</f>
        <v>3252</v>
      </c>
      <c r="C53" s="114">
        <v>23600698</v>
      </c>
      <c r="D53" s="113">
        <f>_xlfn.COMPOUNDVALUE(546)</f>
        <v>2147</v>
      </c>
      <c r="E53" s="114">
        <v>1278413</v>
      </c>
      <c r="F53" s="113">
        <f>_xlfn.COMPOUNDVALUE(547)</f>
        <v>5399</v>
      </c>
      <c r="G53" s="114">
        <v>24879111</v>
      </c>
      <c r="H53" s="113">
        <f>_xlfn.COMPOUNDVALUE(548)</f>
        <v>344</v>
      </c>
      <c r="I53" s="115">
        <v>2600303</v>
      </c>
      <c r="J53" s="113">
        <v>450</v>
      </c>
      <c r="K53" s="115">
        <v>70729</v>
      </c>
      <c r="L53" s="113">
        <v>5861</v>
      </c>
      <c r="M53" s="115">
        <v>22349536</v>
      </c>
      <c r="N53" s="213">
        <v>5896</v>
      </c>
      <c r="O53" s="214">
        <v>185</v>
      </c>
      <c r="P53" s="214">
        <v>12</v>
      </c>
      <c r="Q53" s="215">
        <v>6093</v>
      </c>
      <c r="R53" s="78" t="s">
        <v>128</v>
      </c>
    </row>
    <row r="54" spans="1:18" ht="25.5" customHeight="1">
      <c r="A54" s="79" t="s">
        <v>129</v>
      </c>
      <c r="B54" s="116">
        <f>_xlfn.COMPOUNDVALUE(549)</f>
        <v>5377</v>
      </c>
      <c r="C54" s="117">
        <v>50319253</v>
      </c>
      <c r="D54" s="116">
        <f>_xlfn.COMPOUNDVALUE(550)</f>
        <v>3303</v>
      </c>
      <c r="E54" s="117">
        <v>2026913</v>
      </c>
      <c r="F54" s="116">
        <f>_xlfn.COMPOUNDVALUE(551)</f>
        <v>8680</v>
      </c>
      <c r="G54" s="117">
        <v>52346166</v>
      </c>
      <c r="H54" s="116">
        <f>_xlfn.COMPOUNDVALUE(552)</f>
        <v>547</v>
      </c>
      <c r="I54" s="118">
        <v>24109522</v>
      </c>
      <c r="J54" s="116">
        <v>492</v>
      </c>
      <c r="K54" s="118">
        <v>48140</v>
      </c>
      <c r="L54" s="116">
        <v>9354</v>
      </c>
      <c r="M54" s="118">
        <v>28284784</v>
      </c>
      <c r="N54" s="228">
        <v>9134</v>
      </c>
      <c r="O54" s="229">
        <v>260</v>
      </c>
      <c r="P54" s="229">
        <v>23</v>
      </c>
      <c r="Q54" s="230">
        <v>9417</v>
      </c>
      <c r="R54" s="80" t="s">
        <v>130</v>
      </c>
    </row>
    <row r="55" spans="1:18" ht="25.5" customHeight="1">
      <c r="A55" s="79" t="s">
        <v>131</v>
      </c>
      <c r="B55" s="116">
        <f>_xlfn.COMPOUNDVALUE(553)</f>
        <v>3346</v>
      </c>
      <c r="C55" s="117">
        <v>14298757</v>
      </c>
      <c r="D55" s="116">
        <f>_xlfn.COMPOUNDVALUE(554)</f>
        <v>2345</v>
      </c>
      <c r="E55" s="117">
        <v>1154063</v>
      </c>
      <c r="F55" s="116">
        <f>_xlfn.COMPOUNDVALUE(555)</f>
        <v>5691</v>
      </c>
      <c r="G55" s="117">
        <v>15452820</v>
      </c>
      <c r="H55" s="116">
        <f>_xlfn.COMPOUNDVALUE(556)</f>
        <v>456</v>
      </c>
      <c r="I55" s="118">
        <v>3582641</v>
      </c>
      <c r="J55" s="116">
        <v>256</v>
      </c>
      <c r="K55" s="118">
        <v>37965</v>
      </c>
      <c r="L55" s="116">
        <v>6233</v>
      </c>
      <c r="M55" s="118">
        <v>11908144</v>
      </c>
      <c r="N55" s="228">
        <v>5728</v>
      </c>
      <c r="O55" s="229">
        <v>185</v>
      </c>
      <c r="P55" s="229">
        <v>14</v>
      </c>
      <c r="Q55" s="230">
        <v>5927</v>
      </c>
      <c r="R55" s="80" t="s">
        <v>132</v>
      </c>
    </row>
    <row r="56" spans="1:18" ht="25.5" customHeight="1">
      <c r="A56" s="79" t="s">
        <v>133</v>
      </c>
      <c r="B56" s="116">
        <f>_xlfn.COMPOUNDVALUE(557)</f>
        <v>2708</v>
      </c>
      <c r="C56" s="117">
        <v>16649535</v>
      </c>
      <c r="D56" s="116">
        <f>_xlfn.COMPOUNDVALUE(558)</f>
        <v>1692</v>
      </c>
      <c r="E56" s="117">
        <v>931471</v>
      </c>
      <c r="F56" s="116">
        <f>_xlfn.COMPOUNDVALUE(559)</f>
        <v>4400</v>
      </c>
      <c r="G56" s="117">
        <v>17581006</v>
      </c>
      <c r="H56" s="116">
        <f>_xlfn.COMPOUNDVALUE(560)</f>
        <v>341</v>
      </c>
      <c r="I56" s="118">
        <v>8575013</v>
      </c>
      <c r="J56" s="116">
        <v>261</v>
      </c>
      <c r="K56" s="118">
        <v>45014</v>
      </c>
      <c r="L56" s="116">
        <v>4816</v>
      </c>
      <c r="M56" s="118">
        <v>9051007</v>
      </c>
      <c r="N56" s="228">
        <v>4503</v>
      </c>
      <c r="O56" s="229">
        <v>132</v>
      </c>
      <c r="P56" s="229">
        <v>13</v>
      </c>
      <c r="Q56" s="230">
        <v>4648</v>
      </c>
      <c r="R56" s="80" t="s">
        <v>134</v>
      </c>
    </row>
    <row r="57" spans="1:18" ht="25.5" customHeight="1">
      <c r="A57" s="79" t="s">
        <v>135</v>
      </c>
      <c r="B57" s="116">
        <f>_xlfn.COMPOUNDVALUE(561)</f>
        <v>2610</v>
      </c>
      <c r="C57" s="117">
        <v>17170524</v>
      </c>
      <c r="D57" s="116">
        <f>_xlfn.COMPOUNDVALUE(562)</f>
        <v>1774</v>
      </c>
      <c r="E57" s="117">
        <v>1015066</v>
      </c>
      <c r="F57" s="116">
        <f>_xlfn.COMPOUNDVALUE(563)</f>
        <v>4384</v>
      </c>
      <c r="G57" s="117">
        <v>18185590</v>
      </c>
      <c r="H57" s="116">
        <f>_xlfn.COMPOUNDVALUE(564)</f>
        <v>311</v>
      </c>
      <c r="I57" s="118">
        <v>828257</v>
      </c>
      <c r="J57" s="116">
        <v>196</v>
      </c>
      <c r="K57" s="118">
        <v>84245</v>
      </c>
      <c r="L57" s="116">
        <v>4751</v>
      </c>
      <c r="M57" s="118">
        <v>17441578</v>
      </c>
      <c r="N57" s="228">
        <v>4573</v>
      </c>
      <c r="O57" s="229">
        <v>156</v>
      </c>
      <c r="P57" s="229">
        <v>7</v>
      </c>
      <c r="Q57" s="230">
        <v>4736</v>
      </c>
      <c r="R57" s="80" t="s">
        <v>136</v>
      </c>
    </row>
    <row r="58" spans="1:18" ht="25.5" customHeight="1">
      <c r="A58" s="79" t="s">
        <v>137</v>
      </c>
      <c r="B58" s="116">
        <f>_xlfn.COMPOUNDVALUE(565)</f>
        <v>1854</v>
      </c>
      <c r="C58" s="117">
        <v>10100777</v>
      </c>
      <c r="D58" s="116">
        <f>_xlfn.COMPOUNDVALUE(566)</f>
        <v>1052</v>
      </c>
      <c r="E58" s="117">
        <v>597310</v>
      </c>
      <c r="F58" s="116">
        <f>_xlfn.COMPOUNDVALUE(567)</f>
        <v>2906</v>
      </c>
      <c r="G58" s="117">
        <v>10698086</v>
      </c>
      <c r="H58" s="116">
        <f>_xlfn.COMPOUNDVALUE(568)</f>
        <v>240</v>
      </c>
      <c r="I58" s="118">
        <v>2408767</v>
      </c>
      <c r="J58" s="116">
        <v>291</v>
      </c>
      <c r="K58" s="118">
        <v>56971</v>
      </c>
      <c r="L58" s="116">
        <v>3243</v>
      </c>
      <c r="M58" s="118">
        <v>8346290</v>
      </c>
      <c r="N58" s="228">
        <v>3085</v>
      </c>
      <c r="O58" s="229">
        <v>120</v>
      </c>
      <c r="P58" s="229">
        <v>10</v>
      </c>
      <c r="Q58" s="230">
        <v>3215</v>
      </c>
      <c r="R58" s="80" t="s">
        <v>138</v>
      </c>
    </row>
    <row r="59" spans="1:18" ht="25.5" customHeight="1">
      <c r="A59" s="79" t="s">
        <v>139</v>
      </c>
      <c r="B59" s="116">
        <f>_xlfn.COMPOUNDVALUE(569)</f>
        <v>2938</v>
      </c>
      <c r="C59" s="117">
        <v>16442028</v>
      </c>
      <c r="D59" s="116">
        <f>_xlfn.COMPOUNDVALUE(570)</f>
        <v>1889</v>
      </c>
      <c r="E59" s="117">
        <v>1067975</v>
      </c>
      <c r="F59" s="116">
        <f>_xlfn.COMPOUNDVALUE(571)</f>
        <v>4827</v>
      </c>
      <c r="G59" s="117">
        <v>17510003</v>
      </c>
      <c r="H59" s="116">
        <f>_xlfn.COMPOUNDVALUE(572)</f>
        <v>320</v>
      </c>
      <c r="I59" s="118">
        <v>4689141</v>
      </c>
      <c r="J59" s="116">
        <v>323</v>
      </c>
      <c r="K59" s="118">
        <v>29397</v>
      </c>
      <c r="L59" s="116">
        <v>5246</v>
      </c>
      <c r="M59" s="118">
        <v>12850259</v>
      </c>
      <c r="N59" s="228">
        <v>5043</v>
      </c>
      <c r="O59" s="229">
        <v>166</v>
      </c>
      <c r="P59" s="229">
        <v>14</v>
      </c>
      <c r="Q59" s="230">
        <v>5223</v>
      </c>
      <c r="R59" s="80" t="s">
        <v>140</v>
      </c>
    </row>
    <row r="60" spans="1:18" ht="25.5" customHeight="1">
      <c r="A60" s="170" t="s">
        <v>141</v>
      </c>
      <c r="B60" s="171">
        <f>_xlfn.COMPOUNDVALUE(573)</f>
        <v>920</v>
      </c>
      <c r="C60" s="172">
        <v>3492262</v>
      </c>
      <c r="D60" s="171">
        <f>_xlfn.COMPOUNDVALUE(574)</f>
        <v>749</v>
      </c>
      <c r="E60" s="172">
        <v>388163</v>
      </c>
      <c r="F60" s="171">
        <f>_xlfn.COMPOUNDVALUE(575)</f>
        <v>1669</v>
      </c>
      <c r="G60" s="172">
        <v>3880426</v>
      </c>
      <c r="H60" s="171">
        <f>_xlfn.COMPOUNDVALUE(576)</f>
        <v>94</v>
      </c>
      <c r="I60" s="173">
        <v>181845</v>
      </c>
      <c r="J60" s="171">
        <v>74</v>
      </c>
      <c r="K60" s="173">
        <v>-8104</v>
      </c>
      <c r="L60" s="171">
        <v>1772</v>
      </c>
      <c r="M60" s="173">
        <v>3690477</v>
      </c>
      <c r="N60" s="225">
        <v>1744</v>
      </c>
      <c r="O60" s="226">
        <v>35</v>
      </c>
      <c r="P60" s="226">
        <v>2</v>
      </c>
      <c r="Q60" s="227">
        <v>1781</v>
      </c>
      <c r="R60" s="174" t="s">
        <v>142</v>
      </c>
    </row>
    <row r="61" spans="1:18" ht="25.5" customHeight="1">
      <c r="A61" s="175" t="s">
        <v>143</v>
      </c>
      <c r="B61" s="176">
        <v>23005</v>
      </c>
      <c r="C61" s="177">
        <v>152073832</v>
      </c>
      <c r="D61" s="176">
        <v>14951</v>
      </c>
      <c r="E61" s="177">
        <v>8459375</v>
      </c>
      <c r="F61" s="176">
        <v>37956</v>
      </c>
      <c r="G61" s="177">
        <v>160533207</v>
      </c>
      <c r="H61" s="176">
        <v>2653</v>
      </c>
      <c r="I61" s="178">
        <v>46975489</v>
      </c>
      <c r="J61" s="176">
        <v>2343</v>
      </c>
      <c r="K61" s="178">
        <v>364356</v>
      </c>
      <c r="L61" s="176">
        <v>41276</v>
      </c>
      <c r="M61" s="178">
        <v>113922075</v>
      </c>
      <c r="N61" s="219">
        <v>39706</v>
      </c>
      <c r="O61" s="220">
        <v>1239</v>
      </c>
      <c r="P61" s="220">
        <v>95</v>
      </c>
      <c r="Q61" s="221">
        <v>41040</v>
      </c>
      <c r="R61" s="179" t="s">
        <v>144</v>
      </c>
    </row>
    <row r="62" spans="1:18" ht="25.5" customHeight="1" thickBot="1">
      <c r="A62" s="83"/>
      <c r="B62" s="185"/>
      <c r="C62" s="186"/>
      <c r="D62" s="185"/>
      <c r="E62" s="186"/>
      <c r="F62" s="187"/>
      <c r="G62" s="186"/>
      <c r="H62" s="187"/>
      <c r="I62" s="186"/>
      <c r="J62" s="187"/>
      <c r="K62" s="186"/>
      <c r="L62" s="187"/>
      <c r="M62" s="186"/>
      <c r="N62" s="231"/>
      <c r="O62" s="232"/>
      <c r="P62" s="232"/>
      <c r="Q62" s="233"/>
      <c r="R62" s="188" t="s">
        <v>40</v>
      </c>
    </row>
    <row r="63" spans="1:18" ht="25.5" customHeight="1" thickBot="1" thickTop="1">
      <c r="A63" s="84" t="s">
        <v>39</v>
      </c>
      <c r="B63" s="119">
        <v>208700</v>
      </c>
      <c r="C63" s="120">
        <v>1769093682</v>
      </c>
      <c r="D63" s="119">
        <v>142283</v>
      </c>
      <c r="E63" s="120">
        <v>81899976</v>
      </c>
      <c r="F63" s="119">
        <v>350983</v>
      </c>
      <c r="G63" s="120">
        <v>1850993658</v>
      </c>
      <c r="H63" s="119">
        <v>25002</v>
      </c>
      <c r="I63" s="121">
        <v>940073582</v>
      </c>
      <c r="J63" s="119">
        <v>19704</v>
      </c>
      <c r="K63" s="121">
        <v>4873356</v>
      </c>
      <c r="L63" s="119">
        <v>381482</v>
      </c>
      <c r="M63" s="121">
        <v>915793432</v>
      </c>
      <c r="N63" s="234">
        <v>368377</v>
      </c>
      <c r="O63" s="235">
        <v>11357</v>
      </c>
      <c r="P63" s="235">
        <v>1087</v>
      </c>
      <c r="Q63" s="236">
        <v>380821</v>
      </c>
      <c r="R63" s="85" t="s">
        <v>39</v>
      </c>
    </row>
    <row r="64" spans="1:9" ht="25.5" customHeight="1">
      <c r="A64" s="86" t="s">
        <v>217</v>
      </c>
      <c r="B64" s="86"/>
      <c r="C64" s="86"/>
      <c r="D64" s="86"/>
      <c r="E64" s="86"/>
      <c r="F64" s="86"/>
      <c r="G64" s="86"/>
      <c r="H64" s="86"/>
      <c r="I64" s="86"/>
    </row>
  </sheetData>
  <sheetProtection/>
  <mergeCells count="15">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2023-01-27T07:22:21Z</dcterms:created>
  <dcterms:modified xsi:type="dcterms:W3CDTF">2023-01-27T07:22:25Z</dcterms:modified>
  <cp:category/>
  <cp:version/>
  <cp:contentType/>
  <cp:contentStatus/>
</cp:coreProperties>
</file>