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20" tabRatio="914" activeTab="0"/>
  </bookViews>
  <sheets>
    <sheet name="(1)　課税状況" sheetId="1" r:id="rId1"/>
    <sheet name="(2)　課税状況の累年比較" sheetId="2" r:id="rId2"/>
    <sheet name="(3)　課税事業者等届出件数" sheetId="3" r:id="rId3"/>
    <sheet name="(4)　税務署別（個人事業者）" sheetId="4" r:id="rId4"/>
    <sheet name="(4)　税務署別（法人）" sheetId="5" r:id="rId5"/>
    <sheet name="(4)　税務署別（合計）" sheetId="6" r:id="rId6"/>
  </sheets>
  <definedNames>
    <definedName name="_xlfn.COMPOUNDVALUE" hidden="1">#NAME?</definedName>
  </definedNames>
  <calcPr fullCalcOnLoad="1"/>
</workbook>
</file>

<file path=xl/sharedStrings.xml><?xml version="1.0" encoding="utf-8"?>
<sst xmlns="http://schemas.openxmlformats.org/spreadsheetml/2006/main" count="514" uniqueCount="234">
  <si>
    <t>７　消　費　税</t>
  </si>
  <si>
    <t>区　　　分</t>
  </si>
  <si>
    <t>件　　　数</t>
  </si>
  <si>
    <t>税　　　額</t>
  </si>
  <si>
    <t>件</t>
  </si>
  <si>
    <t>千円</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</si>
  <si>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</si>
  <si>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</si>
  <si>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</si>
  <si>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</si>
  <si>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</si>
  <si>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</si>
  <si>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</si>
  <si>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個　人　事　業　者</t>
  </si>
  <si>
    <t>一般申告及び処理</t>
  </si>
  <si>
    <t>簡易申告及び処理</t>
  </si>
  <si>
    <t>納税申告計</t>
  </si>
  <si>
    <t>還付申告及び処理</t>
  </si>
  <si>
    <t>申告及び処理による
増差税額のあるもの</t>
  </si>
  <si>
    <t>申告及び処理による
減差税額のあるもの</t>
  </si>
  <si>
    <t>法　　　　　　　人</t>
  </si>
  <si>
    <t>合　　　　　　　計</t>
  </si>
  <si>
    <t>件　　数</t>
  </si>
  <si>
    <t>税　　額</t>
  </si>
  <si>
    <t>(3)　課税事業者等届出件数</t>
  </si>
  <si>
    <t>(1)　課税状況</t>
  </si>
  <si>
    <t>千円</t>
  </si>
  <si>
    <t>件</t>
  </si>
  <si>
    <t>現年分</t>
  </si>
  <si>
    <t>既往年分</t>
  </si>
  <si>
    <t>(2)　課税状況の累年比較</t>
  </si>
  <si>
    <t>合計</t>
  </si>
  <si>
    <t>　イ　個人事業者</t>
  </si>
  <si>
    <t>既往年分の
申告及び処理</t>
  </si>
  <si>
    <t>合　　　　　　計</t>
  </si>
  <si>
    <t>税務署名</t>
  </si>
  <si>
    <t>簡易申告及び処理</t>
  </si>
  <si>
    <t>小　　　　　　計</t>
  </si>
  <si>
    <t>総　計</t>
  </si>
  <si>
    <t>総　計</t>
  </si>
  <si>
    <t/>
  </si>
  <si>
    <t>岐阜北</t>
  </si>
  <si>
    <t>岐阜北</t>
  </si>
  <si>
    <t>岐阜南</t>
  </si>
  <si>
    <t>岐阜南</t>
  </si>
  <si>
    <t>大垣</t>
  </si>
  <si>
    <t>大垣</t>
  </si>
  <si>
    <t>高山</t>
  </si>
  <si>
    <t>高山</t>
  </si>
  <si>
    <t>多治見</t>
  </si>
  <si>
    <t>多治見</t>
  </si>
  <si>
    <t>関</t>
  </si>
  <si>
    <t>関</t>
  </si>
  <si>
    <t>中津川</t>
  </si>
  <si>
    <t>中津川</t>
  </si>
  <si>
    <t>岐阜県計</t>
  </si>
  <si>
    <t>岐阜県計</t>
  </si>
  <si>
    <t>静岡</t>
  </si>
  <si>
    <t>静岡</t>
  </si>
  <si>
    <t>清水</t>
  </si>
  <si>
    <t>清水</t>
  </si>
  <si>
    <t>浜松西</t>
  </si>
  <si>
    <t>浜松西</t>
  </si>
  <si>
    <t>浜松東</t>
  </si>
  <si>
    <t>浜松東</t>
  </si>
  <si>
    <t>沼津</t>
  </si>
  <si>
    <t>沼津</t>
  </si>
  <si>
    <t>熱海</t>
  </si>
  <si>
    <t>熱海</t>
  </si>
  <si>
    <t>三島</t>
  </si>
  <si>
    <t>三島</t>
  </si>
  <si>
    <t>島田</t>
  </si>
  <si>
    <t>島田</t>
  </si>
  <si>
    <t>富士</t>
  </si>
  <si>
    <t>富士</t>
  </si>
  <si>
    <t>磐田</t>
  </si>
  <si>
    <t>磐田</t>
  </si>
  <si>
    <t>掛川</t>
  </si>
  <si>
    <t>掛川</t>
  </si>
  <si>
    <t>藤枝</t>
  </si>
  <si>
    <t>藤枝</t>
  </si>
  <si>
    <t>下田</t>
  </si>
  <si>
    <t>下田</t>
  </si>
  <si>
    <t>静岡県計</t>
  </si>
  <si>
    <t>静岡県計</t>
  </si>
  <si>
    <t>千種</t>
  </si>
  <si>
    <t>千種</t>
  </si>
  <si>
    <t>名古屋東</t>
  </si>
  <si>
    <t>名古屋東</t>
  </si>
  <si>
    <t>名古屋北</t>
  </si>
  <si>
    <t>名古屋北</t>
  </si>
  <si>
    <t>名古屋西</t>
  </si>
  <si>
    <t>名古屋西</t>
  </si>
  <si>
    <t>名古屋中村</t>
  </si>
  <si>
    <t>名古屋中村</t>
  </si>
  <si>
    <t>名古屋中</t>
  </si>
  <si>
    <t>名古屋中</t>
  </si>
  <si>
    <t>昭和</t>
  </si>
  <si>
    <t>昭和</t>
  </si>
  <si>
    <t>熱田</t>
  </si>
  <si>
    <t>熱田</t>
  </si>
  <si>
    <t>中川</t>
  </si>
  <si>
    <t>中川</t>
  </si>
  <si>
    <t>豊橋</t>
  </si>
  <si>
    <t>豊橋</t>
  </si>
  <si>
    <t>岡崎</t>
  </si>
  <si>
    <t>岡崎</t>
  </si>
  <si>
    <t>一宮</t>
  </si>
  <si>
    <t>一宮</t>
  </si>
  <si>
    <t>尾張瀬戸</t>
  </si>
  <si>
    <t>尾張瀬戸</t>
  </si>
  <si>
    <t>半田</t>
  </si>
  <si>
    <t>半田</t>
  </si>
  <si>
    <t>津島</t>
  </si>
  <si>
    <t>津島</t>
  </si>
  <si>
    <t>刈谷</t>
  </si>
  <si>
    <t>刈谷</t>
  </si>
  <si>
    <t>豊田</t>
  </si>
  <si>
    <t>豊田</t>
  </si>
  <si>
    <t>西尾</t>
  </si>
  <si>
    <t>西尾</t>
  </si>
  <si>
    <t>小牧</t>
  </si>
  <si>
    <t>小牧</t>
  </si>
  <si>
    <t>新城</t>
  </si>
  <si>
    <t>新城</t>
  </si>
  <si>
    <t>愛知県計</t>
  </si>
  <si>
    <t>愛知県計</t>
  </si>
  <si>
    <t>津</t>
  </si>
  <si>
    <t>津</t>
  </si>
  <si>
    <t>四日市</t>
  </si>
  <si>
    <t>四日市</t>
  </si>
  <si>
    <t>伊勢</t>
  </si>
  <si>
    <t>伊勢</t>
  </si>
  <si>
    <t>松阪</t>
  </si>
  <si>
    <t>松阪</t>
  </si>
  <si>
    <t>桑名</t>
  </si>
  <si>
    <t>桑名</t>
  </si>
  <si>
    <t>上野</t>
  </si>
  <si>
    <t>上野</t>
  </si>
  <si>
    <t>鈴鹿</t>
  </si>
  <si>
    <t>鈴鹿</t>
  </si>
  <si>
    <t>尾鷲</t>
  </si>
  <si>
    <t>尾鷲</t>
  </si>
  <si>
    <t>三重県計</t>
  </si>
  <si>
    <t>三重県計</t>
  </si>
  <si>
    <t>　ロ　法　　　人</t>
  </si>
  <si>
    <t>税務署名</t>
  </si>
  <si>
    <t>　ハ　個人事業者と法人の合計</t>
  </si>
  <si>
    <t>課税事業者
届出</t>
  </si>
  <si>
    <t>合　　　計</t>
  </si>
  <si>
    <t>税務署名</t>
  </si>
  <si>
    <t>納　　　税　　　申　　　告　　　及　　　び　　　処　　　理</t>
  </si>
  <si>
    <t>税額</t>
  </si>
  <si>
    <t>税　　　額
(①－②＋③)</t>
  </si>
  <si>
    <t>岐阜北</t>
  </si>
  <si>
    <t>課　税　事　業　者　等　届　出　件　数</t>
  </si>
  <si>
    <t>課税事業者
選択届出</t>
  </si>
  <si>
    <t>新設法人に
該当する旨
の届出</t>
  </si>
  <si>
    <t>税　　額
(①－②＋③)</t>
  </si>
  <si>
    <t>調査対象等：</t>
  </si>
  <si>
    <t>税関分は含まない。</t>
  </si>
  <si>
    <t>岐阜南</t>
  </si>
  <si>
    <t>大垣</t>
  </si>
  <si>
    <t>高山</t>
  </si>
  <si>
    <t>多治見</t>
  </si>
  <si>
    <t>関</t>
  </si>
  <si>
    <t>中津川</t>
  </si>
  <si>
    <t>岐阜県計</t>
  </si>
  <si>
    <t>静岡</t>
  </si>
  <si>
    <t>清水</t>
  </si>
  <si>
    <t>浜松西</t>
  </si>
  <si>
    <t>浜松東</t>
  </si>
  <si>
    <t>沼津</t>
  </si>
  <si>
    <t>熱海</t>
  </si>
  <si>
    <t>三島</t>
  </si>
  <si>
    <t>島田</t>
  </si>
  <si>
    <t>富士</t>
  </si>
  <si>
    <t>磐田</t>
  </si>
  <si>
    <t>掛川</t>
  </si>
  <si>
    <t>藤枝</t>
  </si>
  <si>
    <t>下田</t>
  </si>
  <si>
    <t>静岡県計</t>
  </si>
  <si>
    <t>千種</t>
  </si>
  <si>
    <t>名古屋東</t>
  </si>
  <si>
    <t>名古屋北</t>
  </si>
  <si>
    <t>名古屋西</t>
  </si>
  <si>
    <t>名古屋中村</t>
  </si>
  <si>
    <t>名古屋中</t>
  </si>
  <si>
    <t>昭和</t>
  </si>
  <si>
    <t>熱田</t>
  </si>
  <si>
    <t>中川</t>
  </si>
  <si>
    <t>豊橋</t>
  </si>
  <si>
    <t>岡崎</t>
  </si>
  <si>
    <t>一宮</t>
  </si>
  <si>
    <t>尾張瀬戸</t>
  </si>
  <si>
    <t>半田</t>
  </si>
  <si>
    <t>津島</t>
  </si>
  <si>
    <t>刈谷</t>
  </si>
  <si>
    <t>豊田</t>
  </si>
  <si>
    <t>西尾</t>
  </si>
  <si>
    <t>小牧</t>
  </si>
  <si>
    <t>新城</t>
  </si>
  <si>
    <t>愛知県計</t>
  </si>
  <si>
    <t>津</t>
  </si>
  <si>
    <t>四日市</t>
  </si>
  <si>
    <t>伊勢</t>
  </si>
  <si>
    <t>松阪</t>
  </si>
  <si>
    <t>桑名</t>
  </si>
  <si>
    <t>上野</t>
  </si>
  <si>
    <t>鈴鹿</t>
  </si>
  <si>
    <t>尾鷲</t>
  </si>
  <si>
    <t>三重県計</t>
  </si>
  <si>
    <t>総　計</t>
  </si>
  <si>
    <t>税　額
①</t>
  </si>
  <si>
    <t>税　額
②</t>
  </si>
  <si>
    <t>税　額
③</t>
  </si>
  <si>
    <t>件　数</t>
  </si>
  <si>
    <t>（注）この表は「(1)　課税状況」の現年分及び既往年分を税務署別に示したものである（加算税を除く。）。</t>
  </si>
  <si>
    <t>（注）この表は「(1)　課税状況」の現年分及び既往年分並びに「(3)　課税事業者等届出件数」を税務署別に示したものである（加算税を除く。）。</t>
  </si>
  <si>
    <t>平成27年度</t>
  </si>
  <si>
    <t>実件</t>
  </si>
  <si>
    <t>(4)　税務署別課税状況等</t>
  </si>
  <si>
    <t>(4)　税務署別課税状況等（続）</t>
  </si>
  <si>
    <t>平成28年度</t>
  </si>
  <si>
    <t>平成29年度</t>
  </si>
  <si>
    <t>平成30年度</t>
  </si>
  <si>
    <t>令和元年度</t>
  </si>
  <si>
    <t>調査対象等：令和元年度末（令和２年３月31日現在）の届出件数を示している。</t>
  </si>
  <si>
    <t>　「現年分」は、平成31年４月１日から令和２年３月31日までに終了した課税期間について、令和２年６月30日現在の申告（国・地方公共団体等については令和２年９月30日までの申告を含む。）及び処理（更正、決定等）による課税事績に基づいて作成した。</t>
  </si>
  <si>
    <t>　「既往年分」は、平成31年３月31日以前に終了した課税期間について、令和元年７月１日から令和２年６月30日までの間の申告（令和元年７月１日から同年９月30日までの間の国・地方公共団体等に係る申告を除く。）及び処理（更正、決定等）による課税事績に基づいて作成した。</t>
  </si>
  <si>
    <t>　（注）</t>
  </si>
  <si>
    <t>個　人　事　業　者</t>
  </si>
  <si>
    <t>法　　　　　人</t>
  </si>
  <si>
    <t>合　　　　　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</si>
</sst>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60">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8"/>
      <name val="ＭＳ 明朝"/>
      <family val="1"/>
    </font>
    <font>
      <sz val="8"/>
      <name val="ＭＳ Ｐゴシック"/>
      <family val="3"/>
    </font>
    <font>
      <sz val="11"/>
      <name val="ＭＳ ゴシック"/>
      <family val="3"/>
    </font>
    <font>
      <sz val="10"/>
      <name val="ＭＳ 明朝"/>
      <family val="1"/>
    </font>
    <font>
      <sz val="10"/>
      <name val="ＭＳ ゴシック"/>
      <family val="3"/>
    </font>
    <font>
      <b/>
      <sz val="10"/>
      <name val="ＭＳ 明朝"/>
      <family val="1"/>
    </font>
    <font>
      <sz val="10"/>
      <name val="ＭＳ Ｐゴシック"/>
      <family val="3"/>
    </font>
    <font>
      <sz val="11"/>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
      <color indexed="8"/>
      <name val="ＭＳ ゴシック"/>
      <family val="3"/>
    </font>
    <font>
      <sz val="10"/>
      <color indexed="8"/>
      <name val="ＭＳ 明朝"/>
      <family val="1"/>
    </font>
    <font>
      <sz val="10"/>
      <color indexed="8"/>
      <name val="ＭＳ ゴシック"/>
      <family val="3"/>
    </font>
    <font>
      <b/>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9"/>
      <color theme="1"/>
      <name val="ＭＳ ゴシック"/>
      <family val="3"/>
    </font>
    <font>
      <sz val="10"/>
      <color theme="1"/>
      <name val="ＭＳ 明朝"/>
      <family val="1"/>
    </font>
    <font>
      <sz val="10"/>
      <color theme="1"/>
      <name val="ＭＳ ゴシック"/>
      <family val="3"/>
    </font>
    <font>
      <b/>
      <sz val="10"/>
      <color theme="1"/>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CCFFFF"/>
        <bgColor indexed="64"/>
      </patternFill>
    </fill>
    <fill>
      <patternFill patternType="solid">
        <fgColor rgb="FFFFFFCC"/>
        <bgColor indexed="64"/>
      </patternFill>
    </fill>
    <fill>
      <patternFill patternType="solid">
        <fgColor rgb="FFFFFF99"/>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hair"/>
      <right style="medium"/>
      <top style="thin"/>
      <bottom>
        <color indexed="63"/>
      </bottom>
    </border>
    <border>
      <left style="hair"/>
      <right style="thin"/>
      <top style="thin"/>
      <bottom style="hair">
        <color indexed="55"/>
      </bottom>
    </border>
    <border>
      <left style="hair"/>
      <right style="medium"/>
      <top style="thin"/>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hair"/>
      <right style="hair"/>
      <top style="thin"/>
      <bottom>
        <color indexed="63"/>
      </bottom>
    </border>
    <border>
      <left style="hair"/>
      <right style="thin"/>
      <top>
        <color indexed="63"/>
      </top>
      <bottom style="hair">
        <color indexed="55"/>
      </bottom>
    </border>
    <border>
      <left style="hair"/>
      <right style="medium"/>
      <top>
        <color indexed="63"/>
      </top>
      <bottom style="hair">
        <color indexed="55"/>
      </bottom>
    </border>
    <border>
      <left style="medium"/>
      <right>
        <color indexed="63"/>
      </right>
      <top style="thin"/>
      <bottom>
        <color indexed="63"/>
      </bottom>
    </border>
    <border>
      <left style="thin"/>
      <right style="hair"/>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medium"/>
      <bottom>
        <color indexed="63"/>
      </bottom>
    </border>
    <border>
      <left style="hair"/>
      <right style="thin"/>
      <top style="hair"/>
      <bottom style="thin"/>
    </border>
    <border>
      <left style="hair"/>
      <right/>
      <top style="hair"/>
      <bottom style="thin"/>
    </border>
    <border>
      <left style="hair"/>
      <right/>
      <top style="thin"/>
      <bottom/>
    </border>
    <border>
      <left style="medium"/>
      <right/>
      <top/>
      <bottom style="hair">
        <color rgb="FF969696"/>
      </bottom>
    </border>
    <border>
      <left style="thin"/>
      <right style="medium"/>
      <top/>
      <bottom style="hair">
        <color rgb="FF969696"/>
      </bottom>
    </border>
    <border>
      <left style="medium"/>
      <right/>
      <top style="hair">
        <color rgb="FF969696"/>
      </top>
      <bottom style="hair">
        <color rgb="FF969696"/>
      </bottom>
    </border>
    <border>
      <left style="thin"/>
      <right style="medium"/>
      <top style="hair">
        <color rgb="FF969696"/>
      </top>
      <bottom style="hair">
        <color rgb="FF969696"/>
      </bottom>
    </border>
    <border>
      <left style="medium"/>
      <right/>
      <top/>
      <bottom style="double"/>
    </border>
    <border>
      <left style="thin"/>
      <right style="medium"/>
      <top/>
      <bottom style="double"/>
    </border>
    <border>
      <left style="medium"/>
      <right>
        <color indexed="63"/>
      </right>
      <top>
        <color indexed="63"/>
      </top>
      <bottom style="medium"/>
    </border>
    <border>
      <left style="thin"/>
      <right style="medium"/>
      <top>
        <color indexed="63"/>
      </top>
      <bottom style="medium"/>
    </border>
    <border>
      <left style="thin"/>
      <right style="medium"/>
      <top style="double"/>
      <bottom style="medium"/>
    </border>
    <border>
      <left>
        <color indexed="63"/>
      </left>
      <right>
        <color indexed="63"/>
      </right>
      <top style="medium"/>
      <bottom>
        <color indexed="63"/>
      </bottom>
    </border>
    <border>
      <left style="hair"/>
      <right style="hair"/>
      <top>
        <color indexed="63"/>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hair">
        <color indexed="55"/>
      </top>
      <bottom>
        <color indexed="63"/>
      </bottom>
    </border>
    <border>
      <left style="hair"/>
      <right style="hair"/>
      <top style="thin"/>
      <bottom style="hair">
        <color indexed="55"/>
      </bottom>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style="thin"/>
      <right style="hair"/>
      <top>
        <color indexed="63"/>
      </top>
      <bottom style="hair">
        <color rgb="FF969696"/>
      </bottom>
    </border>
    <border>
      <left style="hair"/>
      <right style="thin"/>
      <top>
        <color indexed="63"/>
      </top>
      <bottom style="hair">
        <color rgb="FF969696"/>
      </bottom>
    </border>
    <border>
      <left style="hair"/>
      <right/>
      <top/>
      <bottom style="hair">
        <color rgb="FF969696"/>
      </bottom>
    </border>
    <border>
      <left style="thin"/>
      <right style="hair"/>
      <top style="hair">
        <color rgb="FF969696"/>
      </top>
      <bottom style="hair">
        <color rgb="FF969696"/>
      </bottom>
    </border>
    <border>
      <left style="hair"/>
      <right style="thin"/>
      <top style="hair">
        <color rgb="FF969696"/>
      </top>
      <bottom style="hair">
        <color rgb="FF969696"/>
      </bottom>
    </border>
    <border>
      <left style="hair"/>
      <right/>
      <top style="hair">
        <color rgb="FF969696"/>
      </top>
      <bottom style="hair">
        <color rgb="FF969696"/>
      </bottom>
    </border>
    <border>
      <left style="thin"/>
      <right style="hair"/>
      <top>
        <color indexed="63"/>
      </top>
      <bottom style="medium"/>
    </border>
    <border>
      <left style="hair"/>
      <right/>
      <top/>
      <bottom style="medium"/>
    </border>
    <border>
      <left style="thin"/>
      <right/>
      <top style="thin">
        <color rgb="FF969696"/>
      </top>
      <bottom style="double"/>
    </border>
    <border>
      <left style="hair"/>
      <right style="thin"/>
      <top style="thin">
        <color rgb="FF969696"/>
      </top>
      <bottom style="double"/>
    </border>
    <border>
      <left style="thin"/>
      <right style="hair"/>
      <top style="thin">
        <color rgb="FF969696"/>
      </top>
      <bottom style="double"/>
    </border>
    <border>
      <left style="thin"/>
      <right style="hair"/>
      <top style="hair">
        <color indexed="55"/>
      </top>
      <bottom style="medium"/>
    </border>
    <border>
      <left style="hair"/>
      <right style="medium"/>
      <top style="hair">
        <color indexed="55"/>
      </top>
      <bottom style="medium"/>
    </border>
    <border>
      <left>
        <color indexed="63"/>
      </left>
      <right/>
      <top style="hair"/>
      <bottom style="thin"/>
    </border>
    <border>
      <left style="thin"/>
      <right/>
      <top style="hair"/>
      <bottom style="thin"/>
    </border>
    <border>
      <left style="thin"/>
      <right style="hair"/>
      <top style="hair"/>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top style="hair">
        <color rgb="FF969696"/>
      </top>
      <bottom>
        <color indexed="63"/>
      </bottom>
    </border>
    <border>
      <left style="thin"/>
      <right style="hair"/>
      <top style="hair">
        <color rgb="FF969696"/>
      </top>
      <bottom>
        <color indexed="63"/>
      </bottom>
    </border>
    <border>
      <left style="hair"/>
      <right style="thin"/>
      <top style="hair">
        <color rgb="FF969696"/>
      </top>
      <bottom>
        <color indexed="63"/>
      </bottom>
    </border>
    <border>
      <left style="hair"/>
      <right/>
      <top style="hair">
        <color rgb="FF969696"/>
      </top>
      <bottom>
        <color indexed="63"/>
      </bottom>
    </border>
    <border>
      <left style="thin"/>
      <right style="medium"/>
      <top style="hair">
        <color rgb="FF969696"/>
      </top>
      <bottom>
        <color indexed="63"/>
      </bottom>
    </border>
    <border>
      <left style="medium"/>
      <right/>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hair"/>
      <right/>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thin"/>
      <right/>
      <top style="thin">
        <color theme="0" tint="-0.3499799966812134"/>
      </top>
      <bottom style="thin">
        <color theme="0" tint="-0.3499799966812134"/>
      </bottom>
    </border>
    <border>
      <left style="hair"/>
      <right style="thin"/>
      <top>
        <color indexed="63"/>
      </top>
      <bottom style="double"/>
    </border>
    <border>
      <left style="thin"/>
      <right style="hair"/>
      <top>
        <color indexed="63"/>
      </top>
      <bottom style="double"/>
    </border>
    <border>
      <left style="medium"/>
      <right/>
      <top style="thin">
        <color theme="0" tint="-0.3499799966812134"/>
      </top>
      <bottom style="thin">
        <color rgb="FF969696"/>
      </bottom>
    </border>
    <border>
      <left style="thin"/>
      <right style="hair"/>
      <top style="thin">
        <color theme="0" tint="-0.3499799966812134"/>
      </top>
      <bottom style="thin">
        <color rgb="FF969696"/>
      </bottom>
    </border>
    <border>
      <left style="hair"/>
      <right style="thin"/>
      <top style="thin">
        <color theme="0" tint="-0.3499799966812134"/>
      </top>
      <bottom style="thin">
        <color rgb="FF969696"/>
      </bottom>
    </border>
    <border>
      <left style="hair"/>
      <right/>
      <top style="thin">
        <color theme="0" tint="-0.3499799966812134"/>
      </top>
      <bottom style="thin">
        <color rgb="FF969696"/>
      </bottom>
    </border>
    <border>
      <left style="thin"/>
      <right style="medium"/>
      <top style="thin">
        <color theme="0" tint="-0.3499799966812134"/>
      </top>
      <bottom style="thin">
        <color rgb="FF969696"/>
      </bottom>
    </border>
    <border>
      <left style="thin"/>
      <right/>
      <top>
        <color indexed="63"/>
      </top>
      <bottom style="double"/>
    </border>
    <border>
      <left style="thin"/>
      <right style="medium"/>
      <top/>
      <bottom/>
    </border>
    <border>
      <left style="hair"/>
      <right style="hair"/>
      <top>
        <color indexed="63"/>
      </top>
      <bottom style="hair">
        <color rgb="FF969696"/>
      </bottom>
    </border>
    <border>
      <left style="thin"/>
      <right style="hair"/>
      <top>
        <color indexed="63"/>
      </top>
      <bottom>
        <color indexed="63"/>
      </bottom>
    </border>
    <border>
      <left style="hair"/>
      <right style="hair"/>
      <top>
        <color indexed="63"/>
      </top>
      <bottom>
        <color indexed="63"/>
      </bottom>
    </border>
    <border>
      <left style="hair"/>
      <right/>
      <top/>
      <bottom>
        <color indexed="63"/>
      </bottom>
    </border>
    <border>
      <left style="hair"/>
      <right style="hair"/>
      <top style="thin">
        <color theme="0" tint="-0.3499799966812134"/>
      </top>
      <bottom style="thin">
        <color theme="0" tint="-0.3499799966812134"/>
      </bottom>
    </border>
    <border>
      <left style="hair"/>
      <right style="hair"/>
      <top style="hair">
        <color rgb="FF969696"/>
      </top>
      <bottom>
        <color indexed="63"/>
      </bottom>
    </border>
    <border>
      <left style="hair"/>
      <right style="hair"/>
      <top style="hair">
        <color rgb="FF969696"/>
      </top>
      <bottom style="hair">
        <color rgb="FF969696"/>
      </bottom>
    </border>
    <border>
      <left style="thin"/>
      <right style="hair"/>
      <top style="double"/>
      <bottom style="medium"/>
    </border>
    <border>
      <left style="hair"/>
      <right style="hair"/>
      <top style="double"/>
      <bottom style="medium"/>
    </border>
    <border>
      <left style="hair"/>
      <right/>
      <top style="double"/>
      <bottom style="medium"/>
    </border>
    <border>
      <left style="hair"/>
      <right style="hair"/>
      <top style="hair">
        <color indexed="55"/>
      </top>
      <bottom style="thin"/>
    </border>
    <border>
      <left style="medium"/>
      <right style="hair"/>
      <top>
        <color indexed="63"/>
      </top>
      <bottom>
        <color indexed="63"/>
      </bottom>
    </border>
    <border>
      <left style="medium"/>
      <right style="hair"/>
      <top>
        <color indexed="63"/>
      </top>
      <bottom style="thin"/>
    </border>
    <border>
      <left style="medium"/>
      <right style="hair"/>
      <top style="thin"/>
      <bottom style="hair"/>
    </border>
    <border>
      <left style="medium"/>
      <right style="hair"/>
      <top style="hair"/>
      <bottom style="thin"/>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medium"/>
      <bottom style="thin"/>
    </border>
    <border>
      <left>
        <color indexed="63"/>
      </left>
      <right style="medium"/>
      <top style="medium"/>
      <bottom>
        <color indexed="63"/>
      </bottom>
    </border>
    <border>
      <left style="medium"/>
      <right style="hair"/>
      <top style="thin"/>
      <bottom>
        <color indexed="63"/>
      </bottom>
    </border>
    <border>
      <left style="medium"/>
      <right style="hair"/>
      <top>
        <color indexed="63"/>
      </top>
      <bottom style="medium"/>
    </border>
    <border>
      <left style="medium"/>
      <right/>
      <top/>
      <bottom style="thin"/>
    </border>
    <border>
      <left style="thin"/>
      <right style="thin"/>
      <top style="medium"/>
      <bottom style="hair"/>
    </border>
    <border>
      <left style="thin"/>
      <right style="hair"/>
      <top style="medium"/>
      <bottom style="hair"/>
    </border>
    <border>
      <left style="hair"/>
      <right/>
      <top style="medium"/>
      <bottom style="hair"/>
    </border>
    <border>
      <left style="thin"/>
      <right style="hair"/>
      <top style="hair"/>
      <bottom style="hair"/>
    </border>
    <border>
      <left style="hair"/>
      <right/>
      <top style="hair"/>
      <bottom style="hair"/>
    </border>
    <border>
      <left style="thin"/>
      <right style="medium"/>
      <top/>
      <bottom style="thin"/>
    </border>
    <border>
      <left style="thin"/>
      <right style="thin"/>
      <top style="hair"/>
      <bottom style="hair"/>
    </border>
    <border>
      <left style="hair"/>
      <right style="thin"/>
      <top style="hair"/>
      <bottom style="hair"/>
    </border>
    <border>
      <left/>
      <right/>
      <top/>
      <bottom style="medium"/>
    </border>
    <border>
      <left style="thin"/>
      <right/>
      <top style="medium"/>
      <bottom style="hair"/>
    </border>
    <border>
      <left/>
      <right/>
      <top style="medium"/>
      <bottom style="hair"/>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4" fillId="0" borderId="0" applyNumberFormat="0" applyFill="0" applyBorder="0" applyAlignment="0" applyProtection="0"/>
    <xf numFmtId="0" fontId="54" fillId="32" borderId="0" applyNumberFormat="0" applyBorder="0" applyAlignment="0" applyProtection="0"/>
  </cellStyleXfs>
  <cellXfs count="303">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3" fontId="2" fillId="33" borderId="18" xfId="0" applyNumberFormat="1" applyFont="1" applyFill="1" applyBorder="1" applyAlignment="1">
      <alignment horizontal="right" vertical="center"/>
    </xf>
    <xf numFmtId="3" fontId="2" fillId="33" borderId="19" xfId="0" applyNumberFormat="1" applyFont="1" applyFill="1" applyBorder="1" applyAlignment="1">
      <alignment horizontal="right" vertical="center"/>
    </xf>
    <xf numFmtId="0" fontId="2" fillId="0" borderId="18" xfId="0" applyFont="1" applyBorder="1" applyAlignment="1">
      <alignment horizontal="distributed" vertical="center"/>
    </xf>
    <xf numFmtId="0" fontId="2" fillId="0" borderId="20" xfId="0" applyFont="1" applyBorder="1" applyAlignment="1">
      <alignment horizontal="distributed" vertical="center"/>
    </xf>
    <xf numFmtId="0" fontId="6" fillId="0" borderId="20" xfId="0" applyFont="1" applyBorder="1" applyAlignment="1">
      <alignment horizontal="distributed" vertical="center"/>
    </xf>
    <xf numFmtId="0" fontId="2" fillId="0" borderId="21" xfId="0" applyFont="1" applyBorder="1" applyAlignment="1">
      <alignment horizontal="distributed" vertical="center"/>
    </xf>
    <xf numFmtId="3" fontId="2" fillId="34" borderId="22" xfId="0" applyNumberFormat="1" applyFont="1" applyFill="1" applyBorder="1" applyAlignment="1">
      <alignment horizontal="right" vertical="center"/>
    </xf>
    <xf numFmtId="3" fontId="2" fillId="34" borderId="23" xfId="0" applyNumberFormat="1" applyFont="1" applyFill="1" applyBorder="1" applyAlignment="1">
      <alignment horizontal="right" vertical="center"/>
    </xf>
    <xf numFmtId="3" fontId="2" fillId="33" borderId="21" xfId="0" applyNumberFormat="1" applyFont="1" applyFill="1" applyBorder="1" applyAlignment="1">
      <alignment horizontal="right" vertical="center"/>
    </xf>
    <xf numFmtId="3" fontId="2" fillId="33" borderId="24" xfId="0" applyNumberFormat="1" applyFont="1" applyFill="1" applyBorder="1" applyAlignment="1">
      <alignment horizontal="right" vertical="center"/>
    </xf>
    <xf numFmtId="0" fontId="2" fillId="0" borderId="25" xfId="0" applyFont="1" applyBorder="1" applyAlignment="1">
      <alignment horizontal="distributed" vertical="center"/>
    </xf>
    <xf numFmtId="0" fontId="7" fillId="33" borderId="10" xfId="0" applyFont="1" applyFill="1" applyBorder="1" applyAlignment="1">
      <alignment horizontal="right" vertical="top"/>
    </xf>
    <xf numFmtId="0" fontId="7" fillId="34" borderId="26" xfId="0" applyFont="1" applyFill="1" applyBorder="1" applyAlignment="1">
      <alignment horizontal="right" vertical="top"/>
    </xf>
    <xf numFmtId="0" fontId="2" fillId="0" borderId="27" xfId="0" applyFont="1" applyBorder="1" applyAlignment="1">
      <alignment horizontal="distributed" vertical="center"/>
    </xf>
    <xf numFmtId="3" fontId="2" fillId="33" borderId="27"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0" fontId="7" fillId="0" borderId="29" xfId="0" applyFont="1" applyFill="1" applyBorder="1" applyAlignment="1">
      <alignment horizontal="center" vertical="center"/>
    </xf>
    <xf numFmtId="0" fontId="7" fillId="33" borderId="17" xfId="0" applyFont="1" applyFill="1" applyBorder="1" applyAlignment="1">
      <alignment horizontal="right" vertical="top"/>
    </xf>
    <xf numFmtId="0" fontId="7" fillId="0" borderId="10" xfId="0" applyFont="1" applyFill="1" applyBorder="1" applyAlignment="1">
      <alignment horizontal="center" vertical="center"/>
    </xf>
    <xf numFmtId="3" fontId="2" fillId="34" borderId="30" xfId="0" applyNumberFormat="1" applyFont="1" applyFill="1" applyBorder="1" applyAlignment="1">
      <alignment horizontal="right" vertical="center"/>
    </xf>
    <xf numFmtId="0" fontId="2" fillId="0" borderId="29" xfId="0" applyFont="1" applyBorder="1" applyAlignment="1">
      <alignment horizontal="center" vertical="center"/>
    </xf>
    <xf numFmtId="0" fontId="7" fillId="34" borderId="13" xfId="0" applyFont="1" applyFill="1" applyBorder="1" applyAlignment="1">
      <alignment horizontal="right"/>
    </xf>
    <xf numFmtId="0" fontId="7" fillId="33" borderId="10" xfId="0" applyFont="1" applyFill="1" applyBorder="1" applyAlignment="1">
      <alignment horizontal="right"/>
    </xf>
    <xf numFmtId="0" fontId="7" fillId="33" borderId="17" xfId="0" applyFont="1" applyFill="1" applyBorder="1" applyAlignment="1">
      <alignment horizontal="right"/>
    </xf>
    <xf numFmtId="0" fontId="7" fillId="34" borderId="31" xfId="0" applyFont="1" applyFill="1" applyBorder="1" applyAlignment="1">
      <alignment horizontal="right"/>
    </xf>
    <xf numFmtId="0" fontId="7" fillId="34" borderId="32" xfId="0" applyFont="1" applyFill="1" applyBorder="1" applyAlignment="1">
      <alignment horizontal="right"/>
    </xf>
    <xf numFmtId="0" fontId="7" fillId="34" borderId="33" xfId="0" applyFont="1" applyFill="1" applyBorder="1" applyAlignment="1">
      <alignment horizontal="right"/>
    </xf>
    <xf numFmtId="0" fontId="7" fillId="34" borderId="34" xfId="0" applyFont="1" applyFill="1" applyBorder="1" applyAlignment="1">
      <alignment horizontal="right"/>
    </xf>
    <xf numFmtId="0" fontId="5" fillId="0" borderId="0" xfId="0" applyFont="1" applyAlignment="1">
      <alignment horizontal="center" vertical="top"/>
    </xf>
    <xf numFmtId="0" fontId="2" fillId="0" borderId="18" xfId="0" applyFont="1" applyBorder="1" applyAlignment="1">
      <alignment horizontal="distributed" vertical="center" wrapText="1"/>
    </xf>
    <xf numFmtId="0" fontId="2" fillId="0" borderId="0" xfId="0" applyFont="1" applyBorder="1" applyAlignment="1">
      <alignment horizontal="left" vertical="top"/>
    </xf>
    <xf numFmtId="0" fontId="0" fillId="0" borderId="0" xfId="0" applyFont="1" applyAlignment="1">
      <alignment/>
    </xf>
    <xf numFmtId="0" fontId="2" fillId="0" borderId="0" xfId="0" applyFont="1" applyAlignment="1" quotePrefix="1">
      <alignment horizontal="left" vertical="top"/>
    </xf>
    <xf numFmtId="0" fontId="2" fillId="0" borderId="35" xfId="0" applyFont="1" applyBorder="1" applyAlignment="1">
      <alignment horizontal="distributed" vertical="center" indent="1"/>
    </xf>
    <xf numFmtId="0" fontId="10" fillId="0" borderId="0" xfId="61" applyFont="1" applyBorder="1" applyAlignment="1">
      <alignment horizontal="left" vertical="center"/>
      <protection/>
    </xf>
    <xf numFmtId="0" fontId="10" fillId="0" borderId="0" xfId="61" applyFont="1" applyBorder="1" applyAlignment="1">
      <alignment horizontal="left" vertical="top"/>
      <protection/>
    </xf>
    <xf numFmtId="0" fontId="10" fillId="0" borderId="36" xfId="61" applyFont="1" applyBorder="1" applyAlignment="1">
      <alignment horizontal="distributed" vertical="center" indent="1"/>
      <protection/>
    </xf>
    <xf numFmtId="0" fontId="10" fillId="0" borderId="37" xfId="61" applyFont="1" applyBorder="1" applyAlignment="1">
      <alignment horizontal="centerContinuous" vertical="center" wrapText="1"/>
      <protection/>
    </xf>
    <xf numFmtId="0" fontId="7" fillId="35" borderId="29" xfId="61" applyFont="1" applyFill="1" applyBorder="1" applyAlignment="1">
      <alignment horizontal="distributed" vertical="top"/>
      <protection/>
    </xf>
    <xf numFmtId="0" fontId="7" fillId="36" borderId="13" xfId="61" applyFont="1" applyFill="1" applyBorder="1" applyAlignment="1">
      <alignment horizontal="right" vertical="top"/>
      <protection/>
    </xf>
    <xf numFmtId="0" fontId="7" fillId="37" borderId="10" xfId="61" applyFont="1" applyFill="1" applyBorder="1" applyAlignment="1">
      <alignment horizontal="right" vertical="top"/>
      <protection/>
    </xf>
    <xf numFmtId="0" fontId="7" fillId="37" borderId="38" xfId="61" applyFont="1" applyFill="1" applyBorder="1" applyAlignment="1">
      <alignment horizontal="right" vertical="top"/>
      <protection/>
    </xf>
    <xf numFmtId="0" fontId="7" fillId="35" borderId="34" xfId="61" applyFont="1" applyFill="1" applyBorder="1" applyAlignment="1">
      <alignment horizontal="distributed" vertical="top"/>
      <protection/>
    </xf>
    <xf numFmtId="0" fontId="8" fillId="0" borderId="0" xfId="61" applyFont="1" applyBorder="1" applyAlignment="1">
      <alignment horizontal="right" vertical="top"/>
      <protection/>
    </xf>
    <xf numFmtId="0" fontId="10" fillId="35" borderId="39" xfId="61" applyFont="1" applyFill="1" applyBorder="1" applyAlignment="1">
      <alignment horizontal="distributed" vertical="center"/>
      <protection/>
    </xf>
    <xf numFmtId="0" fontId="10" fillId="35" borderId="40" xfId="61" applyFont="1" applyFill="1" applyBorder="1" applyAlignment="1">
      <alignment horizontal="distributed" vertical="center"/>
      <protection/>
    </xf>
    <xf numFmtId="0" fontId="9" fillId="0" borderId="0" xfId="61" applyFont="1" applyBorder="1">
      <alignment/>
      <protection/>
    </xf>
    <xf numFmtId="0" fontId="10" fillId="35" borderId="41" xfId="61" applyFont="1" applyFill="1" applyBorder="1" applyAlignment="1">
      <alignment horizontal="distributed" vertical="center"/>
      <protection/>
    </xf>
    <xf numFmtId="0" fontId="10" fillId="35" borderId="42" xfId="61" applyFont="1" applyFill="1" applyBorder="1" applyAlignment="1">
      <alignment horizontal="distributed" vertical="center"/>
      <protection/>
    </xf>
    <xf numFmtId="0" fontId="12" fillId="0" borderId="43" xfId="61" applyFont="1" applyFill="1" applyBorder="1" applyAlignment="1">
      <alignment horizontal="distributed" vertical="center"/>
      <protection/>
    </xf>
    <xf numFmtId="0" fontId="12" fillId="0" borderId="44" xfId="61" applyFont="1" applyFill="1" applyBorder="1" applyAlignment="1">
      <alignment horizontal="center" vertical="center"/>
      <protection/>
    </xf>
    <xf numFmtId="0" fontId="11" fillId="0" borderId="45" xfId="61" applyFont="1" applyBorder="1" applyAlignment="1">
      <alignment horizontal="center" vertical="center"/>
      <protection/>
    </xf>
    <xf numFmtId="0" fontId="11" fillId="0" borderId="46" xfId="61" applyFont="1" applyBorder="1" applyAlignment="1">
      <alignment horizontal="center" vertical="center"/>
      <protection/>
    </xf>
    <xf numFmtId="0" fontId="13" fillId="0" borderId="0" xfId="61" applyFont="1" applyBorder="1">
      <alignment/>
      <protection/>
    </xf>
    <xf numFmtId="0" fontId="8" fillId="0" borderId="0" xfId="61" applyFont="1" applyBorder="1" applyAlignment="1">
      <alignment vertical="top"/>
      <protection/>
    </xf>
    <xf numFmtId="0" fontId="10" fillId="35" borderId="29" xfId="61" applyFont="1" applyFill="1" applyBorder="1" applyAlignment="1">
      <alignment horizontal="distributed" vertical="top"/>
      <protection/>
    </xf>
    <xf numFmtId="0" fontId="10" fillId="36" borderId="13" xfId="61" applyFont="1" applyFill="1" applyBorder="1" applyAlignment="1">
      <alignment horizontal="right" vertical="top"/>
      <protection/>
    </xf>
    <xf numFmtId="0" fontId="10" fillId="37" borderId="10" xfId="61" applyFont="1" applyFill="1" applyBorder="1" applyAlignment="1">
      <alignment horizontal="right" vertical="top"/>
      <protection/>
    </xf>
    <xf numFmtId="0" fontId="10" fillId="36" borderId="26" xfId="61" applyFont="1" applyFill="1" applyBorder="1" applyAlignment="1">
      <alignment horizontal="right" vertical="top"/>
      <protection/>
    </xf>
    <xf numFmtId="0" fontId="10" fillId="36" borderId="38" xfId="61" applyFont="1" applyFill="1" applyBorder="1" applyAlignment="1">
      <alignment horizontal="right" vertical="top"/>
      <protection/>
    </xf>
    <xf numFmtId="0" fontId="10" fillId="35" borderId="34" xfId="61" applyFont="1" applyFill="1" applyBorder="1" applyAlignment="1">
      <alignment horizontal="distributed" vertical="top"/>
      <protection/>
    </xf>
    <xf numFmtId="0" fontId="13" fillId="0" borderId="0" xfId="61" applyFont="1" applyBorder="1" applyAlignment="1">
      <alignment vertical="top"/>
      <protection/>
    </xf>
    <xf numFmtId="0" fontId="14" fillId="35" borderId="39" xfId="61" applyFont="1" applyFill="1" applyBorder="1" applyAlignment="1">
      <alignment horizontal="distributed" vertical="center" shrinkToFit="1"/>
      <protection/>
    </xf>
    <xf numFmtId="0" fontId="14" fillId="35" borderId="40" xfId="61" applyFont="1" applyFill="1" applyBorder="1" applyAlignment="1">
      <alignment horizontal="distributed" vertical="center" shrinkToFit="1"/>
      <protection/>
    </xf>
    <xf numFmtId="0" fontId="14" fillId="35" borderId="41" xfId="61" applyFont="1" applyFill="1" applyBorder="1" applyAlignment="1">
      <alignment horizontal="distributed" vertical="center" shrinkToFit="1"/>
      <protection/>
    </xf>
    <xf numFmtId="0" fontId="14" fillId="35" borderId="42" xfId="61" applyFont="1" applyFill="1" applyBorder="1" applyAlignment="1">
      <alignment horizontal="distributed" vertical="center" shrinkToFit="1"/>
      <protection/>
    </xf>
    <xf numFmtId="0" fontId="10" fillId="35" borderId="39" xfId="61" applyFont="1" applyFill="1" applyBorder="1" applyAlignment="1">
      <alignment horizontal="distributed" vertical="center" shrinkToFit="1"/>
      <protection/>
    </xf>
    <xf numFmtId="0" fontId="10" fillId="35" borderId="42" xfId="61" applyFont="1" applyFill="1" applyBorder="1" applyAlignment="1">
      <alignment horizontal="distributed" vertical="center" shrinkToFit="1"/>
      <protection/>
    </xf>
    <xf numFmtId="0" fontId="15" fillId="0" borderId="43" xfId="61" applyFont="1" applyFill="1" applyBorder="1" applyAlignment="1">
      <alignment horizontal="distributed" vertical="center" shrinkToFit="1"/>
      <protection/>
    </xf>
    <xf numFmtId="0" fontId="11" fillId="0" borderId="45" xfId="61" applyFont="1" applyBorder="1" applyAlignment="1">
      <alignment horizontal="center" vertical="center" shrinkToFit="1"/>
      <protection/>
    </xf>
    <xf numFmtId="0" fontId="11" fillId="0" borderId="47" xfId="61" applyFont="1" applyBorder="1" applyAlignment="1">
      <alignment horizontal="center" vertical="center" shrinkToFit="1"/>
      <protection/>
    </xf>
    <xf numFmtId="0" fontId="10" fillId="0" borderId="48" xfId="61" applyFont="1" applyBorder="1" applyAlignment="1">
      <alignment vertical="center"/>
      <protection/>
    </xf>
    <xf numFmtId="0" fontId="10" fillId="0" borderId="36" xfId="61" applyFont="1" applyBorder="1" applyAlignment="1">
      <alignment horizontal="distributed" vertical="center" wrapText="1" indent="1"/>
      <protection/>
    </xf>
    <xf numFmtId="0" fontId="10" fillId="0" borderId="36" xfId="61" applyFont="1" applyBorder="1" applyAlignment="1">
      <alignment horizontal="centerContinuous" vertical="center" wrapText="1"/>
      <protection/>
    </xf>
    <xf numFmtId="0" fontId="2" fillId="0" borderId="0" xfId="0" applyFont="1" applyFill="1" applyBorder="1" applyAlignment="1">
      <alignment horizontal="distributed" vertical="center"/>
    </xf>
    <xf numFmtId="3" fontId="2" fillId="0" borderId="0" xfId="0" applyNumberFormat="1" applyFont="1" applyFill="1" applyBorder="1" applyAlignment="1">
      <alignment horizontal="right" vertical="center"/>
    </xf>
    <xf numFmtId="0" fontId="2" fillId="0" borderId="0" xfId="0" applyFont="1" applyFill="1" applyAlignment="1">
      <alignment horizontal="left" vertical="top"/>
    </xf>
    <xf numFmtId="3" fontId="2" fillId="0" borderId="0" xfId="0" applyNumberFormat="1" applyFont="1" applyFill="1" applyBorder="1" applyAlignment="1">
      <alignment horizontal="right" vertical="center" indent="1"/>
    </xf>
    <xf numFmtId="3" fontId="2" fillId="0" borderId="0" xfId="0" applyNumberFormat="1" applyFont="1" applyFill="1" applyAlignment="1">
      <alignment horizontal="left" vertical="center"/>
    </xf>
    <xf numFmtId="0" fontId="2" fillId="0" borderId="0" xfId="0" applyFont="1" applyFill="1" applyAlignment="1">
      <alignment horizontal="left" vertical="center"/>
    </xf>
    <xf numFmtId="0" fontId="11" fillId="0" borderId="0" xfId="61" applyFont="1" applyFill="1" applyBorder="1" applyAlignment="1">
      <alignment horizontal="center" vertical="center"/>
      <protection/>
    </xf>
    <xf numFmtId="177" fontId="11" fillId="0" borderId="0" xfId="61" applyNumberFormat="1" applyFont="1" applyFill="1" applyBorder="1" applyAlignment="1">
      <alignment horizontal="right" vertical="center"/>
      <protection/>
    </xf>
    <xf numFmtId="0" fontId="9" fillId="0" borderId="0" xfId="61" applyFont="1" applyFill="1" applyBorder="1">
      <alignment/>
      <protection/>
    </xf>
    <xf numFmtId="3" fontId="2" fillId="34" borderId="49" xfId="0" applyNumberFormat="1" applyFont="1" applyFill="1" applyBorder="1" applyAlignment="1">
      <alignment horizontal="right" vertical="center"/>
    </xf>
    <xf numFmtId="3" fontId="2" fillId="34" borderId="50" xfId="0" applyNumberFormat="1" applyFont="1" applyFill="1" applyBorder="1" applyAlignment="1">
      <alignment horizontal="right" vertical="center"/>
    </xf>
    <xf numFmtId="3" fontId="2" fillId="33" borderId="20" xfId="0" applyNumberFormat="1" applyFont="1" applyFill="1" applyBorder="1" applyAlignment="1">
      <alignment horizontal="right" vertical="center"/>
    </xf>
    <xf numFmtId="3" fontId="2" fillId="33" borderId="51" xfId="0" applyNumberFormat="1" applyFont="1" applyFill="1" applyBorder="1" applyAlignment="1">
      <alignment horizontal="right" vertical="center"/>
    </xf>
    <xf numFmtId="3" fontId="6" fillId="34" borderId="50" xfId="0" applyNumberFormat="1" applyFont="1" applyFill="1" applyBorder="1" applyAlignment="1">
      <alignment horizontal="right" vertical="center"/>
    </xf>
    <xf numFmtId="3" fontId="6" fillId="33" borderId="20" xfId="0" applyNumberFormat="1" applyFont="1" applyFill="1" applyBorder="1" applyAlignment="1">
      <alignment horizontal="right" vertical="center"/>
    </xf>
    <xf numFmtId="3" fontId="6" fillId="33" borderId="51" xfId="0" applyNumberFormat="1" applyFont="1" applyFill="1" applyBorder="1" applyAlignment="1">
      <alignment horizontal="right" vertical="center"/>
    </xf>
    <xf numFmtId="3" fontId="2" fillId="34" borderId="52" xfId="0" applyNumberFormat="1" applyFont="1" applyFill="1" applyBorder="1" applyAlignment="1">
      <alignment horizontal="right" vertical="center"/>
    </xf>
    <xf numFmtId="3" fontId="2" fillId="33" borderId="53" xfId="0" applyNumberFormat="1" applyFont="1" applyFill="1" applyBorder="1" applyAlignment="1">
      <alignment horizontal="right" vertical="center"/>
    </xf>
    <xf numFmtId="3" fontId="2" fillId="33" borderId="54" xfId="0" applyNumberFormat="1" applyFont="1" applyFill="1" applyBorder="1" applyAlignment="1">
      <alignment horizontal="right" vertical="center"/>
    </xf>
    <xf numFmtId="3" fontId="2" fillId="34" borderId="55" xfId="0" applyNumberFormat="1" applyFont="1" applyFill="1" applyBorder="1" applyAlignment="1">
      <alignment horizontal="right" vertical="center"/>
    </xf>
    <xf numFmtId="3" fontId="2" fillId="34" borderId="55" xfId="0" applyNumberFormat="1" applyFont="1" applyFill="1" applyBorder="1" applyAlignment="1">
      <alignment vertical="center"/>
    </xf>
    <xf numFmtId="3" fontId="2" fillId="34" borderId="56" xfId="0" applyNumberFormat="1" applyFont="1" applyFill="1" applyBorder="1" applyAlignment="1">
      <alignment horizontal="right" vertical="center"/>
    </xf>
    <xf numFmtId="3" fontId="2" fillId="33" borderId="57" xfId="0" applyNumberFormat="1" applyFont="1" applyFill="1" applyBorder="1" applyAlignment="1">
      <alignment horizontal="right" vertical="center"/>
    </xf>
    <xf numFmtId="3" fontId="2" fillId="33" borderId="58" xfId="0" applyNumberFormat="1" applyFont="1" applyFill="1" applyBorder="1" applyAlignment="1">
      <alignment horizontal="right" vertical="center"/>
    </xf>
    <xf numFmtId="177" fontId="14" fillId="36" borderId="59" xfId="61" applyNumberFormat="1" applyFont="1" applyFill="1" applyBorder="1" applyAlignment="1">
      <alignment horizontal="right" vertical="center" shrinkToFit="1"/>
      <protection/>
    </xf>
    <xf numFmtId="177" fontId="14" fillId="37" borderId="60" xfId="61" applyNumberFormat="1" applyFont="1" applyFill="1" applyBorder="1" applyAlignment="1">
      <alignment horizontal="right" vertical="center" shrinkToFit="1"/>
      <protection/>
    </xf>
    <xf numFmtId="177" fontId="14" fillId="37" borderId="61" xfId="61" applyNumberFormat="1" applyFont="1" applyFill="1" applyBorder="1" applyAlignment="1">
      <alignment horizontal="right" vertical="center" shrinkToFit="1"/>
      <protection/>
    </xf>
    <xf numFmtId="177" fontId="14" fillId="36" borderId="62" xfId="61" applyNumberFormat="1" applyFont="1" applyFill="1" applyBorder="1" applyAlignment="1">
      <alignment horizontal="right" vertical="center" shrinkToFit="1"/>
      <protection/>
    </xf>
    <xf numFmtId="177" fontId="14" fillId="37" borderId="63" xfId="61" applyNumberFormat="1" applyFont="1" applyFill="1" applyBorder="1" applyAlignment="1">
      <alignment horizontal="right" vertical="center" shrinkToFit="1"/>
      <protection/>
    </xf>
    <xf numFmtId="177" fontId="14" fillId="37" borderId="64" xfId="61" applyNumberFormat="1" applyFont="1" applyFill="1" applyBorder="1" applyAlignment="1">
      <alignment horizontal="right" vertical="center" shrinkToFit="1"/>
      <protection/>
    </xf>
    <xf numFmtId="177" fontId="11" fillId="36" borderId="65" xfId="61" applyNumberFormat="1" applyFont="1" applyFill="1" applyBorder="1" applyAlignment="1">
      <alignment horizontal="right" vertical="center" shrinkToFit="1"/>
      <protection/>
    </xf>
    <xf numFmtId="177" fontId="11" fillId="37" borderId="57" xfId="61" applyNumberFormat="1" applyFont="1" applyFill="1" applyBorder="1" applyAlignment="1">
      <alignment horizontal="right" vertical="center" shrinkToFit="1"/>
      <protection/>
    </xf>
    <xf numFmtId="177" fontId="11" fillId="37" borderId="66" xfId="61" applyNumberFormat="1" applyFont="1" applyFill="1" applyBorder="1" applyAlignment="1">
      <alignment horizontal="right" vertical="center" shrinkToFit="1"/>
      <protection/>
    </xf>
    <xf numFmtId="0" fontId="0" fillId="0" borderId="0" xfId="61" applyFont="1" applyBorder="1">
      <alignment/>
      <protection/>
    </xf>
    <xf numFmtId="177" fontId="10" fillId="36" borderId="59" xfId="61" applyNumberFormat="1" applyFont="1" applyFill="1" applyBorder="1" applyAlignment="1">
      <alignment horizontal="right" vertical="center"/>
      <protection/>
    </xf>
    <xf numFmtId="177" fontId="10" fillId="37" borderId="60" xfId="61" applyNumberFormat="1" applyFont="1" applyFill="1" applyBorder="1" applyAlignment="1">
      <alignment horizontal="right" vertical="center"/>
      <protection/>
    </xf>
    <xf numFmtId="177" fontId="10" fillId="37" borderId="61" xfId="61" applyNumberFormat="1" applyFont="1" applyFill="1" applyBorder="1" applyAlignment="1">
      <alignment horizontal="right" vertical="center"/>
      <protection/>
    </xf>
    <xf numFmtId="177" fontId="10" fillId="36" borderId="62" xfId="61" applyNumberFormat="1" applyFont="1" applyFill="1" applyBorder="1" applyAlignment="1">
      <alignment horizontal="right" vertical="center"/>
      <protection/>
    </xf>
    <xf numFmtId="177" fontId="10" fillId="37" borderId="63" xfId="61" applyNumberFormat="1" applyFont="1" applyFill="1" applyBorder="1" applyAlignment="1">
      <alignment horizontal="right" vertical="center"/>
      <protection/>
    </xf>
    <xf numFmtId="177" fontId="10" fillId="37" borderId="64" xfId="61" applyNumberFormat="1" applyFont="1" applyFill="1" applyBorder="1" applyAlignment="1">
      <alignment horizontal="right" vertical="center"/>
      <protection/>
    </xf>
    <xf numFmtId="177" fontId="10" fillId="37" borderId="64" xfId="61" applyNumberFormat="1" applyFont="1" applyFill="1" applyBorder="1" applyAlignment="1">
      <alignment horizontal="right" vertical="center" shrinkToFit="1"/>
      <protection/>
    </xf>
    <xf numFmtId="177" fontId="12" fillId="0" borderId="67" xfId="61" applyNumberFormat="1" applyFont="1" applyFill="1" applyBorder="1" applyAlignment="1">
      <alignment horizontal="right" vertical="center"/>
      <protection/>
    </xf>
    <xf numFmtId="177" fontId="12" fillId="0" borderId="68" xfId="61" applyNumberFormat="1" applyFont="1" applyFill="1" applyBorder="1" applyAlignment="1">
      <alignment horizontal="right" vertical="center"/>
      <protection/>
    </xf>
    <xf numFmtId="177" fontId="12" fillId="0" borderId="69" xfId="61" applyNumberFormat="1" applyFont="1" applyFill="1" applyBorder="1" applyAlignment="1">
      <alignment horizontal="right" vertical="center"/>
      <protection/>
    </xf>
    <xf numFmtId="177" fontId="11" fillId="36" borderId="65" xfId="61" applyNumberFormat="1" applyFont="1" applyFill="1" applyBorder="1" applyAlignment="1">
      <alignment horizontal="right" vertical="center"/>
      <protection/>
    </xf>
    <xf numFmtId="177" fontId="11" fillId="37" borderId="57" xfId="61" applyNumberFormat="1" applyFont="1" applyFill="1" applyBorder="1" applyAlignment="1">
      <alignment horizontal="right" vertical="center"/>
      <protection/>
    </xf>
    <xf numFmtId="177" fontId="11" fillId="37" borderId="66" xfId="61" applyNumberFormat="1" applyFont="1" applyFill="1" applyBorder="1" applyAlignment="1">
      <alignment horizontal="right" vertical="center"/>
      <protection/>
    </xf>
    <xf numFmtId="0" fontId="0" fillId="0" borderId="0" xfId="61" applyFont="1" applyFill="1" applyBorder="1">
      <alignment/>
      <protection/>
    </xf>
    <xf numFmtId="0" fontId="0" fillId="0" borderId="0" xfId="61" applyFont="1" applyBorder="1" applyAlignment="1">
      <alignment horizontal="center"/>
      <protection/>
    </xf>
    <xf numFmtId="3" fontId="2" fillId="34" borderId="70" xfId="0" applyNumberFormat="1" applyFont="1" applyFill="1" applyBorder="1" applyAlignment="1">
      <alignment horizontal="right" vertical="center"/>
    </xf>
    <xf numFmtId="3" fontId="2" fillId="33" borderId="25" xfId="0" applyNumberFormat="1" applyFont="1" applyFill="1" applyBorder="1" applyAlignment="1">
      <alignment horizontal="right" vertical="center"/>
    </xf>
    <xf numFmtId="3" fontId="2" fillId="33" borderId="71" xfId="0" applyNumberFormat="1" applyFont="1" applyFill="1" applyBorder="1" applyAlignment="1">
      <alignment horizontal="right" vertical="center"/>
    </xf>
    <xf numFmtId="0" fontId="10" fillId="0" borderId="72" xfId="61" applyFont="1" applyBorder="1" applyAlignment="1">
      <alignment horizontal="centerContinuous" vertical="center" wrapText="1"/>
      <protection/>
    </xf>
    <xf numFmtId="0" fontId="10" fillId="0" borderId="73" xfId="61" applyFont="1" applyBorder="1" applyAlignment="1">
      <alignment horizontal="centerContinuous" vertical="center" wrapText="1"/>
      <protection/>
    </xf>
    <xf numFmtId="0" fontId="10" fillId="0" borderId="74" xfId="61" applyFont="1" applyBorder="1" applyAlignment="1">
      <alignment horizontal="centerContinuous" vertical="center" wrapText="1"/>
      <protection/>
    </xf>
    <xf numFmtId="3" fontId="2" fillId="34" borderId="75" xfId="0" applyNumberFormat="1" applyFont="1" applyFill="1" applyBorder="1" applyAlignment="1">
      <alignment vertical="center"/>
    </xf>
    <xf numFmtId="3" fontId="2" fillId="34" borderId="76" xfId="0" applyNumberFormat="1" applyFont="1" applyFill="1" applyBorder="1" applyAlignment="1">
      <alignment vertical="center"/>
    </xf>
    <xf numFmtId="3" fontId="2" fillId="34" borderId="77" xfId="0" applyNumberFormat="1" applyFont="1" applyFill="1" applyBorder="1" applyAlignment="1">
      <alignment vertical="center"/>
    </xf>
    <xf numFmtId="3" fontId="2" fillId="34" borderId="46" xfId="0" applyNumberFormat="1" applyFont="1" applyFill="1" applyBorder="1" applyAlignment="1">
      <alignment vertical="center"/>
    </xf>
    <xf numFmtId="0" fontId="10" fillId="35" borderId="78" xfId="61" applyFont="1" applyFill="1" applyBorder="1" applyAlignment="1">
      <alignment horizontal="distributed" vertical="center"/>
      <protection/>
    </xf>
    <xf numFmtId="177" fontId="10" fillId="36" borderId="79" xfId="61" applyNumberFormat="1" applyFont="1" applyFill="1" applyBorder="1" applyAlignment="1">
      <alignment horizontal="right" vertical="center"/>
      <protection/>
    </xf>
    <xf numFmtId="177" fontId="10" fillId="37" borderId="80" xfId="61" applyNumberFormat="1" applyFont="1" applyFill="1" applyBorder="1" applyAlignment="1">
      <alignment horizontal="right" vertical="center"/>
      <protection/>
    </xf>
    <xf numFmtId="177" fontId="10" fillId="37" borderId="81" xfId="61" applyNumberFormat="1" applyFont="1" applyFill="1" applyBorder="1" applyAlignment="1">
      <alignment horizontal="right" vertical="center"/>
      <protection/>
    </xf>
    <xf numFmtId="0" fontId="10" fillId="35" borderId="82" xfId="61" applyFont="1" applyFill="1" applyBorder="1" applyAlignment="1">
      <alignment horizontal="distributed" vertical="center"/>
      <protection/>
    </xf>
    <xf numFmtId="0" fontId="11" fillId="35" borderId="83" xfId="61" applyFont="1" applyFill="1" applyBorder="1" applyAlignment="1">
      <alignment horizontal="distributed" vertical="center"/>
      <protection/>
    </xf>
    <xf numFmtId="177" fontId="11" fillId="36" borderId="84" xfId="61" applyNumberFormat="1" applyFont="1" applyFill="1" applyBorder="1" applyAlignment="1">
      <alignment horizontal="right" vertical="center"/>
      <protection/>
    </xf>
    <xf numFmtId="177" fontId="11" fillId="37" borderId="85" xfId="61" applyNumberFormat="1" applyFont="1" applyFill="1" applyBorder="1" applyAlignment="1">
      <alignment horizontal="right" vertical="center"/>
      <protection/>
    </xf>
    <xf numFmtId="177" fontId="11" fillId="37" borderId="86" xfId="61" applyNumberFormat="1" applyFont="1" applyFill="1" applyBorder="1" applyAlignment="1">
      <alignment horizontal="right" vertical="center"/>
      <protection/>
    </xf>
    <xf numFmtId="0" fontId="11" fillId="35" borderId="87" xfId="61" applyFont="1" applyFill="1" applyBorder="1" applyAlignment="1">
      <alignment horizontal="distributed" vertical="center"/>
      <protection/>
    </xf>
    <xf numFmtId="0" fontId="12" fillId="0" borderId="83" xfId="61" applyFont="1" applyFill="1" applyBorder="1" applyAlignment="1">
      <alignment horizontal="distributed" vertical="center"/>
      <protection/>
    </xf>
    <xf numFmtId="177" fontId="12" fillId="0" borderId="88" xfId="61" applyNumberFormat="1" applyFont="1" applyFill="1" applyBorder="1" applyAlignment="1">
      <alignment horizontal="right" vertical="center"/>
      <protection/>
    </xf>
    <xf numFmtId="177" fontId="12" fillId="0" borderId="85" xfId="61" applyNumberFormat="1" applyFont="1" applyFill="1" applyBorder="1" applyAlignment="1">
      <alignment horizontal="right" vertical="center"/>
      <protection/>
    </xf>
    <xf numFmtId="177" fontId="12" fillId="0" borderId="84" xfId="61" applyNumberFormat="1" applyFont="1" applyFill="1" applyBorder="1" applyAlignment="1">
      <alignment horizontal="right" vertical="center"/>
      <protection/>
    </xf>
    <xf numFmtId="0" fontId="12" fillId="0" borderId="87" xfId="61" applyFont="1" applyFill="1" applyBorder="1" applyAlignment="1">
      <alignment horizontal="center" vertical="center"/>
      <protection/>
    </xf>
    <xf numFmtId="177" fontId="12" fillId="0" borderId="89" xfId="61" applyNumberFormat="1" applyFont="1" applyFill="1" applyBorder="1" applyAlignment="1">
      <alignment horizontal="right" vertical="center"/>
      <protection/>
    </xf>
    <xf numFmtId="177" fontId="12" fillId="0" borderId="90" xfId="61" applyNumberFormat="1" applyFont="1" applyFill="1" applyBorder="1" applyAlignment="1">
      <alignment horizontal="right" vertical="center"/>
      <protection/>
    </xf>
    <xf numFmtId="0" fontId="11" fillId="35" borderId="91" xfId="61" applyFont="1" applyFill="1" applyBorder="1" applyAlignment="1">
      <alignment horizontal="distributed" vertical="center"/>
      <protection/>
    </xf>
    <xf numFmtId="177" fontId="11" fillId="36" borderId="92" xfId="61" applyNumberFormat="1" applyFont="1" applyFill="1" applyBorder="1" applyAlignment="1">
      <alignment horizontal="right" vertical="center"/>
      <protection/>
    </xf>
    <xf numFmtId="177" fontId="11" fillId="37" borderId="93" xfId="61" applyNumberFormat="1" applyFont="1" applyFill="1" applyBorder="1" applyAlignment="1">
      <alignment horizontal="right" vertical="center"/>
      <protection/>
    </xf>
    <xf numFmtId="177" fontId="11" fillId="37" borderId="94" xfId="61" applyNumberFormat="1" applyFont="1" applyFill="1" applyBorder="1" applyAlignment="1">
      <alignment horizontal="right" vertical="center"/>
      <protection/>
    </xf>
    <xf numFmtId="0" fontId="11" fillId="35" borderId="95" xfId="61" applyFont="1" applyFill="1" applyBorder="1" applyAlignment="1">
      <alignment horizontal="distributed" vertical="center"/>
      <protection/>
    </xf>
    <xf numFmtId="0" fontId="14" fillId="35" borderId="78" xfId="61" applyFont="1" applyFill="1" applyBorder="1" applyAlignment="1">
      <alignment horizontal="distributed" vertical="center" shrinkToFit="1"/>
      <protection/>
    </xf>
    <xf numFmtId="177" fontId="14" fillId="36" borderId="79" xfId="61" applyNumberFormat="1" applyFont="1" applyFill="1" applyBorder="1" applyAlignment="1">
      <alignment horizontal="right" vertical="center" shrinkToFit="1"/>
      <protection/>
    </xf>
    <xf numFmtId="177" fontId="14" fillId="37" borderId="80" xfId="61" applyNumberFormat="1" applyFont="1" applyFill="1" applyBorder="1" applyAlignment="1">
      <alignment horizontal="right" vertical="center" shrinkToFit="1"/>
      <protection/>
    </xf>
    <xf numFmtId="177" fontId="14" fillId="37" borderId="81" xfId="61" applyNumberFormat="1" applyFont="1" applyFill="1" applyBorder="1" applyAlignment="1">
      <alignment horizontal="right" vertical="center" shrinkToFit="1"/>
      <protection/>
    </xf>
    <xf numFmtId="0" fontId="14" fillId="35" borderId="82" xfId="61" applyFont="1" applyFill="1" applyBorder="1" applyAlignment="1">
      <alignment horizontal="distributed" vertical="center" shrinkToFit="1"/>
      <protection/>
    </xf>
    <xf numFmtId="0" fontId="9" fillId="35" borderId="83" xfId="61" applyFont="1" applyFill="1" applyBorder="1" applyAlignment="1">
      <alignment horizontal="distributed" vertical="center" shrinkToFit="1"/>
      <protection/>
    </xf>
    <xf numFmtId="177" fontId="9" fillId="36" borderId="84" xfId="61" applyNumberFormat="1" applyFont="1" applyFill="1" applyBorder="1" applyAlignment="1">
      <alignment horizontal="right" vertical="center" shrinkToFit="1"/>
      <protection/>
    </xf>
    <xf numFmtId="177" fontId="9" fillId="37" borderId="85" xfId="61" applyNumberFormat="1" applyFont="1" applyFill="1" applyBorder="1" applyAlignment="1">
      <alignment horizontal="right" vertical="center" shrinkToFit="1"/>
      <protection/>
    </xf>
    <xf numFmtId="177" fontId="9" fillId="37" borderId="86" xfId="61" applyNumberFormat="1" applyFont="1" applyFill="1" applyBorder="1" applyAlignment="1">
      <alignment horizontal="right" vertical="center" shrinkToFit="1"/>
      <protection/>
    </xf>
    <xf numFmtId="0" fontId="9" fillId="35" borderId="87" xfId="61" applyFont="1" applyFill="1" applyBorder="1" applyAlignment="1">
      <alignment horizontal="distributed" vertical="center" shrinkToFit="1"/>
      <protection/>
    </xf>
    <xf numFmtId="0" fontId="15" fillId="0" borderId="83" xfId="61" applyFont="1" applyFill="1" applyBorder="1" applyAlignment="1">
      <alignment horizontal="distributed" vertical="center" shrinkToFit="1"/>
      <protection/>
    </xf>
    <xf numFmtId="177" fontId="15" fillId="0" borderId="88" xfId="61" applyNumberFormat="1" applyFont="1" applyFill="1" applyBorder="1" applyAlignment="1">
      <alignment horizontal="right" vertical="center" shrinkToFit="1"/>
      <protection/>
    </xf>
    <xf numFmtId="177" fontId="15" fillId="0" borderId="85" xfId="61" applyNumberFormat="1" applyFont="1" applyFill="1" applyBorder="1" applyAlignment="1">
      <alignment horizontal="right" vertical="center" shrinkToFit="1"/>
      <protection/>
    </xf>
    <xf numFmtId="177" fontId="15" fillId="0" borderId="84" xfId="61" applyNumberFormat="1" applyFont="1" applyFill="1" applyBorder="1" applyAlignment="1">
      <alignment horizontal="right" vertical="center" shrinkToFit="1"/>
      <protection/>
    </xf>
    <xf numFmtId="0" fontId="15" fillId="0" borderId="87" xfId="61" applyFont="1" applyFill="1" applyBorder="1" applyAlignment="1">
      <alignment horizontal="center" vertical="center" shrinkToFit="1"/>
      <protection/>
    </xf>
    <xf numFmtId="177" fontId="15" fillId="0" borderId="96" xfId="61" applyNumberFormat="1" applyFont="1" applyFill="1" applyBorder="1" applyAlignment="1">
      <alignment horizontal="right" vertical="center" shrinkToFit="1"/>
      <protection/>
    </xf>
    <xf numFmtId="177" fontId="15" fillId="0" borderId="89" xfId="61" applyNumberFormat="1" applyFont="1" applyFill="1" applyBorder="1" applyAlignment="1">
      <alignment horizontal="right" vertical="center" shrinkToFit="1"/>
      <protection/>
    </xf>
    <xf numFmtId="177" fontId="15" fillId="0" borderId="90" xfId="61" applyNumberFormat="1" applyFont="1" applyFill="1" applyBorder="1" applyAlignment="1">
      <alignment horizontal="right" vertical="center" shrinkToFit="1"/>
      <protection/>
    </xf>
    <xf numFmtId="0" fontId="15" fillId="0" borderId="97" xfId="61" applyFont="1" applyFill="1" applyBorder="1" applyAlignment="1">
      <alignment horizontal="center" vertical="center" shrinkToFit="1"/>
      <protection/>
    </xf>
    <xf numFmtId="0" fontId="2" fillId="0" borderId="48" xfId="0" applyFont="1" applyBorder="1" applyAlignment="1">
      <alignment horizontal="left" vertical="top" wrapText="1"/>
    </xf>
    <xf numFmtId="3" fontId="55" fillId="34" borderId="49" xfId="0" applyNumberFormat="1" applyFont="1" applyFill="1" applyBorder="1" applyAlignment="1">
      <alignment horizontal="right" vertical="center"/>
    </xf>
    <xf numFmtId="3" fontId="55" fillId="34" borderId="50" xfId="0" applyNumberFormat="1" applyFont="1" applyFill="1" applyBorder="1" applyAlignment="1">
      <alignment horizontal="right" vertical="center"/>
    </xf>
    <xf numFmtId="3" fontId="56" fillId="34" borderId="50" xfId="0" applyNumberFormat="1" applyFont="1" applyFill="1" applyBorder="1" applyAlignment="1">
      <alignment horizontal="right" vertical="center"/>
    </xf>
    <xf numFmtId="3" fontId="55" fillId="34" borderId="52" xfId="0" applyNumberFormat="1" applyFont="1" applyFill="1" applyBorder="1" applyAlignment="1">
      <alignment horizontal="right" vertical="center"/>
    </xf>
    <xf numFmtId="3" fontId="55" fillId="34" borderId="22" xfId="0" applyNumberFormat="1" applyFont="1" applyFill="1" applyBorder="1" applyAlignment="1">
      <alignment horizontal="right" vertical="center"/>
    </xf>
    <xf numFmtId="3" fontId="55" fillId="34" borderId="70" xfId="0" applyNumberFormat="1" applyFont="1" applyFill="1" applyBorder="1" applyAlignment="1">
      <alignment horizontal="right" vertical="center"/>
    </xf>
    <xf numFmtId="177" fontId="57" fillId="37" borderId="60" xfId="61" applyNumberFormat="1" applyFont="1" applyFill="1" applyBorder="1" applyAlignment="1">
      <alignment horizontal="right" vertical="center"/>
      <protection/>
    </xf>
    <xf numFmtId="177" fontId="57" fillId="36" borderId="59" xfId="61" applyNumberFormat="1" applyFont="1" applyFill="1" applyBorder="1" applyAlignment="1">
      <alignment horizontal="right" vertical="center"/>
      <protection/>
    </xf>
    <xf numFmtId="177" fontId="57" fillId="37" borderId="61" xfId="61" applyNumberFormat="1" applyFont="1" applyFill="1" applyBorder="1" applyAlignment="1">
      <alignment horizontal="right" vertical="center"/>
      <protection/>
    </xf>
    <xf numFmtId="177" fontId="57" fillId="37" borderId="63" xfId="61" applyNumberFormat="1" applyFont="1" applyFill="1" applyBorder="1" applyAlignment="1">
      <alignment horizontal="right" vertical="center"/>
      <protection/>
    </xf>
    <xf numFmtId="177" fontId="57" fillId="36" borderId="62" xfId="61" applyNumberFormat="1" applyFont="1" applyFill="1" applyBorder="1" applyAlignment="1">
      <alignment horizontal="right" vertical="center"/>
      <protection/>
    </xf>
    <xf numFmtId="177" fontId="57" fillId="37" borderId="64" xfId="61" applyNumberFormat="1" applyFont="1" applyFill="1" applyBorder="1" applyAlignment="1">
      <alignment horizontal="right" vertical="center"/>
      <protection/>
    </xf>
    <xf numFmtId="177" fontId="57" fillId="37" borderId="80" xfId="61" applyNumberFormat="1" applyFont="1" applyFill="1" applyBorder="1" applyAlignment="1">
      <alignment horizontal="right" vertical="center"/>
      <protection/>
    </xf>
    <xf numFmtId="177" fontId="57" fillId="36" borderId="79" xfId="61" applyNumberFormat="1" applyFont="1" applyFill="1" applyBorder="1" applyAlignment="1">
      <alignment horizontal="right" vertical="center"/>
      <protection/>
    </xf>
    <xf numFmtId="177" fontId="57" fillId="37" borderId="81" xfId="61" applyNumberFormat="1" applyFont="1" applyFill="1" applyBorder="1" applyAlignment="1">
      <alignment horizontal="right" vertical="center"/>
      <protection/>
    </xf>
    <xf numFmtId="177" fontId="58" fillId="36" borderId="84" xfId="61" applyNumberFormat="1" applyFont="1" applyFill="1" applyBorder="1" applyAlignment="1">
      <alignment horizontal="right" vertical="center"/>
      <protection/>
    </xf>
    <xf numFmtId="177" fontId="58" fillId="37" borderId="85" xfId="61" applyNumberFormat="1" applyFont="1" applyFill="1" applyBorder="1" applyAlignment="1">
      <alignment horizontal="right" vertical="center"/>
      <protection/>
    </xf>
    <xf numFmtId="177" fontId="58" fillId="37" borderId="86" xfId="61" applyNumberFormat="1" applyFont="1" applyFill="1" applyBorder="1" applyAlignment="1">
      <alignment horizontal="right" vertical="center"/>
      <protection/>
    </xf>
    <xf numFmtId="177" fontId="59" fillId="0" borderId="89" xfId="61" applyNumberFormat="1" applyFont="1" applyFill="1" applyBorder="1" applyAlignment="1">
      <alignment horizontal="right" vertical="center"/>
      <protection/>
    </xf>
    <xf numFmtId="177" fontId="59" fillId="0" borderId="96" xfId="61" applyNumberFormat="1" applyFont="1" applyFill="1" applyBorder="1" applyAlignment="1">
      <alignment horizontal="right" vertical="center"/>
      <protection/>
    </xf>
    <xf numFmtId="177" fontId="59" fillId="0" borderId="90" xfId="61" applyNumberFormat="1" applyFont="1" applyFill="1" applyBorder="1" applyAlignment="1">
      <alignment horizontal="right" vertical="center"/>
      <protection/>
    </xf>
    <xf numFmtId="177" fontId="58" fillId="37" borderId="57" xfId="61" applyNumberFormat="1" applyFont="1" applyFill="1" applyBorder="1" applyAlignment="1">
      <alignment horizontal="right" vertical="center"/>
      <protection/>
    </xf>
    <xf numFmtId="177" fontId="58" fillId="36" borderId="65" xfId="61" applyNumberFormat="1" applyFont="1" applyFill="1" applyBorder="1" applyAlignment="1">
      <alignment horizontal="right" vertical="center"/>
      <protection/>
    </xf>
    <xf numFmtId="177" fontId="58" fillId="37" borderId="66" xfId="61" applyNumberFormat="1" applyFont="1" applyFill="1" applyBorder="1" applyAlignment="1">
      <alignment horizontal="right" vertical="center"/>
      <protection/>
    </xf>
    <xf numFmtId="41" fontId="14" fillId="36" borderId="59" xfId="61" applyNumberFormat="1" applyFont="1" applyFill="1" applyBorder="1" applyAlignment="1">
      <alignment horizontal="right" vertical="center" shrinkToFit="1"/>
      <protection/>
    </xf>
    <xf numFmtId="41" fontId="14" fillId="36" borderId="98" xfId="61" applyNumberFormat="1" applyFont="1" applyFill="1" applyBorder="1" applyAlignment="1">
      <alignment horizontal="right" vertical="center" shrinkToFit="1"/>
      <protection/>
    </xf>
    <xf numFmtId="41" fontId="14" fillId="36" borderId="61" xfId="61" applyNumberFormat="1" applyFont="1" applyFill="1" applyBorder="1" applyAlignment="1">
      <alignment horizontal="right" vertical="center" shrinkToFit="1"/>
      <protection/>
    </xf>
    <xf numFmtId="41" fontId="14" fillId="36" borderId="99" xfId="61" applyNumberFormat="1" applyFont="1" applyFill="1" applyBorder="1" applyAlignment="1">
      <alignment horizontal="right" vertical="center" shrinkToFit="1"/>
      <protection/>
    </xf>
    <xf numFmtId="41" fontId="14" fillId="36" borderId="100" xfId="61" applyNumberFormat="1" applyFont="1" applyFill="1" applyBorder="1" applyAlignment="1">
      <alignment horizontal="right" vertical="center" shrinkToFit="1"/>
      <protection/>
    </xf>
    <xf numFmtId="41" fontId="14" fillId="36" borderId="101" xfId="61" applyNumberFormat="1" applyFont="1" applyFill="1" applyBorder="1" applyAlignment="1">
      <alignment horizontal="right" vertical="center" shrinkToFit="1"/>
      <protection/>
    </xf>
    <xf numFmtId="41" fontId="9" fillId="36" borderId="84" xfId="61" applyNumberFormat="1" applyFont="1" applyFill="1" applyBorder="1" applyAlignment="1">
      <alignment horizontal="right" vertical="center" shrinkToFit="1"/>
      <protection/>
    </xf>
    <xf numFmtId="41" fontId="9" fillId="36" borderId="102" xfId="61" applyNumberFormat="1" applyFont="1" applyFill="1" applyBorder="1" applyAlignment="1">
      <alignment horizontal="right" vertical="center" shrinkToFit="1"/>
      <protection/>
    </xf>
    <xf numFmtId="41" fontId="9" fillId="36" borderId="86" xfId="61" applyNumberFormat="1" applyFont="1" applyFill="1" applyBorder="1" applyAlignment="1">
      <alignment horizontal="right" vertical="center" shrinkToFit="1"/>
      <protection/>
    </xf>
    <xf numFmtId="41" fontId="14" fillId="0" borderId="84" xfId="61" applyNumberFormat="1" applyFont="1" applyFill="1" applyBorder="1" applyAlignment="1">
      <alignment horizontal="right" vertical="center" shrinkToFit="1"/>
      <protection/>
    </xf>
    <xf numFmtId="41" fontId="14" fillId="0" borderId="102" xfId="61" applyNumberFormat="1" applyFont="1" applyFill="1" applyBorder="1" applyAlignment="1">
      <alignment horizontal="right" vertical="center" shrinkToFit="1"/>
      <protection/>
    </xf>
    <xf numFmtId="41" fontId="14" fillId="0" borderId="86" xfId="61" applyNumberFormat="1" applyFont="1" applyFill="1" applyBorder="1" applyAlignment="1">
      <alignment horizontal="right" vertical="center" shrinkToFit="1"/>
      <protection/>
    </xf>
    <xf numFmtId="41" fontId="14" fillId="36" borderId="79" xfId="61" applyNumberFormat="1" applyFont="1" applyFill="1" applyBorder="1" applyAlignment="1">
      <alignment horizontal="right" vertical="center" shrinkToFit="1"/>
      <protection/>
    </xf>
    <xf numFmtId="41" fontId="14" fillId="36" borderId="103" xfId="61" applyNumberFormat="1" applyFont="1" applyFill="1" applyBorder="1" applyAlignment="1">
      <alignment horizontal="right" vertical="center" shrinkToFit="1"/>
      <protection/>
    </xf>
    <xf numFmtId="41" fontId="14" fillId="36" borderId="81" xfId="61" applyNumberFormat="1" applyFont="1" applyFill="1" applyBorder="1" applyAlignment="1">
      <alignment horizontal="right" vertical="center" shrinkToFit="1"/>
      <protection/>
    </xf>
    <xf numFmtId="41" fontId="14" fillId="36" borderId="62" xfId="61" applyNumberFormat="1" applyFont="1" applyFill="1" applyBorder="1" applyAlignment="1">
      <alignment horizontal="right" vertical="center" shrinkToFit="1"/>
      <protection/>
    </xf>
    <xf numFmtId="41" fontId="14" fillId="36" borderId="104" xfId="61" applyNumberFormat="1" applyFont="1" applyFill="1" applyBorder="1" applyAlignment="1">
      <alignment horizontal="right" vertical="center" shrinkToFit="1"/>
      <protection/>
    </xf>
    <xf numFmtId="41" fontId="14" fillId="36" borderId="64" xfId="61" applyNumberFormat="1" applyFont="1" applyFill="1" applyBorder="1" applyAlignment="1">
      <alignment horizontal="right" vertical="center" shrinkToFit="1"/>
      <protection/>
    </xf>
    <xf numFmtId="41" fontId="14" fillId="0" borderId="99" xfId="61" applyNumberFormat="1" applyFont="1" applyFill="1" applyBorder="1" applyAlignment="1">
      <alignment horizontal="right" vertical="center" shrinkToFit="1"/>
      <protection/>
    </xf>
    <xf numFmtId="41" fontId="14" fillId="0" borderId="100" xfId="61" applyNumberFormat="1" applyFont="1" applyFill="1" applyBorder="1" applyAlignment="1">
      <alignment horizontal="right" vertical="center" shrinkToFit="1"/>
      <protection/>
    </xf>
    <xf numFmtId="41" fontId="14" fillId="0" borderId="101" xfId="61" applyNumberFormat="1" applyFont="1" applyFill="1" applyBorder="1" applyAlignment="1">
      <alignment horizontal="right" vertical="center" shrinkToFit="1"/>
      <protection/>
    </xf>
    <xf numFmtId="41" fontId="11" fillId="36" borderId="105" xfId="61" applyNumberFormat="1" applyFont="1" applyFill="1" applyBorder="1" applyAlignment="1">
      <alignment horizontal="right" vertical="center" shrinkToFit="1"/>
      <protection/>
    </xf>
    <xf numFmtId="41" fontId="11" fillId="36" borderId="106" xfId="61" applyNumberFormat="1" applyFont="1" applyFill="1" applyBorder="1" applyAlignment="1">
      <alignment horizontal="right" vertical="center" shrinkToFit="1"/>
      <protection/>
    </xf>
    <xf numFmtId="41" fontId="11" fillId="36" borderId="107" xfId="61" applyNumberFormat="1" applyFont="1" applyFill="1" applyBorder="1" applyAlignment="1">
      <alignment horizontal="right" vertical="center" shrinkToFit="1"/>
      <protection/>
    </xf>
    <xf numFmtId="0" fontId="2" fillId="0" borderId="26" xfId="0" applyFont="1" applyBorder="1" applyAlignment="1">
      <alignment horizontal="center" vertical="center"/>
    </xf>
    <xf numFmtId="0" fontId="2" fillId="0" borderId="21" xfId="0" applyFont="1" applyBorder="1" applyAlignment="1">
      <alignment horizontal="distributed" vertical="center" wrapText="1"/>
    </xf>
    <xf numFmtId="3" fontId="2" fillId="34" borderId="108" xfId="0" applyNumberFormat="1" applyFont="1" applyFill="1" applyBorder="1" applyAlignment="1">
      <alignment horizontal="right" vertical="center"/>
    </xf>
    <xf numFmtId="3" fontId="2" fillId="34" borderId="108" xfId="0" applyNumberFormat="1" applyFont="1" applyFill="1" applyBorder="1" applyAlignment="1">
      <alignment vertical="center"/>
    </xf>
    <xf numFmtId="0" fontId="2" fillId="0" borderId="0" xfId="0" applyFont="1" applyAlignment="1">
      <alignment horizontal="right" vertical="top"/>
    </xf>
    <xf numFmtId="0" fontId="2" fillId="0" borderId="109" xfId="0" applyFont="1" applyBorder="1" applyAlignment="1">
      <alignment horizontal="distributed" vertical="center" wrapText="1"/>
    </xf>
    <xf numFmtId="0" fontId="2" fillId="0" borderId="109" xfId="0" applyFont="1" applyBorder="1" applyAlignment="1">
      <alignment horizontal="distributed" vertical="center"/>
    </xf>
    <xf numFmtId="0" fontId="2" fillId="0" borderId="110" xfId="0" applyFont="1" applyBorder="1" applyAlignment="1">
      <alignment horizontal="distributed" vertical="center"/>
    </xf>
    <xf numFmtId="0" fontId="2" fillId="0" borderId="111" xfId="0" applyFont="1" applyBorder="1" applyAlignment="1">
      <alignment horizontal="distributed" vertical="center" wrapText="1"/>
    </xf>
    <xf numFmtId="0" fontId="2" fillId="0" borderId="112" xfId="0" applyFont="1" applyBorder="1" applyAlignment="1">
      <alignment horizontal="distributed" vertical="center"/>
    </xf>
    <xf numFmtId="0" fontId="2" fillId="0" borderId="45" xfId="0" applyFont="1" applyBorder="1" applyAlignment="1">
      <alignment horizontal="distributed" vertical="center"/>
    </xf>
    <xf numFmtId="0" fontId="2" fillId="0" borderId="113" xfId="0" applyFont="1" applyBorder="1" applyAlignment="1">
      <alignment horizontal="distributed" vertical="center"/>
    </xf>
    <xf numFmtId="0" fontId="2" fillId="0" borderId="48" xfId="0" applyFont="1" applyBorder="1"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center" vertical="top"/>
    </xf>
    <xf numFmtId="0" fontId="2" fillId="0" borderId="0" xfId="0" applyFont="1" applyAlignment="1">
      <alignment horizontal="left" vertical="top"/>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48"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distributed" vertical="center"/>
    </xf>
    <xf numFmtId="0" fontId="2" fillId="0" borderId="124" xfId="0" applyFont="1" applyBorder="1" applyAlignment="1">
      <alignment horizontal="distributed" vertical="center"/>
    </xf>
    <xf numFmtId="0" fontId="2" fillId="0" borderId="109" xfId="0" applyFont="1" applyBorder="1" applyAlignment="1">
      <alignment horizontal="distributed" vertical="center"/>
    </xf>
    <xf numFmtId="0" fontId="2" fillId="0" borderId="110" xfId="0" applyFont="1" applyBorder="1" applyAlignment="1">
      <alignment horizontal="distributed"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10" fillId="0" borderId="0" xfId="61" applyFont="1" applyBorder="1" applyAlignment="1">
      <alignment horizontal="left" vertical="center"/>
      <protection/>
    </xf>
    <xf numFmtId="0" fontId="10" fillId="0" borderId="114" xfId="61" applyFont="1" applyBorder="1" applyAlignment="1">
      <alignment horizontal="distributed" vertical="center"/>
      <protection/>
    </xf>
    <xf numFmtId="0" fontId="10" fillId="0" borderId="116" xfId="61" applyFont="1" applyBorder="1" applyAlignment="1">
      <alignment horizontal="distributed" vertical="center"/>
      <protection/>
    </xf>
    <xf numFmtId="0" fontId="10" fillId="0" borderId="125" xfId="61" applyFont="1" applyBorder="1" applyAlignment="1">
      <alignment horizontal="distributed" vertical="center"/>
      <protection/>
    </xf>
    <xf numFmtId="0" fontId="10" fillId="0" borderId="126" xfId="61" applyFont="1" applyBorder="1" applyAlignment="1">
      <alignment horizontal="center" vertical="center"/>
      <protection/>
    </xf>
    <xf numFmtId="0" fontId="10" fillId="0" borderId="127" xfId="61" applyFont="1" applyBorder="1" applyAlignment="1">
      <alignment horizontal="distributed" vertical="center" indent="1"/>
      <protection/>
    </xf>
    <xf numFmtId="0" fontId="10" fillId="0" borderId="128" xfId="61" applyFont="1" applyBorder="1" applyAlignment="1">
      <alignment horizontal="distributed" vertical="center" indent="1"/>
      <protection/>
    </xf>
    <xf numFmtId="0" fontId="10" fillId="0" borderId="129" xfId="61" applyFont="1" applyBorder="1" applyAlignment="1">
      <alignment horizontal="distributed" vertical="center" indent="1"/>
      <protection/>
    </xf>
    <xf numFmtId="0" fontId="10" fillId="0" borderId="130" xfId="61" applyFont="1" applyBorder="1" applyAlignment="1">
      <alignment horizontal="distributed" vertical="center" indent="1"/>
      <protection/>
    </xf>
    <xf numFmtId="0" fontId="10" fillId="0" borderId="127" xfId="61" applyFont="1" applyBorder="1" applyAlignment="1">
      <alignment horizontal="distributed" vertical="center" wrapText="1" indent="1"/>
      <protection/>
    </xf>
    <xf numFmtId="0" fontId="10" fillId="0" borderId="127" xfId="61" applyFont="1" applyBorder="1" applyAlignment="1">
      <alignment horizontal="center" vertical="center"/>
      <protection/>
    </xf>
    <xf numFmtId="0" fontId="10" fillId="0" borderId="128" xfId="61" applyFont="1" applyBorder="1" applyAlignment="1">
      <alignment horizontal="center" vertical="center"/>
      <protection/>
    </xf>
    <xf numFmtId="0" fontId="10" fillId="0" borderId="129" xfId="61" applyFont="1" applyBorder="1" applyAlignment="1">
      <alignment horizontal="center" vertical="center"/>
      <protection/>
    </xf>
    <xf numFmtId="0" fontId="10" fillId="0" borderId="130" xfId="61" applyFont="1" applyBorder="1" applyAlignment="1">
      <alignment horizontal="center" vertical="center"/>
      <protection/>
    </xf>
    <xf numFmtId="0" fontId="10" fillId="0" borderId="35" xfId="61" applyFont="1" applyBorder="1" applyAlignment="1">
      <alignment horizontal="distributed" vertical="center" wrapText="1"/>
      <protection/>
    </xf>
    <xf numFmtId="0" fontId="10" fillId="0" borderId="97" xfId="61" applyFont="1" applyBorder="1" applyAlignment="1">
      <alignment horizontal="distributed" vertical="center" wrapText="1"/>
      <protection/>
    </xf>
    <xf numFmtId="0" fontId="10" fillId="0" borderId="131" xfId="61" applyFont="1" applyBorder="1" applyAlignment="1">
      <alignment horizontal="distributed" vertical="center" wrapText="1"/>
      <protection/>
    </xf>
    <xf numFmtId="0" fontId="10" fillId="0" borderId="132" xfId="61" applyFont="1" applyBorder="1" applyAlignment="1">
      <alignment horizontal="distributed" vertical="center" indent="1"/>
      <protection/>
    </xf>
    <xf numFmtId="0" fontId="10" fillId="0" borderId="133" xfId="61" applyFont="1" applyBorder="1" applyAlignment="1">
      <alignment horizontal="distributed" vertical="center" indent="1"/>
      <protection/>
    </xf>
    <xf numFmtId="0" fontId="10" fillId="0" borderId="133" xfId="61" applyFont="1" applyBorder="1" applyAlignment="1">
      <alignment horizontal="center" vertical="center"/>
      <protection/>
    </xf>
    <xf numFmtId="0" fontId="10" fillId="0" borderId="134" xfId="61" applyFont="1" applyBorder="1" applyAlignment="1">
      <alignment horizontal="left" vertical="center"/>
      <protection/>
    </xf>
    <xf numFmtId="0" fontId="10" fillId="0" borderId="126" xfId="61" applyFont="1" applyBorder="1" applyAlignment="1">
      <alignment horizontal="distributed" vertical="center" indent="1"/>
      <protection/>
    </xf>
    <xf numFmtId="0" fontId="10" fillId="0" borderId="126" xfId="61" applyFont="1" applyBorder="1" applyAlignment="1">
      <alignment horizontal="distributed" vertical="center" wrapText="1" indent="1"/>
      <protection/>
    </xf>
    <xf numFmtId="0" fontId="10" fillId="0" borderId="132" xfId="61" applyFont="1" applyBorder="1" applyAlignment="1">
      <alignment horizontal="center" vertical="center"/>
      <protection/>
    </xf>
    <xf numFmtId="0" fontId="10" fillId="0" borderId="135" xfId="61" applyFont="1" applyBorder="1" applyAlignment="1">
      <alignment horizontal="center" vertical="center"/>
      <protection/>
    </xf>
    <xf numFmtId="0" fontId="10" fillId="0" borderId="136" xfId="61" applyFont="1" applyBorder="1" applyAlignment="1">
      <alignment horizontal="center" vertical="center"/>
      <protection/>
    </xf>
    <xf numFmtId="0" fontId="10" fillId="0" borderId="137" xfId="61" applyFont="1" applyBorder="1" applyAlignment="1">
      <alignment horizontal="distributed" vertical="center" wrapText="1"/>
      <protection/>
    </xf>
    <xf numFmtId="0" fontId="10" fillId="0" borderId="138" xfId="61" applyFont="1" applyBorder="1" applyAlignment="1">
      <alignment horizontal="distributed" vertical="center"/>
      <protection/>
    </xf>
    <xf numFmtId="0" fontId="10" fillId="0" borderId="139" xfId="61" applyFont="1" applyBorder="1" applyAlignment="1">
      <alignment horizontal="distributed" vertical="center" wrapText="1"/>
      <protection/>
    </xf>
    <xf numFmtId="0" fontId="10" fillId="0" borderId="140" xfId="61" applyFont="1" applyBorder="1" applyAlignment="1">
      <alignment horizontal="distributed" vertical="center"/>
      <protection/>
    </xf>
    <xf numFmtId="0" fontId="10" fillId="0" borderId="141" xfId="61" applyFont="1" applyBorder="1" applyAlignment="1">
      <alignment horizontal="distributed" vertical="center" wrapText="1"/>
      <protection/>
    </xf>
    <xf numFmtId="0" fontId="10" fillId="0" borderId="142" xfId="61" applyFont="1" applyBorder="1" applyAlignment="1">
      <alignment horizontal="distributed" vertical="center" wrapText="1"/>
      <protection/>
    </xf>
    <xf numFmtId="0" fontId="10" fillId="0" borderId="37"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8"/>
  <sheetViews>
    <sheetView showGridLines="0" tabSelected="1" workbookViewId="0" topLeftCell="A1">
      <selection activeCell="L7" sqref="L7"/>
    </sheetView>
  </sheetViews>
  <sheetFormatPr defaultColWidth="5.875" defaultRowHeight="13.5"/>
  <cols>
    <col min="1" max="1" width="10.625" style="1" customWidth="1"/>
    <col min="2" max="2" width="16.00390625" style="1" customWidth="1"/>
    <col min="3" max="3" width="9.125" style="1" customWidth="1"/>
    <col min="4" max="4" width="9.75390625" style="1" customWidth="1"/>
    <col min="5" max="5" width="9.125" style="1" customWidth="1"/>
    <col min="6" max="6" width="11.375" style="1" customWidth="1"/>
    <col min="7" max="7" width="9.125" style="1" customWidth="1"/>
    <col min="8" max="8" width="11.375" style="1" bestFit="1" customWidth="1"/>
    <col min="9" max="16384" width="5.875" style="1" customWidth="1"/>
  </cols>
  <sheetData>
    <row r="1" spans="1:8" ht="15">
      <c r="A1" s="252" t="s">
        <v>0</v>
      </c>
      <c r="B1" s="252"/>
      <c r="C1" s="252"/>
      <c r="D1" s="252"/>
      <c r="E1" s="252"/>
      <c r="F1" s="252"/>
      <c r="G1" s="252"/>
      <c r="H1" s="252"/>
    </row>
    <row r="2" spans="1:8" ht="15">
      <c r="A2" s="43"/>
      <c r="B2" s="43"/>
      <c r="C2" s="43"/>
      <c r="D2" s="43"/>
      <c r="E2" s="43"/>
      <c r="F2" s="43"/>
      <c r="G2" s="43"/>
      <c r="H2" s="43"/>
    </row>
    <row r="3" spans="1:8" ht="12" thickBot="1">
      <c r="A3" s="253" t="s">
        <v>25</v>
      </c>
      <c r="B3" s="253"/>
      <c r="C3" s="253"/>
      <c r="D3" s="253"/>
      <c r="E3" s="253"/>
      <c r="F3" s="253"/>
      <c r="G3" s="253"/>
      <c r="H3" s="253"/>
    </row>
    <row r="4" spans="1:8" ht="24" customHeight="1">
      <c r="A4" s="254" t="s">
        <v>1</v>
      </c>
      <c r="B4" s="255"/>
      <c r="C4" s="258" t="s">
        <v>231</v>
      </c>
      <c r="D4" s="259"/>
      <c r="E4" s="258" t="s">
        <v>232</v>
      </c>
      <c r="F4" s="259"/>
      <c r="G4" s="258" t="s">
        <v>233</v>
      </c>
      <c r="H4" s="260"/>
    </row>
    <row r="5" spans="1:8" ht="24" customHeight="1">
      <c r="A5" s="256"/>
      <c r="B5" s="257"/>
      <c r="C5" s="238" t="s">
        <v>2</v>
      </c>
      <c r="D5" s="6" t="s">
        <v>3</v>
      </c>
      <c r="E5" s="238" t="s">
        <v>2</v>
      </c>
      <c r="F5" s="6" t="s">
        <v>3</v>
      </c>
      <c r="G5" s="238" t="s">
        <v>2</v>
      </c>
      <c r="H5" s="14" t="s">
        <v>3</v>
      </c>
    </row>
    <row r="6" spans="1:8" ht="12" customHeight="1">
      <c r="A6" s="31"/>
      <c r="B6" s="33"/>
      <c r="C6" s="27" t="s">
        <v>27</v>
      </c>
      <c r="D6" s="26" t="s">
        <v>26</v>
      </c>
      <c r="E6" s="27" t="s">
        <v>27</v>
      </c>
      <c r="F6" s="26" t="s">
        <v>26</v>
      </c>
      <c r="G6" s="27" t="s">
        <v>27</v>
      </c>
      <c r="H6" s="32" t="s">
        <v>26</v>
      </c>
    </row>
    <row r="7" spans="1:8" ht="30" customHeight="1">
      <c r="A7" s="243" t="s">
        <v>28</v>
      </c>
      <c r="B7" s="28" t="s">
        <v>14</v>
      </c>
      <c r="C7" s="190">
        <v>55151</v>
      </c>
      <c r="D7" s="29">
        <v>39458861</v>
      </c>
      <c r="E7" s="98">
        <v>155858</v>
      </c>
      <c r="F7" s="29">
        <v>1499348959</v>
      </c>
      <c r="G7" s="98">
        <v>211009</v>
      </c>
      <c r="H7" s="30">
        <v>1538807820</v>
      </c>
    </row>
    <row r="8" spans="1:8" ht="30" customHeight="1">
      <c r="A8" s="244"/>
      <c r="B8" s="18" t="s">
        <v>15</v>
      </c>
      <c r="C8" s="191">
        <v>87283</v>
      </c>
      <c r="D8" s="100">
        <v>39499236</v>
      </c>
      <c r="E8" s="99">
        <v>57947</v>
      </c>
      <c r="F8" s="100">
        <v>37655656</v>
      </c>
      <c r="G8" s="99">
        <v>145230</v>
      </c>
      <c r="H8" s="101">
        <v>77154892</v>
      </c>
    </row>
    <row r="9" spans="1:8" s="3" customFormat="1" ht="30" customHeight="1">
      <c r="A9" s="244"/>
      <c r="B9" s="19" t="s">
        <v>16</v>
      </c>
      <c r="C9" s="192">
        <v>142434</v>
      </c>
      <c r="D9" s="103">
        <v>78958097</v>
      </c>
      <c r="E9" s="102">
        <v>213805</v>
      </c>
      <c r="F9" s="103">
        <v>1537004615</v>
      </c>
      <c r="G9" s="102">
        <v>356239</v>
      </c>
      <c r="H9" s="104">
        <v>1615962712</v>
      </c>
    </row>
    <row r="10" spans="1:8" ht="30" customHeight="1">
      <c r="A10" s="245"/>
      <c r="B10" s="20" t="s">
        <v>17</v>
      </c>
      <c r="C10" s="193">
        <v>4377</v>
      </c>
      <c r="D10" s="106">
        <v>3267817</v>
      </c>
      <c r="E10" s="105">
        <v>12830</v>
      </c>
      <c r="F10" s="106">
        <v>735064240</v>
      </c>
      <c r="G10" s="105">
        <v>17207</v>
      </c>
      <c r="H10" s="107">
        <v>738332057</v>
      </c>
    </row>
    <row r="11" spans="1:8" ht="30" customHeight="1">
      <c r="A11" s="246" t="s">
        <v>29</v>
      </c>
      <c r="B11" s="44" t="s">
        <v>18</v>
      </c>
      <c r="C11" s="108">
        <v>9484</v>
      </c>
      <c r="D11" s="15">
        <v>2199737</v>
      </c>
      <c r="E11" s="109">
        <v>10988</v>
      </c>
      <c r="F11" s="15">
        <v>4217680</v>
      </c>
      <c r="G11" s="109">
        <v>20472</v>
      </c>
      <c r="H11" s="16">
        <v>6417416</v>
      </c>
    </row>
    <row r="12" spans="1:8" ht="30" customHeight="1">
      <c r="A12" s="247"/>
      <c r="B12" s="239" t="s">
        <v>19</v>
      </c>
      <c r="C12" s="240">
        <v>1410</v>
      </c>
      <c r="D12" s="23">
        <v>318044</v>
      </c>
      <c r="E12" s="241">
        <v>1707</v>
      </c>
      <c r="F12" s="23">
        <v>3073043</v>
      </c>
      <c r="G12" s="241">
        <v>3117</v>
      </c>
      <c r="H12" s="24">
        <v>3391087</v>
      </c>
    </row>
    <row r="13" spans="1:8" ht="30" customHeight="1" thickBot="1">
      <c r="A13" s="248" t="s">
        <v>6</v>
      </c>
      <c r="B13" s="249"/>
      <c r="C13" s="110">
        <v>8635</v>
      </c>
      <c r="D13" s="111">
        <v>448424</v>
      </c>
      <c r="E13" s="110">
        <v>8577</v>
      </c>
      <c r="F13" s="111">
        <v>809440</v>
      </c>
      <c r="G13" s="110">
        <v>17212</v>
      </c>
      <c r="H13" s="112">
        <v>1257863</v>
      </c>
    </row>
    <row r="14" spans="1:8" s="91" customFormat="1" ht="3" customHeight="1" thickBot="1">
      <c r="A14" s="89"/>
      <c r="B14" s="89"/>
      <c r="C14" s="90"/>
      <c r="D14" s="90"/>
      <c r="E14" s="90"/>
      <c r="F14" s="90"/>
      <c r="G14" s="90"/>
      <c r="H14" s="90"/>
    </row>
    <row r="15" spans="1:8" s="4" customFormat="1" ht="37.5" customHeight="1">
      <c r="A15" s="189" t="s">
        <v>159</v>
      </c>
      <c r="B15" s="250" t="s">
        <v>228</v>
      </c>
      <c r="C15" s="250"/>
      <c r="D15" s="250"/>
      <c r="E15" s="250"/>
      <c r="F15" s="250"/>
      <c r="G15" s="250"/>
      <c r="H15" s="250"/>
    </row>
    <row r="16" spans="2:8" ht="45" customHeight="1">
      <c r="B16" s="251" t="s">
        <v>229</v>
      </c>
      <c r="C16" s="251"/>
      <c r="D16" s="251"/>
      <c r="E16" s="251"/>
      <c r="F16" s="251"/>
      <c r="G16" s="251"/>
      <c r="H16" s="251"/>
    </row>
    <row r="17" spans="1:2" ht="14.25" customHeight="1">
      <c r="A17" s="242" t="s">
        <v>230</v>
      </c>
      <c r="B17" s="1" t="s">
        <v>160</v>
      </c>
    </row>
    <row r="18" ht="11.25">
      <c r="A18" s="47"/>
    </row>
  </sheetData>
  <sheetProtection/>
  <mergeCells count="11">
    <mergeCell ref="C4:D4"/>
    <mergeCell ref="E4:F4"/>
    <mergeCell ref="G4:H4"/>
    <mergeCell ref="A7:A10"/>
    <mergeCell ref="A11:A12"/>
    <mergeCell ref="A13:B13"/>
    <mergeCell ref="B15:H15"/>
    <mergeCell ref="B16:H16"/>
    <mergeCell ref="A1:H1"/>
    <mergeCell ref="A3:H3"/>
    <mergeCell ref="A4:B5"/>
  </mergeCells>
  <printOptions horizontalCentered="1"/>
  <pageMargins left="0.11811023622047245" right="0.11811023622047245" top="0.7480314960629921" bottom="0.7480314960629921" header="0.31496062992125984" footer="0.31496062992125984"/>
  <pageSetup horizontalDpi="600" verticalDpi="600" orientation="portrait" paperSize="9" scale="48" r:id="rId1"/>
  <headerFooter alignWithMargins="0">
    <oddFooter>&amp;R&amp;K01+000名古屋国税局 消費税（R01）</oddFooter>
  </headerFooter>
</worksheet>
</file>

<file path=xl/worksheets/sheet2.xml><?xml version="1.0" encoding="utf-8"?>
<worksheet xmlns="http://schemas.openxmlformats.org/spreadsheetml/2006/main" xmlns:r="http://schemas.openxmlformats.org/officeDocument/2006/relationships">
  <dimension ref="A1:H22"/>
  <sheetViews>
    <sheetView showGridLines="0" zoomScaleSheetLayoutView="100" workbookViewId="0" topLeftCell="A1">
      <selection activeCell="A1" sqref="A1"/>
    </sheetView>
  </sheetViews>
  <sheetFormatPr defaultColWidth="9.00390625" defaultRowHeight="13.5"/>
  <cols>
    <col min="1" max="1" width="10.625" style="46" customWidth="1"/>
    <col min="2" max="2" width="15.625" style="46" customWidth="1"/>
    <col min="3" max="3" width="8.625" style="46" customWidth="1"/>
    <col min="4" max="4" width="10.625" style="46" customWidth="1"/>
    <col min="5" max="5" width="8.625" style="46" customWidth="1"/>
    <col min="6" max="6" width="12.875" style="46" bestFit="1" customWidth="1"/>
    <col min="7" max="7" width="8.625" style="46" customWidth="1"/>
    <col min="8" max="8" width="12.875" style="46" bestFit="1" customWidth="1"/>
    <col min="9" max="16384" width="9.00390625" style="46" customWidth="1"/>
  </cols>
  <sheetData>
    <row r="1" s="1" customFormat="1" ht="12" thickBot="1">
      <c r="A1" s="1" t="s">
        <v>30</v>
      </c>
    </row>
    <row r="2" spans="1:8" s="1" customFormat="1" ht="15" customHeight="1">
      <c r="A2" s="254" t="s">
        <v>1</v>
      </c>
      <c r="B2" s="255"/>
      <c r="C2" s="261" t="s">
        <v>13</v>
      </c>
      <c r="D2" s="261"/>
      <c r="E2" s="261" t="s">
        <v>20</v>
      </c>
      <c r="F2" s="261"/>
      <c r="G2" s="262" t="s">
        <v>21</v>
      </c>
      <c r="H2" s="263"/>
    </row>
    <row r="3" spans="1:8" s="1" customFormat="1" ht="15" customHeight="1">
      <c r="A3" s="256"/>
      <c r="B3" s="257"/>
      <c r="C3" s="9" t="s">
        <v>22</v>
      </c>
      <c r="D3" s="6" t="s">
        <v>23</v>
      </c>
      <c r="E3" s="9" t="s">
        <v>22</v>
      </c>
      <c r="F3" s="7" t="s">
        <v>23</v>
      </c>
      <c r="G3" s="9" t="s">
        <v>22</v>
      </c>
      <c r="H3" s="8" t="s">
        <v>23</v>
      </c>
    </row>
    <row r="4" spans="1:8" s="10" customFormat="1" ht="15" customHeight="1">
      <c r="A4" s="35"/>
      <c r="B4" s="6"/>
      <c r="C4" s="36" t="s">
        <v>4</v>
      </c>
      <c r="D4" s="37" t="s">
        <v>5</v>
      </c>
      <c r="E4" s="36" t="s">
        <v>4</v>
      </c>
      <c r="F4" s="37" t="s">
        <v>5</v>
      </c>
      <c r="G4" s="36" t="s">
        <v>4</v>
      </c>
      <c r="H4" s="38" t="s">
        <v>5</v>
      </c>
    </row>
    <row r="5" spans="1:8" s="45" customFormat="1" ht="30" customHeight="1">
      <c r="A5" s="266" t="s">
        <v>219</v>
      </c>
      <c r="B5" s="28" t="s">
        <v>11</v>
      </c>
      <c r="C5" s="34">
        <v>149996</v>
      </c>
      <c r="D5" s="29">
        <v>77162897</v>
      </c>
      <c r="E5" s="34">
        <v>213781</v>
      </c>
      <c r="F5" s="29">
        <v>1492886948</v>
      </c>
      <c r="G5" s="34">
        <v>363777</v>
      </c>
      <c r="H5" s="30">
        <v>1570049845</v>
      </c>
    </row>
    <row r="6" spans="1:8" s="45" customFormat="1" ht="30" customHeight="1">
      <c r="A6" s="267"/>
      <c r="B6" s="20" t="s">
        <v>12</v>
      </c>
      <c r="C6" s="22">
        <v>4201</v>
      </c>
      <c r="D6" s="23">
        <v>3442565</v>
      </c>
      <c r="E6" s="22">
        <v>11419</v>
      </c>
      <c r="F6" s="23">
        <v>557756889</v>
      </c>
      <c r="G6" s="22">
        <v>15620</v>
      </c>
      <c r="H6" s="24">
        <v>561199454</v>
      </c>
    </row>
    <row r="7" spans="1:8" s="45" customFormat="1" ht="30" customHeight="1">
      <c r="A7" s="266" t="s">
        <v>223</v>
      </c>
      <c r="B7" s="17" t="s">
        <v>11</v>
      </c>
      <c r="C7" s="21">
        <v>150456</v>
      </c>
      <c r="D7" s="15">
        <v>78017079</v>
      </c>
      <c r="E7" s="21">
        <v>214585</v>
      </c>
      <c r="F7" s="15">
        <v>1518559627</v>
      </c>
      <c r="G7" s="21">
        <v>365041</v>
      </c>
      <c r="H7" s="16">
        <v>1596576707</v>
      </c>
    </row>
    <row r="8" spans="1:8" s="45" customFormat="1" ht="30" customHeight="1">
      <c r="A8" s="267"/>
      <c r="B8" s="20" t="s">
        <v>12</v>
      </c>
      <c r="C8" s="22">
        <v>4192</v>
      </c>
      <c r="D8" s="23">
        <v>3539687</v>
      </c>
      <c r="E8" s="22">
        <v>11672</v>
      </c>
      <c r="F8" s="23">
        <v>581475508</v>
      </c>
      <c r="G8" s="22">
        <v>15864</v>
      </c>
      <c r="H8" s="24">
        <v>585015195</v>
      </c>
    </row>
    <row r="9" spans="1:8" s="45" customFormat="1" ht="30" customHeight="1">
      <c r="A9" s="266" t="s">
        <v>224</v>
      </c>
      <c r="B9" s="17" t="s">
        <v>11</v>
      </c>
      <c r="C9" s="21">
        <v>147890</v>
      </c>
      <c r="D9" s="15">
        <v>77484928</v>
      </c>
      <c r="E9" s="21">
        <v>214624</v>
      </c>
      <c r="F9" s="15">
        <v>1552822819</v>
      </c>
      <c r="G9" s="21">
        <v>362514</v>
      </c>
      <c r="H9" s="16">
        <v>1630307747</v>
      </c>
    </row>
    <row r="10" spans="1:8" s="45" customFormat="1" ht="30" customHeight="1">
      <c r="A10" s="267"/>
      <c r="B10" s="20" t="s">
        <v>12</v>
      </c>
      <c r="C10" s="22">
        <v>4155</v>
      </c>
      <c r="D10" s="23">
        <v>3360593</v>
      </c>
      <c r="E10" s="22">
        <v>11944</v>
      </c>
      <c r="F10" s="23">
        <v>640633498</v>
      </c>
      <c r="G10" s="22">
        <v>16099</v>
      </c>
      <c r="H10" s="24">
        <v>643994091</v>
      </c>
    </row>
    <row r="11" spans="1:8" s="45" customFormat="1" ht="30" customHeight="1">
      <c r="A11" s="266" t="s">
        <v>225</v>
      </c>
      <c r="B11" s="17" t="s">
        <v>11</v>
      </c>
      <c r="C11" s="21">
        <v>146178</v>
      </c>
      <c r="D11" s="15">
        <v>76850144</v>
      </c>
      <c r="E11" s="21">
        <v>214351</v>
      </c>
      <c r="F11" s="15">
        <v>1597169853</v>
      </c>
      <c r="G11" s="21">
        <v>360529</v>
      </c>
      <c r="H11" s="16">
        <v>1674019997</v>
      </c>
    </row>
    <row r="12" spans="1:8" s="45" customFormat="1" ht="30" customHeight="1">
      <c r="A12" s="267"/>
      <c r="B12" s="20" t="s">
        <v>12</v>
      </c>
      <c r="C12" s="22">
        <v>4293</v>
      </c>
      <c r="D12" s="23">
        <v>3532751</v>
      </c>
      <c r="E12" s="22">
        <v>12519</v>
      </c>
      <c r="F12" s="23">
        <v>696535870</v>
      </c>
      <c r="G12" s="22">
        <v>16812</v>
      </c>
      <c r="H12" s="24">
        <v>700068621</v>
      </c>
    </row>
    <row r="13" spans="1:8" s="1" customFormat="1" ht="30" customHeight="1">
      <c r="A13" s="264" t="s">
        <v>226</v>
      </c>
      <c r="B13" s="17" t="s">
        <v>11</v>
      </c>
      <c r="C13" s="194">
        <v>142434</v>
      </c>
      <c r="D13" s="15">
        <v>78958097</v>
      </c>
      <c r="E13" s="21">
        <v>213805</v>
      </c>
      <c r="F13" s="15">
        <v>1537004615</v>
      </c>
      <c r="G13" s="21">
        <v>356239</v>
      </c>
      <c r="H13" s="16">
        <v>1615962712</v>
      </c>
    </row>
    <row r="14" spans="1:8" s="1" customFormat="1" ht="30" customHeight="1" thickBot="1">
      <c r="A14" s="265"/>
      <c r="B14" s="25" t="s">
        <v>12</v>
      </c>
      <c r="C14" s="195">
        <v>4377</v>
      </c>
      <c r="D14" s="139">
        <v>3267817</v>
      </c>
      <c r="E14" s="138">
        <v>12830</v>
      </c>
      <c r="F14" s="139">
        <v>735064240</v>
      </c>
      <c r="G14" s="138">
        <v>17207</v>
      </c>
      <c r="H14" s="140">
        <v>738332057</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11811023622047245" right="0.11811023622047245" top="0.7480314960629921" bottom="0.7480314960629921" header="0.31496062992125984" footer="0.31496062992125984"/>
  <pageSetup horizontalDpi="600" verticalDpi="600" orientation="portrait" paperSize="9" scale="48" r:id="rId1"/>
  <headerFooter alignWithMargins="0">
    <oddFooter>&amp;R&amp;K01+000名古屋国税局 消費税（R01）</oddFooter>
  </headerFooter>
</worksheet>
</file>

<file path=xl/worksheets/sheet3.xml><?xml version="1.0" encoding="utf-8"?>
<worksheet xmlns="http://schemas.openxmlformats.org/spreadsheetml/2006/main" xmlns:r="http://schemas.openxmlformats.org/officeDocument/2006/relationships">
  <dimension ref="A1:I7"/>
  <sheetViews>
    <sheetView showGridLines="0" zoomScaleSheetLayoutView="100" workbookViewId="0" topLeftCell="A1">
      <selection activeCell="A1" sqref="A1"/>
    </sheetView>
  </sheetViews>
  <sheetFormatPr defaultColWidth="9.00390625" defaultRowHeight="13.5"/>
  <cols>
    <col min="1" max="2" width="18.625" style="46" customWidth="1"/>
    <col min="3" max="3" width="23.625" style="46" customWidth="1"/>
    <col min="4" max="4" width="18.625" style="46" customWidth="1"/>
    <col min="5" max="16384" width="9.00390625" style="46" customWidth="1"/>
  </cols>
  <sheetData>
    <row r="1" s="1" customFormat="1" ht="20.25" customHeight="1" thickBot="1">
      <c r="A1" s="1" t="s">
        <v>24</v>
      </c>
    </row>
    <row r="2" spans="1:4" s="4" customFormat="1" ht="19.5" customHeight="1">
      <c r="A2" s="11" t="s">
        <v>7</v>
      </c>
      <c r="B2" s="12" t="s">
        <v>8</v>
      </c>
      <c r="C2" s="13" t="s">
        <v>9</v>
      </c>
      <c r="D2" s="48" t="s">
        <v>31</v>
      </c>
    </row>
    <row r="3" spans="1:4" s="10" customFormat="1" ht="15" customHeight="1">
      <c r="A3" s="39" t="s">
        <v>4</v>
      </c>
      <c r="B3" s="40" t="s">
        <v>4</v>
      </c>
      <c r="C3" s="41" t="s">
        <v>4</v>
      </c>
      <c r="D3" s="42" t="s">
        <v>4</v>
      </c>
    </row>
    <row r="4" spans="1:9" s="4" customFormat="1" ht="30" customHeight="1" thickBot="1">
      <c r="A4" s="144">
        <v>377433</v>
      </c>
      <c r="B4" s="145">
        <v>10729</v>
      </c>
      <c r="C4" s="146">
        <v>1314</v>
      </c>
      <c r="D4" s="147">
        <v>389476</v>
      </c>
      <c r="E4" s="5"/>
      <c r="G4" s="5"/>
      <c r="I4" s="5"/>
    </row>
    <row r="5" spans="1:9" s="94" customFormat="1" ht="3" customHeight="1">
      <c r="A5" s="92"/>
      <c r="B5" s="92"/>
      <c r="C5" s="92"/>
      <c r="D5" s="92"/>
      <c r="E5" s="93"/>
      <c r="G5" s="93"/>
      <c r="I5" s="93"/>
    </row>
    <row r="6" spans="1:4" s="4" customFormat="1" ht="15" customHeight="1">
      <c r="A6" s="268" t="s">
        <v>227</v>
      </c>
      <c r="B6" s="268"/>
      <c r="C6" s="268"/>
      <c r="D6" s="268"/>
    </row>
    <row r="7" spans="1:4" s="4" customFormat="1" ht="15" customHeight="1">
      <c r="A7" s="269" t="s">
        <v>10</v>
      </c>
      <c r="B7" s="269"/>
      <c r="C7" s="269"/>
      <c r="D7" s="269"/>
    </row>
  </sheetData>
  <sheetProtection/>
  <mergeCells count="2">
    <mergeCell ref="A6:D6"/>
    <mergeCell ref="A7:D7"/>
  </mergeCells>
  <printOptions horizontalCentered="1"/>
  <pageMargins left="0.11811023622047245" right="0.11811023622047245" top="0.7480314960629921" bottom="0.7480314960629921" header="0.31496062992125984" footer="0.31496062992125984"/>
  <pageSetup horizontalDpi="600" verticalDpi="600" orientation="portrait" paperSize="9" scale="48" r:id="rId1"/>
  <headerFooter alignWithMargins="0">
    <oddFooter>&amp;R&amp;K01+000名古屋国税局 消費税（R01）</oddFooter>
  </headerFooter>
</worksheet>
</file>

<file path=xl/worksheets/sheet4.xml><?xml version="1.0" encoding="utf-8"?>
<worksheet xmlns="http://schemas.openxmlformats.org/spreadsheetml/2006/main" xmlns:r="http://schemas.openxmlformats.org/officeDocument/2006/relationships">
  <dimension ref="A1:N65"/>
  <sheetViews>
    <sheetView showGridLines="0" zoomScale="85" zoomScaleNormal="85" zoomScaleSheetLayoutView="100" zoomScalePageLayoutView="115" workbookViewId="0" topLeftCell="A1">
      <selection activeCell="A1" sqref="A1"/>
    </sheetView>
  </sheetViews>
  <sheetFormatPr defaultColWidth="9.00390625" defaultRowHeight="13.5"/>
  <cols>
    <col min="1" max="1" width="11.375" style="122" customWidth="1"/>
    <col min="2" max="2" width="11.25390625" style="122" customWidth="1"/>
    <col min="3" max="3" width="12.625" style="122" customWidth="1"/>
    <col min="4" max="4" width="11.25390625" style="122" customWidth="1"/>
    <col min="5" max="5" width="12.625" style="122" customWidth="1"/>
    <col min="6" max="6" width="11.25390625" style="122" customWidth="1"/>
    <col min="7" max="7" width="12.625" style="122" customWidth="1"/>
    <col min="8" max="8" width="11.25390625" style="122" customWidth="1"/>
    <col min="9" max="9" width="12.625" style="122" customWidth="1"/>
    <col min="10" max="10" width="11.25390625" style="122" customWidth="1"/>
    <col min="11" max="11" width="12.625" style="122" customWidth="1"/>
    <col min="12" max="12" width="11.25390625" style="122" customWidth="1"/>
    <col min="13" max="13" width="12.625" style="122" customWidth="1"/>
    <col min="14" max="14" width="11.375" style="122" customWidth="1"/>
    <col min="15" max="16384" width="9.00390625" style="122" customWidth="1"/>
  </cols>
  <sheetData>
    <row r="1" spans="1:14" ht="13.5">
      <c r="A1" s="49" t="s">
        <v>221</v>
      </c>
      <c r="B1" s="49"/>
      <c r="C1" s="49"/>
      <c r="D1" s="49"/>
      <c r="E1" s="49"/>
      <c r="F1" s="49"/>
      <c r="G1" s="49"/>
      <c r="H1" s="50"/>
      <c r="I1" s="50"/>
      <c r="J1" s="50"/>
      <c r="K1" s="50"/>
      <c r="L1" s="50"/>
      <c r="M1" s="50"/>
      <c r="N1" s="50"/>
    </row>
    <row r="2" spans="1:14" ht="14.25" thickBot="1">
      <c r="A2" s="270" t="s">
        <v>32</v>
      </c>
      <c r="B2" s="270"/>
      <c r="C2" s="270"/>
      <c r="D2" s="270"/>
      <c r="E2" s="270"/>
      <c r="F2" s="270"/>
      <c r="G2" s="270"/>
      <c r="H2" s="50"/>
      <c r="I2" s="50"/>
      <c r="J2" s="50"/>
      <c r="K2" s="50"/>
      <c r="L2" s="50"/>
      <c r="M2" s="50"/>
      <c r="N2" s="50"/>
    </row>
    <row r="3" spans="1:14" ht="22.5" customHeight="1">
      <c r="A3" s="271" t="s">
        <v>150</v>
      </c>
      <c r="B3" s="274" t="s">
        <v>151</v>
      </c>
      <c r="C3" s="274"/>
      <c r="D3" s="274"/>
      <c r="E3" s="274"/>
      <c r="F3" s="274"/>
      <c r="G3" s="274"/>
      <c r="H3" s="275" t="s">
        <v>12</v>
      </c>
      <c r="I3" s="276"/>
      <c r="J3" s="279" t="s">
        <v>33</v>
      </c>
      <c r="K3" s="276"/>
      <c r="L3" s="280" t="s">
        <v>34</v>
      </c>
      <c r="M3" s="281"/>
      <c r="N3" s="284" t="s">
        <v>35</v>
      </c>
    </row>
    <row r="4" spans="1:14" ht="18.75" customHeight="1">
      <c r="A4" s="272"/>
      <c r="B4" s="287" t="s">
        <v>14</v>
      </c>
      <c r="C4" s="287"/>
      <c r="D4" s="277" t="s">
        <v>36</v>
      </c>
      <c r="E4" s="288"/>
      <c r="F4" s="282" t="s">
        <v>37</v>
      </c>
      <c r="G4" s="289"/>
      <c r="H4" s="277"/>
      <c r="I4" s="278"/>
      <c r="J4" s="277"/>
      <c r="K4" s="278"/>
      <c r="L4" s="282"/>
      <c r="M4" s="283"/>
      <c r="N4" s="285"/>
    </row>
    <row r="5" spans="1:14" s="137" customFormat="1" ht="33.75" customHeight="1">
      <c r="A5" s="273"/>
      <c r="B5" s="143" t="s">
        <v>216</v>
      </c>
      <c r="C5" s="51" t="s">
        <v>152</v>
      </c>
      <c r="D5" s="143" t="s">
        <v>216</v>
      </c>
      <c r="E5" s="51" t="s">
        <v>152</v>
      </c>
      <c r="F5" s="143" t="s">
        <v>216</v>
      </c>
      <c r="G5" s="52" t="s">
        <v>213</v>
      </c>
      <c r="H5" s="143" t="s">
        <v>216</v>
      </c>
      <c r="I5" s="52" t="s">
        <v>214</v>
      </c>
      <c r="J5" s="143" t="s">
        <v>216</v>
      </c>
      <c r="K5" s="52" t="s">
        <v>215</v>
      </c>
      <c r="L5" s="143" t="s">
        <v>216</v>
      </c>
      <c r="M5" s="52" t="s">
        <v>153</v>
      </c>
      <c r="N5" s="286"/>
    </row>
    <row r="6" spans="1:14" s="58" customFormat="1" ht="10.5">
      <c r="A6" s="53"/>
      <c r="B6" s="54" t="s">
        <v>4</v>
      </c>
      <c r="C6" s="55" t="s">
        <v>5</v>
      </c>
      <c r="D6" s="54" t="s">
        <v>4</v>
      </c>
      <c r="E6" s="55" t="s">
        <v>5</v>
      </c>
      <c r="F6" s="54" t="s">
        <v>4</v>
      </c>
      <c r="G6" s="55" t="s">
        <v>5</v>
      </c>
      <c r="H6" s="54" t="s">
        <v>4</v>
      </c>
      <c r="I6" s="56" t="s">
        <v>5</v>
      </c>
      <c r="J6" s="54" t="s">
        <v>4</v>
      </c>
      <c r="K6" s="56" t="s">
        <v>5</v>
      </c>
      <c r="L6" s="54" t="s">
        <v>220</v>
      </c>
      <c r="M6" s="56" t="s">
        <v>5</v>
      </c>
      <c r="N6" s="57"/>
    </row>
    <row r="7" spans="1:14" s="61" customFormat="1" ht="22.5" customHeight="1">
      <c r="A7" s="59" t="s">
        <v>41</v>
      </c>
      <c r="B7" s="123">
        <f>_xlfn.COMPOUNDVALUE(1)</f>
        <v>1904</v>
      </c>
      <c r="C7" s="196">
        <v>1209656</v>
      </c>
      <c r="D7" s="197">
        <f>_xlfn.COMPOUNDVALUE(2)</f>
        <v>2378</v>
      </c>
      <c r="E7" s="196">
        <v>1118299</v>
      </c>
      <c r="F7" s="197">
        <f>_xlfn.COMPOUNDVALUE(3)</f>
        <v>4282</v>
      </c>
      <c r="G7" s="196">
        <v>2327955</v>
      </c>
      <c r="H7" s="197">
        <f>_xlfn.COMPOUNDVALUE(4)</f>
        <v>132</v>
      </c>
      <c r="I7" s="198">
        <v>65044</v>
      </c>
      <c r="J7" s="123">
        <v>393</v>
      </c>
      <c r="K7" s="125">
        <v>87622</v>
      </c>
      <c r="L7" s="123">
        <v>4598</v>
      </c>
      <c r="M7" s="125">
        <v>2350532</v>
      </c>
      <c r="N7" s="60" t="s">
        <v>42</v>
      </c>
    </row>
    <row r="8" spans="1:14" s="61" customFormat="1" ht="22.5" customHeight="1">
      <c r="A8" s="62" t="s">
        <v>43</v>
      </c>
      <c r="B8" s="126">
        <f>_xlfn.COMPOUNDVALUE(5)</f>
        <v>1588</v>
      </c>
      <c r="C8" s="199">
        <v>1054717</v>
      </c>
      <c r="D8" s="200">
        <f>_xlfn.COMPOUNDVALUE(6)</f>
        <v>1958</v>
      </c>
      <c r="E8" s="199">
        <v>945886</v>
      </c>
      <c r="F8" s="200">
        <f>_xlfn.COMPOUNDVALUE(7)</f>
        <v>3546</v>
      </c>
      <c r="G8" s="199">
        <v>2000603</v>
      </c>
      <c r="H8" s="200">
        <f>_xlfn.COMPOUNDVALUE(8)</f>
        <v>103</v>
      </c>
      <c r="I8" s="201">
        <v>66884</v>
      </c>
      <c r="J8" s="126">
        <v>346</v>
      </c>
      <c r="K8" s="128">
        <v>72239</v>
      </c>
      <c r="L8" s="126">
        <v>3766</v>
      </c>
      <c r="M8" s="128">
        <v>2005958</v>
      </c>
      <c r="N8" s="63" t="s">
        <v>44</v>
      </c>
    </row>
    <row r="9" spans="1:14" s="61" customFormat="1" ht="22.5" customHeight="1">
      <c r="A9" s="62" t="s">
        <v>45</v>
      </c>
      <c r="B9" s="126">
        <f>_xlfn.COMPOUNDVALUE(9)</f>
        <v>1509</v>
      </c>
      <c r="C9" s="199">
        <v>1007751</v>
      </c>
      <c r="D9" s="200">
        <f>_xlfn.COMPOUNDVALUE(10)</f>
        <v>2059</v>
      </c>
      <c r="E9" s="199">
        <v>908165</v>
      </c>
      <c r="F9" s="200">
        <f>_xlfn.COMPOUNDVALUE(11)</f>
        <v>3568</v>
      </c>
      <c r="G9" s="199">
        <v>1915916</v>
      </c>
      <c r="H9" s="200">
        <f>_xlfn.COMPOUNDVALUE(12)</f>
        <v>120</v>
      </c>
      <c r="I9" s="201">
        <v>72393</v>
      </c>
      <c r="J9" s="126">
        <v>257</v>
      </c>
      <c r="K9" s="128">
        <v>50493</v>
      </c>
      <c r="L9" s="126">
        <v>3752</v>
      </c>
      <c r="M9" s="128">
        <v>1894016</v>
      </c>
      <c r="N9" s="63" t="s">
        <v>46</v>
      </c>
    </row>
    <row r="10" spans="1:14" s="61" customFormat="1" ht="22.5" customHeight="1">
      <c r="A10" s="62" t="s">
        <v>47</v>
      </c>
      <c r="B10" s="126">
        <f>_xlfn.COMPOUNDVALUE(13)</f>
        <v>647</v>
      </c>
      <c r="C10" s="199">
        <v>438027</v>
      </c>
      <c r="D10" s="200">
        <f>_xlfn.COMPOUNDVALUE(14)</f>
        <v>1372</v>
      </c>
      <c r="E10" s="199">
        <v>546252</v>
      </c>
      <c r="F10" s="200">
        <f>_xlfn.COMPOUNDVALUE(15)</f>
        <v>2019</v>
      </c>
      <c r="G10" s="199">
        <v>984278</v>
      </c>
      <c r="H10" s="200">
        <f>_xlfn.COMPOUNDVALUE(16)</f>
        <v>52</v>
      </c>
      <c r="I10" s="201">
        <v>28763</v>
      </c>
      <c r="J10" s="126">
        <v>78</v>
      </c>
      <c r="K10" s="128">
        <v>8275</v>
      </c>
      <c r="L10" s="126">
        <v>2081</v>
      </c>
      <c r="M10" s="128">
        <v>963790</v>
      </c>
      <c r="N10" s="63" t="s">
        <v>48</v>
      </c>
    </row>
    <row r="11" spans="1:14" s="61" customFormat="1" ht="22.5" customHeight="1">
      <c r="A11" s="62" t="s">
        <v>49</v>
      </c>
      <c r="B11" s="126">
        <f>_xlfn.COMPOUNDVALUE(17)</f>
        <v>1044</v>
      </c>
      <c r="C11" s="199">
        <v>730656</v>
      </c>
      <c r="D11" s="200">
        <f>_xlfn.COMPOUNDVALUE(18)</f>
        <v>1774</v>
      </c>
      <c r="E11" s="199">
        <v>775845</v>
      </c>
      <c r="F11" s="200">
        <f>_xlfn.COMPOUNDVALUE(19)</f>
        <v>2818</v>
      </c>
      <c r="G11" s="199">
        <v>1506501</v>
      </c>
      <c r="H11" s="200">
        <f>_xlfn.COMPOUNDVALUE(20)</f>
        <v>77</v>
      </c>
      <c r="I11" s="201">
        <v>58928</v>
      </c>
      <c r="J11" s="126">
        <v>168</v>
      </c>
      <c r="K11" s="128">
        <v>30012</v>
      </c>
      <c r="L11" s="126">
        <v>2944</v>
      </c>
      <c r="M11" s="128">
        <v>1477586</v>
      </c>
      <c r="N11" s="63" t="s">
        <v>50</v>
      </c>
    </row>
    <row r="12" spans="1:14" s="61" customFormat="1" ht="22.5" customHeight="1">
      <c r="A12" s="62" t="s">
        <v>51</v>
      </c>
      <c r="B12" s="126">
        <f>_xlfn.COMPOUNDVALUE(21)</f>
        <v>1238</v>
      </c>
      <c r="C12" s="199">
        <v>749838</v>
      </c>
      <c r="D12" s="200">
        <f>_xlfn.COMPOUNDVALUE(22)</f>
        <v>1701</v>
      </c>
      <c r="E12" s="199">
        <v>721908</v>
      </c>
      <c r="F12" s="200">
        <f>_xlfn.COMPOUNDVALUE(23)</f>
        <v>2939</v>
      </c>
      <c r="G12" s="199">
        <v>1471746</v>
      </c>
      <c r="H12" s="200">
        <f>_xlfn.COMPOUNDVALUE(24)</f>
        <v>94</v>
      </c>
      <c r="I12" s="201">
        <v>62194</v>
      </c>
      <c r="J12" s="126">
        <v>172</v>
      </c>
      <c r="K12" s="128">
        <v>25210</v>
      </c>
      <c r="L12" s="126">
        <v>3074</v>
      </c>
      <c r="M12" s="128">
        <v>1434762</v>
      </c>
      <c r="N12" s="63" t="s">
        <v>52</v>
      </c>
    </row>
    <row r="13" spans="1:14" s="61" customFormat="1" ht="22.5" customHeight="1">
      <c r="A13" s="148" t="s">
        <v>53</v>
      </c>
      <c r="B13" s="149">
        <f>_xlfn.COMPOUNDVALUE(25)</f>
        <v>466</v>
      </c>
      <c r="C13" s="202">
        <v>288502</v>
      </c>
      <c r="D13" s="203">
        <f>_xlfn.COMPOUNDVALUE(26)</f>
        <v>766</v>
      </c>
      <c r="E13" s="202">
        <v>334393</v>
      </c>
      <c r="F13" s="203">
        <f>_xlfn.COMPOUNDVALUE(27)</f>
        <v>1232</v>
      </c>
      <c r="G13" s="202">
        <v>622894</v>
      </c>
      <c r="H13" s="203">
        <f>_xlfn.COMPOUNDVALUE(28)</f>
        <v>42</v>
      </c>
      <c r="I13" s="204">
        <v>21945</v>
      </c>
      <c r="J13" s="149">
        <v>120</v>
      </c>
      <c r="K13" s="151">
        <v>10366</v>
      </c>
      <c r="L13" s="149">
        <v>1291</v>
      </c>
      <c r="M13" s="151">
        <v>611315</v>
      </c>
      <c r="N13" s="152" t="s">
        <v>54</v>
      </c>
    </row>
    <row r="14" spans="1:14" s="61" customFormat="1" ht="22.5" customHeight="1">
      <c r="A14" s="153" t="s">
        <v>55</v>
      </c>
      <c r="B14" s="154">
        <v>8396</v>
      </c>
      <c r="C14" s="155">
        <v>5479147</v>
      </c>
      <c r="D14" s="154">
        <v>12008</v>
      </c>
      <c r="E14" s="155">
        <v>5350747</v>
      </c>
      <c r="F14" s="154">
        <v>20404</v>
      </c>
      <c r="G14" s="155">
        <v>10829894</v>
      </c>
      <c r="H14" s="154">
        <v>620</v>
      </c>
      <c r="I14" s="156">
        <v>376152</v>
      </c>
      <c r="J14" s="154">
        <v>1534</v>
      </c>
      <c r="K14" s="156">
        <v>284217</v>
      </c>
      <c r="L14" s="154">
        <v>21506</v>
      </c>
      <c r="M14" s="156">
        <v>10737959</v>
      </c>
      <c r="N14" s="157" t="s">
        <v>56</v>
      </c>
    </row>
    <row r="15" spans="1:14" s="61" customFormat="1" ht="22.5" customHeight="1">
      <c r="A15" s="158"/>
      <c r="B15" s="159"/>
      <c r="C15" s="160"/>
      <c r="D15" s="159"/>
      <c r="E15" s="160"/>
      <c r="F15" s="161"/>
      <c r="G15" s="160"/>
      <c r="H15" s="161"/>
      <c r="I15" s="160"/>
      <c r="J15" s="161"/>
      <c r="K15" s="160"/>
      <c r="L15" s="161"/>
      <c r="M15" s="160"/>
      <c r="N15" s="162"/>
    </row>
    <row r="16" spans="1:14" s="61" customFormat="1" ht="22.5" customHeight="1">
      <c r="A16" s="59" t="s">
        <v>57</v>
      </c>
      <c r="B16" s="197">
        <f>_xlfn.COMPOUNDVALUE(29)</f>
        <v>1779</v>
      </c>
      <c r="C16" s="196">
        <v>1211147</v>
      </c>
      <c r="D16" s="197">
        <f>_xlfn.COMPOUNDVALUE(30)</f>
        <v>3283</v>
      </c>
      <c r="E16" s="196">
        <v>1564549</v>
      </c>
      <c r="F16" s="197">
        <f>_xlfn.COMPOUNDVALUE(31)</f>
        <v>5062</v>
      </c>
      <c r="G16" s="196">
        <v>2775697</v>
      </c>
      <c r="H16" s="197">
        <f>_xlfn.COMPOUNDVALUE(32)</f>
        <v>110</v>
      </c>
      <c r="I16" s="198">
        <v>96666</v>
      </c>
      <c r="J16" s="123">
        <v>337</v>
      </c>
      <c r="K16" s="125">
        <v>52607</v>
      </c>
      <c r="L16" s="123">
        <v>5279</v>
      </c>
      <c r="M16" s="125">
        <v>2731637</v>
      </c>
      <c r="N16" s="60" t="s">
        <v>58</v>
      </c>
    </row>
    <row r="17" spans="1:14" s="61" customFormat="1" ht="22.5" customHeight="1">
      <c r="A17" s="59" t="s">
        <v>59</v>
      </c>
      <c r="B17" s="197">
        <f>_xlfn.COMPOUNDVALUE(33)</f>
        <v>820</v>
      </c>
      <c r="C17" s="196">
        <v>577829</v>
      </c>
      <c r="D17" s="197">
        <f>_xlfn.COMPOUNDVALUE(34)</f>
        <v>1707</v>
      </c>
      <c r="E17" s="196">
        <v>739538</v>
      </c>
      <c r="F17" s="197">
        <f>_xlfn.COMPOUNDVALUE(35)</f>
        <v>2527</v>
      </c>
      <c r="G17" s="196">
        <v>1317367</v>
      </c>
      <c r="H17" s="197">
        <f>_xlfn.COMPOUNDVALUE(36)</f>
        <v>57</v>
      </c>
      <c r="I17" s="198">
        <v>71177</v>
      </c>
      <c r="J17" s="123">
        <v>146</v>
      </c>
      <c r="K17" s="125">
        <v>33564</v>
      </c>
      <c r="L17" s="123">
        <v>2611</v>
      </c>
      <c r="M17" s="125">
        <v>1279754</v>
      </c>
      <c r="N17" s="60" t="s">
        <v>60</v>
      </c>
    </row>
    <row r="18" spans="1:14" s="61" customFormat="1" ht="22.5" customHeight="1">
      <c r="A18" s="59" t="s">
        <v>61</v>
      </c>
      <c r="B18" s="197">
        <f>_xlfn.COMPOUNDVALUE(37)</f>
        <v>1729</v>
      </c>
      <c r="C18" s="196">
        <v>1305966</v>
      </c>
      <c r="D18" s="197">
        <f>_xlfn.COMPOUNDVALUE(38)</f>
        <v>3466</v>
      </c>
      <c r="E18" s="196">
        <v>1517469</v>
      </c>
      <c r="F18" s="197">
        <f>_xlfn.COMPOUNDVALUE(39)</f>
        <v>5195</v>
      </c>
      <c r="G18" s="196">
        <v>2823435</v>
      </c>
      <c r="H18" s="197">
        <f>_xlfn.COMPOUNDVALUE(40)</f>
        <v>189</v>
      </c>
      <c r="I18" s="198">
        <v>149740</v>
      </c>
      <c r="J18" s="123">
        <v>355</v>
      </c>
      <c r="K18" s="125">
        <v>41478</v>
      </c>
      <c r="L18" s="123">
        <v>5485</v>
      </c>
      <c r="M18" s="125">
        <v>2715173</v>
      </c>
      <c r="N18" s="60" t="s">
        <v>62</v>
      </c>
    </row>
    <row r="19" spans="1:14" s="61" customFormat="1" ht="22.5" customHeight="1">
      <c r="A19" s="59" t="s">
        <v>63</v>
      </c>
      <c r="B19" s="197">
        <f>_xlfn.COMPOUNDVALUE(41)</f>
        <v>1132</v>
      </c>
      <c r="C19" s="196">
        <v>683420</v>
      </c>
      <c r="D19" s="197">
        <f>_xlfn.COMPOUNDVALUE(42)</f>
        <v>1823</v>
      </c>
      <c r="E19" s="196">
        <v>786455</v>
      </c>
      <c r="F19" s="197">
        <f>_xlfn.COMPOUNDVALUE(43)</f>
        <v>2955</v>
      </c>
      <c r="G19" s="196">
        <v>1469875</v>
      </c>
      <c r="H19" s="197">
        <f>_xlfn.COMPOUNDVALUE(44)</f>
        <v>106</v>
      </c>
      <c r="I19" s="198">
        <v>74643</v>
      </c>
      <c r="J19" s="123">
        <v>172</v>
      </c>
      <c r="K19" s="125">
        <v>25392</v>
      </c>
      <c r="L19" s="123">
        <v>3122</v>
      </c>
      <c r="M19" s="125">
        <v>1420625</v>
      </c>
      <c r="N19" s="60" t="s">
        <v>64</v>
      </c>
    </row>
    <row r="20" spans="1:14" s="61" customFormat="1" ht="22.5" customHeight="1">
      <c r="A20" s="59" t="s">
        <v>65</v>
      </c>
      <c r="B20" s="197">
        <f>_xlfn.COMPOUNDVALUE(45)</f>
        <v>1227</v>
      </c>
      <c r="C20" s="196">
        <v>892930</v>
      </c>
      <c r="D20" s="197">
        <f>_xlfn.COMPOUNDVALUE(46)</f>
        <v>2335</v>
      </c>
      <c r="E20" s="196">
        <v>1070915</v>
      </c>
      <c r="F20" s="197">
        <f>_xlfn.COMPOUNDVALUE(47)</f>
        <v>3562</v>
      </c>
      <c r="G20" s="196">
        <v>1963845</v>
      </c>
      <c r="H20" s="197">
        <f>_xlfn.COMPOUNDVALUE(48)</f>
        <v>65</v>
      </c>
      <c r="I20" s="198">
        <v>79323</v>
      </c>
      <c r="J20" s="123">
        <v>340</v>
      </c>
      <c r="K20" s="125">
        <v>51601</v>
      </c>
      <c r="L20" s="123">
        <v>3720</v>
      </c>
      <c r="M20" s="125">
        <v>1936123</v>
      </c>
      <c r="N20" s="60" t="s">
        <v>66</v>
      </c>
    </row>
    <row r="21" spans="1:14" s="61" customFormat="1" ht="22.5" customHeight="1">
      <c r="A21" s="59" t="s">
        <v>67</v>
      </c>
      <c r="B21" s="197">
        <f>_xlfn.COMPOUNDVALUE(49)</f>
        <v>458</v>
      </c>
      <c r="C21" s="196">
        <v>275964</v>
      </c>
      <c r="D21" s="197">
        <f>_xlfn.COMPOUNDVALUE(50)</f>
        <v>813</v>
      </c>
      <c r="E21" s="196">
        <v>356541</v>
      </c>
      <c r="F21" s="197">
        <f>_xlfn.COMPOUNDVALUE(51)</f>
        <v>1271</v>
      </c>
      <c r="G21" s="196">
        <v>632506</v>
      </c>
      <c r="H21" s="197">
        <f>_xlfn.COMPOUNDVALUE(52)</f>
        <v>47</v>
      </c>
      <c r="I21" s="198">
        <v>28640</v>
      </c>
      <c r="J21" s="123">
        <v>103</v>
      </c>
      <c r="K21" s="125">
        <v>16869</v>
      </c>
      <c r="L21" s="123">
        <v>1342</v>
      </c>
      <c r="M21" s="125">
        <v>620735</v>
      </c>
      <c r="N21" s="60" t="s">
        <v>68</v>
      </c>
    </row>
    <row r="22" spans="1:14" s="61" customFormat="1" ht="22.5" customHeight="1">
      <c r="A22" s="62" t="s">
        <v>69</v>
      </c>
      <c r="B22" s="200">
        <f>_xlfn.COMPOUNDVALUE(53)</f>
        <v>662</v>
      </c>
      <c r="C22" s="199">
        <v>444324</v>
      </c>
      <c r="D22" s="200">
        <f>_xlfn.COMPOUNDVALUE(54)</f>
        <v>1659</v>
      </c>
      <c r="E22" s="199">
        <v>707292</v>
      </c>
      <c r="F22" s="200">
        <f>_xlfn.COMPOUNDVALUE(55)</f>
        <v>2321</v>
      </c>
      <c r="G22" s="199">
        <v>1151616</v>
      </c>
      <c r="H22" s="200">
        <f>_xlfn.COMPOUNDVALUE(56)</f>
        <v>43</v>
      </c>
      <c r="I22" s="201">
        <v>24455</v>
      </c>
      <c r="J22" s="126">
        <v>133</v>
      </c>
      <c r="K22" s="128">
        <v>30005</v>
      </c>
      <c r="L22" s="126">
        <v>2415</v>
      </c>
      <c r="M22" s="128">
        <v>1157166</v>
      </c>
      <c r="N22" s="63" t="s">
        <v>70</v>
      </c>
    </row>
    <row r="23" spans="1:14" s="61" customFormat="1" ht="22.5" customHeight="1">
      <c r="A23" s="62" t="s">
        <v>71</v>
      </c>
      <c r="B23" s="200">
        <f>_xlfn.COMPOUNDVALUE(57)</f>
        <v>675</v>
      </c>
      <c r="C23" s="199">
        <v>475056</v>
      </c>
      <c r="D23" s="200">
        <f>_xlfn.COMPOUNDVALUE(58)</f>
        <v>1543</v>
      </c>
      <c r="E23" s="199">
        <v>600136</v>
      </c>
      <c r="F23" s="200">
        <f>_xlfn.COMPOUNDVALUE(59)</f>
        <v>2218</v>
      </c>
      <c r="G23" s="199">
        <v>1075193</v>
      </c>
      <c r="H23" s="200">
        <f>_xlfn.COMPOUNDVALUE(60)</f>
        <v>49</v>
      </c>
      <c r="I23" s="201">
        <v>35058</v>
      </c>
      <c r="J23" s="126">
        <v>161</v>
      </c>
      <c r="K23" s="128">
        <v>10612</v>
      </c>
      <c r="L23" s="126">
        <v>2285</v>
      </c>
      <c r="M23" s="128">
        <v>1050747</v>
      </c>
      <c r="N23" s="63" t="s">
        <v>72</v>
      </c>
    </row>
    <row r="24" spans="1:14" s="61" customFormat="1" ht="22.5" customHeight="1">
      <c r="A24" s="62" t="s">
        <v>73</v>
      </c>
      <c r="B24" s="200">
        <f>_xlfn.COMPOUNDVALUE(61)</f>
        <v>1360</v>
      </c>
      <c r="C24" s="199">
        <v>1054475</v>
      </c>
      <c r="D24" s="200">
        <f>_xlfn.COMPOUNDVALUE(62)</f>
        <v>2658</v>
      </c>
      <c r="E24" s="199">
        <v>1218546</v>
      </c>
      <c r="F24" s="200">
        <f>_xlfn.COMPOUNDVALUE(63)</f>
        <v>4018</v>
      </c>
      <c r="G24" s="199">
        <v>2273021</v>
      </c>
      <c r="H24" s="200">
        <f>_xlfn.COMPOUNDVALUE(64)</f>
        <v>85</v>
      </c>
      <c r="I24" s="201">
        <v>73882</v>
      </c>
      <c r="J24" s="126">
        <v>328</v>
      </c>
      <c r="K24" s="128">
        <v>58388</v>
      </c>
      <c r="L24" s="126">
        <v>4212</v>
      </c>
      <c r="M24" s="128">
        <v>2257527</v>
      </c>
      <c r="N24" s="63" t="s">
        <v>74</v>
      </c>
    </row>
    <row r="25" spans="1:14" s="61" customFormat="1" ht="23.25" customHeight="1">
      <c r="A25" s="62" t="s">
        <v>75</v>
      </c>
      <c r="B25" s="200">
        <f>_xlfn.COMPOUNDVALUE(65)</f>
        <v>845</v>
      </c>
      <c r="C25" s="199">
        <v>529421</v>
      </c>
      <c r="D25" s="200">
        <f>_xlfn.COMPOUNDVALUE(66)</f>
        <v>1701</v>
      </c>
      <c r="E25" s="199">
        <v>695200</v>
      </c>
      <c r="F25" s="200">
        <f>_xlfn.COMPOUNDVALUE(67)</f>
        <v>2546</v>
      </c>
      <c r="G25" s="199">
        <v>1224621</v>
      </c>
      <c r="H25" s="200">
        <f>_xlfn.COMPOUNDVALUE(68)</f>
        <v>79</v>
      </c>
      <c r="I25" s="201">
        <v>89284</v>
      </c>
      <c r="J25" s="126">
        <v>160</v>
      </c>
      <c r="K25" s="128">
        <v>18828</v>
      </c>
      <c r="L25" s="126">
        <v>2669</v>
      </c>
      <c r="M25" s="128">
        <v>1154166</v>
      </c>
      <c r="N25" s="63" t="s">
        <v>76</v>
      </c>
    </row>
    <row r="26" spans="1:14" s="61" customFormat="1" ht="22.5" customHeight="1">
      <c r="A26" s="62" t="s">
        <v>77</v>
      </c>
      <c r="B26" s="200">
        <f>_xlfn.COMPOUNDVALUE(69)</f>
        <v>676</v>
      </c>
      <c r="C26" s="199">
        <v>515829</v>
      </c>
      <c r="D26" s="200">
        <f>_xlfn.COMPOUNDVALUE(70)</f>
        <v>1544</v>
      </c>
      <c r="E26" s="199">
        <v>609742</v>
      </c>
      <c r="F26" s="200">
        <f>_xlfn.COMPOUNDVALUE(71)</f>
        <v>2220</v>
      </c>
      <c r="G26" s="199">
        <v>1125571</v>
      </c>
      <c r="H26" s="200">
        <f>_xlfn.COMPOUNDVALUE(72)</f>
        <v>82</v>
      </c>
      <c r="I26" s="201">
        <v>67064</v>
      </c>
      <c r="J26" s="126">
        <v>156</v>
      </c>
      <c r="K26" s="128">
        <v>25724</v>
      </c>
      <c r="L26" s="126">
        <v>2332</v>
      </c>
      <c r="M26" s="128">
        <v>1084231</v>
      </c>
      <c r="N26" s="63" t="s">
        <v>78</v>
      </c>
    </row>
    <row r="27" spans="1:14" s="61" customFormat="1" ht="22.5" customHeight="1">
      <c r="A27" s="62" t="s">
        <v>79</v>
      </c>
      <c r="B27" s="200">
        <f>_xlfn.COMPOUNDVALUE(73)</f>
        <v>895</v>
      </c>
      <c r="C27" s="199">
        <v>640879</v>
      </c>
      <c r="D27" s="200">
        <f>_xlfn.COMPOUNDVALUE(74)</f>
        <v>1777</v>
      </c>
      <c r="E27" s="199">
        <v>797598</v>
      </c>
      <c r="F27" s="200">
        <f>_xlfn.COMPOUNDVALUE(75)</f>
        <v>2672</v>
      </c>
      <c r="G27" s="199">
        <v>1438477</v>
      </c>
      <c r="H27" s="200">
        <f>_xlfn.COMPOUNDVALUE(76)</f>
        <v>60</v>
      </c>
      <c r="I27" s="201">
        <v>31001</v>
      </c>
      <c r="J27" s="126">
        <v>213</v>
      </c>
      <c r="K27" s="128">
        <v>31285</v>
      </c>
      <c r="L27" s="126">
        <v>2780</v>
      </c>
      <c r="M27" s="128">
        <v>1438762</v>
      </c>
      <c r="N27" s="63" t="s">
        <v>80</v>
      </c>
    </row>
    <row r="28" spans="1:14" s="61" customFormat="1" ht="22.5" customHeight="1">
      <c r="A28" s="148" t="s">
        <v>81</v>
      </c>
      <c r="B28" s="203">
        <f>_xlfn.COMPOUNDVALUE(77)</f>
        <v>285</v>
      </c>
      <c r="C28" s="202">
        <v>179995</v>
      </c>
      <c r="D28" s="203">
        <f>_xlfn.COMPOUNDVALUE(78)</f>
        <v>610</v>
      </c>
      <c r="E28" s="202">
        <v>234566</v>
      </c>
      <c r="F28" s="203">
        <f>_xlfn.COMPOUNDVALUE(79)</f>
        <v>895</v>
      </c>
      <c r="G28" s="202">
        <v>414561</v>
      </c>
      <c r="H28" s="203">
        <f>_xlfn.COMPOUNDVALUE(80)</f>
        <v>24</v>
      </c>
      <c r="I28" s="204">
        <v>10969</v>
      </c>
      <c r="J28" s="149">
        <v>75</v>
      </c>
      <c r="K28" s="151">
        <v>12352</v>
      </c>
      <c r="L28" s="149">
        <v>943</v>
      </c>
      <c r="M28" s="151">
        <v>415944</v>
      </c>
      <c r="N28" s="152" t="s">
        <v>82</v>
      </c>
    </row>
    <row r="29" spans="1:14" s="61" customFormat="1" ht="22.5" customHeight="1">
      <c r="A29" s="153" t="s">
        <v>83</v>
      </c>
      <c r="B29" s="205">
        <v>12543</v>
      </c>
      <c r="C29" s="206">
        <v>8787236</v>
      </c>
      <c r="D29" s="205">
        <v>24919</v>
      </c>
      <c r="E29" s="206">
        <v>10898549</v>
      </c>
      <c r="F29" s="205">
        <v>37462</v>
      </c>
      <c r="G29" s="206">
        <v>19685785</v>
      </c>
      <c r="H29" s="205">
        <v>996</v>
      </c>
      <c r="I29" s="207">
        <v>831901</v>
      </c>
      <c r="J29" s="154">
        <v>2679</v>
      </c>
      <c r="K29" s="156">
        <v>408706</v>
      </c>
      <c r="L29" s="154">
        <v>39195</v>
      </c>
      <c r="M29" s="156">
        <v>19262590</v>
      </c>
      <c r="N29" s="157" t="s">
        <v>84</v>
      </c>
    </row>
    <row r="30" spans="1:14" s="61" customFormat="1" ht="22.5" customHeight="1">
      <c r="A30" s="158"/>
      <c r="B30" s="159"/>
      <c r="C30" s="160"/>
      <c r="D30" s="159"/>
      <c r="E30" s="160"/>
      <c r="F30" s="161"/>
      <c r="G30" s="160"/>
      <c r="H30" s="161"/>
      <c r="I30" s="160"/>
      <c r="J30" s="161"/>
      <c r="K30" s="160"/>
      <c r="L30" s="161"/>
      <c r="M30" s="160"/>
      <c r="N30" s="162"/>
    </row>
    <row r="31" spans="1:14" s="61" customFormat="1" ht="22.5" customHeight="1">
      <c r="A31" s="59" t="s">
        <v>85</v>
      </c>
      <c r="B31" s="123">
        <f>_xlfn.COMPOUNDVALUE(81)</f>
        <v>1349</v>
      </c>
      <c r="C31" s="196">
        <v>1200870</v>
      </c>
      <c r="D31" s="197">
        <f>_xlfn.COMPOUNDVALUE(82)</f>
        <v>1705</v>
      </c>
      <c r="E31" s="196">
        <v>998330</v>
      </c>
      <c r="F31" s="197">
        <f>_xlfn.COMPOUNDVALUE(83)</f>
        <v>3054</v>
      </c>
      <c r="G31" s="196">
        <v>2199200</v>
      </c>
      <c r="H31" s="197">
        <f>_xlfn.COMPOUNDVALUE(84)</f>
        <v>125</v>
      </c>
      <c r="I31" s="198">
        <v>106871</v>
      </c>
      <c r="J31" s="123">
        <v>254</v>
      </c>
      <c r="K31" s="125">
        <v>45877</v>
      </c>
      <c r="L31" s="123">
        <v>3279</v>
      </c>
      <c r="M31" s="125">
        <v>2138207</v>
      </c>
      <c r="N31" s="60" t="s">
        <v>86</v>
      </c>
    </row>
    <row r="32" spans="1:14" s="61" customFormat="1" ht="22.5" customHeight="1">
      <c r="A32" s="59" t="s">
        <v>87</v>
      </c>
      <c r="B32" s="123">
        <f>_xlfn.COMPOUNDVALUE(85)</f>
        <v>507</v>
      </c>
      <c r="C32" s="196">
        <v>453047</v>
      </c>
      <c r="D32" s="197">
        <f>_xlfn.COMPOUNDVALUE(86)</f>
        <v>565</v>
      </c>
      <c r="E32" s="196">
        <v>345754</v>
      </c>
      <c r="F32" s="197">
        <f>_xlfn.COMPOUNDVALUE(87)</f>
        <v>1072</v>
      </c>
      <c r="G32" s="196">
        <v>798801</v>
      </c>
      <c r="H32" s="197">
        <f>_xlfn.COMPOUNDVALUE(88)</f>
        <v>52</v>
      </c>
      <c r="I32" s="198">
        <v>26016</v>
      </c>
      <c r="J32" s="123">
        <v>97</v>
      </c>
      <c r="K32" s="125">
        <v>20455</v>
      </c>
      <c r="L32" s="123">
        <v>1149</v>
      </c>
      <c r="M32" s="125">
        <v>793240</v>
      </c>
      <c r="N32" s="60" t="s">
        <v>88</v>
      </c>
    </row>
    <row r="33" spans="1:14" s="61" customFormat="1" ht="22.5" customHeight="1">
      <c r="A33" s="59" t="s">
        <v>89</v>
      </c>
      <c r="B33" s="123">
        <f>_xlfn.COMPOUNDVALUE(89)</f>
        <v>1195</v>
      </c>
      <c r="C33" s="196">
        <v>743941</v>
      </c>
      <c r="D33" s="197">
        <f>_xlfn.COMPOUNDVALUE(90)</f>
        <v>1498</v>
      </c>
      <c r="E33" s="196">
        <v>728878</v>
      </c>
      <c r="F33" s="197">
        <f>_xlfn.COMPOUNDVALUE(91)</f>
        <v>2693</v>
      </c>
      <c r="G33" s="196">
        <v>1472819</v>
      </c>
      <c r="H33" s="197">
        <f>_xlfn.COMPOUNDVALUE(92)</f>
        <v>91</v>
      </c>
      <c r="I33" s="198">
        <v>41006</v>
      </c>
      <c r="J33" s="123">
        <v>265</v>
      </c>
      <c r="K33" s="125">
        <v>34199</v>
      </c>
      <c r="L33" s="123">
        <v>2869</v>
      </c>
      <c r="M33" s="125">
        <v>1466012</v>
      </c>
      <c r="N33" s="60" t="s">
        <v>90</v>
      </c>
    </row>
    <row r="34" spans="1:14" s="61" customFormat="1" ht="22.5" customHeight="1">
      <c r="A34" s="59" t="s">
        <v>91</v>
      </c>
      <c r="B34" s="123">
        <f>_xlfn.COMPOUNDVALUE(93)</f>
        <v>1222</v>
      </c>
      <c r="C34" s="196">
        <v>719581</v>
      </c>
      <c r="D34" s="197">
        <f>_xlfn.COMPOUNDVALUE(94)</f>
        <v>1669</v>
      </c>
      <c r="E34" s="196">
        <v>807890</v>
      </c>
      <c r="F34" s="197">
        <f>_xlfn.COMPOUNDVALUE(95)</f>
        <v>2891</v>
      </c>
      <c r="G34" s="196">
        <v>1527471</v>
      </c>
      <c r="H34" s="197">
        <f>_xlfn.COMPOUNDVALUE(96)</f>
        <v>70</v>
      </c>
      <c r="I34" s="198">
        <v>60125</v>
      </c>
      <c r="J34" s="123">
        <v>276</v>
      </c>
      <c r="K34" s="125">
        <v>32931</v>
      </c>
      <c r="L34" s="123">
        <v>3053</v>
      </c>
      <c r="M34" s="125">
        <v>1500277</v>
      </c>
      <c r="N34" s="60" t="s">
        <v>92</v>
      </c>
    </row>
    <row r="35" spans="1:14" s="61" customFormat="1" ht="22.5" customHeight="1">
      <c r="A35" s="59" t="s">
        <v>93</v>
      </c>
      <c r="B35" s="123">
        <f>_xlfn.COMPOUNDVALUE(97)</f>
        <v>605</v>
      </c>
      <c r="C35" s="196">
        <v>437148</v>
      </c>
      <c r="D35" s="197">
        <f>_xlfn.COMPOUNDVALUE(98)</f>
        <v>744</v>
      </c>
      <c r="E35" s="196">
        <v>377955</v>
      </c>
      <c r="F35" s="197">
        <f>_xlfn.COMPOUNDVALUE(99)</f>
        <v>1349</v>
      </c>
      <c r="G35" s="196">
        <v>815102</v>
      </c>
      <c r="H35" s="197">
        <f>_xlfn.COMPOUNDVALUE(100)</f>
        <v>38</v>
      </c>
      <c r="I35" s="198">
        <v>24994</v>
      </c>
      <c r="J35" s="123">
        <v>108</v>
      </c>
      <c r="K35" s="125">
        <v>16604</v>
      </c>
      <c r="L35" s="123">
        <v>1421</v>
      </c>
      <c r="M35" s="125">
        <v>806713</v>
      </c>
      <c r="N35" s="60" t="s">
        <v>94</v>
      </c>
    </row>
    <row r="36" spans="1:14" s="61" customFormat="1" ht="22.5" customHeight="1">
      <c r="A36" s="59" t="s">
        <v>95</v>
      </c>
      <c r="B36" s="123">
        <f>_xlfn.COMPOUNDVALUE(101)</f>
        <v>1070</v>
      </c>
      <c r="C36" s="196">
        <v>1133912</v>
      </c>
      <c r="D36" s="197">
        <f>_xlfn.COMPOUNDVALUE(102)</f>
        <v>946</v>
      </c>
      <c r="E36" s="196">
        <v>591342</v>
      </c>
      <c r="F36" s="197">
        <f>_xlfn.COMPOUNDVALUE(103)</f>
        <v>2016</v>
      </c>
      <c r="G36" s="196">
        <v>1725254</v>
      </c>
      <c r="H36" s="197">
        <f>_xlfn.COMPOUNDVALUE(104)</f>
        <v>72</v>
      </c>
      <c r="I36" s="198">
        <v>32709</v>
      </c>
      <c r="J36" s="123">
        <v>151</v>
      </c>
      <c r="K36" s="125">
        <v>17429</v>
      </c>
      <c r="L36" s="123">
        <v>2146</v>
      </c>
      <c r="M36" s="125">
        <v>1709974</v>
      </c>
      <c r="N36" s="60" t="s">
        <v>96</v>
      </c>
    </row>
    <row r="37" spans="1:14" s="61" customFormat="1" ht="22.5" customHeight="1">
      <c r="A37" s="59" t="s">
        <v>97</v>
      </c>
      <c r="B37" s="123">
        <f>_xlfn.COMPOUNDVALUE(105)</f>
        <v>1900</v>
      </c>
      <c r="C37" s="196">
        <v>1598130</v>
      </c>
      <c r="D37" s="197">
        <f>_xlfn.COMPOUNDVALUE(106)</f>
        <v>2705</v>
      </c>
      <c r="E37" s="196">
        <v>1443851</v>
      </c>
      <c r="F37" s="197">
        <f>_xlfn.COMPOUNDVALUE(107)</f>
        <v>4605</v>
      </c>
      <c r="G37" s="196">
        <v>3041981</v>
      </c>
      <c r="H37" s="197">
        <f>_xlfn.COMPOUNDVALUE(108)</f>
        <v>164</v>
      </c>
      <c r="I37" s="198">
        <v>144362</v>
      </c>
      <c r="J37" s="123">
        <v>381</v>
      </c>
      <c r="K37" s="125">
        <v>43414</v>
      </c>
      <c r="L37" s="123">
        <v>4886</v>
      </c>
      <c r="M37" s="125">
        <v>2941033</v>
      </c>
      <c r="N37" s="60" t="s">
        <v>98</v>
      </c>
    </row>
    <row r="38" spans="1:14" s="61" customFormat="1" ht="22.5" customHeight="1">
      <c r="A38" s="59" t="s">
        <v>99</v>
      </c>
      <c r="B38" s="123">
        <f>_xlfn.COMPOUNDVALUE(109)</f>
        <v>1602</v>
      </c>
      <c r="C38" s="196">
        <v>1095883</v>
      </c>
      <c r="D38" s="197">
        <f>_xlfn.COMPOUNDVALUE(110)</f>
        <v>2182</v>
      </c>
      <c r="E38" s="196">
        <v>1037048</v>
      </c>
      <c r="F38" s="197">
        <f>_xlfn.COMPOUNDVALUE(111)</f>
        <v>3784</v>
      </c>
      <c r="G38" s="196">
        <v>2132931</v>
      </c>
      <c r="H38" s="197">
        <f>_xlfn.COMPOUNDVALUE(112)</f>
        <v>126</v>
      </c>
      <c r="I38" s="198">
        <v>92682</v>
      </c>
      <c r="J38" s="123">
        <v>512</v>
      </c>
      <c r="K38" s="125">
        <v>143893</v>
      </c>
      <c r="L38" s="123">
        <v>4085</v>
      </c>
      <c r="M38" s="125">
        <v>2184142</v>
      </c>
      <c r="N38" s="60" t="s">
        <v>100</v>
      </c>
    </row>
    <row r="39" spans="1:14" s="61" customFormat="1" ht="22.5" customHeight="1">
      <c r="A39" s="59" t="s">
        <v>101</v>
      </c>
      <c r="B39" s="123">
        <f>_xlfn.COMPOUNDVALUE(113)</f>
        <v>1260</v>
      </c>
      <c r="C39" s="196">
        <v>810053</v>
      </c>
      <c r="D39" s="197">
        <f>_xlfn.COMPOUNDVALUE(114)</f>
        <v>1710</v>
      </c>
      <c r="E39" s="196">
        <v>786875</v>
      </c>
      <c r="F39" s="197">
        <f>_xlfn.COMPOUNDVALUE(115)</f>
        <v>2970</v>
      </c>
      <c r="G39" s="196">
        <v>1596928</v>
      </c>
      <c r="H39" s="197">
        <f>_xlfn.COMPOUNDVALUE(116)</f>
        <v>151</v>
      </c>
      <c r="I39" s="198">
        <v>128370</v>
      </c>
      <c r="J39" s="123">
        <v>331</v>
      </c>
      <c r="K39" s="125">
        <v>64351</v>
      </c>
      <c r="L39" s="123">
        <v>3263</v>
      </c>
      <c r="M39" s="125">
        <v>1532908</v>
      </c>
      <c r="N39" s="60" t="s">
        <v>102</v>
      </c>
    </row>
    <row r="40" spans="1:14" s="61" customFormat="1" ht="22.5" customHeight="1">
      <c r="A40" s="59" t="s">
        <v>103</v>
      </c>
      <c r="B40" s="123">
        <f>_xlfn.COMPOUNDVALUE(117)</f>
        <v>2775</v>
      </c>
      <c r="C40" s="196">
        <v>2202413</v>
      </c>
      <c r="D40" s="197">
        <f>_xlfn.COMPOUNDVALUE(118)</f>
        <v>6808</v>
      </c>
      <c r="E40" s="196">
        <v>2742137</v>
      </c>
      <c r="F40" s="197">
        <f>_xlfn.COMPOUNDVALUE(119)</f>
        <v>9583</v>
      </c>
      <c r="G40" s="196">
        <v>4944549</v>
      </c>
      <c r="H40" s="197">
        <f>_xlfn.COMPOUNDVALUE(120)</f>
        <v>292</v>
      </c>
      <c r="I40" s="198">
        <v>238581</v>
      </c>
      <c r="J40" s="123">
        <v>489</v>
      </c>
      <c r="K40" s="125">
        <v>50196</v>
      </c>
      <c r="L40" s="123">
        <v>9990</v>
      </c>
      <c r="M40" s="125">
        <v>4756164</v>
      </c>
      <c r="N40" s="60" t="s">
        <v>104</v>
      </c>
    </row>
    <row r="41" spans="1:14" s="61" customFormat="1" ht="22.5" customHeight="1">
      <c r="A41" s="59" t="s">
        <v>105</v>
      </c>
      <c r="B41" s="123">
        <f>_xlfn.COMPOUNDVALUE(121)</f>
        <v>1371</v>
      </c>
      <c r="C41" s="196">
        <v>996678</v>
      </c>
      <c r="D41" s="197">
        <f>_xlfn.COMPOUNDVALUE(122)</f>
        <v>2094</v>
      </c>
      <c r="E41" s="196">
        <v>1001653</v>
      </c>
      <c r="F41" s="197">
        <f>_xlfn.COMPOUNDVALUE(123)</f>
        <v>3465</v>
      </c>
      <c r="G41" s="196">
        <v>1998331</v>
      </c>
      <c r="H41" s="197">
        <f>_xlfn.COMPOUNDVALUE(124)</f>
        <v>98</v>
      </c>
      <c r="I41" s="198">
        <v>64827</v>
      </c>
      <c r="J41" s="123">
        <v>194</v>
      </c>
      <c r="K41" s="125">
        <v>42396</v>
      </c>
      <c r="L41" s="123">
        <v>3659</v>
      </c>
      <c r="M41" s="125">
        <v>1975900</v>
      </c>
      <c r="N41" s="60" t="s">
        <v>106</v>
      </c>
    </row>
    <row r="42" spans="1:14" s="61" customFormat="1" ht="22.5" customHeight="1">
      <c r="A42" s="59" t="s">
        <v>107</v>
      </c>
      <c r="B42" s="123">
        <f>_xlfn.COMPOUNDVALUE(125)</f>
        <v>1727</v>
      </c>
      <c r="C42" s="196">
        <v>1057038</v>
      </c>
      <c r="D42" s="197">
        <f>_xlfn.COMPOUNDVALUE(126)</f>
        <v>2531</v>
      </c>
      <c r="E42" s="196">
        <v>1139753</v>
      </c>
      <c r="F42" s="197">
        <f>_xlfn.COMPOUNDVALUE(127)</f>
        <v>4258</v>
      </c>
      <c r="G42" s="196">
        <v>2196790</v>
      </c>
      <c r="H42" s="197">
        <f>_xlfn.COMPOUNDVALUE(128)</f>
        <v>137</v>
      </c>
      <c r="I42" s="198">
        <v>87284</v>
      </c>
      <c r="J42" s="123">
        <v>357</v>
      </c>
      <c r="K42" s="125">
        <v>74491</v>
      </c>
      <c r="L42" s="123">
        <v>4556</v>
      </c>
      <c r="M42" s="125">
        <v>2183997</v>
      </c>
      <c r="N42" s="60" t="s">
        <v>108</v>
      </c>
    </row>
    <row r="43" spans="1:14" s="61" customFormat="1" ht="22.5" customHeight="1">
      <c r="A43" s="59" t="s">
        <v>109</v>
      </c>
      <c r="B43" s="123">
        <f>_xlfn.COMPOUNDVALUE(129)</f>
        <v>672</v>
      </c>
      <c r="C43" s="196">
        <v>435049</v>
      </c>
      <c r="D43" s="197">
        <f>_xlfn.COMPOUNDVALUE(130)</f>
        <v>1023</v>
      </c>
      <c r="E43" s="196">
        <v>441940</v>
      </c>
      <c r="F43" s="197">
        <f>_xlfn.COMPOUNDVALUE(131)</f>
        <v>1695</v>
      </c>
      <c r="G43" s="196">
        <v>876989</v>
      </c>
      <c r="H43" s="197">
        <f>_xlfn.COMPOUNDVALUE(132)</f>
        <v>54</v>
      </c>
      <c r="I43" s="198">
        <v>49919</v>
      </c>
      <c r="J43" s="123">
        <v>79</v>
      </c>
      <c r="K43" s="125">
        <v>16743</v>
      </c>
      <c r="L43" s="123">
        <v>1789</v>
      </c>
      <c r="M43" s="125">
        <v>843813</v>
      </c>
      <c r="N43" s="60" t="s">
        <v>110</v>
      </c>
    </row>
    <row r="44" spans="1:14" s="61" customFormat="1" ht="22.5" customHeight="1">
      <c r="A44" s="62" t="s">
        <v>111</v>
      </c>
      <c r="B44" s="126">
        <f>_xlfn.COMPOUNDVALUE(133)</f>
        <v>2151</v>
      </c>
      <c r="C44" s="199">
        <v>1685908</v>
      </c>
      <c r="D44" s="200">
        <f>_xlfn.COMPOUNDVALUE(134)</f>
        <v>3330</v>
      </c>
      <c r="E44" s="199">
        <v>1481418</v>
      </c>
      <c r="F44" s="200">
        <f>_xlfn.COMPOUNDVALUE(135)</f>
        <v>5481</v>
      </c>
      <c r="G44" s="199">
        <v>3167326</v>
      </c>
      <c r="H44" s="200">
        <f>_xlfn.COMPOUNDVALUE(136)</f>
        <v>126</v>
      </c>
      <c r="I44" s="201">
        <v>101782</v>
      </c>
      <c r="J44" s="126">
        <v>439</v>
      </c>
      <c r="K44" s="128">
        <v>64689</v>
      </c>
      <c r="L44" s="126">
        <v>5737</v>
      </c>
      <c r="M44" s="128">
        <v>3130233</v>
      </c>
      <c r="N44" s="63" t="s">
        <v>112</v>
      </c>
    </row>
    <row r="45" spans="1:14" s="61" customFormat="1" ht="22.5" customHeight="1">
      <c r="A45" s="62" t="s">
        <v>113</v>
      </c>
      <c r="B45" s="126">
        <f>_xlfn.COMPOUNDVALUE(137)</f>
        <v>1344</v>
      </c>
      <c r="C45" s="199">
        <v>896955</v>
      </c>
      <c r="D45" s="200">
        <f>_xlfn.COMPOUNDVALUE(138)</f>
        <v>1980</v>
      </c>
      <c r="E45" s="199">
        <v>871301</v>
      </c>
      <c r="F45" s="200">
        <f>_xlfn.COMPOUNDVALUE(139)</f>
        <v>3324</v>
      </c>
      <c r="G45" s="199">
        <v>1768257</v>
      </c>
      <c r="H45" s="200">
        <f>_xlfn.COMPOUNDVALUE(140)</f>
        <v>96</v>
      </c>
      <c r="I45" s="201">
        <v>114728</v>
      </c>
      <c r="J45" s="126">
        <v>259</v>
      </c>
      <c r="K45" s="128">
        <v>58508</v>
      </c>
      <c r="L45" s="126">
        <v>3528</v>
      </c>
      <c r="M45" s="128">
        <v>1712037</v>
      </c>
      <c r="N45" s="63" t="s">
        <v>114</v>
      </c>
    </row>
    <row r="46" spans="1:14" s="61" customFormat="1" ht="22.5" customHeight="1">
      <c r="A46" s="62" t="s">
        <v>115</v>
      </c>
      <c r="B46" s="126">
        <f>_xlfn.COMPOUNDVALUE(141)</f>
        <v>1684</v>
      </c>
      <c r="C46" s="199">
        <v>1404024</v>
      </c>
      <c r="D46" s="200">
        <f>_xlfn.COMPOUNDVALUE(142)</f>
        <v>2564</v>
      </c>
      <c r="E46" s="199">
        <v>1179951</v>
      </c>
      <c r="F46" s="200">
        <f>_xlfn.COMPOUNDVALUE(143)</f>
        <v>4248</v>
      </c>
      <c r="G46" s="199">
        <v>2583974</v>
      </c>
      <c r="H46" s="200">
        <f>_xlfn.COMPOUNDVALUE(144)</f>
        <v>116</v>
      </c>
      <c r="I46" s="201">
        <v>59226</v>
      </c>
      <c r="J46" s="126">
        <v>339</v>
      </c>
      <c r="K46" s="128">
        <v>40614</v>
      </c>
      <c r="L46" s="126">
        <v>4453</v>
      </c>
      <c r="M46" s="128">
        <v>2565362</v>
      </c>
      <c r="N46" s="63" t="s">
        <v>116</v>
      </c>
    </row>
    <row r="47" spans="1:14" s="61" customFormat="1" ht="22.5" customHeight="1">
      <c r="A47" s="62" t="s">
        <v>117</v>
      </c>
      <c r="B47" s="126">
        <f>_xlfn.COMPOUNDVALUE(145)</f>
        <v>1220</v>
      </c>
      <c r="C47" s="199">
        <v>855114</v>
      </c>
      <c r="D47" s="200">
        <f>_xlfn.COMPOUNDVALUE(146)</f>
        <v>1808</v>
      </c>
      <c r="E47" s="199">
        <v>842574</v>
      </c>
      <c r="F47" s="200">
        <f>_xlfn.COMPOUNDVALUE(147)</f>
        <v>3028</v>
      </c>
      <c r="G47" s="199">
        <v>1697687</v>
      </c>
      <c r="H47" s="200">
        <f>_xlfn.COMPOUNDVALUE(148)</f>
        <v>88</v>
      </c>
      <c r="I47" s="201">
        <v>77133</v>
      </c>
      <c r="J47" s="126">
        <v>198</v>
      </c>
      <c r="K47" s="128">
        <v>49399</v>
      </c>
      <c r="L47" s="126">
        <v>3161</v>
      </c>
      <c r="M47" s="128">
        <v>1669954</v>
      </c>
      <c r="N47" s="63" t="s">
        <v>118</v>
      </c>
    </row>
    <row r="48" spans="1:14" s="61" customFormat="1" ht="22.5" customHeight="1">
      <c r="A48" s="62" t="s">
        <v>119</v>
      </c>
      <c r="B48" s="126">
        <f>_xlfn.COMPOUNDVALUE(149)</f>
        <v>772</v>
      </c>
      <c r="C48" s="199">
        <v>730481</v>
      </c>
      <c r="D48" s="200">
        <f>_xlfn.COMPOUNDVALUE(150)</f>
        <v>1360</v>
      </c>
      <c r="E48" s="199">
        <v>618161</v>
      </c>
      <c r="F48" s="200">
        <f>_xlfn.COMPOUNDVALUE(151)</f>
        <v>2132</v>
      </c>
      <c r="G48" s="199">
        <v>1348642</v>
      </c>
      <c r="H48" s="200">
        <f>_xlfn.COMPOUNDVALUE(152)</f>
        <v>70</v>
      </c>
      <c r="I48" s="201">
        <v>73150</v>
      </c>
      <c r="J48" s="126">
        <v>88</v>
      </c>
      <c r="K48" s="128">
        <v>53059</v>
      </c>
      <c r="L48" s="126">
        <v>2240</v>
      </c>
      <c r="M48" s="128">
        <v>1328550</v>
      </c>
      <c r="N48" s="63" t="s">
        <v>120</v>
      </c>
    </row>
    <row r="49" spans="1:14" s="61" customFormat="1" ht="22.5" customHeight="1">
      <c r="A49" s="62" t="s">
        <v>121</v>
      </c>
      <c r="B49" s="126">
        <f>_xlfn.COMPOUNDVALUE(153)</f>
        <v>2119</v>
      </c>
      <c r="C49" s="199">
        <v>1364018</v>
      </c>
      <c r="D49" s="200">
        <f>_xlfn.COMPOUNDVALUE(154)</f>
        <v>2983</v>
      </c>
      <c r="E49" s="199">
        <v>1368112</v>
      </c>
      <c r="F49" s="200">
        <f>_xlfn.COMPOUNDVALUE(155)</f>
        <v>5102</v>
      </c>
      <c r="G49" s="199">
        <v>2732130</v>
      </c>
      <c r="H49" s="200">
        <f>_xlfn.COMPOUNDVALUE(156)</f>
        <v>191</v>
      </c>
      <c r="I49" s="201">
        <v>152350</v>
      </c>
      <c r="J49" s="126">
        <v>530</v>
      </c>
      <c r="K49" s="128">
        <v>104671</v>
      </c>
      <c r="L49" s="126">
        <v>5534</v>
      </c>
      <c r="M49" s="128">
        <v>2684452</v>
      </c>
      <c r="N49" s="63" t="s">
        <v>122</v>
      </c>
    </row>
    <row r="50" spans="1:14" s="61" customFormat="1" ht="22.5" customHeight="1">
      <c r="A50" s="148" t="s">
        <v>123</v>
      </c>
      <c r="B50" s="149">
        <f>_xlfn.COMPOUNDVALUE(157)</f>
        <v>183</v>
      </c>
      <c r="C50" s="202">
        <v>107935</v>
      </c>
      <c r="D50" s="203">
        <f>_xlfn.COMPOUNDVALUE(158)</f>
        <v>369</v>
      </c>
      <c r="E50" s="202">
        <v>140429</v>
      </c>
      <c r="F50" s="203">
        <f>_xlfn.COMPOUNDVALUE(159)</f>
        <v>552</v>
      </c>
      <c r="G50" s="202">
        <v>248365</v>
      </c>
      <c r="H50" s="203">
        <f>_xlfn.COMPOUNDVALUE(160)</f>
        <v>10</v>
      </c>
      <c r="I50" s="204">
        <v>2628</v>
      </c>
      <c r="J50" s="149">
        <v>55</v>
      </c>
      <c r="K50" s="151">
        <v>3273</v>
      </c>
      <c r="L50" s="149">
        <v>568</v>
      </c>
      <c r="M50" s="151">
        <v>249009</v>
      </c>
      <c r="N50" s="152" t="s">
        <v>124</v>
      </c>
    </row>
    <row r="51" spans="1:14" s="61" customFormat="1" ht="22.5" customHeight="1">
      <c r="A51" s="153" t="s">
        <v>125</v>
      </c>
      <c r="B51" s="154">
        <v>26728</v>
      </c>
      <c r="C51" s="155">
        <v>19928175</v>
      </c>
      <c r="D51" s="154">
        <v>40574</v>
      </c>
      <c r="E51" s="155">
        <v>18945351</v>
      </c>
      <c r="F51" s="154">
        <v>67302</v>
      </c>
      <c r="G51" s="155">
        <v>38873526</v>
      </c>
      <c r="H51" s="154">
        <v>2167</v>
      </c>
      <c r="I51" s="156">
        <v>1678743</v>
      </c>
      <c r="J51" s="154">
        <v>5402</v>
      </c>
      <c r="K51" s="156">
        <v>977194</v>
      </c>
      <c r="L51" s="154">
        <v>71366</v>
      </c>
      <c r="M51" s="156">
        <v>38171977</v>
      </c>
      <c r="N51" s="157" t="s">
        <v>126</v>
      </c>
    </row>
    <row r="52" spans="1:14" s="61" customFormat="1" ht="22.5" customHeight="1">
      <c r="A52" s="158"/>
      <c r="B52" s="159"/>
      <c r="C52" s="160"/>
      <c r="D52" s="159"/>
      <c r="E52" s="160"/>
      <c r="F52" s="161"/>
      <c r="G52" s="160"/>
      <c r="H52" s="161"/>
      <c r="I52" s="160"/>
      <c r="J52" s="161"/>
      <c r="K52" s="160"/>
      <c r="L52" s="161"/>
      <c r="M52" s="160"/>
      <c r="N52" s="162"/>
    </row>
    <row r="53" spans="1:14" s="61" customFormat="1" ht="22.5" customHeight="1">
      <c r="A53" s="59" t="s">
        <v>127</v>
      </c>
      <c r="B53" s="123">
        <f>_xlfn.COMPOUNDVALUE(161)</f>
        <v>1021</v>
      </c>
      <c r="C53" s="196">
        <v>771890</v>
      </c>
      <c r="D53" s="197">
        <f>_xlfn.COMPOUNDVALUE(162)</f>
        <v>1329</v>
      </c>
      <c r="E53" s="196">
        <v>627859</v>
      </c>
      <c r="F53" s="197">
        <f>_xlfn.COMPOUNDVALUE(163)</f>
        <v>2350</v>
      </c>
      <c r="G53" s="196">
        <v>1399749</v>
      </c>
      <c r="H53" s="197">
        <f>_xlfn.COMPOUNDVALUE(164)</f>
        <v>74</v>
      </c>
      <c r="I53" s="198">
        <v>54871</v>
      </c>
      <c r="J53" s="123">
        <v>172</v>
      </c>
      <c r="K53" s="125">
        <v>40185</v>
      </c>
      <c r="L53" s="123">
        <v>2479</v>
      </c>
      <c r="M53" s="125">
        <v>1385063</v>
      </c>
      <c r="N53" s="60" t="s">
        <v>128</v>
      </c>
    </row>
    <row r="54" spans="1:14" s="61" customFormat="1" ht="22.5" customHeight="1">
      <c r="A54" s="62" t="s">
        <v>129</v>
      </c>
      <c r="B54" s="126">
        <f>_xlfn.COMPOUNDVALUE(165)</f>
        <v>1449</v>
      </c>
      <c r="C54" s="199">
        <v>1002924</v>
      </c>
      <c r="D54" s="200">
        <f>_xlfn.COMPOUNDVALUE(166)</f>
        <v>1996</v>
      </c>
      <c r="E54" s="199">
        <v>950294</v>
      </c>
      <c r="F54" s="200">
        <f>_xlfn.COMPOUNDVALUE(167)</f>
        <v>3445</v>
      </c>
      <c r="G54" s="199">
        <v>1953217</v>
      </c>
      <c r="H54" s="200">
        <f>_xlfn.COMPOUNDVALUE(168)</f>
        <v>117</v>
      </c>
      <c r="I54" s="201">
        <v>83247</v>
      </c>
      <c r="J54" s="126">
        <v>279</v>
      </c>
      <c r="K54" s="128">
        <v>55857</v>
      </c>
      <c r="L54" s="126">
        <v>3658</v>
      </c>
      <c r="M54" s="128">
        <v>1925827</v>
      </c>
      <c r="N54" s="63" t="s">
        <v>130</v>
      </c>
    </row>
    <row r="55" spans="1:14" s="61" customFormat="1" ht="22.5" customHeight="1">
      <c r="A55" s="62" t="s">
        <v>131</v>
      </c>
      <c r="B55" s="126">
        <f>_xlfn.COMPOUNDVALUE(169)</f>
        <v>1281</v>
      </c>
      <c r="C55" s="199">
        <v>896651</v>
      </c>
      <c r="D55" s="200">
        <f>_xlfn.COMPOUNDVALUE(170)</f>
        <v>1692</v>
      </c>
      <c r="E55" s="199">
        <v>651411</v>
      </c>
      <c r="F55" s="200">
        <f>_xlfn.COMPOUNDVALUE(171)</f>
        <v>2973</v>
      </c>
      <c r="G55" s="199">
        <v>1548062</v>
      </c>
      <c r="H55" s="200">
        <f>_xlfn.COMPOUNDVALUE(172)</f>
        <v>87</v>
      </c>
      <c r="I55" s="201">
        <v>52690</v>
      </c>
      <c r="J55" s="126">
        <v>220</v>
      </c>
      <c r="K55" s="128">
        <v>24687</v>
      </c>
      <c r="L55" s="126">
        <v>3125</v>
      </c>
      <c r="M55" s="128">
        <v>1520059</v>
      </c>
      <c r="N55" s="63" t="s">
        <v>132</v>
      </c>
    </row>
    <row r="56" spans="1:14" s="61" customFormat="1" ht="22.5" customHeight="1">
      <c r="A56" s="62" t="s">
        <v>133</v>
      </c>
      <c r="B56" s="126">
        <f>_xlfn.COMPOUNDVALUE(173)</f>
        <v>990</v>
      </c>
      <c r="C56" s="199">
        <v>673013</v>
      </c>
      <c r="D56" s="200">
        <f>_xlfn.COMPOUNDVALUE(174)</f>
        <v>1128</v>
      </c>
      <c r="E56" s="199">
        <v>484073</v>
      </c>
      <c r="F56" s="200">
        <f>_xlfn.COMPOUNDVALUE(175)</f>
        <v>2118</v>
      </c>
      <c r="G56" s="199">
        <v>1157086</v>
      </c>
      <c r="H56" s="200">
        <f>_xlfn.COMPOUNDVALUE(176)</f>
        <v>73</v>
      </c>
      <c r="I56" s="201">
        <v>35294</v>
      </c>
      <c r="J56" s="126">
        <v>180</v>
      </c>
      <c r="K56" s="128">
        <v>44595</v>
      </c>
      <c r="L56" s="126">
        <v>2271</v>
      </c>
      <c r="M56" s="128">
        <v>1166387</v>
      </c>
      <c r="N56" s="63" t="s">
        <v>134</v>
      </c>
    </row>
    <row r="57" spans="1:14" s="61" customFormat="1" ht="22.5" customHeight="1">
      <c r="A57" s="62" t="s">
        <v>135</v>
      </c>
      <c r="B57" s="126">
        <f>_xlfn.COMPOUNDVALUE(177)</f>
        <v>741</v>
      </c>
      <c r="C57" s="199">
        <v>520225</v>
      </c>
      <c r="D57" s="200">
        <f>_xlfn.COMPOUNDVALUE(178)</f>
        <v>1069</v>
      </c>
      <c r="E57" s="199">
        <v>459660</v>
      </c>
      <c r="F57" s="200">
        <f>_xlfn.COMPOUNDVALUE(179)</f>
        <v>1810</v>
      </c>
      <c r="G57" s="199">
        <v>979885</v>
      </c>
      <c r="H57" s="200">
        <f>_xlfn.COMPOUNDVALUE(180)</f>
        <v>56</v>
      </c>
      <c r="I57" s="201">
        <v>34752</v>
      </c>
      <c r="J57" s="126">
        <v>78</v>
      </c>
      <c r="K57" s="128">
        <v>4018</v>
      </c>
      <c r="L57" s="126">
        <v>1879</v>
      </c>
      <c r="M57" s="128">
        <v>949151</v>
      </c>
      <c r="N57" s="63" t="s">
        <v>136</v>
      </c>
    </row>
    <row r="58" spans="1:14" s="61" customFormat="1" ht="22.5" customHeight="1">
      <c r="A58" s="62" t="s">
        <v>137</v>
      </c>
      <c r="B58" s="126">
        <f>_xlfn.COMPOUNDVALUE(181)</f>
        <v>634</v>
      </c>
      <c r="C58" s="199">
        <v>379314</v>
      </c>
      <c r="D58" s="200">
        <f>_xlfn.COMPOUNDVALUE(182)</f>
        <v>644</v>
      </c>
      <c r="E58" s="199">
        <v>273605</v>
      </c>
      <c r="F58" s="200">
        <f>_xlfn.COMPOUNDVALUE(183)</f>
        <v>1278</v>
      </c>
      <c r="G58" s="199">
        <v>652920</v>
      </c>
      <c r="H58" s="200">
        <f>_xlfn.COMPOUNDVALUE(184)</f>
        <v>67</v>
      </c>
      <c r="I58" s="201">
        <v>41187</v>
      </c>
      <c r="J58" s="126">
        <v>93</v>
      </c>
      <c r="K58" s="128">
        <v>10457</v>
      </c>
      <c r="L58" s="126">
        <v>1369</v>
      </c>
      <c r="M58" s="128">
        <v>622190</v>
      </c>
      <c r="N58" s="63" t="s">
        <v>138</v>
      </c>
    </row>
    <row r="59" spans="1:14" s="61" customFormat="1" ht="22.5" customHeight="1">
      <c r="A59" s="62" t="s">
        <v>139</v>
      </c>
      <c r="B59" s="200">
        <f>_xlfn.COMPOUNDVALUE(185)</f>
        <v>960</v>
      </c>
      <c r="C59" s="199">
        <v>694404</v>
      </c>
      <c r="D59" s="200">
        <f>_xlfn.COMPOUNDVALUE(186)</f>
        <v>1351</v>
      </c>
      <c r="E59" s="199">
        <v>629725</v>
      </c>
      <c r="F59" s="200">
        <f>_xlfn.COMPOUNDVALUE(187)</f>
        <v>2311</v>
      </c>
      <c r="G59" s="199">
        <v>1324129</v>
      </c>
      <c r="H59" s="200">
        <f>_xlfn.COMPOUNDVALUE(188)</f>
        <v>90</v>
      </c>
      <c r="I59" s="201">
        <v>68348</v>
      </c>
      <c r="J59" s="126">
        <v>178</v>
      </c>
      <c r="K59" s="128">
        <v>17991</v>
      </c>
      <c r="L59" s="126">
        <v>2454</v>
      </c>
      <c r="M59" s="128">
        <v>1273772</v>
      </c>
      <c r="N59" s="63" t="s">
        <v>140</v>
      </c>
    </row>
    <row r="60" spans="1:14" s="61" customFormat="1" ht="22.5" customHeight="1">
      <c r="A60" s="148" t="s">
        <v>141</v>
      </c>
      <c r="B60" s="203">
        <f>_xlfn.COMPOUNDVALUE(189)</f>
        <v>408</v>
      </c>
      <c r="C60" s="202">
        <v>325883</v>
      </c>
      <c r="D60" s="203">
        <f>_xlfn.COMPOUNDVALUE(190)</f>
        <v>573</v>
      </c>
      <c r="E60" s="202">
        <v>227963</v>
      </c>
      <c r="F60" s="203">
        <f>_xlfn.COMPOUNDVALUE(191)</f>
        <v>981</v>
      </c>
      <c r="G60" s="202">
        <v>553845</v>
      </c>
      <c r="H60" s="203">
        <f>_xlfn.COMPOUNDVALUE(192)</f>
        <v>30</v>
      </c>
      <c r="I60" s="204">
        <v>10632</v>
      </c>
      <c r="J60" s="149">
        <v>79</v>
      </c>
      <c r="K60" s="151">
        <v>13786</v>
      </c>
      <c r="L60" s="149">
        <v>1022</v>
      </c>
      <c r="M60" s="151">
        <v>556999</v>
      </c>
      <c r="N60" s="152" t="s">
        <v>142</v>
      </c>
    </row>
    <row r="61" spans="1:14" s="61" customFormat="1" ht="22.5" customHeight="1">
      <c r="A61" s="153" t="s">
        <v>143</v>
      </c>
      <c r="B61" s="205">
        <v>7484</v>
      </c>
      <c r="C61" s="206">
        <v>5264303</v>
      </c>
      <c r="D61" s="205">
        <v>9782</v>
      </c>
      <c r="E61" s="206">
        <v>4304590</v>
      </c>
      <c r="F61" s="205">
        <v>17266</v>
      </c>
      <c r="G61" s="206">
        <v>9568893</v>
      </c>
      <c r="H61" s="205">
        <v>594</v>
      </c>
      <c r="I61" s="207">
        <v>381021</v>
      </c>
      <c r="J61" s="154">
        <v>1279</v>
      </c>
      <c r="K61" s="156">
        <v>211576</v>
      </c>
      <c r="L61" s="154">
        <v>18257</v>
      </c>
      <c r="M61" s="156">
        <v>9399448</v>
      </c>
      <c r="N61" s="157" t="s">
        <v>144</v>
      </c>
    </row>
    <row r="62" spans="1:14" s="61" customFormat="1" ht="22.5" customHeight="1" thickBot="1">
      <c r="A62" s="64"/>
      <c r="B62" s="209"/>
      <c r="C62" s="208"/>
      <c r="D62" s="209"/>
      <c r="E62" s="208"/>
      <c r="F62" s="210"/>
      <c r="G62" s="208"/>
      <c r="H62" s="210"/>
      <c r="I62" s="208"/>
      <c r="J62" s="164"/>
      <c r="K62" s="163"/>
      <c r="L62" s="164"/>
      <c r="M62" s="163"/>
      <c r="N62" s="65"/>
    </row>
    <row r="63" spans="1:14" s="61" customFormat="1" ht="22.5" customHeight="1" thickBot="1" thickTop="1">
      <c r="A63" s="66" t="s">
        <v>38</v>
      </c>
      <c r="B63" s="212">
        <v>55151</v>
      </c>
      <c r="C63" s="211">
        <v>39458861</v>
      </c>
      <c r="D63" s="212">
        <v>87283</v>
      </c>
      <c r="E63" s="211">
        <v>39499236</v>
      </c>
      <c r="F63" s="212">
        <v>142434</v>
      </c>
      <c r="G63" s="211">
        <v>78958097</v>
      </c>
      <c r="H63" s="212">
        <v>4377</v>
      </c>
      <c r="I63" s="213">
        <v>3267817</v>
      </c>
      <c r="J63" s="133">
        <v>10894</v>
      </c>
      <c r="K63" s="135">
        <v>1881692</v>
      </c>
      <c r="L63" s="133">
        <v>150324</v>
      </c>
      <c r="M63" s="135">
        <v>77571973</v>
      </c>
      <c r="N63" s="67" t="s">
        <v>39</v>
      </c>
    </row>
    <row r="64" spans="1:14" s="97" customFormat="1" ht="3" customHeight="1">
      <c r="A64" s="95"/>
      <c r="B64" s="96"/>
      <c r="C64" s="96"/>
      <c r="D64" s="96"/>
      <c r="E64" s="96"/>
      <c r="F64" s="96"/>
      <c r="G64" s="96"/>
      <c r="H64" s="96"/>
      <c r="I64" s="96"/>
      <c r="J64" s="96"/>
      <c r="K64" s="96"/>
      <c r="L64" s="96"/>
      <c r="M64" s="96"/>
      <c r="N64" s="95"/>
    </row>
    <row r="65" spans="1:14" ht="22.5" customHeight="1">
      <c r="A65" s="270" t="s">
        <v>217</v>
      </c>
      <c r="B65" s="270"/>
      <c r="C65" s="270"/>
      <c r="D65" s="270"/>
      <c r="E65" s="270"/>
      <c r="F65" s="270"/>
      <c r="G65" s="270"/>
      <c r="H65" s="270"/>
      <c r="I65" s="270"/>
      <c r="J65" s="49"/>
      <c r="K65" s="49"/>
      <c r="L65" s="50"/>
      <c r="M65" s="50"/>
      <c r="N65" s="50"/>
    </row>
  </sheetData>
  <sheetProtection/>
  <mergeCells count="11">
    <mergeCell ref="N3:N5"/>
    <mergeCell ref="B4:C4"/>
    <mergeCell ref="D4:E4"/>
    <mergeCell ref="F4:G4"/>
    <mergeCell ref="A65:I65"/>
    <mergeCell ref="A2:G2"/>
    <mergeCell ref="A3:A5"/>
    <mergeCell ref="B3:G3"/>
    <mergeCell ref="H3:I4"/>
    <mergeCell ref="J3:K4"/>
    <mergeCell ref="L3:M4"/>
  </mergeCells>
  <printOptions horizontalCentered="1"/>
  <pageMargins left="0.11811023622047245" right="0.11811023622047245" top="0.7480314960629921" bottom="0.7480314960629921" header="0.31496062992125984" footer="0.31496062992125984"/>
  <pageSetup horizontalDpi="600" verticalDpi="600" orientation="portrait" paperSize="9" scale="48" r:id="rId1"/>
  <headerFooter alignWithMargins="0">
    <oddFooter>&amp;R&amp;K01+000名古屋国税局 消費税（R01）</oddFooter>
  </headerFooter>
</worksheet>
</file>

<file path=xl/worksheets/sheet5.xml><?xml version="1.0" encoding="utf-8"?>
<worksheet xmlns="http://schemas.openxmlformats.org/spreadsheetml/2006/main" xmlns:r="http://schemas.openxmlformats.org/officeDocument/2006/relationships">
  <dimension ref="A1:N65"/>
  <sheetViews>
    <sheetView showGridLines="0" zoomScale="85" zoomScaleNormal="85" zoomScaleSheetLayoutView="100" workbookViewId="0" topLeftCell="A1">
      <selection activeCell="A1" sqref="A1"/>
    </sheetView>
  </sheetViews>
  <sheetFormatPr defaultColWidth="9.00390625" defaultRowHeight="13.5"/>
  <cols>
    <col min="1" max="1" width="11.375" style="122" customWidth="1"/>
    <col min="2" max="2" width="11.25390625" style="122" customWidth="1"/>
    <col min="3" max="3" width="12.625" style="122" customWidth="1"/>
    <col min="4" max="4" width="11.25390625" style="122" customWidth="1"/>
    <col min="5" max="5" width="12.625" style="122" customWidth="1"/>
    <col min="6" max="6" width="11.25390625" style="122" customWidth="1"/>
    <col min="7" max="7" width="12.625" style="122" customWidth="1"/>
    <col min="8" max="8" width="11.25390625" style="122" customWidth="1"/>
    <col min="9" max="9" width="12.625" style="122" customWidth="1"/>
    <col min="10" max="10" width="11.25390625" style="122" customWidth="1"/>
    <col min="11" max="11" width="12.625" style="122" customWidth="1"/>
    <col min="12" max="12" width="11.25390625" style="122" customWidth="1"/>
    <col min="13" max="13" width="12.625" style="122" customWidth="1"/>
    <col min="14" max="14" width="11.375" style="122" customWidth="1"/>
    <col min="15" max="16384" width="9.00390625" style="122" customWidth="1"/>
  </cols>
  <sheetData>
    <row r="1" spans="1:14" ht="13.5">
      <c r="A1" s="49" t="s">
        <v>222</v>
      </c>
      <c r="B1" s="49"/>
      <c r="C1" s="49"/>
      <c r="D1" s="49"/>
      <c r="E1" s="49"/>
      <c r="F1" s="49"/>
      <c r="G1" s="49"/>
      <c r="H1" s="49"/>
      <c r="I1" s="49"/>
      <c r="J1" s="49"/>
      <c r="K1" s="49"/>
      <c r="L1" s="50"/>
      <c r="M1" s="50"/>
      <c r="N1" s="68"/>
    </row>
    <row r="2" spans="1:14" ht="14.25" thickBot="1">
      <c r="A2" s="290" t="s">
        <v>145</v>
      </c>
      <c r="B2" s="290"/>
      <c r="C2" s="290"/>
      <c r="D2" s="290"/>
      <c r="E2" s="290"/>
      <c r="F2" s="290"/>
      <c r="G2" s="290"/>
      <c r="H2" s="290"/>
      <c r="I2" s="290"/>
      <c r="J2" s="49"/>
      <c r="K2" s="49"/>
      <c r="L2" s="50"/>
      <c r="M2" s="50"/>
      <c r="N2" s="68"/>
    </row>
    <row r="3" spans="1:14" ht="22.5" customHeight="1">
      <c r="A3" s="271" t="s">
        <v>150</v>
      </c>
      <c r="B3" s="274" t="s">
        <v>151</v>
      </c>
      <c r="C3" s="274"/>
      <c r="D3" s="274"/>
      <c r="E3" s="274"/>
      <c r="F3" s="274"/>
      <c r="G3" s="274"/>
      <c r="H3" s="275" t="s">
        <v>12</v>
      </c>
      <c r="I3" s="276"/>
      <c r="J3" s="279" t="s">
        <v>33</v>
      </c>
      <c r="K3" s="276"/>
      <c r="L3" s="280" t="s">
        <v>34</v>
      </c>
      <c r="M3" s="281"/>
      <c r="N3" s="284" t="s">
        <v>146</v>
      </c>
    </row>
    <row r="4" spans="1:14" ht="18.75" customHeight="1">
      <c r="A4" s="272"/>
      <c r="B4" s="277" t="s">
        <v>14</v>
      </c>
      <c r="C4" s="288"/>
      <c r="D4" s="277" t="s">
        <v>36</v>
      </c>
      <c r="E4" s="288"/>
      <c r="F4" s="282" t="s">
        <v>37</v>
      </c>
      <c r="G4" s="289"/>
      <c r="H4" s="277"/>
      <c r="I4" s="278"/>
      <c r="J4" s="277"/>
      <c r="K4" s="278"/>
      <c r="L4" s="282"/>
      <c r="M4" s="283"/>
      <c r="N4" s="285"/>
    </row>
    <row r="5" spans="1:14" ht="33.75" customHeight="1">
      <c r="A5" s="273"/>
      <c r="B5" s="143" t="s">
        <v>216</v>
      </c>
      <c r="C5" s="51" t="s">
        <v>152</v>
      </c>
      <c r="D5" s="143" t="s">
        <v>216</v>
      </c>
      <c r="E5" s="51" t="s">
        <v>152</v>
      </c>
      <c r="F5" s="143" t="s">
        <v>216</v>
      </c>
      <c r="G5" s="52" t="s">
        <v>213</v>
      </c>
      <c r="H5" s="143" t="s">
        <v>216</v>
      </c>
      <c r="I5" s="52" t="s">
        <v>214</v>
      </c>
      <c r="J5" s="143" t="s">
        <v>216</v>
      </c>
      <c r="K5" s="52" t="s">
        <v>215</v>
      </c>
      <c r="L5" s="143" t="s">
        <v>216</v>
      </c>
      <c r="M5" s="52" t="s">
        <v>153</v>
      </c>
      <c r="N5" s="286"/>
    </row>
    <row r="6" spans="1:14" s="69" customFormat="1" ht="10.5">
      <c r="A6" s="53"/>
      <c r="B6" s="54" t="s">
        <v>4</v>
      </c>
      <c r="C6" s="55" t="s">
        <v>5</v>
      </c>
      <c r="D6" s="54" t="s">
        <v>4</v>
      </c>
      <c r="E6" s="55" t="s">
        <v>5</v>
      </c>
      <c r="F6" s="54" t="s">
        <v>4</v>
      </c>
      <c r="G6" s="55" t="s">
        <v>5</v>
      </c>
      <c r="H6" s="54" t="s">
        <v>4</v>
      </c>
      <c r="I6" s="56" t="s">
        <v>5</v>
      </c>
      <c r="J6" s="54" t="s">
        <v>4</v>
      </c>
      <c r="K6" s="56" t="s">
        <v>5</v>
      </c>
      <c r="L6" s="54" t="s">
        <v>220</v>
      </c>
      <c r="M6" s="56" t="s">
        <v>5</v>
      </c>
      <c r="N6" s="57"/>
    </row>
    <row r="7" spans="1:14" ht="22.5" customHeight="1">
      <c r="A7" s="59" t="s">
        <v>154</v>
      </c>
      <c r="B7" s="123">
        <f>_xlfn.COMPOUNDVALUE(193)</f>
        <v>4552</v>
      </c>
      <c r="C7" s="124">
        <v>31507226</v>
      </c>
      <c r="D7" s="123">
        <f>_xlfn.COMPOUNDVALUE(194)</f>
        <v>1716</v>
      </c>
      <c r="E7" s="124">
        <v>1085470</v>
      </c>
      <c r="F7" s="123">
        <f>_xlfn.COMPOUNDVALUE(195)</f>
        <v>6268</v>
      </c>
      <c r="G7" s="124">
        <v>32592696</v>
      </c>
      <c r="H7" s="123">
        <f>_xlfn.COMPOUNDVALUE(196)</f>
        <v>322</v>
      </c>
      <c r="I7" s="125">
        <v>1653806</v>
      </c>
      <c r="J7" s="123">
        <v>351</v>
      </c>
      <c r="K7" s="125">
        <v>24195</v>
      </c>
      <c r="L7" s="123">
        <v>6646</v>
      </c>
      <c r="M7" s="125">
        <v>30963085</v>
      </c>
      <c r="N7" s="60" t="s">
        <v>42</v>
      </c>
    </row>
    <row r="8" spans="1:14" ht="22.5" customHeight="1">
      <c r="A8" s="62" t="s">
        <v>161</v>
      </c>
      <c r="B8" s="126">
        <f>_xlfn.COMPOUNDVALUE(197)</f>
        <v>4380</v>
      </c>
      <c r="C8" s="127">
        <v>38181341</v>
      </c>
      <c r="D8" s="126">
        <f>_xlfn.COMPOUNDVALUE(198)</f>
        <v>1491</v>
      </c>
      <c r="E8" s="127">
        <v>976619</v>
      </c>
      <c r="F8" s="126">
        <f>_xlfn.COMPOUNDVALUE(199)</f>
        <v>5871</v>
      </c>
      <c r="G8" s="127">
        <v>39157960</v>
      </c>
      <c r="H8" s="126">
        <f>_xlfn.COMPOUNDVALUE(200)</f>
        <v>340</v>
      </c>
      <c r="I8" s="128">
        <v>2692065</v>
      </c>
      <c r="J8" s="126">
        <v>450</v>
      </c>
      <c r="K8" s="128">
        <v>81987</v>
      </c>
      <c r="L8" s="126">
        <v>6259</v>
      </c>
      <c r="M8" s="128">
        <v>36547882</v>
      </c>
      <c r="N8" s="63" t="s">
        <v>44</v>
      </c>
    </row>
    <row r="9" spans="1:14" ht="22.5" customHeight="1">
      <c r="A9" s="62" t="s">
        <v>162</v>
      </c>
      <c r="B9" s="126">
        <f>_xlfn.COMPOUNDVALUE(201)</f>
        <v>3439</v>
      </c>
      <c r="C9" s="127">
        <v>38983272</v>
      </c>
      <c r="D9" s="126">
        <f>_xlfn.COMPOUNDVALUE(202)</f>
        <v>1226</v>
      </c>
      <c r="E9" s="127">
        <v>786920</v>
      </c>
      <c r="F9" s="126">
        <f>_xlfn.COMPOUNDVALUE(203)</f>
        <v>4665</v>
      </c>
      <c r="G9" s="127">
        <v>39770192</v>
      </c>
      <c r="H9" s="126">
        <f>_xlfn.COMPOUNDVALUE(204)</f>
        <v>361</v>
      </c>
      <c r="I9" s="128">
        <v>6947079</v>
      </c>
      <c r="J9" s="126">
        <v>340</v>
      </c>
      <c r="K9" s="128">
        <v>39697</v>
      </c>
      <c r="L9" s="126">
        <v>5053</v>
      </c>
      <c r="M9" s="128">
        <v>32862811</v>
      </c>
      <c r="N9" s="63" t="s">
        <v>46</v>
      </c>
    </row>
    <row r="10" spans="1:14" ht="22.5" customHeight="1">
      <c r="A10" s="62" t="s">
        <v>163</v>
      </c>
      <c r="B10" s="126">
        <f>_xlfn.COMPOUNDVALUE(205)</f>
        <v>1917</v>
      </c>
      <c r="C10" s="127">
        <v>11378505</v>
      </c>
      <c r="D10" s="126">
        <f>_xlfn.COMPOUNDVALUE(206)</f>
        <v>770</v>
      </c>
      <c r="E10" s="127">
        <v>454229</v>
      </c>
      <c r="F10" s="126">
        <f>_xlfn.COMPOUNDVALUE(207)</f>
        <v>2687</v>
      </c>
      <c r="G10" s="127">
        <v>11832735</v>
      </c>
      <c r="H10" s="126">
        <f>_xlfn.COMPOUNDVALUE(208)</f>
        <v>130</v>
      </c>
      <c r="I10" s="128">
        <v>309791</v>
      </c>
      <c r="J10" s="126">
        <v>138</v>
      </c>
      <c r="K10" s="128">
        <v>-2900</v>
      </c>
      <c r="L10" s="126">
        <v>2831</v>
      </c>
      <c r="M10" s="128">
        <v>11520044</v>
      </c>
      <c r="N10" s="63" t="s">
        <v>48</v>
      </c>
    </row>
    <row r="11" spans="1:14" ht="22.5" customHeight="1">
      <c r="A11" s="62" t="s">
        <v>164</v>
      </c>
      <c r="B11" s="126">
        <f>_xlfn.COMPOUNDVALUE(209)</f>
        <v>2903</v>
      </c>
      <c r="C11" s="127">
        <v>23279775</v>
      </c>
      <c r="D11" s="126">
        <f>_xlfn.COMPOUNDVALUE(210)</f>
        <v>1335</v>
      </c>
      <c r="E11" s="127">
        <v>777564</v>
      </c>
      <c r="F11" s="126">
        <f>_xlfn.COMPOUNDVALUE(211)</f>
        <v>4238</v>
      </c>
      <c r="G11" s="127">
        <v>24057338</v>
      </c>
      <c r="H11" s="126">
        <f>_xlfn.COMPOUNDVALUE(212)</f>
        <v>239</v>
      </c>
      <c r="I11" s="128">
        <v>935102</v>
      </c>
      <c r="J11" s="126">
        <v>188</v>
      </c>
      <c r="K11" s="128">
        <v>111617</v>
      </c>
      <c r="L11" s="126">
        <v>4497</v>
      </c>
      <c r="M11" s="128">
        <v>23233853</v>
      </c>
      <c r="N11" s="63" t="s">
        <v>50</v>
      </c>
    </row>
    <row r="12" spans="1:14" ht="22.5" customHeight="1">
      <c r="A12" s="62" t="s">
        <v>165</v>
      </c>
      <c r="B12" s="126">
        <f>_xlfn.COMPOUNDVALUE(213)</f>
        <v>2772</v>
      </c>
      <c r="C12" s="127">
        <v>20222161</v>
      </c>
      <c r="D12" s="126">
        <f>_xlfn.COMPOUNDVALUE(214)</f>
        <v>1026</v>
      </c>
      <c r="E12" s="127">
        <v>625400</v>
      </c>
      <c r="F12" s="126">
        <f>_xlfn.COMPOUNDVALUE(215)</f>
        <v>3798</v>
      </c>
      <c r="G12" s="127">
        <v>20847560</v>
      </c>
      <c r="H12" s="126">
        <f>_xlfn.COMPOUNDVALUE(216)</f>
        <v>211</v>
      </c>
      <c r="I12" s="128">
        <v>903499</v>
      </c>
      <c r="J12" s="126">
        <v>245</v>
      </c>
      <c r="K12" s="128">
        <v>-4282</v>
      </c>
      <c r="L12" s="126">
        <v>4028</v>
      </c>
      <c r="M12" s="128">
        <v>19939780</v>
      </c>
      <c r="N12" s="63" t="s">
        <v>52</v>
      </c>
    </row>
    <row r="13" spans="1:14" ht="22.5" customHeight="1">
      <c r="A13" s="148" t="s">
        <v>166</v>
      </c>
      <c r="B13" s="149">
        <f>_xlfn.COMPOUNDVALUE(217)</f>
        <v>1173</v>
      </c>
      <c r="C13" s="150">
        <v>10486206</v>
      </c>
      <c r="D13" s="149">
        <f>_xlfn.COMPOUNDVALUE(218)</f>
        <v>509</v>
      </c>
      <c r="E13" s="150">
        <v>298310</v>
      </c>
      <c r="F13" s="149">
        <f>_xlfn.COMPOUNDVALUE(219)</f>
        <v>1682</v>
      </c>
      <c r="G13" s="150">
        <v>10784516</v>
      </c>
      <c r="H13" s="149">
        <f>_xlfn.COMPOUNDVALUE(220)</f>
        <v>74</v>
      </c>
      <c r="I13" s="151">
        <v>154652</v>
      </c>
      <c r="J13" s="149">
        <v>110</v>
      </c>
      <c r="K13" s="151">
        <v>12140</v>
      </c>
      <c r="L13" s="149">
        <v>1766</v>
      </c>
      <c r="M13" s="151">
        <v>10642005</v>
      </c>
      <c r="N13" s="152" t="s">
        <v>54</v>
      </c>
    </row>
    <row r="14" spans="1:14" ht="22.5" customHeight="1">
      <c r="A14" s="153" t="s">
        <v>167</v>
      </c>
      <c r="B14" s="154">
        <v>21136</v>
      </c>
      <c r="C14" s="155">
        <v>174038486</v>
      </c>
      <c r="D14" s="154">
        <v>8073</v>
      </c>
      <c r="E14" s="155">
        <v>5004512</v>
      </c>
      <c r="F14" s="154">
        <v>29209</v>
      </c>
      <c r="G14" s="155">
        <v>179042997</v>
      </c>
      <c r="H14" s="154">
        <v>1677</v>
      </c>
      <c r="I14" s="156">
        <v>13595992</v>
      </c>
      <c r="J14" s="154">
        <v>1822</v>
      </c>
      <c r="K14" s="156">
        <v>262455</v>
      </c>
      <c r="L14" s="154">
        <v>31080</v>
      </c>
      <c r="M14" s="156">
        <v>165709460</v>
      </c>
      <c r="N14" s="157" t="s">
        <v>56</v>
      </c>
    </row>
    <row r="15" spans="1:14" ht="22.5" customHeight="1">
      <c r="A15" s="158"/>
      <c r="B15" s="159"/>
      <c r="C15" s="160"/>
      <c r="D15" s="159"/>
      <c r="E15" s="160"/>
      <c r="F15" s="161"/>
      <c r="G15" s="160"/>
      <c r="H15" s="161"/>
      <c r="I15" s="160"/>
      <c r="J15" s="161"/>
      <c r="K15" s="160"/>
      <c r="L15" s="161"/>
      <c r="M15" s="160"/>
      <c r="N15" s="162"/>
    </row>
    <row r="16" spans="1:14" ht="22.5" customHeight="1">
      <c r="A16" s="59" t="s">
        <v>168</v>
      </c>
      <c r="B16" s="123">
        <f>_xlfn.COMPOUNDVALUE(221)</f>
        <v>5279</v>
      </c>
      <c r="C16" s="124">
        <v>55089602</v>
      </c>
      <c r="D16" s="123">
        <f>_xlfn.COMPOUNDVALUE(222)</f>
        <v>2158</v>
      </c>
      <c r="E16" s="124">
        <v>1385265</v>
      </c>
      <c r="F16" s="123">
        <f>_xlfn.COMPOUNDVALUE(223)</f>
        <v>7437</v>
      </c>
      <c r="G16" s="124">
        <v>56474867</v>
      </c>
      <c r="H16" s="123">
        <f>_xlfn.COMPOUNDVALUE(224)</f>
        <v>391</v>
      </c>
      <c r="I16" s="125">
        <v>3950799</v>
      </c>
      <c r="J16" s="123">
        <v>443</v>
      </c>
      <c r="K16" s="125">
        <v>94642</v>
      </c>
      <c r="L16" s="123">
        <v>7873</v>
      </c>
      <c r="M16" s="125">
        <v>52618709</v>
      </c>
      <c r="N16" s="60" t="s">
        <v>58</v>
      </c>
    </row>
    <row r="17" spans="1:14" ht="22.5" customHeight="1">
      <c r="A17" s="59" t="s">
        <v>169</v>
      </c>
      <c r="B17" s="123">
        <f>_xlfn.COMPOUNDVALUE(225)</f>
        <v>2368</v>
      </c>
      <c r="C17" s="124">
        <v>22211137</v>
      </c>
      <c r="D17" s="123">
        <f>_xlfn.COMPOUNDVALUE(226)</f>
        <v>912</v>
      </c>
      <c r="E17" s="124">
        <v>565625</v>
      </c>
      <c r="F17" s="123">
        <f>_xlfn.COMPOUNDVALUE(227)</f>
        <v>3280</v>
      </c>
      <c r="G17" s="124">
        <v>22776762</v>
      </c>
      <c r="H17" s="123">
        <f>_xlfn.COMPOUNDVALUE(228)</f>
        <v>226</v>
      </c>
      <c r="I17" s="125">
        <v>1447448</v>
      </c>
      <c r="J17" s="123">
        <v>293</v>
      </c>
      <c r="K17" s="125">
        <v>49853</v>
      </c>
      <c r="L17" s="123">
        <v>3529</v>
      </c>
      <c r="M17" s="125">
        <v>21379167</v>
      </c>
      <c r="N17" s="60" t="s">
        <v>60</v>
      </c>
    </row>
    <row r="18" spans="1:14" ht="22.5" customHeight="1">
      <c r="A18" s="59" t="s">
        <v>170</v>
      </c>
      <c r="B18" s="123">
        <f>_xlfn.COMPOUNDVALUE(229)</f>
        <v>5126</v>
      </c>
      <c r="C18" s="124">
        <v>43586612</v>
      </c>
      <c r="D18" s="123">
        <f>_xlfn.COMPOUNDVALUE(230)</f>
        <v>2308</v>
      </c>
      <c r="E18" s="124">
        <v>1513370</v>
      </c>
      <c r="F18" s="123">
        <f>_xlfn.COMPOUNDVALUE(231)</f>
        <v>7434</v>
      </c>
      <c r="G18" s="124">
        <v>45099982</v>
      </c>
      <c r="H18" s="123">
        <f>_xlfn.COMPOUNDVALUE(232)</f>
        <v>503</v>
      </c>
      <c r="I18" s="125">
        <v>7729343</v>
      </c>
      <c r="J18" s="123">
        <v>380</v>
      </c>
      <c r="K18" s="125">
        <v>84415</v>
      </c>
      <c r="L18" s="123">
        <v>7967</v>
      </c>
      <c r="M18" s="125">
        <v>37455054</v>
      </c>
      <c r="N18" s="60" t="s">
        <v>62</v>
      </c>
    </row>
    <row r="19" spans="1:14" ht="22.5" customHeight="1">
      <c r="A19" s="59" t="s">
        <v>171</v>
      </c>
      <c r="B19" s="123">
        <f>_xlfn.COMPOUNDVALUE(233)</f>
        <v>3805</v>
      </c>
      <c r="C19" s="124">
        <v>28096075</v>
      </c>
      <c r="D19" s="123">
        <f>_xlfn.COMPOUNDVALUE(234)</f>
        <v>1562</v>
      </c>
      <c r="E19" s="124">
        <v>967381</v>
      </c>
      <c r="F19" s="123">
        <f>_xlfn.COMPOUNDVALUE(235)</f>
        <v>5367</v>
      </c>
      <c r="G19" s="124">
        <v>29063456</v>
      </c>
      <c r="H19" s="123">
        <f>_xlfn.COMPOUNDVALUE(236)</f>
        <v>278</v>
      </c>
      <c r="I19" s="125">
        <v>17825043</v>
      </c>
      <c r="J19" s="123">
        <v>296</v>
      </c>
      <c r="K19" s="125">
        <v>37751</v>
      </c>
      <c r="L19" s="123">
        <v>5677</v>
      </c>
      <c r="M19" s="125">
        <v>11276163</v>
      </c>
      <c r="N19" s="60" t="s">
        <v>64</v>
      </c>
    </row>
    <row r="20" spans="1:14" ht="22.5" customHeight="1">
      <c r="A20" s="59" t="s">
        <v>172</v>
      </c>
      <c r="B20" s="123">
        <f>_xlfn.COMPOUNDVALUE(237)</f>
        <v>4147</v>
      </c>
      <c r="C20" s="124">
        <v>35126352</v>
      </c>
      <c r="D20" s="123">
        <f>_xlfn.COMPOUNDVALUE(238)</f>
        <v>1991</v>
      </c>
      <c r="E20" s="124">
        <v>1321873</v>
      </c>
      <c r="F20" s="123">
        <f>_xlfn.COMPOUNDVALUE(239)</f>
        <v>6138</v>
      </c>
      <c r="G20" s="124">
        <v>36448225</v>
      </c>
      <c r="H20" s="123">
        <f>_xlfn.COMPOUNDVALUE(240)</f>
        <v>252</v>
      </c>
      <c r="I20" s="125">
        <v>2726702</v>
      </c>
      <c r="J20" s="123">
        <v>350</v>
      </c>
      <c r="K20" s="125">
        <v>21770</v>
      </c>
      <c r="L20" s="123">
        <v>6441</v>
      </c>
      <c r="M20" s="125">
        <v>33743294</v>
      </c>
      <c r="N20" s="60" t="s">
        <v>66</v>
      </c>
    </row>
    <row r="21" spans="1:14" ht="22.5" customHeight="1">
      <c r="A21" s="59" t="s">
        <v>173</v>
      </c>
      <c r="B21" s="123">
        <f>_xlfn.COMPOUNDVALUE(241)</f>
        <v>1214</v>
      </c>
      <c r="C21" s="124">
        <v>5310780</v>
      </c>
      <c r="D21" s="123">
        <f>_xlfn.COMPOUNDVALUE(242)</f>
        <v>650</v>
      </c>
      <c r="E21" s="124">
        <v>349975</v>
      </c>
      <c r="F21" s="123">
        <f>_xlfn.COMPOUNDVALUE(243)</f>
        <v>1864</v>
      </c>
      <c r="G21" s="124">
        <v>5660755</v>
      </c>
      <c r="H21" s="123">
        <f>_xlfn.COMPOUNDVALUE(244)</f>
        <v>83</v>
      </c>
      <c r="I21" s="125">
        <v>211232</v>
      </c>
      <c r="J21" s="123">
        <v>123</v>
      </c>
      <c r="K21" s="125">
        <v>28379</v>
      </c>
      <c r="L21" s="123">
        <v>1969</v>
      </c>
      <c r="M21" s="125">
        <v>5477902</v>
      </c>
      <c r="N21" s="60" t="s">
        <v>68</v>
      </c>
    </row>
    <row r="22" spans="1:14" ht="22.5" customHeight="1">
      <c r="A22" s="62" t="s">
        <v>174</v>
      </c>
      <c r="B22" s="126">
        <f>_xlfn.COMPOUNDVALUE(245)</f>
        <v>1997</v>
      </c>
      <c r="C22" s="127">
        <v>11837035</v>
      </c>
      <c r="D22" s="126">
        <f>_xlfn.COMPOUNDVALUE(246)</f>
        <v>970</v>
      </c>
      <c r="E22" s="127">
        <v>584953</v>
      </c>
      <c r="F22" s="126">
        <f>_xlfn.COMPOUNDVALUE(247)</f>
        <v>2967</v>
      </c>
      <c r="G22" s="127">
        <v>12421989</v>
      </c>
      <c r="H22" s="126">
        <f>_xlfn.COMPOUNDVALUE(248)</f>
        <v>109</v>
      </c>
      <c r="I22" s="128">
        <v>257743</v>
      </c>
      <c r="J22" s="126">
        <v>147</v>
      </c>
      <c r="K22" s="128">
        <v>22430</v>
      </c>
      <c r="L22" s="126">
        <v>3094</v>
      </c>
      <c r="M22" s="128">
        <v>12186675</v>
      </c>
      <c r="N22" s="63" t="s">
        <v>70</v>
      </c>
    </row>
    <row r="23" spans="1:14" ht="22.5" customHeight="1">
      <c r="A23" s="62" t="s">
        <v>175</v>
      </c>
      <c r="B23" s="126">
        <f>_xlfn.COMPOUNDVALUE(249)</f>
        <v>1725</v>
      </c>
      <c r="C23" s="127">
        <v>12838574</v>
      </c>
      <c r="D23" s="126">
        <f>_xlfn.COMPOUNDVALUE(250)</f>
        <v>624</v>
      </c>
      <c r="E23" s="127">
        <v>392952</v>
      </c>
      <c r="F23" s="126">
        <f>_xlfn.COMPOUNDVALUE(251)</f>
        <v>2349</v>
      </c>
      <c r="G23" s="127">
        <v>13231526</v>
      </c>
      <c r="H23" s="126">
        <f>_xlfn.COMPOUNDVALUE(252)</f>
        <v>90</v>
      </c>
      <c r="I23" s="128">
        <v>1779750</v>
      </c>
      <c r="J23" s="126">
        <v>67</v>
      </c>
      <c r="K23" s="128">
        <v>21006</v>
      </c>
      <c r="L23" s="126">
        <v>2448</v>
      </c>
      <c r="M23" s="128">
        <v>11472781</v>
      </c>
      <c r="N23" s="63" t="s">
        <v>72</v>
      </c>
    </row>
    <row r="24" spans="1:14" ht="22.5" customHeight="1">
      <c r="A24" s="62" t="s">
        <v>176</v>
      </c>
      <c r="B24" s="126">
        <f>_xlfn.COMPOUNDVALUE(253)</f>
        <v>3783</v>
      </c>
      <c r="C24" s="127">
        <v>29890357</v>
      </c>
      <c r="D24" s="126">
        <f>_xlfn.COMPOUNDVALUE(254)</f>
        <v>1456</v>
      </c>
      <c r="E24" s="127">
        <v>934674</v>
      </c>
      <c r="F24" s="126">
        <f>_xlfn.COMPOUNDVALUE(255)</f>
        <v>5239</v>
      </c>
      <c r="G24" s="127">
        <v>30825032</v>
      </c>
      <c r="H24" s="126">
        <f>_xlfn.COMPOUNDVALUE(256)</f>
        <v>235</v>
      </c>
      <c r="I24" s="128">
        <v>7076699</v>
      </c>
      <c r="J24" s="126">
        <v>309</v>
      </c>
      <c r="K24" s="128">
        <v>48665</v>
      </c>
      <c r="L24" s="126">
        <v>5501</v>
      </c>
      <c r="M24" s="128">
        <v>23796997</v>
      </c>
      <c r="N24" s="63" t="s">
        <v>74</v>
      </c>
    </row>
    <row r="25" spans="1:14" ht="22.5" customHeight="1">
      <c r="A25" s="62" t="s">
        <v>177</v>
      </c>
      <c r="B25" s="126">
        <f>_xlfn.COMPOUNDVALUE(257)</f>
        <v>2143</v>
      </c>
      <c r="C25" s="127">
        <v>19202640</v>
      </c>
      <c r="D25" s="126">
        <f>_xlfn.COMPOUNDVALUE(258)</f>
        <v>888</v>
      </c>
      <c r="E25" s="127">
        <v>578284</v>
      </c>
      <c r="F25" s="126">
        <f>_xlfn.COMPOUNDVALUE(259)</f>
        <v>3031</v>
      </c>
      <c r="G25" s="127">
        <v>19780925</v>
      </c>
      <c r="H25" s="126">
        <f>_xlfn.COMPOUNDVALUE(260)</f>
        <v>189</v>
      </c>
      <c r="I25" s="128">
        <v>23615046</v>
      </c>
      <c r="J25" s="126">
        <v>153</v>
      </c>
      <c r="K25" s="128">
        <v>20117</v>
      </c>
      <c r="L25" s="126">
        <v>3228</v>
      </c>
      <c r="M25" s="128">
        <v>-3814004</v>
      </c>
      <c r="N25" s="63" t="s">
        <v>76</v>
      </c>
    </row>
    <row r="26" spans="1:14" ht="22.5" customHeight="1">
      <c r="A26" s="62" t="s">
        <v>178</v>
      </c>
      <c r="B26" s="126">
        <f>_xlfn.COMPOUNDVALUE(261)</f>
        <v>1617</v>
      </c>
      <c r="C26" s="127">
        <v>10392705</v>
      </c>
      <c r="D26" s="126">
        <f>_xlfn.COMPOUNDVALUE(262)</f>
        <v>594</v>
      </c>
      <c r="E26" s="127">
        <v>379116</v>
      </c>
      <c r="F26" s="126">
        <f>_xlfn.COMPOUNDVALUE(263)</f>
        <v>2211</v>
      </c>
      <c r="G26" s="127">
        <v>10771821</v>
      </c>
      <c r="H26" s="126">
        <f>_xlfn.COMPOUNDVALUE(264)</f>
        <v>114</v>
      </c>
      <c r="I26" s="128">
        <v>3567674</v>
      </c>
      <c r="J26" s="126">
        <v>126</v>
      </c>
      <c r="K26" s="128">
        <v>6653</v>
      </c>
      <c r="L26" s="126">
        <v>2337</v>
      </c>
      <c r="M26" s="128">
        <v>7210800</v>
      </c>
      <c r="N26" s="63" t="s">
        <v>78</v>
      </c>
    </row>
    <row r="27" spans="1:14" ht="22.5" customHeight="1">
      <c r="A27" s="62" t="s">
        <v>179</v>
      </c>
      <c r="B27" s="126">
        <f>_xlfn.COMPOUNDVALUE(265)</f>
        <v>2487</v>
      </c>
      <c r="C27" s="127">
        <v>17632652</v>
      </c>
      <c r="D27" s="126">
        <f>_xlfn.COMPOUNDVALUE(266)</f>
        <v>923</v>
      </c>
      <c r="E27" s="127">
        <v>638422</v>
      </c>
      <c r="F27" s="126">
        <f>_xlfn.COMPOUNDVALUE(267)</f>
        <v>3410</v>
      </c>
      <c r="G27" s="127">
        <v>18271074</v>
      </c>
      <c r="H27" s="126">
        <f>_xlfn.COMPOUNDVALUE(268)</f>
        <v>174</v>
      </c>
      <c r="I27" s="128">
        <v>1030895</v>
      </c>
      <c r="J27" s="126">
        <v>210</v>
      </c>
      <c r="K27" s="128">
        <v>15076</v>
      </c>
      <c r="L27" s="126">
        <v>3592</v>
      </c>
      <c r="M27" s="128">
        <v>17255255</v>
      </c>
      <c r="N27" s="63" t="s">
        <v>80</v>
      </c>
    </row>
    <row r="28" spans="1:14" ht="22.5" customHeight="1">
      <c r="A28" s="148" t="s">
        <v>180</v>
      </c>
      <c r="B28" s="149">
        <f>_xlfn.COMPOUNDVALUE(269)</f>
        <v>674</v>
      </c>
      <c r="C28" s="150">
        <v>2619958</v>
      </c>
      <c r="D28" s="149">
        <f>_xlfn.COMPOUNDVALUE(270)</f>
        <v>285</v>
      </c>
      <c r="E28" s="150">
        <v>154956</v>
      </c>
      <c r="F28" s="149">
        <f>_xlfn.COMPOUNDVALUE(271)</f>
        <v>959</v>
      </c>
      <c r="G28" s="150">
        <v>2774914</v>
      </c>
      <c r="H28" s="149">
        <f>_xlfn.COMPOUNDVALUE(272)</f>
        <v>27</v>
      </c>
      <c r="I28" s="151">
        <v>27011</v>
      </c>
      <c r="J28" s="149">
        <v>82</v>
      </c>
      <c r="K28" s="151">
        <v>9424</v>
      </c>
      <c r="L28" s="149">
        <v>1000</v>
      </c>
      <c r="M28" s="151">
        <v>2757327</v>
      </c>
      <c r="N28" s="152" t="s">
        <v>82</v>
      </c>
    </row>
    <row r="29" spans="1:14" ht="22.5" customHeight="1">
      <c r="A29" s="153" t="s">
        <v>181</v>
      </c>
      <c r="B29" s="154">
        <v>36365</v>
      </c>
      <c r="C29" s="155">
        <v>293834478</v>
      </c>
      <c r="D29" s="154">
        <v>15321</v>
      </c>
      <c r="E29" s="155">
        <v>9766847</v>
      </c>
      <c r="F29" s="154">
        <v>51686</v>
      </c>
      <c r="G29" s="155">
        <v>303601326</v>
      </c>
      <c r="H29" s="154">
        <v>2671</v>
      </c>
      <c r="I29" s="156">
        <v>71245385</v>
      </c>
      <c r="J29" s="154">
        <v>2979</v>
      </c>
      <c r="K29" s="156">
        <v>460179</v>
      </c>
      <c r="L29" s="154">
        <v>54656</v>
      </c>
      <c r="M29" s="156">
        <v>232816119</v>
      </c>
      <c r="N29" s="157" t="s">
        <v>84</v>
      </c>
    </row>
    <row r="30" spans="1:14" ht="22.5" customHeight="1">
      <c r="A30" s="158"/>
      <c r="B30" s="159"/>
      <c r="C30" s="160"/>
      <c r="D30" s="159"/>
      <c r="E30" s="160"/>
      <c r="F30" s="161"/>
      <c r="G30" s="160"/>
      <c r="H30" s="161"/>
      <c r="I30" s="160"/>
      <c r="J30" s="161"/>
      <c r="K30" s="160"/>
      <c r="L30" s="161"/>
      <c r="M30" s="160"/>
      <c r="N30" s="162"/>
    </row>
    <row r="31" spans="1:14" ht="22.5" customHeight="1">
      <c r="A31" s="59" t="s">
        <v>182</v>
      </c>
      <c r="B31" s="123">
        <f>_xlfn.COMPOUNDVALUE(273)</f>
        <v>3529</v>
      </c>
      <c r="C31" s="124">
        <v>26668456</v>
      </c>
      <c r="D31" s="123">
        <f>_xlfn.COMPOUNDVALUE(274)</f>
        <v>1466</v>
      </c>
      <c r="E31" s="124">
        <v>964462</v>
      </c>
      <c r="F31" s="123">
        <f>_xlfn.COMPOUNDVALUE(275)</f>
        <v>4995</v>
      </c>
      <c r="G31" s="124">
        <v>27632918</v>
      </c>
      <c r="H31" s="123">
        <f>_xlfn.COMPOUNDVALUE(276)</f>
        <v>408</v>
      </c>
      <c r="I31" s="125">
        <v>2405820</v>
      </c>
      <c r="J31" s="123">
        <v>262</v>
      </c>
      <c r="K31" s="125">
        <v>12885</v>
      </c>
      <c r="L31" s="123">
        <v>5429</v>
      </c>
      <c r="M31" s="125">
        <v>25239983</v>
      </c>
      <c r="N31" s="60" t="s">
        <v>86</v>
      </c>
    </row>
    <row r="32" spans="1:14" ht="22.5" customHeight="1">
      <c r="A32" s="59" t="s">
        <v>183</v>
      </c>
      <c r="B32" s="123">
        <f>_xlfn.COMPOUNDVALUE(277)</f>
        <v>2053</v>
      </c>
      <c r="C32" s="124">
        <v>38434524</v>
      </c>
      <c r="D32" s="123">
        <f>_xlfn.COMPOUNDVALUE(278)</f>
        <v>634</v>
      </c>
      <c r="E32" s="124">
        <v>452718</v>
      </c>
      <c r="F32" s="123">
        <f>_xlfn.COMPOUNDVALUE(279)</f>
        <v>2687</v>
      </c>
      <c r="G32" s="124">
        <v>38887242</v>
      </c>
      <c r="H32" s="123">
        <f>_xlfn.COMPOUNDVALUE(280)</f>
        <v>297</v>
      </c>
      <c r="I32" s="125">
        <v>6018197</v>
      </c>
      <c r="J32" s="123">
        <v>176</v>
      </c>
      <c r="K32" s="125">
        <v>-7006</v>
      </c>
      <c r="L32" s="123">
        <v>3005</v>
      </c>
      <c r="M32" s="125">
        <v>32862040</v>
      </c>
      <c r="N32" s="60" t="s">
        <v>88</v>
      </c>
    </row>
    <row r="33" spans="1:14" ht="22.5" customHeight="1">
      <c r="A33" s="59" t="s">
        <v>184</v>
      </c>
      <c r="B33" s="123">
        <f>_xlfn.COMPOUNDVALUE(281)</f>
        <v>3884</v>
      </c>
      <c r="C33" s="124">
        <v>26676704</v>
      </c>
      <c r="D33" s="123">
        <f>_xlfn.COMPOUNDVALUE(282)</f>
        <v>1397</v>
      </c>
      <c r="E33" s="124">
        <v>886342</v>
      </c>
      <c r="F33" s="123">
        <f>_xlfn.COMPOUNDVALUE(283)</f>
        <v>5281</v>
      </c>
      <c r="G33" s="124">
        <v>27563046</v>
      </c>
      <c r="H33" s="123">
        <f>_xlfn.COMPOUNDVALUE(284)</f>
        <v>266</v>
      </c>
      <c r="I33" s="125">
        <v>693919</v>
      </c>
      <c r="J33" s="123">
        <v>325</v>
      </c>
      <c r="K33" s="125">
        <v>-3373</v>
      </c>
      <c r="L33" s="123">
        <v>5580</v>
      </c>
      <c r="M33" s="125">
        <v>26865753</v>
      </c>
      <c r="N33" s="60" t="s">
        <v>90</v>
      </c>
    </row>
    <row r="34" spans="1:14" ht="22.5" customHeight="1">
      <c r="A34" s="59" t="s">
        <v>185</v>
      </c>
      <c r="B34" s="123">
        <f>_xlfn.COMPOUNDVALUE(285)</f>
        <v>4617</v>
      </c>
      <c r="C34" s="124">
        <v>49357825</v>
      </c>
      <c r="D34" s="123">
        <f>_xlfn.COMPOUNDVALUE(286)</f>
        <v>1430</v>
      </c>
      <c r="E34" s="124">
        <v>904637</v>
      </c>
      <c r="F34" s="123">
        <f>_xlfn.COMPOUNDVALUE(287)</f>
        <v>6047</v>
      </c>
      <c r="G34" s="124">
        <v>50262463</v>
      </c>
      <c r="H34" s="123">
        <f>_xlfn.COMPOUNDVALUE(288)</f>
        <v>368</v>
      </c>
      <c r="I34" s="125">
        <v>3160825</v>
      </c>
      <c r="J34" s="123">
        <v>372</v>
      </c>
      <c r="K34" s="125">
        <v>205989</v>
      </c>
      <c r="L34" s="123">
        <v>6455</v>
      </c>
      <c r="M34" s="125">
        <v>47307627</v>
      </c>
      <c r="N34" s="60" t="s">
        <v>92</v>
      </c>
    </row>
    <row r="35" spans="1:14" ht="22.5" customHeight="1">
      <c r="A35" s="59" t="s">
        <v>186</v>
      </c>
      <c r="B35" s="123">
        <f>_xlfn.COMPOUNDVALUE(289)</f>
        <v>3072</v>
      </c>
      <c r="C35" s="124">
        <v>61574811</v>
      </c>
      <c r="D35" s="123">
        <f>_xlfn.COMPOUNDVALUE(290)</f>
        <v>839</v>
      </c>
      <c r="E35" s="124">
        <v>572521</v>
      </c>
      <c r="F35" s="123">
        <f>_xlfn.COMPOUNDVALUE(291)</f>
        <v>3911</v>
      </c>
      <c r="G35" s="124">
        <v>62147332</v>
      </c>
      <c r="H35" s="123">
        <f>_xlfn.COMPOUNDVALUE(292)</f>
        <v>368</v>
      </c>
      <c r="I35" s="125">
        <v>82205930</v>
      </c>
      <c r="J35" s="123">
        <v>303</v>
      </c>
      <c r="K35" s="125">
        <v>-57462</v>
      </c>
      <c r="L35" s="123">
        <v>4298</v>
      </c>
      <c r="M35" s="125">
        <v>-20116060</v>
      </c>
      <c r="N35" s="60" t="s">
        <v>94</v>
      </c>
    </row>
    <row r="36" spans="1:14" ht="22.5" customHeight="1">
      <c r="A36" s="59" t="s">
        <v>187</v>
      </c>
      <c r="B36" s="123">
        <f>_xlfn.COMPOUNDVALUE(293)</f>
        <v>6247</v>
      </c>
      <c r="C36" s="124">
        <v>123105574</v>
      </c>
      <c r="D36" s="123">
        <f>_xlfn.COMPOUNDVALUE(294)</f>
        <v>1747</v>
      </c>
      <c r="E36" s="124">
        <v>1349035</v>
      </c>
      <c r="F36" s="123">
        <f>_xlfn.COMPOUNDVALUE(295)</f>
        <v>7994</v>
      </c>
      <c r="G36" s="124">
        <v>124454610</v>
      </c>
      <c r="H36" s="123">
        <f>_xlfn.COMPOUNDVALUE(296)</f>
        <v>754</v>
      </c>
      <c r="I36" s="125">
        <v>16372354</v>
      </c>
      <c r="J36" s="123">
        <v>579</v>
      </c>
      <c r="K36" s="125">
        <v>112838</v>
      </c>
      <c r="L36" s="123">
        <v>8838</v>
      </c>
      <c r="M36" s="125">
        <v>108195093</v>
      </c>
      <c r="N36" s="60" t="s">
        <v>96</v>
      </c>
    </row>
    <row r="37" spans="1:14" ht="22.5" customHeight="1">
      <c r="A37" s="59" t="s">
        <v>188</v>
      </c>
      <c r="B37" s="123">
        <f>_xlfn.COMPOUNDVALUE(297)</f>
        <v>5781</v>
      </c>
      <c r="C37" s="124">
        <v>56285245</v>
      </c>
      <c r="D37" s="123">
        <f>_xlfn.COMPOUNDVALUE(298)</f>
        <v>2209</v>
      </c>
      <c r="E37" s="124">
        <v>1463697</v>
      </c>
      <c r="F37" s="123">
        <f>_xlfn.COMPOUNDVALUE(299)</f>
        <v>7990</v>
      </c>
      <c r="G37" s="124">
        <v>57748941</v>
      </c>
      <c r="H37" s="123">
        <f>_xlfn.COMPOUNDVALUE(300)</f>
        <v>563</v>
      </c>
      <c r="I37" s="125">
        <v>22632048</v>
      </c>
      <c r="J37" s="123">
        <v>401</v>
      </c>
      <c r="K37" s="125">
        <v>-118870</v>
      </c>
      <c r="L37" s="123">
        <v>8607</v>
      </c>
      <c r="M37" s="125">
        <v>34998024</v>
      </c>
      <c r="N37" s="60" t="s">
        <v>98</v>
      </c>
    </row>
    <row r="38" spans="1:14" ht="22.5" customHeight="1">
      <c r="A38" s="59" t="s">
        <v>189</v>
      </c>
      <c r="B38" s="123">
        <f>_xlfn.COMPOUNDVALUE(301)</f>
        <v>5801</v>
      </c>
      <c r="C38" s="124">
        <v>58531315</v>
      </c>
      <c r="D38" s="123">
        <f>_xlfn.COMPOUNDVALUE(302)</f>
        <v>2074</v>
      </c>
      <c r="E38" s="124">
        <v>1355686</v>
      </c>
      <c r="F38" s="123">
        <f>_xlfn.COMPOUNDVALUE(303)</f>
        <v>7875</v>
      </c>
      <c r="G38" s="124">
        <v>59887001</v>
      </c>
      <c r="H38" s="123">
        <f>_xlfn.COMPOUNDVALUE(304)</f>
        <v>368</v>
      </c>
      <c r="I38" s="125">
        <v>2473396</v>
      </c>
      <c r="J38" s="123">
        <v>486</v>
      </c>
      <c r="K38" s="125">
        <v>-157326</v>
      </c>
      <c r="L38" s="123">
        <v>8279</v>
      </c>
      <c r="M38" s="125">
        <v>57256279</v>
      </c>
      <c r="N38" s="60" t="s">
        <v>100</v>
      </c>
    </row>
    <row r="39" spans="1:14" ht="22.5" customHeight="1">
      <c r="A39" s="59" t="s">
        <v>190</v>
      </c>
      <c r="B39" s="123">
        <f>_xlfn.COMPOUNDVALUE(305)</f>
        <v>4889</v>
      </c>
      <c r="C39" s="124">
        <v>45217339</v>
      </c>
      <c r="D39" s="123">
        <f>_xlfn.COMPOUNDVALUE(306)</f>
        <v>1513</v>
      </c>
      <c r="E39" s="124">
        <v>936506</v>
      </c>
      <c r="F39" s="123">
        <f>_xlfn.COMPOUNDVALUE(307)</f>
        <v>6402</v>
      </c>
      <c r="G39" s="124">
        <v>46153845</v>
      </c>
      <c r="H39" s="123">
        <f>_xlfn.COMPOUNDVALUE(308)</f>
        <v>704</v>
      </c>
      <c r="I39" s="125">
        <v>6395904</v>
      </c>
      <c r="J39" s="123">
        <v>502</v>
      </c>
      <c r="K39" s="125">
        <v>39432</v>
      </c>
      <c r="L39" s="123">
        <v>7178</v>
      </c>
      <c r="M39" s="125">
        <v>39797372</v>
      </c>
      <c r="N39" s="60" t="s">
        <v>102</v>
      </c>
    </row>
    <row r="40" spans="1:14" ht="22.5" customHeight="1">
      <c r="A40" s="59" t="s">
        <v>191</v>
      </c>
      <c r="B40" s="123">
        <f>_xlfn.COMPOUNDVALUE(309)</f>
        <v>6782</v>
      </c>
      <c r="C40" s="124">
        <v>55390330</v>
      </c>
      <c r="D40" s="123">
        <f>_xlfn.COMPOUNDVALUE(310)</f>
        <v>2821</v>
      </c>
      <c r="E40" s="124">
        <v>1792202</v>
      </c>
      <c r="F40" s="123">
        <f>_xlfn.COMPOUNDVALUE(311)</f>
        <v>9603</v>
      </c>
      <c r="G40" s="124">
        <v>57182532</v>
      </c>
      <c r="H40" s="123">
        <f>_xlfn.COMPOUNDVALUE(312)</f>
        <v>485</v>
      </c>
      <c r="I40" s="125">
        <v>6262400</v>
      </c>
      <c r="J40" s="123">
        <v>530</v>
      </c>
      <c r="K40" s="125">
        <v>-16761</v>
      </c>
      <c r="L40" s="123">
        <v>10134</v>
      </c>
      <c r="M40" s="125">
        <v>50903372</v>
      </c>
      <c r="N40" s="60" t="s">
        <v>104</v>
      </c>
    </row>
    <row r="41" spans="1:14" ht="22.5" customHeight="1">
      <c r="A41" s="59" t="s">
        <v>192</v>
      </c>
      <c r="B41" s="123">
        <f>_xlfn.COMPOUNDVALUE(313)</f>
        <v>3647</v>
      </c>
      <c r="C41" s="124">
        <v>28945179</v>
      </c>
      <c r="D41" s="123">
        <f>_xlfn.COMPOUNDVALUE(314)</f>
        <v>1384</v>
      </c>
      <c r="E41" s="124">
        <v>925920</v>
      </c>
      <c r="F41" s="123">
        <f>_xlfn.COMPOUNDVALUE(315)</f>
        <v>5031</v>
      </c>
      <c r="G41" s="124">
        <v>29871098</v>
      </c>
      <c r="H41" s="123">
        <f>_xlfn.COMPOUNDVALUE(316)</f>
        <v>236</v>
      </c>
      <c r="I41" s="125">
        <v>950799</v>
      </c>
      <c r="J41" s="123">
        <v>286</v>
      </c>
      <c r="K41" s="125">
        <v>-16550</v>
      </c>
      <c r="L41" s="123">
        <v>5298</v>
      </c>
      <c r="M41" s="125">
        <v>28903750</v>
      </c>
      <c r="N41" s="60" t="s">
        <v>106</v>
      </c>
    </row>
    <row r="42" spans="1:14" ht="22.5" customHeight="1">
      <c r="A42" s="59" t="s">
        <v>193</v>
      </c>
      <c r="B42" s="123">
        <f>_xlfn.COMPOUNDVALUE(317)</f>
        <v>4350</v>
      </c>
      <c r="C42" s="124">
        <v>39246098</v>
      </c>
      <c r="D42" s="123">
        <f>_xlfn.COMPOUNDVALUE(318)</f>
        <v>1771</v>
      </c>
      <c r="E42" s="124">
        <v>1110852</v>
      </c>
      <c r="F42" s="123">
        <f>_xlfn.COMPOUNDVALUE(319)</f>
        <v>6121</v>
      </c>
      <c r="G42" s="124">
        <v>40356949</v>
      </c>
      <c r="H42" s="123">
        <f>_xlfn.COMPOUNDVALUE(320)</f>
        <v>359</v>
      </c>
      <c r="I42" s="125">
        <v>1442761</v>
      </c>
      <c r="J42" s="123">
        <v>339</v>
      </c>
      <c r="K42" s="125">
        <v>39818</v>
      </c>
      <c r="L42" s="123">
        <v>6514</v>
      </c>
      <c r="M42" s="125">
        <v>38954006</v>
      </c>
      <c r="N42" s="60" t="s">
        <v>108</v>
      </c>
    </row>
    <row r="43" spans="1:14" ht="22.5" customHeight="1">
      <c r="A43" s="59" t="s">
        <v>194</v>
      </c>
      <c r="B43" s="123">
        <f>_xlfn.COMPOUNDVALUE(321)</f>
        <v>1895</v>
      </c>
      <c r="C43" s="124">
        <v>13829712</v>
      </c>
      <c r="D43" s="123">
        <f>_xlfn.COMPOUNDVALUE(322)</f>
        <v>813</v>
      </c>
      <c r="E43" s="124">
        <v>494256</v>
      </c>
      <c r="F43" s="123">
        <f>_xlfn.COMPOUNDVALUE(323)</f>
        <v>2708</v>
      </c>
      <c r="G43" s="124">
        <v>14323969</v>
      </c>
      <c r="H43" s="123">
        <f>_xlfn.COMPOUNDVALUE(324)</f>
        <v>137</v>
      </c>
      <c r="I43" s="125">
        <v>1941518</v>
      </c>
      <c r="J43" s="123">
        <v>191</v>
      </c>
      <c r="K43" s="125">
        <v>-55391</v>
      </c>
      <c r="L43" s="123">
        <v>2877</v>
      </c>
      <c r="M43" s="125">
        <v>12327060</v>
      </c>
      <c r="N43" s="60" t="s">
        <v>110</v>
      </c>
    </row>
    <row r="44" spans="1:14" ht="22.5" customHeight="1">
      <c r="A44" s="62" t="s">
        <v>195</v>
      </c>
      <c r="B44" s="126">
        <f>_xlfn.COMPOUNDVALUE(325)</f>
        <v>5102</v>
      </c>
      <c r="C44" s="127">
        <v>47997048</v>
      </c>
      <c r="D44" s="126">
        <f>_xlfn.COMPOUNDVALUE(326)</f>
        <v>1695</v>
      </c>
      <c r="E44" s="127">
        <v>1171096</v>
      </c>
      <c r="F44" s="126">
        <f>_xlfn.COMPOUNDVALUE(327)</f>
        <v>6797</v>
      </c>
      <c r="G44" s="127">
        <v>49168144</v>
      </c>
      <c r="H44" s="126">
        <f>_xlfn.COMPOUNDVALUE(328)</f>
        <v>356</v>
      </c>
      <c r="I44" s="128">
        <v>3985672</v>
      </c>
      <c r="J44" s="126">
        <v>296</v>
      </c>
      <c r="K44" s="128">
        <v>-49980</v>
      </c>
      <c r="L44" s="126">
        <v>7174</v>
      </c>
      <c r="M44" s="128">
        <v>45132492</v>
      </c>
      <c r="N44" s="63" t="s">
        <v>112</v>
      </c>
    </row>
    <row r="45" spans="1:14" ht="22.5" customHeight="1">
      <c r="A45" s="62" t="s">
        <v>196</v>
      </c>
      <c r="B45" s="126">
        <f>_xlfn.COMPOUNDVALUE(329)</f>
        <v>3343</v>
      </c>
      <c r="C45" s="127">
        <v>25554795</v>
      </c>
      <c r="D45" s="126">
        <f>_xlfn.COMPOUNDVALUE(330)</f>
        <v>1127</v>
      </c>
      <c r="E45" s="127">
        <v>715523</v>
      </c>
      <c r="F45" s="126">
        <f>_xlfn.COMPOUNDVALUE(331)</f>
        <v>4470</v>
      </c>
      <c r="G45" s="127">
        <v>26270317</v>
      </c>
      <c r="H45" s="126">
        <f>_xlfn.COMPOUNDVALUE(332)</f>
        <v>446</v>
      </c>
      <c r="I45" s="128">
        <v>4431613</v>
      </c>
      <c r="J45" s="126">
        <v>308</v>
      </c>
      <c r="K45" s="128">
        <v>18110</v>
      </c>
      <c r="L45" s="126">
        <v>4970</v>
      </c>
      <c r="M45" s="128">
        <v>21856814</v>
      </c>
      <c r="N45" s="63" t="s">
        <v>114</v>
      </c>
    </row>
    <row r="46" spans="1:14" ht="22.5" customHeight="1">
      <c r="A46" s="62" t="s">
        <v>197</v>
      </c>
      <c r="B46" s="126">
        <f>_xlfn.COMPOUNDVALUE(333)</f>
        <v>4760</v>
      </c>
      <c r="C46" s="127">
        <v>75993234</v>
      </c>
      <c r="D46" s="126">
        <f>_xlfn.COMPOUNDVALUE(334)</f>
        <v>1508</v>
      </c>
      <c r="E46" s="127">
        <v>1053644</v>
      </c>
      <c r="F46" s="126">
        <f>_xlfn.COMPOUNDVALUE(335)</f>
        <v>6268</v>
      </c>
      <c r="G46" s="127">
        <v>77046879</v>
      </c>
      <c r="H46" s="126">
        <f>_xlfn.COMPOUNDVALUE(336)</f>
        <v>312</v>
      </c>
      <c r="I46" s="128">
        <v>77449081</v>
      </c>
      <c r="J46" s="126">
        <v>366</v>
      </c>
      <c r="K46" s="128">
        <v>182873</v>
      </c>
      <c r="L46" s="126">
        <v>6619</v>
      </c>
      <c r="M46" s="128">
        <v>-219329</v>
      </c>
      <c r="N46" s="63" t="s">
        <v>116</v>
      </c>
    </row>
    <row r="47" spans="1:14" ht="22.5" customHeight="1">
      <c r="A47" s="62" t="s">
        <v>198</v>
      </c>
      <c r="B47" s="126">
        <f>_xlfn.COMPOUNDVALUE(337)</f>
        <v>3807</v>
      </c>
      <c r="C47" s="127">
        <v>48727935</v>
      </c>
      <c r="D47" s="126">
        <f>_xlfn.COMPOUNDVALUE(338)</f>
        <v>1377</v>
      </c>
      <c r="E47" s="127">
        <v>948481</v>
      </c>
      <c r="F47" s="126">
        <f>_xlfn.COMPOUNDVALUE(339)</f>
        <v>5184</v>
      </c>
      <c r="G47" s="127">
        <v>49676416</v>
      </c>
      <c r="H47" s="126">
        <f>_xlfn.COMPOUNDVALUE(340)</f>
        <v>263</v>
      </c>
      <c r="I47" s="128">
        <v>369061316</v>
      </c>
      <c r="J47" s="126">
        <v>300</v>
      </c>
      <c r="K47" s="128">
        <v>7471</v>
      </c>
      <c r="L47" s="126">
        <v>5468</v>
      </c>
      <c r="M47" s="129">
        <v>-319377429</v>
      </c>
      <c r="N47" s="63" t="s">
        <v>118</v>
      </c>
    </row>
    <row r="48" spans="1:14" ht="22.5" customHeight="1">
      <c r="A48" s="62" t="s">
        <v>199</v>
      </c>
      <c r="B48" s="126">
        <f>_xlfn.COMPOUNDVALUE(341)</f>
        <v>1621</v>
      </c>
      <c r="C48" s="127">
        <v>13619775</v>
      </c>
      <c r="D48" s="126">
        <f>_xlfn.COMPOUNDVALUE(342)</f>
        <v>469</v>
      </c>
      <c r="E48" s="127">
        <v>338203</v>
      </c>
      <c r="F48" s="126">
        <f>_xlfn.COMPOUNDVALUE(343)</f>
        <v>2090</v>
      </c>
      <c r="G48" s="127">
        <v>13957978</v>
      </c>
      <c r="H48" s="126">
        <f>_xlfn.COMPOUNDVALUE(344)</f>
        <v>88</v>
      </c>
      <c r="I48" s="128">
        <v>935447</v>
      </c>
      <c r="J48" s="126">
        <v>117</v>
      </c>
      <c r="K48" s="128">
        <v>40705</v>
      </c>
      <c r="L48" s="126">
        <v>2187</v>
      </c>
      <c r="M48" s="128">
        <v>13063236</v>
      </c>
      <c r="N48" s="63" t="s">
        <v>120</v>
      </c>
    </row>
    <row r="49" spans="1:14" ht="22.5" customHeight="1">
      <c r="A49" s="62" t="s">
        <v>200</v>
      </c>
      <c r="B49" s="126">
        <f>_xlfn.COMPOUNDVALUE(345)</f>
        <v>6682</v>
      </c>
      <c r="C49" s="127">
        <v>58551322</v>
      </c>
      <c r="D49" s="126">
        <f>_xlfn.COMPOUNDVALUE(346)</f>
        <v>2539</v>
      </c>
      <c r="E49" s="127">
        <v>1742901</v>
      </c>
      <c r="F49" s="126">
        <f>_xlfn.COMPOUNDVALUE(347)</f>
        <v>9221</v>
      </c>
      <c r="G49" s="127">
        <v>60294223</v>
      </c>
      <c r="H49" s="126">
        <f>_xlfn.COMPOUNDVALUE(348)</f>
        <v>457</v>
      </c>
      <c r="I49" s="128">
        <v>18017419</v>
      </c>
      <c r="J49" s="126">
        <v>491</v>
      </c>
      <c r="K49" s="128">
        <v>53905</v>
      </c>
      <c r="L49" s="126">
        <v>9746</v>
      </c>
      <c r="M49" s="128">
        <v>42330709</v>
      </c>
      <c r="N49" s="63" t="s">
        <v>122</v>
      </c>
    </row>
    <row r="50" spans="1:14" ht="22.5" customHeight="1">
      <c r="A50" s="148" t="s">
        <v>201</v>
      </c>
      <c r="B50" s="149">
        <f>_xlfn.COMPOUNDVALUE(349)</f>
        <v>468</v>
      </c>
      <c r="C50" s="150">
        <v>2588234</v>
      </c>
      <c r="D50" s="149">
        <f>_xlfn.COMPOUNDVALUE(350)</f>
        <v>195</v>
      </c>
      <c r="E50" s="150">
        <v>120523</v>
      </c>
      <c r="F50" s="149">
        <f>_xlfn.COMPOUNDVALUE(351)</f>
        <v>663</v>
      </c>
      <c r="G50" s="150">
        <v>2708756</v>
      </c>
      <c r="H50" s="149">
        <f>_xlfn.COMPOUNDVALUE(352)</f>
        <v>31</v>
      </c>
      <c r="I50" s="151">
        <v>51418</v>
      </c>
      <c r="J50" s="149">
        <v>24</v>
      </c>
      <c r="K50" s="151">
        <v>-274</v>
      </c>
      <c r="L50" s="149">
        <v>696</v>
      </c>
      <c r="M50" s="151">
        <v>2657064</v>
      </c>
      <c r="N50" s="152" t="s">
        <v>124</v>
      </c>
    </row>
    <row r="51" spans="1:14" ht="22.5" customHeight="1">
      <c r="A51" s="153" t="s">
        <v>202</v>
      </c>
      <c r="B51" s="154">
        <v>82330</v>
      </c>
      <c r="C51" s="155">
        <v>896295455</v>
      </c>
      <c r="D51" s="154">
        <v>29008</v>
      </c>
      <c r="E51" s="155">
        <v>19299204</v>
      </c>
      <c r="F51" s="154">
        <v>111338</v>
      </c>
      <c r="G51" s="155">
        <v>915594659</v>
      </c>
      <c r="H51" s="154">
        <v>7266</v>
      </c>
      <c r="I51" s="156">
        <v>626887837</v>
      </c>
      <c r="J51" s="154">
        <v>6654</v>
      </c>
      <c r="K51" s="156">
        <v>231034</v>
      </c>
      <c r="L51" s="154">
        <v>119352</v>
      </c>
      <c r="M51" s="156">
        <v>288937855</v>
      </c>
      <c r="N51" s="157" t="s">
        <v>126</v>
      </c>
    </row>
    <row r="52" spans="1:14" ht="22.5" customHeight="1">
      <c r="A52" s="158"/>
      <c r="B52" s="159"/>
      <c r="C52" s="160"/>
      <c r="D52" s="159"/>
      <c r="E52" s="160"/>
      <c r="F52" s="161"/>
      <c r="G52" s="160"/>
      <c r="H52" s="161"/>
      <c r="I52" s="160"/>
      <c r="J52" s="161"/>
      <c r="K52" s="160"/>
      <c r="L52" s="161"/>
      <c r="M52" s="160"/>
      <c r="N52" s="162"/>
    </row>
    <row r="53" spans="1:14" ht="22.5" customHeight="1">
      <c r="A53" s="59" t="s">
        <v>203</v>
      </c>
      <c r="B53" s="123">
        <f>_xlfn.COMPOUNDVALUE(353)</f>
        <v>2276</v>
      </c>
      <c r="C53" s="124">
        <v>18871016</v>
      </c>
      <c r="D53" s="123">
        <f>_xlfn.COMPOUNDVALUE(354)</f>
        <v>862</v>
      </c>
      <c r="E53" s="124">
        <v>577968</v>
      </c>
      <c r="F53" s="123">
        <f>_xlfn.COMPOUNDVALUE(355)</f>
        <v>3138</v>
      </c>
      <c r="G53" s="124">
        <v>19448984</v>
      </c>
      <c r="H53" s="123">
        <f>_xlfn.COMPOUNDVALUE(356)</f>
        <v>174</v>
      </c>
      <c r="I53" s="125">
        <v>3109060</v>
      </c>
      <c r="J53" s="123">
        <v>236</v>
      </c>
      <c r="K53" s="125">
        <v>88806</v>
      </c>
      <c r="L53" s="123">
        <v>3348</v>
      </c>
      <c r="M53" s="125">
        <v>16428730</v>
      </c>
      <c r="N53" s="60" t="s">
        <v>128</v>
      </c>
    </row>
    <row r="54" spans="1:14" ht="22.5" customHeight="1">
      <c r="A54" s="62" t="s">
        <v>204</v>
      </c>
      <c r="B54" s="126">
        <f>_xlfn.COMPOUNDVALUE(357)</f>
        <v>4015</v>
      </c>
      <c r="C54" s="127">
        <v>47689228</v>
      </c>
      <c r="D54" s="126">
        <f>_xlfn.COMPOUNDVALUE(358)</f>
        <v>1361</v>
      </c>
      <c r="E54" s="127">
        <v>879884</v>
      </c>
      <c r="F54" s="126">
        <f>_xlfn.COMPOUNDVALUE(359)</f>
        <v>5376</v>
      </c>
      <c r="G54" s="127">
        <v>48569112</v>
      </c>
      <c r="H54" s="126">
        <f>_xlfn.COMPOUNDVALUE(360)</f>
        <v>274</v>
      </c>
      <c r="I54" s="128">
        <v>9663107</v>
      </c>
      <c r="J54" s="126">
        <v>344</v>
      </c>
      <c r="K54" s="128">
        <v>83750</v>
      </c>
      <c r="L54" s="126">
        <v>5689</v>
      </c>
      <c r="M54" s="128">
        <v>38989755</v>
      </c>
      <c r="N54" s="63" t="s">
        <v>130</v>
      </c>
    </row>
    <row r="55" spans="1:14" ht="22.5" customHeight="1">
      <c r="A55" s="62" t="s">
        <v>205</v>
      </c>
      <c r="B55" s="126">
        <f>_xlfn.COMPOUNDVALUE(361)</f>
        <v>2259</v>
      </c>
      <c r="C55" s="127">
        <v>12489718</v>
      </c>
      <c r="D55" s="126">
        <f>_xlfn.COMPOUNDVALUE(362)</f>
        <v>805</v>
      </c>
      <c r="E55" s="127">
        <v>483535</v>
      </c>
      <c r="F55" s="126">
        <f>_xlfn.COMPOUNDVALUE(363)</f>
        <v>3064</v>
      </c>
      <c r="G55" s="127">
        <v>12973253</v>
      </c>
      <c r="H55" s="126">
        <f>_xlfn.COMPOUNDVALUE(364)</f>
        <v>185</v>
      </c>
      <c r="I55" s="128">
        <v>1676777</v>
      </c>
      <c r="J55" s="126">
        <v>140</v>
      </c>
      <c r="K55" s="128">
        <v>21543</v>
      </c>
      <c r="L55" s="126">
        <v>3267</v>
      </c>
      <c r="M55" s="128">
        <v>11318019</v>
      </c>
      <c r="N55" s="63" t="s">
        <v>132</v>
      </c>
    </row>
    <row r="56" spans="1:14" ht="22.5" customHeight="1">
      <c r="A56" s="62" t="s">
        <v>206</v>
      </c>
      <c r="B56" s="126">
        <f>_xlfn.COMPOUNDVALUE(365)</f>
        <v>1792</v>
      </c>
      <c r="C56" s="127">
        <v>13300539</v>
      </c>
      <c r="D56" s="126">
        <f>_xlfn.COMPOUNDVALUE(366)</f>
        <v>593</v>
      </c>
      <c r="E56" s="127">
        <v>386871</v>
      </c>
      <c r="F56" s="126">
        <f>_xlfn.COMPOUNDVALUE(367)</f>
        <v>2385</v>
      </c>
      <c r="G56" s="127">
        <v>13687410</v>
      </c>
      <c r="H56" s="126">
        <f>_xlfn.COMPOUNDVALUE(368)</f>
        <v>157</v>
      </c>
      <c r="I56" s="128">
        <v>7379673</v>
      </c>
      <c r="J56" s="126">
        <v>134</v>
      </c>
      <c r="K56" s="128">
        <v>-117968</v>
      </c>
      <c r="L56" s="126">
        <v>2564</v>
      </c>
      <c r="M56" s="128">
        <v>6189770</v>
      </c>
      <c r="N56" s="63" t="s">
        <v>134</v>
      </c>
    </row>
    <row r="57" spans="1:14" ht="22.5" customHeight="1">
      <c r="A57" s="62" t="s">
        <v>207</v>
      </c>
      <c r="B57" s="126">
        <f>_xlfn.COMPOUNDVALUE(369)</f>
        <v>1928</v>
      </c>
      <c r="C57" s="127">
        <v>16197139</v>
      </c>
      <c r="D57" s="126">
        <f>_xlfn.COMPOUNDVALUE(370)</f>
        <v>724</v>
      </c>
      <c r="E57" s="127">
        <v>469540</v>
      </c>
      <c r="F57" s="126">
        <f>_xlfn.COMPOUNDVALUE(371)</f>
        <v>2652</v>
      </c>
      <c r="G57" s="127">
        <v>16666678</v>
      </c>
      <c r="H57" s="126">
        <f>_xlfn.COMPOUNDVALUE(372)</f>
        <v>177</v>
      </c>
      <c r="I57" s="128">
        <v>466392</v>
      </c>
      <c r="J57" s="126">
        <v>111</v>
      </c>
      <c r="K57" s="128">
        <v>38384</v>
      </c>
      <c r="L57" s="126">
        <v>2845</v>
      </c>
      <c r="M57" s="128">
        <v>16238670</v>
      </c>
      <c r="N57" s="63" t="s">
        <v>136</v>
      </c>
    </row>
    <row r="58" spans="1:14" ht="22.5" customHeight="1">
      <c r="A58" s="62" t="s">
        <v>208</v>
      </c>
      <c r="B58" s="126">
        <f>_xlfn.COMPOUNDVALUE(373)</f>
        <v>1217</v>
      </c>
      <c r="C58" s="127">
        <v>8998489</v>
      </c>
      <c r="D58" s="126">
        <f>_xlfn.COMPOUNDVALUE(374)</f>
        <v>413</v>
      </c>
      <c r="E58" s="127">
        <v>265866</v>
      </c>
      <c r="F58" s="126">
        <f>_xlfn.COMPOUNDVALUE(375)</f>
        <v>1630</v>
      </c>
      <c r="G58" s="127">
        <v>9264355</v>
      </c>
      <c r="H58" s="126">
        <f>_xlfn.COMPOUNDVALUE(376)</f>
        <v>80</v>
      </c>
      <c r="I58" s="128">
        <v>397801</v>
      </c>
      <c r="J58" s="126">
        <v>95</v>
      </c>
      <c r="K58" s="128">
        <v>38127</v>
      </c>
      <c r="L58" s="126">
        <v>1720</v>
      </c>
      <c r="M58" s="128">
        <v>8904680</v>
      </c>
      <c r="N58" s="63" t="s">
        <v>138</v>
      </c>
    </row>
    <row r="59" spans="1:14" ht="22.5" customHeight="1">
      <c r="A59" s="62" t="s">
        <v>209</v>
      </c>
      <c r="B59" s="126">
        <f>_xlfn.COMPOUNDVALUE(377)</f>
        <v>1984</v>
      </c>
      <c r="C59" s="127">
        <v>14656916</v>
      </c>
      <c r="D59" s="126">
        <f>_xlfn.COMPOUNDVALUE(378)</f>
        <v>600</v>
      </c>
      <c r="E59" s="127">
        <v>412609</v>
      </c>
      <c r="F59" s="126">
        <f>_xlfn.COMPOUNDVALUE(379)</f>
        <v>2584</v>
      </c>
      <c r="G59" s="127">
        <v>15069525</v>
      </c>
      <c r="H59" s="126">
        <f>_xlfn.COMPOUNDVALUE(380)</f>
        <v>134</v>
      </c>
      <c r="I59" s="128">
        <v>517695</v>
      </c>
      <c r="J59" s="126">
        <v>131</v>
      </c>
      <c r="K59" s="128">
        <v>36213</v>
      </c>
      <c r="L59" s="126">
        <v>2740</v>
      </c>
      <c r="M59" s="128">
        <v>14588043</v>
      </c>
      <c r="N59" s="63" t="s">
        <v>140</v>
      </c>
    </row>
    <row r="60" spans="1:14" ht="22.5" customHeight="1">
      <c r="A60" s="148" t="s">
        <v>210</v>
      </c>
      <c r="B60" s="149">
        <f>_xlfn.COMPOUNDVALUE(381)</f>
        <v>556</v>
      </c>
      <c r="C60" s="150">
        <v>2977497</v>
      </c>
      <c r="D60" s="149">
        <f>_xlfn.COMPOUNDVALUE(382)</f>
        <v>187</v>
      </c>
      <c r="E60" s="150">
        <v>108820</v>
      </c>
      <c r="F60" s="149">
        <f>_xlfn.COMPOUNDVALUE(383)</f>
        <v>743</v>
      </c>
      <c r="G60" s="150">
        <v>3086317</v>
      </c>
      <c r="H60" s="149">
        <f>_xlfn.COMPOUNDVALUE(384)</f>
        <v>35</v>
      </c>
      <c r="I60" s="151">
        <v>124521</v>
      </c>
      <c r="J60" s="149">
        <v>49</v>
      </c>
      <c r="K60" s="151">
        <v>2114</v>
      </c>
      <c r="L60" s="149">
        <v>781</v>
      </c>
      <c r="M60" s="151">
        <v>2963910</v>
      </c>
      <c r="N60" s="152" t="s">
        <v>142</v>
      </c>
    </row>
    <row r="61" spans="1:14" ht="22.5" customHeight="1">
      <c r="A61" s="165" t="s">
        <v>211</v>
      </c>
      <c r="B61" s="166">
        <v>16027</v>
      </c>
      <c r="C61" s="167">
        <v>135180541</v>
      </c>
      <c r="D61" s="166">
        <v>5545</v>
      </c>
      <c r="E61" s="167">
        <v>3585093</v>
      </c>
      <c r="F61" s="166">
        <v>21572</v>
      </c>
      <c r="G61" s="167">
        <v>138765634</v>
      </c>
      <c r="H61" s="166">
        <v>1216</v>
      </c>
      <c r="I61" s="168">
        <v>23335025</v>
      </c>
      <c r="J61" s="166">
        <v>1240</v>
      </c>
      <c r="K61" s="168">
        <v>190969</v>
      </c>
      <c r="L61" s="166">
        <v>22954</v>
      </c>
      <c r="M61" s="168">
        <v>115621577</v>
      </c>
      <c r="N61" s="169" t="s">
        <v>144</v>
      </c>
    </row>
    <row r="62" spans="1:14" ht="22.5" customHeight="1" thickBot="1">
      <c r="A62" s="64"/>
      <c r="B62" s="130"/>
      <c r="C62" s="131"/>
      <c r="D62" s="130"/>
      <c r="E62" s="131"/>
      <c r="F62" s="132"/>
      <c r="G62" s="131"/>
      <c r="H62" s="132"/>
      <c r="I62" s="131"/>
      <c r="J62" s="132"/>
      <c r="K62" s="131"/>
      <c r="L62" s="132"/>
      <c r="M62" s="131"/>
      <c r="N62" s="65"/>
    </row>
    <row r="63" spans="1:14" ht="22.5" customHeight="1" thickBot="1" thickTop="1">
      <c r="A63" s="66" t="s">
        <v>212</v>
      </c>
      <c r="B63" s="133">
        <v>155858</v>
      </c>
      <c r="C63" s="134">
        <v>1499348959</v>
      </c>
      <c r="D63" s="133">
        <v>57947</v>
      </c>
      <c r="E63" s="134">
        <v>37655656</v>
      </c>
      <c r="F63" s="133">
        <v>213805</v>
      </c>
      <c r="G63" s="134">
        <v>1537004615</v>
      </c>
      <c r="H63" s="133">
        <v>12830</v>
      </c>
      <c r="I63" s="135">
        <v>735064240</v>
      </c>
      <c r="J63" s="133">
        <v>12695</v>
      </c>
      <c r="K63" s="135">
        <v>1144637</v>
      </c>
      <c r="L63" s="133">
        <v>228042</v>
      </c>
      <c r="M63" s="135">
        <v>803085012</v>
      </c>
      <c r="N63" s="67" t="s">
        <v>39</v>
      </c>
    </row>
    <row r="64" spans="1:14" s="136" customFormat="1" ht="3" customHeight="1">
      <c r="A64" s="95"/>
      <c r="B64" s="96"/>
      <c r="C64" s="96"/>
      <c r="D64" s="96"/>
      <c r="E64" s="96"/>
      <c r="F64" s="96"/>
      <c r="G64" s="96"/>
      <c r="H64" s="96"/>
      <c r="I64" s="96"/>
      <c r="J64" s="96"/>
      <c r="K64" s="96"/>
      <c r="L64" s="96"/>
      <c r="M64" s="96"/>
      <c r="N64" s="95"/>
    </row>
    <row r="65" spans="1:14" ht="22.5" customHeight="1">
      <c r="A65" s="270" t="s">
        <v>217</v>
      </c>
      <c r="B65" s="270"/>
      <c r="C65" s="270"/>
      <c r="D65" s="270"/>
      <c r="E65" s="270"/>
      <c r="F65" s="270"/>
      <c r="G65" s="270"/>
      <c r="H65" s="270"/>
      <c r="I65" s="270"/>
      <c r="J65" s="49"/>
      <c r="K65" s="49"/>
      <c r="L65" s="50"/>
      <c r="M65" s="50"/>
      <c r="N65" s="50"/>
    </row>
  </sheetData>
  <sheetProtection/>
  <mergeCells count="11">
    <mergeCell ref="N3:N5"/>
    <mergeCell ref="B4:C4"/>
    <mergeCell ref="D4:E4"/>
    <mergeCell ref="F4:G4"/>
    <mergeCell ref="A65:I65"/>
    <mergeCell ref="A2:I2"/>
    <mergeCell ref="A3:A5"/>
    <mergeCell ref="B3:G3"/>
    <mergeCell ref="H3:I4"/>
    <mergeCell ref="J3:K4"/>
    <mergeCell ref="L3:M4"/>
  </mergeCells>
  <printOptions horizontalCentered="1"/>
  <pageMargins left="0.11811023622047245" right="0.11811023622047245" top="0.7480314960629921" bottom="0.7480314960629921" header="0.31496062992125984" footer="0.31496062992125984"/>
  <pageSetup horizontalDpi="600" verticalDpi="600" orientation="portrait" paperSize="9" scale="48" r:id="rId1"/>
  <headerFooter alignWithMargins="0">
    <oddFooter>&amp;R&amp;K01+000名古屋国税局 消費税（R01）</oddFooter>
  </headerFooter>
</worksheet>
</file>

<file path=xl/worksheets/sheet6.xml><?xml version="1.0" encoding="utf-8"?>
<worksheet xmlns="http://schemas.openxmlformats.org/spreadsheetml/2006/main" xmlns:r="http://schemas.openxmlformats.org/officeDocument/2006/relationships">
  <dimension ref="A1:R64"/>
  <sheetViews>
    <sheetView showGridLines="0" zoomScale="70" zoomScaleNormal="70" zoomScaleSheetLayoutView="75" workbookViewId="0" topLeftCell="A1">
      <selection activeCell="A1" sqref="A1"/>
    </sheetView>
  </sheetViews>
  <sheetFormatPr defaultColWidth="9.00390625" defaultRowHeight="13.5"/>
  <cols>
    <col min="1" max="1" width="10.00390625" style="68" customWidth="1"/>
    <col min="2" max="2" width="10.625" style="68" customWidth="1"/>
    <col min="3" max="3" width="12.625" style="68" customWidth="1"/>
    <col min="4" max="4" width="10.625" style="68" customWidth="1"/>
    <col min="5" max="5" width="12.625" style="68" customWidth="1"/>
    <col min="6" max="6" width="10.625" style="68" customWidth="1"/>
    <col min="7" max="7" width="12.625" style="68" customWidth="1"/>
    <col min="8" max="8" width="10.625" style="68" customWidth="1"/>
    <col min="9" max="9" width="12.625" style="68" customWidth="1"/>
    <col min="10" max="10" width="10.625" style="68" customWidth="1"/>
    <col min="11" max="11" width="12.625" style="68" customWidth="1"/>
    <col min="12" max="12" width="10.625" style="68" customWidth="1"/>
    <col min="13" max="13" width="12.625" style="68" customWidth="1"/>
    <col min="14" max="17" width="10.625" style="68" customWidth="1"/>
    <col min="18" max="18" width="10.00390625" style="68" customWidth="1"/>
    <col min="19" max="16384" width="9.00390625" style="68" customWidth="1"/>
  </cols>
  <sheetData>
    <row r="1" spans="1:16" ht="12">
      <c r="A1" s="49" t="s">
        <v>222</v>
      </c>
      <c r="B1" s="49"/>
      <c r="C1" s="49"/>
      <c r="D1" s="49"/>
      <c r="E1" s="49"/>
      <c r="F1" s="49"/>
      <c r="G1" s="49"/>
      <c r="H1" s="49"/>
      <c r="I1" s="49"/>
      <c r="J1" s="49"/>
      <c r="K1" s="49"/>
      <c r="L1" s="50"/>
      <c r="M1" s="50"/>
      <c r="N1" s="50"/>
      <c r="O1" s="50"/>
      <c r="P1" s="50"/>
    </row>
    <row r="2" spans="1:16" ht="12.75" thickBot="1">
      <c r="A2" s="290" t="s">
        <v>147</v>
      </c>
      <c r="B2" s="290"/>
      <c r="C2" s="290"/>
      <c r="D2" s="290"/>
      <c r="E2" s="290"/>
      <c r="F2" s="290"/>
      <c r="G2" s="290"/>
      <c r="H2" s="290"/>
      <c r="I2" s="290"/>
      <c r="J2" s="49"/>
      <c r="K2" s="49"/>
      <c r="L2" s="50"/>
      <c r="M2" s="50"/>
      <c r="N2" s="50"/>
      <c r="O2" s="50"/>
      <c r="P2" s="50"/>
    </row>
    <row r="3" spans="1:18" ht="23.25" customHeight="1">
      <c r="A3" s="271" t="s">
        <v>150</v>
      </c>
      <c r="B3" s="274" t="s">
        <v>151</v>
      </c>
      <c r="C3" s="274"/>
      <c r="D3" s="274"/>
      <c r="E3" s="274"/>
      <c r="F3" s="274"/>
      <c r="G3" s="274"/>
      <c r="H3" s="291" t="s">
        <v>12</v>
      </c>
      <c r="I3" s="291"/>
      <c r="J3" s="292" t="s">
        <v>33</v>
      </c>
      <c r="K3" s="291"/>
      <c r="L3" s="274" t="s">
        <v>34</v>
      </c>
      <c r="M3" s="274"/>
      <c r="N3" s="294" t="s">
        <v>155</v>
      </c>
      <c r="O3" s="295"/>
      <c r="P3" s="295"/>
      <c r="Q3" s="295"/>
      <c r="R3" s="284" t="s">
        <v>146</v>
      </c>
    </row>
    <row r="4" spans="1:18" ht="23.25" customHeight="1">
      <c r="A4" s="272"/>
      <c r="B4" s="287" t="s">
        <v>14</v>
      </c>
      <c r="C4" s="287"/>
      <c r="D4" s="287" t="s">
        <v>36</v>
      </c>
      <c r="E4" s="287"/>
      <c r="F4" s="293" t="s">
        <v>37</v>
      </c>
      <c r="G4" s="293"/>
      <c r="H4" s="287"/>
      <c r="I4" s="287"/>
      <c r="J4" s="287"/>
      <c r="K4" s="287"/>
      <c r="L4" s="293"/>
      <c r="M4" s="293"/>
      <c r="N4" s="296" t="s">
        <v>148</v>
      </c>
      <c r="O4" s="298" t="s">
        <v>156</v>
      </c>
      <c r="P4" s="300" t="s">
        <v>157</v>
      </c>
      <c r="Q4" s="283" t="s">
        <v>149</v>
      </c>
      <c r="R4" s="285"/>
    </row>
    <row r="5" spans="1:18" ht="30" customHeight="1">
      <c r="A5" s="273"/>
      <c r="B5" s="142" t="s">
        <v>216</v>
      </c>
      <c r="C5" s="87" t="s">
        <v>152</v>
      </c>
      <c r="D5" s="52" t="s">
        <v>216</v>
      </c>
      <c r="E5" s="87" t="s">
        <v>152</v>
      </c>
      <c r="F5" s="52" t="s">
        <v>216</v>
      </c>
      <c r="G5" s="88" t="s">
        <v>213</v>
      </c>
      <c r="H5" s="141" t="s">
        <v>216</v>
      </c>
      <c r="I5" s="52" t="s">
        <v>214</v>
      </c>
      <c r="J5" s="142" t="s">
        <v>216</v>
      </c>
      <c r="K5" s="88" t="s">
        <v>215</v>
      </c>
      <c r="L5" s="141" t="s">
        <v>216</v>
      </c>
      <c r="M5" s="88" t="s">
        <v>158</v>
      </c>
      <c r="N5" s="297"/>
      <c r="O5" s="299"/>
      <c r="P5" s="301"/>
      <c r="Q5" s="302"/>
      <c r="R5" s="286"/>
    </row>
    <row r="6" spans="1:18" s="76" customFormat="1" ht="12">
      <c r="A6" s="70"/>
      <c r="B6" s="71" t="s">
        <v>4</v>
      </c>
      <c r="C6" s="72" t="s">
        <v>5</v>
      </c>
      <c r="D6" s="71" t="s">
        <v>4</v>
      </c>
      <c r="E6" s="72" t="s">
        <v>5</v>
      </c>
      <c r="F6" s="71" t="s">
        <v>4</v>
      </c>
      <c r="G6" s="72" t="s">
        <v>5</v>
      </c>
      <c r="H6" s="71" t="s">
        <v>4</v>
      </c>
      <c r="I6" s="72" t="s">
        <v>5</v>
      </c>
      <c r="J6" s="71" t="s">
        <v>4</v>
      </c>
      <c r="K6" s="72" t="s">
        <v>5</v>
      </c>
      <c r="L6" s="71" t="s">
        <v>220</v>
      </c>
      <c r="M6" s="72" t="s">
        <v>5</v>
      </c>
      <c r="N6" s="71" t="s">
        <v>4</v>
      </c>
      <c r="O6" s="73" t="s">
        <v>4</v>
      </c>
      <c r="P6" s="73" t="s">
        <v>4</v>
      </c>
      <c r="Q6" s="74" t="s">
        <v>4</v>
      </c>
      <c r="R6" s="75"/>
    </row>
    <row r="7" spans="1:18" ht="25.5" customHeight="1">
      <c r="A7" s="77" t="s">
        <v>41</v>
      </c>
      <c r="B7" s="113">
        <f>_xlfn.COMPOUNDVALUE(385)</f>
        <v>6456</v>
      </c>
      <c r="C7" s="114">
        <v>32716882</v>
      </c>
      <c r="D7" s="113">
        <f>_xlfn.COMPOUNDVALUE(386)</f>
        <v>4094</v>
      </c>
      <c r="E7" s="114">
        <v>2203769</v>
      </c>
      <c r="F7" s="113">
        <f>_xlfn.COMPOUNDVALUE(387)</f>
        <v>10550</v>
      </c>
      <c r="G7" s="114">
        <v>34920651</v>
      </c>
      <c r="H7" s="113">
        <f>_xlfn.COMPOUNDVALUE(388)</f>
        <v>454</v>
      </c>
      <c r="I7" s="115">
        <v>1718850</v>
      </c>
      <c r="J7" s="113">
        <v>744</v>
      </c>
      <c r="K7" s="115">
        <v>111816</v>
      </c>
      <c r="L7" s="113">
        <v>11244</v>
      </c>
      <c r="M7" s="115">
        <v>33313617</v>
      </c>
      <c r="N7" s="214">
        <v>11153</v>
      </c>
      <c r="O7" s="215">
        <v>255</v>
      </c>
      <c r="P7" s="215">
        <v>23</v>
      </c>
      <c r="Q7" s="216">
        <v>11431</v>
      </c>
      <c r="R7" s="78" t="s">
        <v>42</v>
      </c>
    </row>
    <row r="8" spans="1:18" ht="25.5" customHeight="1">
      <c r="A8" s="79" t="s">
        <v>43</v>
      </c>
      <c r="B8" s="116">
        <f>_xlfn.COMPOUNDVALUE(389)</f>
        <v>5968</v>
      </c>
      <c r="C8" s="117">
        <v>39236058</v>
      </c>
      <c r="D8" s="116">
        <f>_xlfn.COMPOUNDVALUE(390)</f>
        <v>3449</v>
      </c>
      <c r="E8" s="117">
        <v>1922505</v>
      </c>
      <c r="F8" s="116">
        <f>_xlfn.COMPOUNDVALUE(391)</f>
        <v>9417</v>
      </c>
      <c r="G8" s="117">
        <v>41158563</v>
      </c>
      <c r="H8" s="116">
        <f>_xlfn.COMPOUNDVALUE(392)</f>
        <v>443</v>
      </c>
      <c r="I8" s="118">
        <v>2758949</v>
      </c>
      <c r="J8" s="116">
        <v>796</v>
      </c>
      <c r="K8" s="118">
        <v>154226</v>
      </c>
      <c r="L8" s="116">
        <v>10025</v>
      </c>
      <c r="M8" s="118">
        <v>38553840</v>
      </c>
      <c r="N8" s="214">
        <v>9952</v>
      </c>
      <c r="O8" s="215">
        <v>245</v>
      </c>
      <c r="P8" s="215">
        <v>24</v>
      </c>
      <c r="Q8" s="216">
        <v>10221</v>
      </c>
      <c r="R8" s="80" t="s">
        <v>44</v>
      </c>
    </row>
    <row r="9" spans="1:18" ht="25.5" customHeight="1">
      <c r="A9" s="79" t="s">
        <v>45</v>
      </c>
      <c r="B9" s="116">
        <f>_xlfn.COMPOUNDVALUE(393)</f>
        <v>4948</v>
      </c>
      <c r="C9" s="117">
        <v>39991023</v>
      </c>
      <c r="D9" s="116">
        <f>_xlfn.COMPOUNDVALUE(394)</f>
        <v>3285</v>
      </c>
      <c r="E9" s="117">
        <v>1695085</v>
      </c>
      <c r="F9" s="116">
        <f>_xlfn.COMPOUNDVALUE(395)</f>
        <v>8233</v>
      </c>
      <c r="G9" s="117">
        <v>41686108</v>
      </c>
      <c r="H9" s="116">
        <f>_xlfn.COMPOUNDVALUE(396)</f>
        <v>481</v>
      </c>
      <c r="I9" s="118">
        <v>7019472</v>
      </c>
      <c r="J9" s="116">
        <v>597</v>
      </c>
      <c r="K9" s="118">
        <v>90190</v>
      </c>
      <c r="L9" s="116">
        <v>8805</v>
      </c>
      <c r="M9" s="118">
        <v>34756826</v>
      </c>
      <c r="N9" s="214">
        <v>8541</v>
      </c>
      <c r="O9" s="215">
        <v>276</v>
      </c>
      <c r="P9" s="215">
        <v>26</v>
      </c>
      <c r="Q9" s="216">
        <v>8843</v>
      </c>
      <c r="R9" s="80" t="s">
        <v>46</v>
      </c>
    </row>
    <row r="10" spans="1:18" ht="25.5" customHeight="1">
      <c r="A10" s="79" t="s">
        <v>47</v>
      </c>
      <c r="B10" s="116">
        <f>_xlfn.COMPOUNDVALUE(397)</f>
        <v>2564</v>
      </c>
      <c r="C10" s="117">
        <v>11816532</v>
      </c>
      <c r="D10" s="116">
        <f>_xlfn.COMPOUNDVALUE(398)</f>
        <v>2142</v>
      </c>
      <c r="E10" s="117">
        <v>1000481</v>
      </c>
      <c r="F10" s="116">
        <f>_xlfn.COMPOUNDVALUE(399)</f>
        <v>4706</v>
      </c>
      <c r="G10" s="117">
        <v>12817013</v>
      </c>
      <c r="H10" s="116">
        <f>_xlfn.COMPOUNDVALUE(400)</f>
        <v>182</v>
      </c>
      <c r="I10" s="118">
        <v>338554</v>
      </c>
      <c r="J10" s="116">
        <v>216</v>
      </c>
      <c r="K10" s="118">
        <v>5376</v>
      </c>
      <c r="L10" s="116">
        <v>4912</v>
      </c>
      <c r="M10" s="118">
        <v>12483835</v>
      </c>
      <c r="N10" s="214">
        <v>4749</v>
      </c>
      <c r="O10" s="215">
        <v>149</v>
      </c>
      <c r="P10" s="215">
        <v>9</v>
      </c>
      <c r="Q10" s="216">
        <v>4907</v>
      </c>
      <c r="R10" s="80" t="s">
        <v>48</v>
      </c>
    </row>
    <row r="11" spans="1:18" ht="25.5" customHeight="1">
      <c r="A11" s="79" t="s">
        <v>49</v>
      </c>
      <c r="B11" s="116">
        <f>_xlfn.COMPOUNDVALUE(401)</f>
        <v>3947</v>
      </c>
      <c r="C11" s="117">
        <v>24010430</v>
      </c>
      <c r="D11" s="116">
        <f>_xlfn.COMPOUNDVALUE(402)</f>
        <v>3109</v>
      </c>
      <c r="E11" s="117">
        <v>1553409</v>
      </c>
      <c r="F11" s="116">
        <f>_xlfn.COMPOUNDVALUE(403)</f>
        <v>7056</v>
      </c>
      <c r="G11" s="117">
        <v>25563839</v>
      </c>
      <c r="H11" s="116">
        <f>_xlfn.COMPOUNDVALUE(404)</f>
        <v>316</v>
      </c>
      <c r="I11" s="118">
        <v>994029</v>
      </c>
      <c r="J11" s="116">
        <v>356</v>
      </c>
      <c r="K11" s="118">
        <v>141629</v>
      </c>
      <c r="L11" s="116">
        <v>7441</v>
      </c>
      <c r="M11" s="118">
        <v>24711439</v>
      </c>
      <c r="N11" s="214">
        <v>7328</v>
      </c>
      <c r="O11" s="215">
        <v>203</v>
      </c>
      <c r="P11" s="215">
        <v>16</v>
      </c>
      <c r="Q11" s="216">
        <v>7547</v>
      </c>
      <c r="R11" s="80" t="s">
        <v>50</v>
      </c>
    </row>
    <row r="12" spans="1:18" ht="25.5" customHeight="1">
      <c r="A12" s="79" t="s">
        <v>51</v>
      </c>
      <c r="B12" s="116">
        <f>_xlfn.COMPOUNDVALUE(405)</f>
        <v>4010</v>
      </c>
      <c r="C12" s="117">
        <v>20971999</v>
      </c>
      <c r="D12" s="116">
        <f>_xlfn.COMPOUNDVALUE(406)</f>
        <v>2727</v>
      </c>
      <c r="E12" s="117">
        <v>1347307</v>
      </c>
      <c r="F12" s="116">
        <f>_xlfn.COMPOUNDVALUE(407)</f>
        <v>6737</v>
      </c>
      <c r="G12" s="117">
        <v>22319306</v>
      </c>
      <c r="H12" s="116">
        <f>_xlfn.COMPOUNDVALUE(408)</f>
        <v>305</v>
      </c>
      <c r="I12" s="118">
        <v>965693</v>
      </c>
      <c r="J12" s="116">
        <v>417</v>
      </c>
      <c r="K12" s="118">
        <v>20929</v>
      </c>
      <c r="L12" s="116">
        <v>7102</v>
      </c>
      <c r="M12" s="118">
        <v>21374542</v>
      </c>
      <c r="N12" s="214">
        <v>6988</v>
      </c>
      <c r="O12" s="215">
        <v>178</v>
      </c>
      <c r="P12" s="215">
        <v>8</v>
      </c>
      <c r="Q12" s="216">
        <v>7174</v>
      </c>
      <c r="R12" s="80" t="s">
        <v>52</v>
      </c>
    </row>
    <row r="13" spans="1:18" ht="25.5" customHeight="1">
      <c r="A13" s="170" t="s">
        <v>53</v>
      </c>
      <c r="B13" s="171">
        <f>_xlfn.COMPOUNDVALUE(409)</f>
        <v>1639</v>
      </c>
      <c r="C13" s="172">
        <v>10774708</v>
      </c>
      <c r="D13" s="171">
        <f>_xlfn.COMPOUNDVALUE(410)</f>
        <v>1275</v>
      </c>
      <c r="E13" s="172">
        <v>632703</v>
      </c>
      <c r="F13" s="171">
        <f>_xlfn.COMPOUNDVALUE(411)</f>
        <v>2914</v>
      </c>
      <c r="G13" s="172">
        <v>11407411</v>
      </c>
      <c r="H13" s="171">
        <f>_xlfn.COMPOUNDVALUE(412)</f>
        <v>116</v>
      </c>
      <c r="I13" s="173">
        <v>176597</v>
      </c>
      <c r="J13" s="171">
        <v>230</v>
      </c>
      <c r="K13" s="173">
        <v>22506</v>
      </c>
      <c r="L13" s="171">
        <v>3057</v>
      </c>
      <c r="M13" s="173">
        <v>11253320</v>
      </c>
      <c r="N13" s="217">
        <v>3009</v>
      </c>
      <c r="O13" s="218">
        <v>85</v>
      </c>
      <c r="P13" s="218">
        <v>9</v>
      </c>
      <c r="Q13" s="219">
        <v>3103</v>
      </c>
      <c r="R13" s="174" t="s">
        <v>54</v>
      </c>
    </row>
    <row r="14" spans="1:18" ht="25.5" customHeight="1">
      <c r="A14" s="175" t="s">
        <v>55</v>
      </c>
      <c r="B14" s="176">
        <v>29532</v>
      </c>
      <c r="C14" s="177">
        <v>179517632</v>
      </c>
      <c r="D14" s="176">
        <v>20081</v>
      </c>
      <c r="E14" s="177">
        <v>10355259</v>
      </c>
      <c r="F14" s="176">
        <v>49613</v>
      </c>
      <c r="G14" s="177">
        <v>189872891</v>
      </c>
      <c r="H14" s="176">
        <v>2297</v>
      </c>
      <c r="I14" s="178">
        <v>13972144</v>
      </c>
      <c r="J14" s="176">
        <v>3356</v>
      </c>
      <c r="K14" s="178">
        <v>546672</v>
      </c>
      <c r="L14" s="176">
        <v>52586</v>
      </c>
      <c r="M14" s="178">
        <v>176447419</v>
      </c>
      <c r="N14" s="220">
        <v>51720</v>
      </c>
      <c r="O14" s="221">
        <v>1391</v>
      </c>
      <c r="P14" s="221">
        <v>115</v>
      </c>
      <c r="Q14" s="222">
        <v>53226</v>
      </c>
      <c r="R14" s="179" t="s">
        <v>56</v>
      </c>
    </row>
    <row r="15" spans="1:18" ht="25.5" customHeight="1">
      <c r="A15" s="180"/>
      <c r="B15" s="181"/>
      <c r="C15" s="182"/>
      <c r="D15" s="181"/>
      <c r="E15" s="182"/>
      <c r="F15" s="183"/>
      <c r="G15" s="182"/>
      <c r="H15" s="183"/>
      <c r="I15" s="182"/>
      <c r="J15" s="183"/>
      <c r="K15" s="182"/>
      <c r="L15" s="183"/>
      <c r="M15" s="182"/>
      <c r="N15" s="223"/>
      <c r="O15" s="224"/>
      <c r="P15" s="224"/>
      <c r="Q15" s="225"/>
      <c r="R15" s="184" t="s">
        <v>40</v>
      </c>
    </row>
    <row r="16" spans="1:18" ht="25.5" customHeight="1">
      <c r="A16" s="77" t="s">
        <v>57</v>
      </c>
      <c r="B16" s="113">
        <f>_xlfn.COMPOUNDVALUE(413)</f>
        <v>7058</v>
      </c>
      <c r="C16" s="114">
        <v>56300749</v>
      </c>
      <c r="D16" s="113">
        <f>_xlfn.COMPOUNDVALUE(414)</f>
        <v>5441</v>
      </c>
      <c r="E16" s="114">
        <v>2949815</v>
      </c>
      <c r="F16" s="113">
        <f>_xlfn.COMPOUNDVALUE(415)</f>
        <v>12499</v>
      </c>
      <c r="G16" s="114">
        <v>59250563</v>
      </c>
      <c r="H16" s="113">
        <f>_xlfn.COMPOUNDVALUE(416)</f>
        <v>501</v>
      </c>
      <c r="I16" s="115">
        <v>4047465</v>
      </c>
      <c r="J16" s="113">
        <v>780</v>
      </c>
      <c r="K16" s="115">
        <v>147249</v>
      </c>
      <c r="L16" s="113">
        <v>13152</v>
      </c>
      <c r="M16" s="115">
        <v>55350347</v>
      </c>
      <c r="N16" s="214">
        <v>13212</v>
      </c>
      <c r="O16" s="215">
        <v>343</v>
      </c>
      <c r="P16" s="215">
        <v>47</v>
      </c>
      <c r="Q16" s="216">
        <v>13602</v>
      </c>
      <c r="R16" s="78" t="s">
        <v>58</v>
      </c>
    </row>
    <row r="17" spans="1:18" ht="25.5" customHeight="1">
      <c r="A17" s="77" t="s">
        <v>59</v>
      </c>
      <c r="B17" s="113">
        <f>_xlfn.COMPOUNDVALUE(417)</f>
        <v>3188</v>
      </c>
      <c r="C17" s="114">
        <v>22788966</v>
      </c>
      <c r="D17" s="113">
        <f>_xlfn.COMPOUNDVALUE(418)</f>
        <v>2619</v>
      </c>
      <c r="E17" s="114">
        <v>1305163</v>
      </c>
      <c r="F17" s="113">
        <f>_xlfn.COMPOUNDVALUE(419)</f>
        <v>5807</v>
      </c>
      <c r="G17" s="114">
        <v>24094129</v>
      </c>
      <c r="H17" s="113">
        <f>_xlfn.COMPOUNDVALUE(420)</f>
        <v>283</v>
      </c>
      <c r="I17" s="115">
        <v>1518625</v>
      </c>
      <c r="J17" s="113">
        <v>439</v>
      </c>
      <c r="K17" s="115">
        <v>83416</v>
      </c>
      <c r="L17" s="113">
        <v>6140</v>
      </c>
      <c r="M17" s="115">
        <v>22658921</v>
      </c>
      <c r="N17" s="214">
        <v>6165</v>
      </c>
      <c r="O17" s="215">
        <v>145</v>
      </c>
      <c r="P17" s="215">
        <v>11</v>
      </c>
      <c r="Q17" s="216">
        <v>6321</v>
      </c>
      <c r="R17" s="80" t="s">
        <v>60</v>
      </c>
    </row>
    <row r="18" spans="1:18" ht="25.5" customHeight="1">
      <c r="A18" s="77" t="s">
        <v>61</v>
      </c>
      <c r="B18" s="113">
        <f>_xlfn.COMPOUNDVALUE(421)</f>
        <v>6855</v>
      </c>
      <c r="C18" s="114">
        <v>44892578</v>
      </c>
      <c r="D18" s="113">
        <f>_xlfn.COMPOUNDVALUE(422)</f>
        <v>5774</v>
      </c>
      <c r="E18" s="114">
        <v>3030839</v>
      </c>
      <c r="F18" s="113">
        <f>_xlfn.COMPOUNDVALUE(423)</f>
        <v>12629</v>
      </c>
      <c r="G18" s="114">
        <v>47923417</v>
      </c>
      <c r="H18" s="113">
        <f>_xlfn.COMPOUNDVALUE(424)</f>
        <v>692</v>
      </c>
      <c r="I18" s="115">
        <v>7879083</v>
      </c>
      <c r="J18" s="113">
        <v>735</v>
      </c>
      <c r="K18" s="115">
        <v>125893</v>
      </c>
      <c r="L18" s="113">
        <v>13452</v>
      </c>
      <c r="M18" s="115">
        <v>40170227</v>
      </c>
      <c r="N18" s="214">
        <v>13672</v>
      </c>
      <c r="O18" s="215">
        <v>471</v>
      </c>
      <c r="P18" s="215">
        <v>34</v>
      </c>
      <c r="Q18" s="216">
        <v>14177</v>
      </c>
      <c r="R18" s="80" t="s">
        <v>62</v>
      </c>
    </row>
    <row r="19" spans="1:18" ht="25.5" customHeight="1">
      <c r="A19" s="77" t="s">
        <v>63</v>
      </c>
      <c r="B19" s="113">
        <f>_xlfn.COMPOUNDVALUE(425)</f>
        <v>4937</v>
      </c>
      <c r="C19" s="114">
        <v>28779495</v>
      </c>
      <c r="D19" s="113">
        <f>_xlfn.COMPOUNDVALUE(426)</f>
        <v>3385</v>
      </c>
      <c r="E19" s="114">
        <v>1753836</v>
      </c>
      <c r="F19" s="113">
        <f>_xlfn.COMPOUNDVALUE(427)</f>
        <v>8322</v>
      </c>
      <c r="G19" s="114">
        <v>30533331</v>
      </c>
      <c r="H19" s="113">
        <f>_xlfn.COMPOUNDVALUE(428)</f>
        <v>384</v>
      </c>
      <c r="I19" s="115">
        <v>17899686</v>
      </c>
      <c r="J19" s="113">
        <v>468</v>
      </c>
      <c r="K19" s="115">
        <v>63143</v>
      </c>
      <c r="L19" s="113">
        <v>8799</v>
      </c>
      <c r="M19" s="115">
        <v>12696788</v>
      </c>
      <c r="N19" s="214">
        <v>9263</v>
      </c>
      <c r="O19" s="215">
        <v>253</v>
      </c>
      <c r="P19" s="215">
        <v>16</v>
      </c>
      <c r="Q19" s="216">
        <v>9532</v>
      </c>
      <c r="R19" s="80" t="s">
        <v>64</v>
      </c>
    </row>
    <row r="20" spans="1:18" ht="25.5" customHeight="1">
      <c r="A20" s="77" t="s">
        <v>65</v>
      </c>
      <c r="B20" s="113">
        <f>_xlfn.COMPOUNDVALUE(429)</f>
        <v>5374</v>
      </c>
      <c r="C20" s="114">
        <v>36019282</v>
      </c>
      <c r="D20" s="113">
        <f>_xlfn.COMPOUNDVALUE(430)</f>
        <v>4326</v>
      </c>
      <c r="E20" s="114">
        <v>2392788</v>
      </c>
      <c r="F20" s="113">
        <f>_xlfn.COMPOUNDVALUE(431)</f>
        <v>9700</v>
      </c>
      <c r="G20" s="114">
        <v>38412070</v>
      </c>
      <c r="H20" s="113">
        <f>_xlfn.COMPOUNDVALUE(432)</f>
        <v>317</v>
      </c>
      <c r="I20" s="115">
        <v>2806024</v>
      </c>
      <c r="J20" s="113">
        <v>690</v>
      </c>
      <c r="K20" s="115">
        <v>73371</v>
      </c>
      <c r="L20" s="113">
        <v>10161</v>
      </c>
      <c r="M20" s="115">
        <v>35679417</v>
      </c>
      <c r="N20" s="214">
        <v>10225</v>
      </c>
      <c r="O20" s="215">
        <v>273</v>
      </c>
      <c r="P20" s="215">
        <v>33</v>
      </c>
      <c r="Q20" s="216">
        <v>10531</v>
      </c>
      <c r="R20" s="80" t="s">
        <v>66</v>
      </c>
    </row>
    <row r="21" spans="1:18" ht="25.5" customHeight="1">
      <c r="A21" s="77" t="s">
        <v>67</v>
      </c>
      <c r="B21" s="113">
        <f>_xlfn.COMPOUNDVALUE(433)</f>
        <v>1672</v>
      </c>
      <c r="C21" s="114">
        <v>5586745</v>
      </c>
      <c r="D21" s="113">
        <f>_xlfn.COMPOUNDVALUE(434)</f>
        <v>1463</v>
      </c>
      <c r="E21" s="114">
        <v>706516</v>
      </c>
      <c r="F21" s="113">
        <f>_xlfn.COMPOUNDVALUE(435)</f>
        <v>3135</v>
      </c>
      <c r="G21" s="114">
        <v>6293261</v>
      </c>
      <c r="H21" s="113">
        <f>_xlfn.COMPOUNDVALUE(436)</f>
        <v>130</v>
      </c>
      <c r="I21" s="115">
        <v>239871</v>
      </c>
      <c r="J21" s="113">
        <v>226</v>
      </c>
      <c r="K21" s="115">
        <v>45248</v>
      </c>
      <c r="L21" s="113">
        <v>3311</v>
      </c>
      <c r="M21" s="115">
        <v>6098637</v>
      </c>
      <c r="N21" s="214">
        <v>3353</v>
      </c>
      <c r="O21" s="215">
        <v>108</v>
      </c>
      <c r="P21" s="215">
        <v>9</v>
      </c>
      <c r="Q21" s="216">
        <v>3470</v>
      </c>
      <c r="R21" s="80" t="s">
        <v>68</v>
      </c>
    </row>
    <row r="22" spans="1:18" ht="25.5" customHeight="1">
      <c r="A22" s="79" t="s">
        <v>69</v>
      </c>
      <c r="B22" s="116">
        <f>_xlfn.COMPOUNDVALUE(437)</f>
        <v>2659</v>
      </c>
      <c r="C22" s="117">
        <v>12281359</v>
      </c>
      <c r="D22" s="116">
        <f>_xlfn.COMPOUNDVALUE(438)</f>
        <v>2629</v>
      </c>
      <c r="E22" s="117">
        <v>1292246</v>
      </c>
      <c r="F22" s="116">
        <f>_xlfn.COMPOUNDVALUE(439)</f>
        <v>5288</v>
      </c>
      <c r="G22" s="117">
        <v>13573605</v>
      </c>
      <c r="H22" s="116">
        <f>_xlfn.COMPOUNDVALUE(440)</f>
        <v>152</v>
      </c>
      <c r="I22" s="118">
        <v>282198</v>
      </c>
      <c r="J22" s="116">
        <v>280</v>
      </c>
      <c r="K22" s="118">
        <v>52434</v>
      </c>
      <c r="L22" s="116">
        <v>5509</v>
      </c>
      <c r="M22" s="118">
        <v>13343841</v>
      </c>
      <c r="N22" s="214">
        <v>5665</v>
      </c>
      <c r="O22" s="215">
        <v>154</v>
      </c>
      <c r="P22" s="215">
        <v>8</v>
      </c>
      <c r="Q22" s="216">
        <v>5827</v>
      </c>
      <c r="R22" s="80" t="s">
        <v>70</v>
      </c>
    </row>
    <row r="23" spans="1:18" ht="25.5" customHeight="1">
      <c r="A23" s="79" t="s">
        <v>71</v>
      </c>
      <c r="B23" s="116">
        <f>_xlfn.COMPOUNDVALUE(441)</f>
        <v>2400</v>
      </c>
      <c r="C23" s="117">
        <v>13313630</v>
      </c>
      <c r="D23" s="116">
        <f>_xlfn.COMPOUNDVALUE(442)</f>
        <v>2167</v>
      </c>
      <c r="E23" s="117">
        <v>993088</v>
      </c>
      <c r="F23" s="116">
        <f>_xlfn.COMPOUNDVALUE(443)</f>
        <v>4567</v>
      </c>
      <c r="G23" s="117">
        <v>14306718</v>
      </c>
      <c r="H23" s="116">
        <f>_xlfn.COMPOUNDVALUE(444)</f>
        <v>139</v>
      </c>
      <c r="I23" s="118">
        <v>1814808</v>
      </c>
      <c r="J23" s="116">
        <v>228</v>
      </c>
      <c r="K23" s="118">
        <v>31618</v>
      </c>
      <c r="L23" s="116">
        <v>4733</v>
      </c>
      <c r="M23" s="118">
        <v>12523528</v>
      </c>
      <c r="N23" s="214">
        <v>4743</v>
      </c>
      <c r="O23" s="215">
        <v>112</v>
      </c>
      <c r="P23" s="215">
        <v>16</v>
      </c>
      <c r="Q23" s="216">
        <v>4871</v>
      </c>
      <c r="R23" s="80" t="s">
        <v>72</v>
      </c>
    </row>
    <row r="24" spans="1:18" ht="25.5" customHeight="1">
      <c r="A24" s="79" t="s">
        <v>73</v>
      </c>
      <c r="B24" s="116">
        <f>_xlfn.COMPOUNDVALUE(445)</f>
        <v>5143</v>
      </c>
      <c r="C24" s="117">
        <v>30944832</v>
      </c>
      <c r="D24" s="116">
        <f>_xlfn.COMPOUNDVALUE(446)</f>
        <v>4114</v>
      </c>
      <c r="E24" s="117">
        <v>2153221</v>
      </c>
      <c r="F24" s="116">
        <f>_xlfn.COMPOUNDVALUE(447)</f>
        <v>9257</v>
      </c>
      <c r="G24" s="117">
        <v>33098053</v>
      </c>
      <c r="H24" s="116">
        <f>_xlfn.COMPOUNDVALUE(448)</f>
        <v>320</v>
      </c>
      <c r="I24" s="118">
        <v>7150581</v>
      </c>
      <c r="J24" s="116">
        <v>637</v>
      </c>
      <c r="K24" s="118">
        <v>107053</v>
      </c>
      <c r="L24" s="116">
        <v>9713</v>
      </c>
      <c r="M24" s="118">
        <v>26054524</v>
      </c>
      <c r="N24" s="214">
        <v>9632</v>
      </c>
      <c r="O24" s="215">
        <v>222</v>
      </c>
      <c r="P24" s="215">
        <v>18</v>
      </c>
      <c r="Q24" s="216">
        <v>9872</v>
      </c>
      <c r="R24" s="80" t="s">
        <v>74</v>
      </c>
    </row>
    <row r="25" spans="1:18" ht="25.5" customHeight="1">
      <c r="A25" s="79" t="s">
        <v>75</v>
      </c>
      <c r="B25" s="116">
        <f>_xlfn.COMPOUNDVALUE(449)</f>
        <v>2988</v>
      </c>
      <c r="C25" s="117">
        <v>19732061</v>
      </c>
      <c r="D25" s="116">
        <f>_xlfn.COMPOUNDVALUE(450)</f>
        <v>2589</v>
      </c>
      <c r="E25" s="117">
        <v>1273484</v>
      </c>
      <c r="F25" s="116">
        <f>_xlfn.COMPOUNDVALUE(451)</f>
        <v>5577</v>
      </c>
      <c r="G25" s="117">
        <v>21005546</v>
      </c>
      <c r="H25" s="116">
        <f>_xlfn.COMPOUNDVALUE(452)</f>
        <v>268</v>
      </c>
      <c r="I25" s="118">
        <v>23704330</v>
      </c>
      <c r="J25" s="116">
        <v>313</v>
      </c>
      <c r="K25" s="118">
        <v>38946</v>
      </c>
      <c r="L25" s="116">
        <v>5897</v>
      </c>
      <c r="M25" s="118">
        <v>-2659839</v>
      </c>
      <c r="N25" s="214">
        <v>6253</v>
      </c>
      <c r="O25" s="215">
        <v>205</v>
      </c>
      <c r="P25" s="215">
        <v>20</v>
      </c>
      <c r="Q25" s="216">
        <v>6478</v>
      </c>
      <c r="R25" s="80" t="s">
        <v>76</v>
      </c>
    </row>
    <row r="26" spans="1:18" ht="25.5" customHeight="1">
      <c r="A26" s="79" t="s">
        <v>77</v>
      </c>
      <c r="B26" s="116">
        <f>_xlfn.COMPOUNDVALUE(453)</f>
        <v>2293</v>
      </c>
      <c r="C26" s="117">
        <v>10908534</v>
      </c>
      <c r="D26" s="116">
        <f>_xlfn.COMPOUNDVALUE(454)</f>
        <v>2138</v>
      </c>
      <c r="E26" s="117">
        <v>988858</v>
      </c>
      <c r="F26" s="116">
        <f>_xlfn.COMPOUNDVALUE(455)</f>
        <v>4431</v>
      </c>
      <c r="G26" s="117">
        <v>11897392</v>
      </c>
      <c r="H26" s="116">
        <f>_xlfn.COMPOUNDVALUE(456)</f>
        <v>196</v>
      </c>
      <c r="I26" s="118">
        <v>3634737</v>
      </c>
      <c r="J26" s="116">
        <v>282</v>
      </c>
      <c r="K26" s="118">
        <v>32377</v>
      </c>
      <c r="L26" s="116">
        <v>4669</v>
      </c>
      <c r="M26" s="118">
        <v>8295031</v>
      </c>
      <c r="N26" s="214">
        <v>4496</v>
      </c>
      <c r="O26" s="215">
        <v>143</v>
      </c>
      <c r="P26" s="215">
        <v>7</v>
      </c>
      <c r="Q26" s="216">
        <v>4646</v>
      </c>
      <c r="R26" s="80" t="s">
        <v>78</v>
      </c>
    </row>
    <row r="27" spans="1:18" ht="25.5" customHeight="1">
      <c r="A27" s="79" t="s">
        <v>79</v>
      </c>
      <c r="B27" s="116">
        <f>_xlfn.COMPOUNDVALUE(457)</f>
        <v>3382</v>
      </c>
      <c r="C27" s="117">
        <v>18273531</v>
      </c>
      <c r="D27" s="116">
        <f>_xlfn.COMPOUNDVALUE(458)</f>
        <v>2700</v>
      </c>
      <c r="E27" s="117">
        <v>1436020</v>
      </c>
      <c r="F27" s="116">
        <f>_xlfn.COMPOUNDVALUE(459)</f>
        <v>6082</v>
      </c>
      <c r="G27" s="117">
        <v>19709551</v>
      </c>
      <c r="H27" s="116">
        <f>_xlfn.COMPOUNDVALUE(460)</f>
        <v>234</v>
      </c>
      <c r="I27" s="118">
        <v>1061896</v>
      </c>
      <c r="J27" s="116">
        <v>423</v>
      </c>
      <c r="K27" s="118">
        <v>46362</v>
      </c>
      <c r="L27" s="116">
        <v>6372</v>
      </c>
      <c r="M27" s="118">
        <v>18694017</v>
      </c>
      <c r="N27" s="214">
        <v>6352</v>
      </c>
      <c r="O27" s="215">
        <v>113</v>
      </c>
      <c r="P27" s="215">
        <v>21</v>
      </c>
      <c r="Q27" s="216">
        <v>6486</v>
      </c>
      <c r="R27" s="80" t="s">
        <v>80</v>
      </c>
    </row>
    <row r="28" spans="1:18" ht="25.5" customHeight="1">
      <c r="A28" s="170" t="s">
        <v>81</v>
      </c>
      <c r="B28" s="171">
        <f>_xlfn.COMPOUNDVALUE(461)</f>
        <v>959</v>
      </c>
      <c r="C28" s="172">
        <v>2799953</v>
      </c>
      <c r="D28" s="171">
        <f>_xlfn.COMPOUNDVALUE(462)</f>
        <v>895</v>
      </c>
      <c r="E28" s="172">
        <v>389522</v>
      </c>
      <c r="F28" s="171">
        <f>_xlfn.COMPOUNDVALUE(463)</f>
        <v>1854</v>
      </c>
      <c r="G28" s="172">
        <v>3189475</v>
      </c>
      <c r="H28" s="171">
        <f>_xlfn.COMPOUNDVALUE(464)</f>
        <v>51</v>
      </c>
      <c r="I28" s="173">
        <v>37980</v>
      </c>
      <c r="J28" s="171">
        <v>157</v>
      </c>
      <c r="K28" s="173">
        <v>21776</v>
      </c>
      <c r="L28" s="171">
        <v>1943</v>
      </c>
      <c r="M28" s="173">
        <v>3173271</v>
      </c>
      <c r="N28" s="226">
        <v>1929</v>
      </c>
      <c r="O28" s="227">
        <v>42</v>
      </c>
      <c r="P28" s="227">
        <v>2</v>
      </c>
      <c r="Q28" s="228">
        <v>1973</v>
      </c>
      <c r="R28" s="174" t="s">
        <v>82</v>
      </c>
    </row>
    <row r="29" spans="1:18" ht="25.5" customHeight="1">
      <c r="A29" s="175" t="s">
        <v>83</v>
      </c>
      <c r="B29" s="176">
        <v>48908</v>
      </c>
      <c r="C29" s="177">
        <v>302621714</v>
      </c>
      <c r="D29" s="176">
        <v>40240</v>
      </c>
      <c r="E29" s="177">
        <v>20665396</v>
      </c>
      <c r="F29" s="176">
        <v>89148</v>
      </c>
      <c r="G29" s="177">
        <v>323287110</v>
      </c>
      <c r="H29" s="176">
        <v>3667</v>
      </c>
      <c r="I29" s="178">
        <v>72077286</v>
      </c>
      <c r="J29" s="176">
        <v>5658</v>
      </c>
      <c r="K29" s="178">
        <v>868885</v>
      </c>
      <c r="L29" s="176">
        <v>93851</v>
      </c>
      <c r="M29" s="178">
        <v>252078709</v>
      </c>
      <c r="N29" s="220">
        <v>94960</v>
      </c>
      <c r="O29" s="221">
        <v>2584</v>
      </c>
      <c r="P29" s="221">
        <v>242</v>
      </c>
      <c r="Q29" s="222">
        <v>97786</v>
      </c>
      <c r="R29" s="179" t="s">
        <v>84</v>
      </c>
    </row>
    <row r="30" spans="1:18" ht="25.5" customHeight="1">
      <c r="A30" s="180"/>
      <c r="B30" s="181"/>
      <c r="C30" s="182"/>
      <c r="D30" s="181"/>
      <c r="E30" s="182"/>
      <c r="F30" s="183"/>
      <c r="G30" s="182"/>
      <c r="H30" s="183"/>
      <c r="I30" s="182"/>
      <c r="J30" s="183"/>
      <c r="K30" s="182"/>
      <c r="L30" s="183"/>
      <c r="M30" s="182"/>
      <c r="N30" s="223"/>
      <c r="O30" s="224"/>
      <c r="P30" s="224"/>
      <c r="Q30" s="225"/>
      <c r="R30" s="184" t="s">
        <v>40</v>
      </c>
    </row>
    <row r="31" spans="1:18" ht="25.5" customHeight="1">
      <c r="A31" s="77" t="s">
        <v>85</v>
      </c>
      <c r="B31" s="113">
        <f>_xlfn.COMPOUNDVALUE(465)</f>
        <v>4878</v>
      </c>
      <c r="C31" s="114">
        <v>27869326</v>
      </c>
      <c r="D31" s="113">
        <f>_xlfn.COMPOUNDVALUE(466)</f>
        <v>3171</v>
      </c>
      <c r="E31" s="114">
        <v>1962792</v>
      </c>
      <c r="F31" s="113">
        <f>_xlfn.COMPOUNDVALUE(467)</f>
        <v>8049</v>
      </c>
      <c r="G31" s="114">
        <v>29832118</v>
      </c>
      <c r="H31" s="113">
        <f>_xlfn.COMPOUNDVALUE(468)</f>
        <v>533</v>
      </c>
      <c r="I31" s="115">
        <v>2512690</v>
      </c>
      <c r="J31" s="113">
        <v>516</v>
      </c>
      <c r="K31" s="115">
        <v>58762</v>
      </c>
      <c r="L31" s="113">
        <v>8708</v>
      </c>
      <c r="M31" s="115">
        <v>27378190</v>
      </c>
      <c r="N31" s="214">
        <v>8781</v>
      </c>
      <c r="O31" s="215">
        <v>364</v>
      </c>
      <c r="P31" s="215">
        <v>37</v>
      </c>
      <c r="Q31" s="216">
        <v>9182</v>
      </c>
      <c r="R31" s="78" t="s">
        <v>86</v>
      </c>
    </row>
    <row r="32" spans="1:18" ht="25.5" customHeight="1">
      <c r="A32" s="77" t="s">
        <v>87</v>
      </c>
      <c r="B32" s="113">
        <f>_xlfn.COMPOUNDVALUE(469)</f>
        <v>2560</v>
      </c>
      <c r="C32" s="114">
        <v>38887571</v>
      </c>
      <c r="D32" s="113">
        <f>_xlfn.COMPOUNDVALUE(470)</f>
        <v>1199</v>
      </c>
      <c r="E32" s="114">
        <v>798473</v>
      </c>
      <c r="F32" s="113">
        <f>_xlfn.COMPOUNDVALUE(471)</f>
        <v>3759</v>
      </c>
      <c r="G32" s="114">
        <v>39686043</v>
      </c>
      <c r="H32" s="113">
        <f>_xlfn.COMPOUNDVALUE(472)</f>
        <v>349</v>
      </c>
      <c r="I32" s="115">
        <v>6044212</v>
      </c>
      <c r="J32" s="113">
        <v>273</v>
      </c>
      <c r="K32" s="115">
        <v>13449</v>
      </c>
      <c r="L32" s="113">
        <v>4154</v>
      </c>
      <c r="M32" s="115">
        <v>33655280</v>
      </c>
      <c r="N32" s="229">
        <v>4272</v>
      </c>
      <c r="O32" s="230">
        <v>198</v>
      </c>
      <c r="P32" s="230">
        <v>36</v>
      </c>
      <c r="Q32" s="231">
        <v>4506</v>
      </c>
      <c r="R32" s="80" t="s">
        <v>88</v>
      </c>
    </row>
    <row r="33" spans="1:18" ht="25.5" customHeight="1">
      <c r="A33" s="77" t="s">
        <v>89</v>
      </c>
      <c r="B33" s="113">
        <f>_xlfn.COMPOUNDVALUE(473)</f>
        <v>5079</v>
      </c>
      <c r="C33" s="114">
        <v>27420645</v>
      </c>
      <c r="D33" s="113">
        <f>_xlfn.COMPOUNDVALUE(474)</f>
        <v>2895</v>
      </c>
      <c r="E33" s="114">
        <v>1615220</v>
      </c>
      <c r="F33" s="113">
        <f>_xlfn.COMPOUNDVALUE(475)</f>
        <v>7974</v>
      </c>
      <c r="G33" s="114">
        <v>29035865</v>
      </c>
      <c r="H33" s="113">
        <f>_xlfn.COMPOUNDVALUE(476)</f>
        <v>357</v>
      </c>
      <c r="I33" s="115">
        <v>734925</v>
      </c>
      <c r="J33" s="113">
        <v>590</v>
      </c>
      <c r="K33" s="115">
        <v>30826</v>
      </c>
      <c r="L33" s="113">
        <v>8449</v>
      </c>
      <c r="M33" s="115">
        <v>28331766</v>
      </c>
      <c r="N33" s="229">
        <v>8710</v>
      </c>
      <c r="O33" s="230">
        <v>240</v>
      </c>
      <c r="P33" s="230">
        <v>28</v>
      </c>
      <c r="Q33" s="231">
        <v>8978</v>
      </c>
      <c r="R33" s="80" t="s">
        <v>90</v>
      </c>
    </row>
    <row r="34" spans="1:18" ht="25.5" customHeight="1">
      <c r="A34" s="77" t="s">
        <v>91</v>
      </c>
      <c r="B34" s="113">
        <f>_xlfn.COMPOUNDVALUE(477)</f>
        <v>5839</v>
      </c>
      <c r="C34" s="114">
        <v>50077407</v>
      </c>
      <c r="D34" s="113">
        <f>_xlfn.COMPOUNDVALUE(478)</f>
        <v>3099</v>
      </c>
      <c r="E34" s="114">
        <v>1712527</v>
      </c>
      <c r="F34" s="113">
        <f>_xlfn.COMPOUNDVALUE(479)</f>
        <v>8938</v>
      </c>
      <c r="G34" s="114">
        <v>51789934</v>
      </c>
      <c r="H34" s="113">
        <f>_xlfn.COMPOUNDVALUE(480)</f>
        <v>438</v>
      </c>
      <c r="I34" s="115">
        <v>3220950</v>
      </c>
      <c r="J34" s="113">
        <v>648</v>
      </c>
      <c r="K34" s="115">
        <v>238920</v>
      </c>
      <c r="L34" s="113">
        <v>9508</v>
      </c>
      <c r="M34" s="115">
        <v>48807904</v>
      </c>
      <c r="N34" s="229">
        <v>9687</v>
      </c>
      <c r="O34" s="230">
        <v>211</v>
      </c>
      <c r="P34" s="230">
        <v>47</v>
      </c>
      <c r="Q34" s="231">
        <v>9945</v>
      </c>
      <c r="R34" s="80" t="s">
        <v>92</v>
      </c>
    </row>
    <row r="35" spans="1:18" ht="25.5" customHeight="1">
      <c r="A35" s="81" t="s">
        <v>93</v>
      </c>
      <c r="B35" s="113">
        <f>_xlfn.COMPOUNDVALUE(481)</f>
        <v>3677</v>
      </c>
      <c r="C35" s="114">
        <v>62011959</v>
      </c>
      <c r="D35" s="113">
        <f>_xlfn.COMPOUNDVALUE(482)</f>
        <v>1583</v>
      </c>
      <c r="E35" s="114">
        <v>950476</v>
      </c>
      <c r="F35" s="113">
        <f>_xlfn.COMPOUNDVALUE(483)</f>
        <v>5260</v>
      </c>
      <c r="G35" s="114">
        <v>62962435</v>
      </c>
      <c r="H35" s="113">
        <f>_xlfn.COMPOUNDVALUE(484)</f>
        <v>406</v>
      </c>
      <c r="I35" s="115">
        <v>82230924</v>
      </c>
      <c r="J35" s="113">
        <v>411</v>
      </c>
      <c r="K35" s="115">
        <v>-40858</v>
      </c>
      <c r="L35" s="113">
        <v>5719</v>
      </c>
      <c r="M35" s="115">
        <v>-19309347</v>
      </c>
      <c r="N35" s="229">
        <v>5731</v>
      </c>
      <c r="O35" s="230">
        <v>209</v>
      </c>
      <c r="P35" s="230">
        <v>50</v>
      </c>
      <c r="Q35" s="231">
        <v>5990</v>
      </c>
      <c r="R35" s="82" t="s">
        <v>94</v>
      </c>
    </row>
    <row r="36" spans="1:18" ht="25.5" customHeight="1">
      <c r="A36" s="77" t="s">
        <v>95</v>
      </c>
      <c r="B36" s="113">
        <f>_xlfn.COMPOUNDVALUE(485)</f>
        <v>7317</v>
      </c>
      <c r="C36" s="114">
        <v>124239486</v>
      </c>
      <c r="D36" s="113">
        <f>_xlfn.COMPOUNDVALUE(486)</f>
        <v>2693</v>
      </c>
      <c r="E36" s="114">
        <v>1940378</v>
      </c>
      <c r="F36" s="113">
        <f>_xlfn.COMPOUNDVALUE(487)</f>
        <v>10010</v>
      </c>
      <c r="G36" s="114">
        <v>126179863</v>
      </c>
      <c r="H36" s="113">
        <f>_xlfn.COMPOUNDVALUE(488)</f>
        <v>826</v>
      </c>
      <c r="I36" s="115">
        <v>16405063</v>
      </c>
      <c r="J36" s="113">
        <v>730</v>
      </c>
      <c r="K36" s="115">
        <v>130267</v>
      </c>
      <c r="L36" s="113">
        <v>10984</v>
      </c>
      <c r="M36" s="115">
        <v>109905067</v>
      </c>
      <c r="N36" s="229">
        <v>11257</v>
      </c>
      <c r="O36" s="230">
        <v>499</v>
      </c>
      <c r="P36" s="230">
        <v>157</v>
      </c>
      <c r="Q36" s="231">
        <v>11913</v>
      </c>
      <c r="R36" s="80" t="s">
        <v>96</v>
      </c>
    </row>
    <row r="37" spans="1:18" ht="25.5" customHeight="1">
      <c r="A37" s="77" t="s">
        <v>97</v>
      </c>
      <c r="B37" s="113">
        <f>_xlfn.COMPOUNDVALUE(489)</f>
        <v>7681</v>
      </c>
      <c r="C37" s="114">
        <v>57883375</v>
      </c>
      <c r="D37" s="113">
        <f>_xlfn.COMPOUNDVALUE(490)</f>
        <v>4914</v>
      </c>
      <c r="E37" s="114">
        <v>2907548</v>
      </c>
      <c r="F37" s="113">
        <f>_xlfn.COMPOUNDVALUE(491)</f>
        <v>12595</v>
      </c>
      <c r="G37" s="114">
        <v>60790922</v>
      </c>
      <c r="H37" s="113">
        <f>_xlfn.COMPOUNDVALUE(492)</f>
        <v>727</v>
      </c>
      <c r="I37" s="115">
        <v>22776410</v>
      </c>
      <c r="J37" s="113">
        <v>782</v>
      </c>
      <c r="K37" s="115">
        <v>-75456</v>
      </c>
      <c r="L37" s="113">
        <v>13493</v>
      </c>
      <c r="M37" s="115">
        <v>37939056</v>
      </c>
      <c r="N37" s="229">
        <v>13663</v>
      </c>
      <c r="O37" s="230">
        <v>476</v>
      </c>
      <c r="P37" s="230">
        <v>58</v>
      </c>
      <c r="Q37" s="231">
        <v>14197</v>
      </c>
      <c r="R37" s="80" t="s">
        <v>98</v>
      </c>
    </row>
    <row r="38" spans="1:18" ht="25.5" customHeight="1">
      <c r="A38" s="77" t="s">
        <v>99</v>
      </c>
      <c r="B38" s="113">
        <f>_xlfn.COMPOUNDVALUE(493)</f>
        <v>7403</v>
      </c>
      <c r="C38" s="114">
        <v>59627198</v>
      </c>
      <c r="D38" s="113">
        <f>_xlfn.COMPOUNDVALUE(494)</f>
        <v>4256</v>
      </c>
      <c r="E38" s="114">
        <v>2392734</v>
      </c>
      <c r="F38" s="113">
        <f>_xlfn.COMPOUNDVALUE(495)</f>
        <v>11659</v>
      </c>
      <c r="G38" s="114">
        <v>62019932</v>
      </c>
      <c r="H38" s="113">
        <f>_xlfn.COMPOUNDVALUE(496)</f>
        <v>494</v>
      </c>
      <c r="I38" s="115">
        <v>2566079</v>
      </c>
      <c r="J38" s="113">
        <v>998</v>
      </c>
      <c r="K38" s="115">
        <v>-13433</v>
      </c>
      <c r="L38" s="113">
        <v>12364</v>
      </c>
      <c r="M38" s="115">
        <v>59440420</v>
      </c>
      <c r="N38" s="229">
        <v>12437</v>
      </c>
      <c r="O38" s="230">
        <v>288</v>
      </c>
      <c r="P38" s="230">
        <v>38</v>
      </c>
      <c r="Q38" s="231">
        <v>12763</v>
      </c>
      <c r="R38" s="80" t="s">
        <v>100</v>
      </c>
    </row>
    <row r="39" spans="1:18" ht="25.5" customHeight="1">
      <c r="A39" s="77" t="s">
        <v>101</v>
      </c>
      <c r="B39" s="113">
        <f>_xlfn.COMPOUNDVALUE(497)</f>
        <v>6149</v>
      </c>
      <c r="C39" s="114">
        <v>46027392</v>
      </c>
      <c r="D39" s="113">
        <f>_xlfn.COMPOUNDVALUE(498)</f>
        <v>3223</v>
      </c>
      <c r="E39" s="114">
        <v>1723381</v>
      </c>
      <c r="F39" s="113">
        <f>_xlfn.COMPOUNDVALUE(499)</f>
        <v>9372</v>
      </c>
      <c r="G39" s="114">
        <v>47750773</v>
      </c>
      <c r="H39" s="113">
        <f>_xlfn.COMPOUNDVALUE(500)</f>
        <v>855</v>
      </c>
      <c r="I39" s="115">
        <v>6524275</v>
      </c>
      <c r="J39" s="113">
        <v>833</v>
      </c>
      <c r="K39" s="115">
        <v>103783</v>
      </c>
      <c r="L39" s="113">
        <v>10441</v>
      </c>
      <c r="M39" s="115">
        <v>41330280</v>
      </c>
      <c r="N39" s="229">
        <v>10292</v>
      </c>
      <c r="O39" s="230">
        <v>376</v>
      </c>
      <c r="P39" s="230">
        <v>33</v>
      </c>
      <c r="Q39" s="231">
        <v>10701</v>
      </c>
      <c r="R39" s="80" t="s">
        <v>102</v>
      </c>
    </row>
    <row r="40" spans="1:18" ht="25.5" customHeight="1">
      <c r="A40" s="77" t="s">
        <v>103</v>
      </c>
      <c r="B40" s="113">
        <f>_xlfn.COMPOUNDVALUE(501)</f>
        <v>9557</v>
      </c>
      <c r="C40" s="114">
        <v>57592743</v>
      </c>
      <c r="D40" s="113">
        <f>_xlfn.COMPOUNDVALUE(502)</f>
        <v>9629</v>
      </c>
      <c r="E40" s="114">
        <v>4534339</v>
      </c>
      <c r="F40" s="113">
        <f>_xlfn.COMPOUNDVALUE(503)</f>
        <v>19186</v>
      </c>
      <c r="G40" s="114">
        <v>62127081</v>
      </c>
      <c r="H40" s="113">
        <f>_xlfn.COMPOUNDVALUE(504)</f>
        <v>777</v>
      </c>
      <c r="I40" s="115">
        <v>6500981</v>
      </c>
      <c r="J40" s="113">
        <v>1019</v>
      </c>
      <c r="K40" s="115">
        <v>33435</v>
      </c>
      <c r="L40" s="113">
        <v>20124</v>
      </c>
      <c r="M40" s="115">
        <v>55659536</v>
      </c>
      <c r="N40" s="229">
        <v>19484</v>
      </c>
      <c r="O40" s="230">
        <v>460</v>
      </c>
      <c r="P40" s="230">
        <v>49</v>
      </c>
      <c r="Q40" s="231">
        <v>19993</v>
      </c>
      <c r="R40" s="80" t="s">
        <v>104</v>
      </c>
    </row>
    <row r="41" spans="1:18" ht="25.5" customHeight="1">
      <c r="A41" s="77" t="s">
        <v>105</v>
      </c>
      <c r="B41" s="113">
        <f>_xlfn.COMPOUNDVALUE(505)</f>
        <v>5018</v>
      </c>
      <c r="C41" s="114">
        <v>29941856</v>
      </c>
      <c r="D41" s="113">
        <f>_xlfn.COMPOUNDVALUE(506)</f>
        <v>3478</v>
      </c>
      <c r="E41" s="114">
        <v>1927573</v>
      </c>
      <c r="F41" s="113">
        <f>_xlfn.COMPOUNDVALUE(507)</f>
        <v>8496</v>
      </c>
      <c r="G41" s="114">
        <v>31869429</v>
      </c>
      <c r="H41" s="113">
        <f>_xlfn.COMPOUNDVALUE(508)</f>
        <v>334</v>
      </c>
      <c r="I41" s="115">
        <v>1015626</v>
      </c>
      <c r="J41" s="113">
        <v>480</v>
      </c>
      <c r="K41" s="115">
        <v>25846</v>
      </c>
      <c r="L41" s="113">
        <v>8957</v>
      </c>
      <c r="M41" s="115">
        <v>30879650</v>
      </c>
      <c r="N41" s="229">
        <v>8982</v>
      </c>
      <c r="O41" s="230">
        <v>189</v>
      </c>
      <c r="P41" s="230">
        <v>24</v>
      </c>
      <c r="Q41" s="231">
        <v>9195</v>
      </c>
      <c r="R41" s="80" t="s">
        <v>106</v>
      </c>
    </row>
    <row r="42" spans="1:18" ht="25.5" customHeight="1">
      <c r="A42" s="77" t="s">
        <v>107</v>
      </c>
      <c r="B42" s="113">
        <f>_xlfn.COMPOUNDVALUE(509)</f>
        <v>6077</v>
      </c>
      <c r="C42" s="114">
        <v>40303135</v>
      </c>
      <c r="D42" s="113">
        <f>_xlfn.COMPOUNDVALUE(510)</f>
        <v>4302</v>
      </c>
      <c r="E42" s="114">
        <v>2250604</v>
      </c>
      <c r="F42" s="113">
        <f>_xlfn.COMPOUNDVALUE(511)</f>
        <v>10379</v>
      </c>
      <c r="G42" s="114">
        <v>42553739</v>
      </c>
      <c r="H42" s="113">
        <f>_xlfn.COMPOUNDVALUE(512)</f>
        <v>496</v>
      </c>
      <c r="I42" s="115">
        <v>1530045</v>
      </c>
      <c r="J42" s="113">
        <v>696</v>
      </c>
      <c r="K42" s="115">
        <v>114309</v>
      </c>
      <c r="L42" s="113">
        <v>11070</v>
      </c>
      <c r="M42" s="115">
        <v>41138003</v>
      </c>
      <c r="N42" s="229">
        <v>10957</v>
      </c>
      <c r="O42" s="230">
        <v>295</v>
      </c>
      <c r="P42" s="230">
        <v>41</v>
      </c>
      <c r="Q42" s="231">
        <v>11293</v>
      </c>
      <c r="R42" s="80" t="s">
        <v>108</v>
      </c>
    </row>
    <row r="43" spans="1:18" ht="25.5" customHeight="1">
      <c r="A43" s="77" t="s">
        <v>109</v>
      </c>
      <c r="B43" s="113">
        <f>_xlfn.COMPOUNDVALUE(513)</f>
        <v>2567</v>
      </c>
      <c r="C43" s="114">
        <v>14264762</v>
      </c>
      <c r="D43" s="113">
        <f>_xlfn.COMPOUNDVALUE(514)</f>
        <v>1836</v>
      </c>
      <c r="E43" s="114">
        <v>936196</v>
      </c>
      <c r="F43" s="113">
        <f>_xlfn.COMPOUNDVALUE(515)</f>
        <v>4403</v>
      </c>
      <c r="G43" s="114">
        <v>15200958</v>
      </c>
      <c r="H43" s="113">
        <f>_xlfn.COMPOUNDVALUE(516)</f>
        <v>191</v>
      </c>
      <c r="I43" s="115">
        <v>1991437</v>
      </c>
      <c r="J43" s="113">
        <v>270</v>
      </c>
      <c r="K43" s="115">
        <v>-38648</v>
      </c>
      <c r="L43" s="113">
        <v>4666</v>
      </c>
      <c r="M43" s="115">
        <v>13170873</v>
      </c>
      <c r="N43" s="229">
        <v>4666</v>
      </c>
      <c r="O43" s="230">
        <v>93</v>
      </c>
      <c r="P43" s="230">
        <v>16</v>
      </c>
      <c r="Q43" s="231">
        <v>4775</v>
      </c>
      <c r="R43" s="80" t="s">
        <v>110</v>
      </c>
    </row>
    <row r="44" spans="1:18" ht="24.75" customHeight="1">
      <c r="A44" s="79" t="s">
        <v>111</v>
      </c>
      <c r="B44" s="116">
        <f>_xlfn.COMPOUNDVALUE(517)</f>
        <v>7253</v>
      </c>
      <c r="C44" s="117">
        <v>49682956</v>
      </c>
      <c r="D44" s="116">
        <f>_xlfn.COMPOUNDVALUE(518)</f>
        <v>5025</v>
      </c>
      <c r="E44" s="117">
        <v>2652514</v>
      </c>
      <c r="F44" s="116">
        <f>_xlfn.COMPOUNDVALUE(519)</f>
        <v>12278</v>
      </c>
      <c r="G44" s="117">
        <v>52335470</v>
      </c>
      <c r="H44" s="116">
        <f>_xlfn.COMPOUNDVALUE(520)</f>
        <v>482</v>
      </c>
      <c r="I44" s="118">
        <v>4087454</v>
      </c>
      <c r="J44" s="116">
        <v>735</v>
      </c>
      <c r="K44" s="118">
        <v>14709</v>
      </c>
      <c r="L44" s="116">
        <v>12911</v>
      </c>
      <c r="M44" s="118">
        <v>48262725</v>
      </c>
      <c r="N44" s="229">
        <v>12592</v>
      </c>
      <c r="O44" s="230">
        <v>410</v>
      </c>
      <c r="P44" s="230">
        <v>39</v>
      </c>
      <c r="Q44" s="231">
        <v>13041</v>
      </c>
      <c r="R44" s="80" t="s">
        <v>112</v>
      </c>
    </row>
    <row r="45" spans="1:18" ht="25.5" customHeight="1">
      <c r="A45" s="79" t="s">
        <v>113</v>
      </c>
      <c r="B45" s="116">
        <f>_xlfn.COMPOUNDVALUE(521)</f>
        <v>4687</v>
      </c>
      <c r="C45" s="117">
        <v>26451750</v>
      </c>
      <c r="D45" s="116">
        <f>_xlfn.COMPOUNDVALUE(522)</f>
        <v>3107</v>
      </c>
      <c r="E45" s="117">
        <v>1586824</v>
      </c>
      <c r="F45" s="116">
        <f>_xlfn.COMPOUNDVALUE(523)</f>
        <v>7794</v>
      </c>
      <c r="G45" s="117">
        <v>28038574</v>
      </c>
      <c r="H45" s="116">
        <f>_xlfn.COMPOUNDVALUE(524)</f>
        <v>542</v>
      </c>
      <c r="I45" s="118">
        <v>4546341</v>
      </c>
      <c r="J45" s="116">
        <v>567</v>
      </c>
      <c r="K45" s="118">
        <v>76618</v>
      </c>
      <c r="L45" s="116">
        <v>8498</v>
      </c>
      <c r="M45" s="118">
        <v>23568851</v>
      </c>
      <c r="N45" s="229">
        <v>8364</v>
      </c>
      <c r="O45" s="230">
        <v>254</v>
      </c>
      <c r="P45" s="230">
        <v>20</v>
      </c>
      <c r="Q45" s="231">
        <v>8638</v>
      </c>
      <c r="R45" s="80" t="s">
        <v>114</v>
      </c>
    </row>
    <row r="46" spans="1:18" ht="25.5" customHeight="1">
      <c r="A46" s="79" t="s">
        <v>115</v>
      </c>
      <c r="B46" s="116">
        <f>_xlfn.COMPOUNDVALUE(525)</f>
        <v>6444</v>
      </c>
      <c r="C46" s="117">
        <v>77397258</v>
      </c>
      <c r="D46" s="116">
        <f>_xlfn.COMPOUNDVALUE(526)</f>
        <v>4072</v>
      </c>
      <c r="E46" s="117">
        <v>2233595</v>
      </c>
      <c r="F46" s="116">
        <f>_xlfn.COMPOUNDVALUE(527)</f>
        <v>10516</v>
      </c>
      <c r="G46" s="117">
        <v>79630853</v>
      </c>
      <c r="H46" s="116">
        <f>_xlfn.COMPOUNDVALUE(528)</f>
        <v>428</v>
      </c>
      <c r="I46" s="118">
        <v>77508308</v>
      </c>
      <c r="J46" s="116">
        <v>705</v>
      </c>
      <c r="K46" s="118">
        <v>223487</v>
      </c>
      <c r="L46" s="116">
        <v>11072</v>
      </c>
      <c r="M46" s="118">
        <v>2346033</v>
      </c>
      <c r="N46" s="229">
        <v>10869</v>
      </c>
      <c r="O46" s="230">
        <v>279</v>
      </c>
      <c r="P46" s="230">
        <v>56</v>
      </c>
      <c r="Q46" s="231">
        <v>11204</v>
      </c>
      <c r="R46" s="80" t="s">
        <v>116</v>
      </c>
    </row>
    <row r="47" spans="1:18" ht="25.5" customHeight="1">
      <c r="A47" s="79" t="s">
        <v>117</v>
      </c>
      <c r="B47" s="116">
        <f>_xlfn.COMPOUNDVALUE(529)</f>
        <v>5027</v>
      </c>
      <c r="C47" s="117">
        <v>49583049</v>
      </c>
      <c r="D47" s="116">
        <f>_xlfn.COMPOUNDVALUE(530)</f>
        <v>3185</v>
      </c>
      <c r="E47" s="117">
        <v>1791055</v>
      </c>
      <c r="F47" s="116">
        <f>_xlfn.COMPOUNDVALUE(531)</f>
        <v>8212</v>
      </c>
      <c r="G47" s="117">
        <v>51374104</v>
      </c>
      <c r="H47" s="116">
        <f>_xlfn.COMPOUNDVALUE(532)</f>
        <v>351</v>
      </c>
      <c r="I47" s="118">
        <v>369138450</v>
      </c>
      <c r="J47" s="116">
        <v>498</v>
      </c>
      <c r="K47" s="118">
        <v>56871</v>
      </c>
      <c r="L47" s="116">
        <v>8629</v>
      </c>
      <c r="M47" s="118">
        <v>-317707475</v>
      </c>
      <c r="N47" s="229">
        <v>8429</v>
      </c>
      <c r="O47" s="230">
        <v>247</v>
      </c>
      <c r="P47" s="230">
        <v>44</v>
      </c>
      <c r="Q47" s="231">
        <v>8720</v>
      </c>
      <c r="R47" s="80" t="s">
        <v>118</v>
      </c>
    </row>
    <row r="48" spans="1:18" ht="25.5" customHeight="1">
      <c r="A48" s="79" t="s">
        <v>119</v>
      </c>
      <c r="B48" s="116">
        <f>_xlfn.COMPOUNDVALUE(533)</f>
        <v>2393</v>
      </c>
      <c r="C48" s="117">
        <v>14350255</v>
      </c>
      <c r="D48" s="116">
        <f>_xlfn.COMPOUNDVALUE(534)</f>
        <v>1829</v>
      </c>
      <c r="E48" s="117">
        <v>956364</v>
      </c>
      <c r="F48" s="116">
        <f>_xlfn.COMPOUNDVALUE(535)</f>
        <v>4222</v>
      </c>
      <c r="G48" s="117">
        <v>15306619</v>
      </c>
      <c r="H48" s="116">
        <f>_xlfn.COMPOUNDVALUE(536)</f>
        <v>158</v>
      </c>
      <c r="I48" s="118">
        <v>1008597</v>
      </c>
      <c r="J48" s="116">
        <v>205</v>
      </c>
      <c r="K48" s="118">
        <v>93764</v>
      </c>
      <c r="L48" s="116">
        <v>4427</v>
      </c>
      <c r="M48" s="118">
        <v>14391786</v>
      </c>
      <c r="N48" s="229">
        <v>4422</v>
      </c>
      <c r="O48" s="230">
        <v>83</v>
      </c>
      <c r="P48" s="230">
        <v>15</v>
      </c>
      <c r="Q48" s="231">
        <v>4520</v>
      </c>
      <c r="R48" s="80" t="s">
        <v>120</v>
      </c>
    </row>
    <row r="49" spans="1:18" ht="25.5" customHeight="1">
      <c r="A49" s="79" t="s">
        <v>121</v>
      </c>
      <c r="B49" s="116">
        <f>_xlfn.COMPOUNDVALUE(537)</f>
        <v>8801</v>
      </c>
      <c r="C49" s="117">
        <v>59915340</v>
      </c>
      <c r="D49" s="116">
        <f>_xlfn.COMPOUNDVALUE(538)</f>
        <v>5522</v>
      </c>
      <c r="E49" s="117">
        <v>3111013</v>
      </c>
      <c r="F49" s="116">
        <f>_xlfn.COMPOUNDVALUE(539)</f>
        <v>14323</v>
      </c>
      <c r="G49" s="117">
        <v>63026353</v>
      </c>
      <c r="H49" s="116">
        <f>_xlfn.COMPOUNDVALUE(540)</f>
        <v>648</v>
      </c>
      <c r="I49" s="118">
        <v>18169769</v>
      </c>
      <c r="J49" s="116">
        <v>1021</v>
      </c>
      <c r="K49" s="118">
        <v>158577</v>
      </c>
      <c r="L49" s="116">
        <v>15280</v>
      </c>
      <c r="M49" s="118">
        <v>45015160</v>
      </c>
      <c r="N49" s="229">
        <v>15175</v>
      </c>
      <c r="O49" s="230">
        <v>398</v>
      </c>
      <c r="P49" s="230">
        <v>49</v>
      </c>
      <c r="Q49" s="231">
        <v>15622</v>
      </c>
      <c r="R49" s="80" t="s">
        <v>122</v>
      </c>
    </row>
    <row r="50" spans="1:18" ht="25.5" customHeight="1">
      <c r="A50" s="170" t="s">
        <v>123</v>
      </c>
      <c r="B50" s="171">
        <f>_xlfn.COMPOUNDVALUE(541)</f>
        <v>651</v>
      </c>
      <c r="C50" s="172">
        <v>2696169</v>
      </c>
      <c r="D50" s="171">
        <f>_xlfn.COMPOUNDVALUE(542)</f>
        <v>564</v>
      </c>
      <c r="E50" s="172">
        <v>260952</v>
      </c>
      <c r="F50" s="171">
        <f>_xlfn.COMPOUNDVALUE(543)</f>
        <v>1215</v>
      </c>
      <c r="G50" s="172">
        <v>2957121</v>
      </c>
      <c r="H50" s="171">
        <f>_xlfn.COMPOUNDVALUE(544)</f>
        <v>41</v>
      </c>
      <c r="I50" s="173">
        <v>54046</v>
      </c>
      <c r="J50" s="171">
        <v>79</v>
      </c>
      <c r="K50" s="173">
        <v>2998</v>
      </c>
      <c r="L50" s="171">
        <v>1264</v>
      </c>
      <c r="M50" s="173">
        <v>2906074</v>
      </c>
      <c r="N50" s="226">
        <v>1247</v>
      </c>
      <c r="O50" s="227">
        <v>33</v>
      </c>
      <c r="P50" s="227">
        <v>1</v>
      </c>
      <c r="Q50" s="228">
        <v>1281</v>
      </c>
      <c r="R50" s="174" t="s">
        <v>124</v>
      </c>
    </row>
    <row r="51" spans="1:18" ht="25.5" customHeight="1">
      <c r="A51" s="175" t="s">
        <v>125</v>
      </c>
      <c r="B51" s="176">
        <v>109058</v>
      </c>
      <c r="C51" s="177">
        <v>916223630</v>
      </c>
      <c r="D51" s="176">
        <v>69582</v>
      </c>
      <c r="E51" s="177">
        <v>38244555</v>
      </c>
      <c r="F51" s="176">
        <v>178640</v>
      </c>
      <c r="G51" s="177">
        <v>954468185</v>
      </c>
      <c r="H51" s="176">
        <v>9433</v>
      </c>
      <c r="I51" s="178">
        <v>628566580</v>
      </c>
      <c r="J51" s="176">
        <v>12056</v>
      </c>
      <c r="K51" s="178">
        <v>1208227</v>
      </c>
      <c r="L51" s="176">
        <v>190718</v>
      </c>
      <c r="M51" s="178">
        <v>327109832</v>
      </c>
      <c r="N51" s="220">
        <v>190017</v>
      </c>
      <c r="O51" s="221">
        <v>5602</v>
      </c>
      <c r="P51" s="221">
        <v>838</v>
      </c>
      <c r="Q51" s="222">
        <v>196457</v>
      </c>
      <c r="R51" s="179" t="s">
        <v>126</v>
      </c>
    </row>
    <row r="52" spans="1:18" ht="25.5" customHeight="1">
      <c r="A52" s="180"/>
      <c r="B52" s="181"/>
      <c r="C52" s="182"/>
      <c r="D52" s="181"/>
      <c r="E52" s="182"/>
      <c r="F52" s="183"/>
      <c r="G52" s="182"/>
      <c r="H52" s="183"/>
      <c r="I52" s="182"/>
      <c r="J52" s="183"/>
      <c r="K52" s="182"/>
      <c r="L52" s="183"/>
      <c r="M52" s="182"/>
      <c r="N52" s="223"/>
      <c r="O52" s="224"/>
      <c r="P52" s="224"/>
      <c r="Q52" s="225"/>
      <c r="R52" s="184" t="s">
        <v>40</v>
      </c>
    </row>
    <row r="53" spans="1:18" ht="25.5" customHeight="1">
      <c r="A53" s="77" t="s">
        <v>127</v>
      </c>
      <c r="B53" s="113">
        <f>_xlfn.COMPOUNDVALUE(545)</f>
        <v>3297</v>
      </c>
      <c r="C53" s="114">
        <v>19642905</v>
      </c>
      <c r="D53" s="113">
        <f>_xlfn.COMPOUNDVALUE(546)</f>
        <v>2191</v>
      </c>
      <c r="E53" s="114">
        <v>1205827</v>
      </c>
      <c r="F53" s="113">
        <f>_xlfn.COMPOUNDVALUE(547)</f>
        <v>5488</v>
      </c>
      <c r="G53" s="114">
        <v>20848732</v>
      </c>
      <c r="H53" s="113">
        <f>_xlfn.COMPOUNDVALUE(548)</f>
        <v>248</v>
      </c>
      <c r="I53" s="115">
        <v>3163931</v>
      </c>
      <c r="J53" s="113">
        <v>408</v>
      </c>
      <c r="K53" s="115">
        <v>128991</v>
      </c>
      <c r="L53" s="113">
        <v>5827</v>
      </c>
      <c r="M53" s="115">
        <v>17813792</v>
      </c>
      <c r="N53" s="214">
        <v>5960</v>
      </c>
      <c r="O53" s="215">
        <v>168</v>
      </c>
      <c r="P53" s="215">
        <v>20</v>
      </c>
      <c r="Q53" s="216">
        <v>6148</v>
      </c>
      <c r="R53" s="78" t="s">
        <v>128</v>
      </c>
    </row>
    <row r="54" spans="1:18" ht="25.5" customHeight="1">
      <c r="A54" s="79" t="s">
        <v>129</v>
      </c>
      <c r="B54" s="116">
        <f>_xlfn.COMPOUNDVALUE(549)</f>
        <v>5464</v>
      </c>
      <c r="C54" s="117">
        <v>48692152</v>
      </c>
      <c r="D54" s="116">
        <f>_xlfn.COMPOUNDVALUE(550)</f>
        <v>3357</v>
      </c>
      <c r="E54" s="117">
        <v>1830177</v>
      </c>
      <c r="F54" s="116">
        <f>_xlfn.COMPOUNDVALUE(551)</f>
        <v>8821</v>
      </c>
      <c r="G54" s="117">
        <v>50522329</v>
      </c>
      <c r="H54" s="116">
        <f>_xlfn.COMPOUNDVALUE(552)</f>
        <v>391</v>
      </c>
      <c r="I54" s="118">
        <v>9746354</v>
      </c>
      <c r="J54" s="116">
        <v>623</v>
      </c>
      <c r="K54" s="118">
        <v>139607</v>
      </c>
      <c r="L54" s="116">
        <v>9347</v>
      </c>
      <c r="M54" s="118">
        <v>40915582</v>
      </c>
      <c r="N54" s="229">
        <v>9135</v>
      </c>
      <c r="O54" s="230">
        <v>246</v>
      </c>
      <c r="P54" s="230">
        <v>23</v>
      </c>
      <c r="Q54" s="231">
        <v>9404</v>
      </c>
      <c r="R54" s="80" t="s">
        <v>130</v>
      </c>
    </row>
    <row r="55" spans="1:18" ht="25.5" customHeight="1">
      <c r="A55" s="79" t="s">
        <v>131</v>
      </c>
      <c r="B55" s="116">
        <f>_xlfn.COMPOUNDVALUE(553)</f>
        <v>3540</v>
      </c>
      <c r="C55" s="117">
        <v>13386369</v>
      </c>
      <c r="D55" s="116">
        <f>_xlfn.COMPOUNDVALUE(554)</f>
        <v>2497</v>
      </c>
      <c r="E55" s="117">
        <v>1134946</v>
      </c>
      <c r="F55" s="116">
        <f>_xlfn.COMPOUNDVALUE(555)</f>
        <v>6037</v>
      </c>
      <c r="G55" s="117">
        <v>14521315</v>
      </c>
      <c r="H55" s="116">
        <f>_xlfn.COMPOUNDVALUE(556)</f>
        <v>272</v>
      </c>
      <c r="I55" s="118">
        <v>1729466</v>
      </c>
      <c r="J55" s="116">
        <v>360</v>
      </c>
      <c r="K55" s="118">
        <v>46230</v>
      </c>
      <c r="L55" s="116">
        <v>6392</v>
      </c>
      <c r="M55" s="118">
        <v>12838078</v>
      </c>
      <c r="N55" s="229">
        <v>6093</v>
      </c>
      <c r="O55" s="230">
        <v>174</v>
      </c>
      <c r="P55" s="230">
        <v>18</v>
      </c>
      <c r="Q55" s="231">
        <v>6285</v>
      </c>
      <c r="R55" s="80" t="s">
        <v>132</v>
      </c>
    </row>
    <row r="56" spans="1:18" ht="25.5" customHeight="1">
      <c r="A56" s="79" t="s">
        <v>133</v>
      </c>
      <c r="B56" s="116">
        <f>_xlfn.COMPOUNDVALUE(557)</f>
        <v>2782</v>
      </c>
      <c r="C56" s="117">
        <v>13973551</v>
      </c>
      <c r="D56" s="116">
        <f>_xlfn.COMPOUNDVALUE(558)</f>
        <v>1721</v>
      </c>
      <c r="E56" s="117">
        <v>870945</v>
      </c>
      <c r="F56" s="116">
        <f>_xlfn.COMPOUNDVALUE(559)</f>
        <v>4503</v>
      </c>
      <c r="G56" s="117">
        <v>14844496</v>
      </c>
      <c r="H56" s="116">
        <f>_xlfn.COMPOUNDVALUE(560)</f>
        <v>230</v>
      </c>
      <c r="I56" s="118">
        <v>7414967</v>
      </c>
      <c r="J56" s="116">
        <v>314</v>
      </c>
      <c r="K56" s="118">
        <v>-73373</v>
      </c>
      <c r="L56" s="116">
        <v>4835</v>
      </c>
      <c r="M56" s="118">
        <v>7356157</v>
      </c>
      <c r="N56" s="229">
        <v>4687</v>
      </c>
      <c r="O56" s="230">
        <v>131</v>
      </c>
      <c r="P56" s="230">
        <v>13</v>
      </c>
      <c r="Q56" s="231">
        <v>4831</v>
      </c>
      <c r="R56" s="80" t="s">
        <v>134</v>
      </c>
    </row>
    <row r="57" spans="1:18" ht="25.5" customHeight="1">
      <c r="A57" s="79" t="s">
        <v>135</v>
      </c>
      <c r="B57" s="116">
        <f>_xlfn.COMPOUNDVALUE(561)</f>
        <v>2669</v>
      </c>
      <c r="C57" s="117">
        <v>16717364</v>
      </c>
      <c r="D57" s="116">
        <f>_xlfn.COMPOUNDVALUE(562)</f>
        <v>1793</v>
      </c>
      <c r="E57" s="117">
        <v>929200</v>
      </c>
      <c r="F57" s="116">
        <f>_xlfn.COMPOUNDVALUE(563)</f>
        <v>4462</v>
      </c>
      <c r="G57" s="117">
        <v>17646563</v>
      </c>
      <c r="H57" s="116">
        <f>_xlfn.COMPOUNDVALUE(564)</f>
        <v>233</v>
      </c>
      <c r="I57" s="118">
        <v>501144</v>
      </c>
      <c r="J57" s="116">
        <v>189</v>
      </c>
      <c r="K57" s="118">
        <v>42402</v>
      </c>
      <c r="L57" s="116">
        <v>4724</v>
      </c>
      <c r="M57" s="118">
        <v>17187821</v>
      </c>
      <c r="N57" s="229">
        <v>4666</v>
      </c>
      <c r="O57" s="230">
        <v>134</v>
      </c>
      <c r="P57" s="230">
        <v>13</v>
      </c>
      <c r="Q57" s="231">
        <v>4813</v>
      </c>
      <c r="R57" s="80" t="s">
        <v>136</v>
      </c>
    </row>
    <row r="58" spans="1:18" ht="25.5" customHeight="1">
      <c r="A58" s="79" t="s">
        <v>137</v>
      </c>
      <c r="B58" s="116">
        <f>_xlfn.COMPOUNDVALUE(565)</f>
        <v>1851</v>
      </c>
      <c r="C58" s="117">
        <v>9377803</v>
      </c>
      <c r="D58" s="116">
        <f>_xlfn.COMPOUNDVALUE(566)</f>
        <v>1057</v>
      </c>
      <c r="E58" s="117">
        <v>539472</v>
      </c>
      <c r="F58" s="116">
        <f>_xlfn.COMPOUNDVALUE(567)</f>
        <v>2908</v>
      </c>
      <c r="G58" s="117">
        <v>9917275</v>
      </c>
      <c r="H58" s="116">
        <f>_xlfn.COMPOUNDVALUE(568)</f>
        <v>147</v>
      </c>
      <c r="I58" s="118">
        <v>438988</v>
      </c>
      <c r="J58" s="116">
        <v>188</v>
      </c>
      <c r="K58" s="118">
        <v>48584</v>
      </c>
      <c r="L58" s="116">
        <v>3089</v>
      </c>
      <c r="M58" s="118">
        <v>9526870</v>
      </c>
      <c r="N58" s="229">
        <v>3145</v>
      </c>
      <c r="O58" s="230">
        <v>103</v>
      </c>
      <c r="P58" s="230">
        <v>8</v>
      </c>
      <c r="Q58" s="231">
        <v>3256</v>
      </c>
      <c r="R58" s="80" t="s">
        <v>138</v>
      </c>
    </row>
    <row r="59" spans="1:18" ht="25.5" customHeight="1">
      <c r="A59" s="79" t="s">
        <v>139</v>
      </c>
      <c r="B59" s="116">
        <f>_xlfn.COMPOUNDVALUE(569)</f>
        <v>2944</v>
      </c>
      <c r="C59" s="117">
        <v>15351320</v>
      </c>
      <c r="D59" s="116">
        <f>_xlfn.COMPOUNDVALUE(570)</f>
        <v>1951</v>
      </c>
      <c r="E59" s="117">
        <v>1042334</v>
      </c>
      <c r="F59" s="116">
        <f>_xlfn.COMPOUNDVALUE(571)</f>
        <v>4895</v>
      </c>
      <c r="G59" s="117">
        <v>16393654</v>
      </c>
      <c r="H59" s="116">
        <f>_xlfn.COMPOUNDVALUE(572)</f>
        <v>224</v>
      </c>
      <c r="I59" s="118">
        <v>586043</v>
      </c>
      <c r="J59" s="116">
        <v>309</v>
      </c>
      <c r="K59" s="118">
        <v>54204</v>
      </c>
      <c r="L59" s="116">
        <v>5194</v>
      </c>
      <c r="M59" s="118">
        <v>15861815</v>
      </c>
      <c r="N59" s="229">
        <v>5228</v>
      </c>
      <c r="O59" s="230">
        <v>161</v>
      </c>
      <c r="P59" s="230">
        <v>24</v>
      </c>
      <c r="Q59" s="231">
        <v>5413</v>
      </c>
      <c r="R59" s="80" t="s">
        <v>140</v>
      </c>
    </row>
    <row r="60" spans="1:18" ht="25.5" customHeight="1">
      <c r="A60" s="170" t="s">
        <v>141</v>
      </c>
      <c r="B60" s="171">
        <f>_xlfn.COMPOUNDVALUE(573)</f>
        <v>964</v>
      </c>
      <c r="C60" s="172">
        <v>3303380</v>
      </c>
      <c r="D60" s="171">
        <f>_xlfn.COMPOUNDVALUE(574)</f>
        <v>760</v>
      </c>
      <c r="E60" s="172">
        <v>336782</v>
      </c>
      <c r="F60" s="171">
        <f>_xlfn.COMPOUNDVALUE(575)</f>
        <v>1724</v>
      </c>
      <c r="G60" s="172">
        <v>3640162</v>
      </c>
      <c r="H60" s="171">
        <f>_xlfn.COMPOUNDVALUE(576)</f>
        <v>65</v>
      </c>
      <c r="I60" s="173">
        <v>135153</v>
      </c>
      <c r="J60" s="171">
        <v>128</v>
      </c>
      <c r="K60" s="173">
        <v>15900</v>
      </c>
      <c r="L60" s="171">
        <v>1803</v>
      </c>
      <c r="M60" s="173">
        <v>3520909</v>
      </c>
      <c r="N60" s="226">
        <v>1822</v>
      </c>
      <c r="O60" s="227">
        <v>35</v>
      </c>
      <c r="P60" s="227">
        <v>0</v>
      </c>
      <c r="Q60" s="228">
        <v>1857</v>
      </c>
      <c r="R60" s="174" t="s">
        <v>142</v>
      </c>
    </row>
    <row r="61" spans="1:18" ht="25.5" customHeight="1">
      <c r="A61" s="175" t="s">
        <v>143</v>
      </c>
      <c r="B61" s="176">
        <v>23511</v>
      </c>
      <c r="C61" s="177">
        <v>140444844</v>
      </c>
      <c r="D61" s="176">
        <v>15327</v>
      </c>
      <c r="E61" s="177">
        <v>7889683</v>
      </c>
      <c r="F61" s="176">
        <v>38838</v>
      </c>
      <c r="G61" s="177">
        <v>148334526</v>
      </c>
      <c r="H61" s="176">
        <v>1810</v>
      </c>
      <c r="I61" s="178">
        <v>23716046</v>
      </c>
      <c r="J61" s="176">
        <v>2519</v>
      </c>
      <c r="K61" s="178">
        <v>402545</v>
      </c>
      <c r="L61" s="176">
        <v>41211</v>
      </c>
      <c r="M61" s="178">
        <v>125021025</v>
      </c>
      <c r="N61" s="220">
        <v>40736</v>
      </c>
      <c r="O61" s="221">
        <v>1152</v>
      </c>
      <c r="P61" s="221">
        <v>119</v>
      </c>
      <c r="Q61" s="222">
        <v>42007</v>
      </c>
      <c r="R61" s="179" t="s">
        <v>144</v>
      </c>
    </row>
    <row r="62" spans="1:18" ht="25.5" customHeight="1" thickBot="1">
      <c r="A62" s="83"/>
      <c r="B62" s="185"/>
      <c r="C62" s="186"/>
      <c r="D62" s="185"/>
      <c r="E62" s="186"/>
      <c r="F62" s="187"/>
      <c r="G62" s="186"/>
      <c r="H62" s="187"/>
      <c r="I62" s="186"/>
      <c r="J62" s="187"/>
      <c r="K62" s="186"/>
      <c r="L62" s="187"/>
      <c r="M62" s="186"/>
      <c r="N62" s="232"/>
      <c r="O62" s="233"/>
      <c r="P62" s="233"/>
      <c r="Q62" s="234"/>
      <c r="R62" s="188" t="s">
        <v>40</v>
      </c>
    </row>
    <row r="63" spans="1:18" ht="25.5" customHeight="1" thickBot="1" thickTop="1">
      <c r="A63" s="84" t="s">
        <v>39</v>
      </c>
      <c r="B63" s="119">
        <v>211009</v>
      </c>
      <c r="C63" s="120">
        <v>1538807820</v>
      </c>
      <c r="D63" s="119">
        <v>145230</v>
      </c>
      <c r="E63" s="120">
        <v>77154892</v>
      </c>
      <c r="F63" s="119">
        <v>356239</v>
      </c>
      <c r="G63" s="120">
        <v>1615962712</v>
      </c>
      <c r="H63" s="119">
        <v>17207</v>
      </c>
      <c r="I63" s="121">
        <v>738332057</v>
      </c>
      <c r="J63" s="119">
        <v>23589</v>
      </c>
      <c r="K63" s="121">
        <v>3026329</v>
      </c>
      <c r="L63" s="119">
        <v>378366</v>
      </c>
      <c r="M63" s="121">
        <v>880656985</v>
      </c>
      <c r="N63" s="235">
        <v>377433</v>
      </c>
      <c r="O63" s="236">
        <v>10729</v>
      </c>
      <c r="P63" s="236">
        <v>1314</v>
      </c>
      <c r="Q63" s="237">
        <v>389476</v>
      </c>
      <c r="R63" s="85" t="s">
        <v>39</v>
      </c>
    </row>
    <row r="64" spans="1:9" ht="25.5" customHeight="1">
      <c r="A64" s="86" t="s">
        <v>218</v>
      </c>
      <c r="B64" s="86"/>
      <c r="C64" s="86"/>
      <c r="D64" s="86"/>
      <c r="E64" s="86"/>
      <c r="F64" s="86"/>
      <c r="G64" s="86"/>
      <c r="H64" s="86"/>
      <c r="I64" s="86"/>
    </row>
  </sheetData>
  <sheetProtection/>
  <mergeCells count="15">
    <mergeCell ref="N3:Q3"/>
    <mergeCell ref="R3:R5"/>
    <mergeCell ref="B4:C4"/>
    <mergeCell ref="D4:E4"/>
    <mergeCell ref="F4:G4"/>
    <mergeCell ref="N4:N5"/>
    <mergeCell ref="O4:O5"/>
    <mergeCell ref="P4:P5"/>
    <mergeCell ref="Q4:Q5"/>
    <mergeCell ref="A2:I2"/>
    <mergeCell ref="A3:A5"/>
    <mergeCell ref="B3:G3"/>
    <mergeCell ref="H3:I4"/>
    <mergeCell ref="J3:K4"/>
    <mergeCell ref="L3:M4"/>
  </mergeCells>
  <printOptions horizontalCentered="1"/>
  <pageMargins left="0.11811023622047245" right="0.11811023622047245" top="0.7480314960629921" bottom="0.7480314960629921" header="0.31496062992125984" footer="0.31496062992125984"/>
  <pageSetup horizontalDpi="600" verticalDpi="600" orientation="portrait" paperSize="9" scale="48" r:id="rId1"/>
  <headerFooter alignWithMargins="0">
    <oddFooter>&amp;R&amp;K01+000名古屋国税局 消費税（R01）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国税庁</cp:lastModifiedBy>
  <cp:lastPrinted>2020-01-21T02:57:21Z</cp:lastPrinted>
  <dcterms:created xsi:type="dcterms:W3CDTF">2003-07-09T01:05:10Z</dcterms:created>
  <dcterms:modified xsi:type="dcterms:W3CDTF">2021-04-12T06:43:57Z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