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767" activeTab="0"/>
  </bookViews>
  <sheets>
    <sheet name="(1)　課税状況" sheetId="1" r:id="rId1"/>
    <sheet name="(2)　課税状況の累年比較" sheetId="2" r:id="rId2"/>
    <sheet name="(3)　課税事業者等届出件数" sheetId="3" r:id="rId3"/>
    <sheet name="(4)　税務署別（個人事業者）" sheetId="4" r:id="rId4"/>
    <sheet name="(4)　税務署別（法人）" sheetId="5" r:id="rId5"/>
    <sheet name="(4)　税務署別（合計）" sheetId="6" r:id="rId6"/>
  </sheets>
  <definedNames>
    <definedName name="_xlfn.COMPOUNDVALUE" hidden="1">#NAME?</definedName>
  </definedNames>
  <calcPr fullCalcOnLoad="1"/>
</workbook>
</file>

<file path=xl/sharedStrings.xml><?xml version="1.0" encoding="utf-8"?>
<sst xmlns="http://schemas.openxmlformats.org/spreadsheetml/2006/main" count="520" uniqueCount="237">
  <si>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</si>
  <si>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</si>
  <si>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</si>
  <si>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</si>
  <si>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</si>
  <si>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</si>
  <si>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</si>
  <si>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</si>
  <si>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</si>
  <si>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</si>
  <si>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</si>
  <si>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</si>
  <si>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</si>
  <si>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</si>
  <si>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</si>
  <si>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</si>
  <si>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</si>
  <si>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</si>
  <si>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</si>
  <si>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</si>
  <si>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</si>
  <si>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</si>
  <si>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</si>
  <si>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</si>
  <si>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法　　　　　　　人</t>
  </si>
  <si>
    <t>合　　　　　　　計</t>
  </si>
  <si>
    <t>件　　数</t>
  </si>
  <si>
    <t>税　　額</t>
  </si>
  <si>
    <t>(3)　課税事業者等届出件数</t>
  </si>
  <si>
    <t>(1)　課税状況</t>
  </si>
  <si>
    <t>千円</t>
  </si>
  <si>
    <t>件</t>
  </si>
  <si>
    <t>現年分</t>
  </si>
  <si>
    <t>既往年分</t>
  </si>
  <si>
    <t>(2)　課税状況の累年比較</t>
  </si>
  <si>
    <t>合計</t>
  </si>
  <si>
    <t>　イ　個人事業者</t>
  </si>
  <si>
    <t>既往年分の
申告及び処理</t>
  </si>
  <si>
    <t>合　　　　　　計</t>
  </si>
  <si>
    <t>税務署名</t>
  </si>
  <si>
    <t>簡易申告及び処理</t>
  </si>
  <si>
    <t>小　　　　　　計</t>
  </si>
  <si>
    <t>総　計</t>
  </si>
  <si>
    <t>総　計</t>
  </si>
  <si>
    <t/>
  </si>
  <si>
    <t>岐阜北</t>
  </si>
  <si>
    <t>岐阜北</t>
  </si>
  <si>
    <t>岐阜南</t>
  </si>
  <si>
    <t>岐阜南</t>
  </si>
  <si>
    <t>大垣</t>
  </si>
  <si>
    <t>大垣</t>
  </si>
  <si>
    <t>高山</t>
  </si>
  <si>
    <t>高山</t>
  </si>
  <si>
    <t>多治見</t>
  </si>
  <si>
    <t>多治見</t>
  </si>
  <si>
    <t>関</t>
  </si>
  <si>
    <t>関</t>
  </si>
  <si>
    <t>中津川</t>
  </si>
  <si>
    <t>中津川</t>
  </si>
  <si>
    <t>岐阜県計</t>
  </si>
  <si>
    <t>岐阜県計</t>
  </si>
  <si>
    <t>静岡</t>
  </si>
  <si>
    <t>静岡</t>
  </si>
  <si>
    <t>清水</t>
  </si>
  <si>
    <t>清水</t>
  </si>
  <si>
    <t>浜松西</t>
  </si>
  <si>
    <t>浜松西</t>
  </si>
  <si>
    <t>浜松東</t>
  </si>
  <si>
    <t>浜松東</t>
  </si>
  <si>
    <t>沼津</t>
  </si>
  <si>
    <t>沼津</t>
  </si>
  <si>
    <t>熱海</t>
  </si>
  <si>
    <t>熱海</t>
  </si>
  <si>
    <t>三島</t>
  </si>
  <si>
    <t>三島</t>
  </si>
  <si>
    <t>島田</t>
  </si>
  <si>
    <t>島田</t>
  </si>
  <si>
    <t>富士</t>
  </si>
  <si>
    <t>富士</t>
  </si>
  <si>
    <t>磐田</t>
  </si>
  <si>
    <t>磐田</t>
  </si>
  <si>
    <t>掛川</t>
  </si>
  <si>
    <t>掛川</t>
  </si>
  <si>
    <t>藤枝</t>
  </si>
  <si>
    <t>藤枝</t>
  </si>
  <si>
    <t>下田</t>
  </si>
  <si>
    <t>下田</t>
  </si>
  <si>
    <t>静岡県計</t>
  </si>
  <si>
    <t>静岡県計</t>
  </si>
  <si>
    <t>千種</t>
  </si>
  <si>
    <t>千種</t>
  </si>
  <si>
    <t>名古屋東</t>
  </si>
  <si>
    <t>名古屋東</t>
  </si>
  <si>
    <t>名古屋北</t>
  </si>
  <si>
    <t>名古屋北</t>
  </si>
  <si>
    <t>名古屋西</t>
  </si>
  <si>
    <t>名古屋西</t>
  </si>
  <si>
    <t>名古屋中村</t>
  </si>
  <si>
    <t>名古屋中村</t>
  </si>
  <si>
    <t>名古屋中</t>
  </si>
  <si>
    <t>名古屋中</t>
  </si>
  <si>
    <t>昭和</t>
  </si>
  <si>
    <t>昭和</t>
  </si>
  <si>
    <t>熱田</t>
  </si>
  <si>
    <t>熱田</t>
  </si>
  <si>
    <t>中川</t>
  </si>
  <si>
    <t>中川</t>
  </si>
  <si>
    <t>豊橋</t>
  </si>
  <si>
    <t>豊橋</t>
  </si>
  <si>
    <t>岡崎</t>
  </si>
  <si>
    <t>岡崎</t>
  </si>
  <si>
    <t>一宮</t>
  </si>
  <si>
    <t>一宮</t>
  </si>
  <si>
    <t>尾張瀬戸</t>
  </si>
  <si>
    <t>尾張瀬戸</t>
  </si>
  <si>
    <t>半田</t>
  </si>
  <si>
    <t>半田</t>
  </si>
  <si>
    <t>津島</t>
  </si>
  <si>
    <t>津島</t>
  </si>
  <si>
    <t>刈谷</t>
  </si>
  <si>
    <t>刈谷</t>
  </si>
  <si>
    <t>豊田</t>
  </si>
  <si>
    <t>豊田</t>
  </si>
  <si>
    <t>西尾</t>
  </si>
  <si>
    <t>西尾</t>
  </si>
  <si>
    <t>小牧</t>
  </si>
  <si>
    <t>小牧</t>
  </si>
  <si>
    <t>新城</t>
  </si>
  <si>
    <t>新城</t>
  </si>
  <si>
    <t>愛知県計</t>
  </si>
  <si>
    <t>愛知県計</t>
  </si>
  <si>
    <t>津</t>
  </si>
  <si>
    <t>津</t>
  </si>
  <si>
    <t>四日市</t>
  </si>
  <si>
    <t>四日市</t>
  </si>
  <si>
    <t>伊勢</t>
  </si>
  <si>
    <t>伊勢</t>
  </si>
  <si>
    <t>松阪</t>
  </si>
  <si>
    <t>松阪</t>
  </si>
  <si>
    <t>桑名</t>
  </si>
  <si>
    <t>桑名</t>
  </si>
  <si>
    <t>上野</t>
  </si>
  <si>
    <t>上野</t>
  </si>
  <si>
    <t>鈴鹿</t>
  </si>
  <si>
    <t>鈴鹿</t>
  </si>
  <si>
    <t>尾鷲</t>
  </si>
  <si>
    <t>尾鷲</t>
  </si>
  <si>
    <t>三重県計</t>
  </si>
  <si>
    <t>三重県計</t>
  </si>
  <si>
    <t>　ロ　法　　　人</t>
  </si>
  <si>
    <t>税務署名</t>
  </si>
  <si>
    <t>　ハ　個人事業者と法人の合計</t>
  </si>
  <si>
    <t>課税事業者
届出</t>
  </si>
  <si>
    <t>合　　　計</t>
  </si>
  <si>
    <t>税務署名</t>
  </si>
  <si>
    <t>納　　　税　　　申　　　告　　　及　　　び　　　処　　　理</t>
  </si>
  <si>
    <t>税額</t>
  </si>
  <si>
    <t>税　　　額
(①－②＋③)</t>
  </si>
  <si>
    <t>岐阜北</t>
  </si>
  <si>
    <t>課　税　事　業　者　等　届　出　件　数</t>
  </si>
  <si>
    <t>課税事業者
選択届出</t>
  </si>
  <si>
    <t>新設法人に
該当する旨
の届出</t>
  </si>
  <si>
    <t>税　　額
(①－②＋③)</t>
  </si>
  <si>
    <t>調査対象等：</t>
  </si>
  <si>
    <t>　（注）１</t>
  </si>
  <si>
    <t>税関分は含まない。</t>
  </si>
  <si>
    <t>　　　　２</t>
  </si>
  <si>
    <t>岐阜南</t>
  </si>
  <si>
    <t>大垣</t>
  </si>
  <si>
    <t>高山</t>
  </si>
  <si>
    <t>多治見</t>
  </si>
  <si>
    <t>関</t>
  </si>
  <si>
    <t>中津川</t>
  </si>
  <si>
    <t>岐阜県計</t>
  </si>
  <si>
    <t>静岡</t>
  </si>
  <si>
    <t>清水</t>
  </si>
  <si>
    <t>浜松西</t>
  </si>
  <si>
    <t>浜松東</t>
  </si>
  <si>
    <t>沼津</t>
  </si>
  <si>
    <t>熱海</t>
  </si>
  <si>
    <t>三島</t>
  </si>
  <si>
    <t>島田</t>
  </si>
  <si>
    <t>富士</t>
  </si>
  <si>
    <t>磐田</t>
  </si>
  <si>
    <t>掛川</t>
  </si>
  <si>
    <t>藤枝</t>
  </si>
  <si>
    <t>下田</t>
  </si>
  <si>
    <t>静岡県計</t>
  </si>
  <si>
    <t>千種</t>
  </si>
  <si>
    <t>名古屋東</t>
  </si>
  <si>
    <t>名古屋北</t>
  </si>
  <si>
    <t>名古屋西</t>
  </si>
  <si>
    <t>名古屋中村</t>
  </si>
  <si>
    <t>名古屋中</t>
  </si>
  <si>
    <t>昭和</t>
  </si>
  <si>
    <t>熱田</t>
  </si>
  <si>
    <t>中川</t>
  </si>
  <si>
    <t>豊橋</t>
  </si>
  <si>
    <t>岡崎</t>
  </si>
  <si>
    <t>一宮</t>
  </si>
  <si>
    <t>尾張瀬戸</t>
  </si>
  <si>
    <t>半田</t>
  </si>
  <si>
    <t>津島</t>
  </si>
  <si>
    <t>刈谷</t>
  </si>
  <si>
    <t>豊田</t>
  </si>
  <si>
    <t>西尾</t>
  </si>
  <si>
    <t>小牧</t>
  </si>
  <si>
    <t>新城</t>
  </si>
  <si>
    <t>愛知県計</t>
  </si>
  <si>
    <t>津</t>
  </si>
  <si>
    <t>四日市</t>
  </si>
  <si>
    <t>伊勢</t>
  </si>
  <si>
    <t>松阪</t>
  </si>
  <si>
    <t>桑名</t>
  </si>
  <si>
    <t>上野</t>
  </si>
  <si>
    <t>鈴鹿</t>
  </si>
  <si>
    <t>尾鷲</t>
  </si>
  <si>
    <t>三重県計</t>
  </si>
  <si>
    <t>総　計</t>
  </si>
  <si>
    <t>税　額
①</t>
  </si>
  <si>
    <t>税　額
②</t>
  </si>
  <si>
    <t>税　額
③</t>
  </si>
  <si>
    <t>件　数</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</si>
  <si>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</si>
  <si>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</si>
  <si>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平成27年度</t>
  </si>
  <si>
    <t>実件</t>
  </si>
  <si>
    <t>(4)　税務署別課税状況等</t>
  </si>
  <si>
    <t>(4)　税務署別課税状況等（続）</t>
  </si>
  <si>
    <t>「件数」欄の「実」は、実件数を示す。</t>
  </si>
  <si>
    <t>平成28年度</t>
  </si>
  <si>
    <t>　「現年分」は、平成30年４月１日から平成31年３月31日までに終了した課税期間について、令和元年６月30日現在の申告（国・地方公共団体等については令和元年９月30日までの申告を含む。）及び処理（更正、決定等）による課税事績を「申告書及び決議書」に基づいて作成した。</t>
  </si>
  <si>
    <t>　「既往年分」は、平成30年３月31日以前に終了した課税期間について、平成30年７月１日から令和元年６月30日までの間の申告（平成30年７月１日から同年９月30日までの間の国・地方公共団体等に係る申告を除く。）及び処理（更正、決定等）による課税事績を「申告書及び決議書」に基づいて作成した。</t>
  </si>
  <si>
    <t>調査対象等：平成30年度末（平成31年３月31日現在）の届出件数を示している。</t>
  </si>
  <si>
    <t>平成26年度</t>
  </si>
  <si>
    <t>平成29年度</t>
  </si>
  <si>
    <t>平成30年度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</si>
</sst>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60">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sz val="8"/>
      <name val="ＭＳ Ｐゴシック"/>
      <family val="3"/>
    </font>
    <font>
      <sz val="11"/>
      <name val="ＭＳ ゴシック"/>
      <family val="3"/>
    </font>
    <font>
      <sz val="10"/>
      <name val="ＭＳ 明朝"/>
      <family val="1"/>
    </font>
    <font>
      <sz val="10"/>
      <name val="ＭＳ ゴシック"/>
      <family val="3"/>
    </font>
    <font>
      <b/>
      <sz val="10"/>
      <name val="ＭＳ 明朝"/>
      <family val="1"/>
    </font>
    <font>
      <sz val="10"/>
      <name val="ＭＳ Ｐゴシック"/>
      <family val="3"/>
    </font>
    <font>
      <sz val="11"/>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ゴシック"/>
      <family val="3"/>
    </font>
    <font>
      <sz val="10"/>
      <color indexed="8"/>
      <name val="ＭＳ 明朝"/>
      <family val="1"/>
    </font>
    <font>
      <sz val="10"/>
      <color indexed="8"/>
      <name val="ＭＳ ゴシック"/>
      <family val="3"/>
    </font>
    <font>
      <b/>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ＭＳ ゴシック"/>
      <family val="3"/>
    </font>
    <font>
      <sz val="10"/>
      <color theme="1"/>
      <name val="ＭＳ 明朝"/>
      <family val="1"/>
    </font>
    <font>
      <sz val="10"/>
      <color theme="1"/>
      <name val="ＭＳ ゴシック"/>
      <family val="3"/>
    </font>
    <font>
      <b/>
      <sz val="10"/>
      <color theme="1"/>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CCFFFF"/>
        <bgColor indexed="64"/>
      </patternFill>
    </fill>
    <fill>
      <patternFill patternType="solid">
        <fgColor rgb="FFFFFFCC"/>
        <bgColor indexed="64"/>
      </patternFill>
    </fill>
    <fill>
      <patternFill patternType="solid">
        <fgColor rgb="FFFFFF99"/>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medium"/>
      <bottom>
        <color indexed="63"/>
      </bottom>
    </border>
    <border>
      <left style="hair"/>
      <right style="thin"/>
      <top style="hair"/>
      <bottom style="thin"/>
    </border>
    <border>
      <left style="hair"/>
      <right/>
      <top style="hair"/>
      <bottom style="thin"/>
    </border>
    <border>
      <left style="hair"/>
      <right/>
      <top style="thin"/>
      <bottom/>
    </border>
    <border>
      <left style="medium"/>
      <right/>
      <top/>
      <bottom style="hair">
        <color rgb="FF969696"/>
      </bottom>
    </border>
    <border>
      <left style="thin"/>
      <right style="medium"/>
      <top/>
      <bottom style="hair">
        <color rgb="FF969696"/>
      </bottom>
    </border>
    <border>
      <left style="medium"/>
      <right/>
      <top style="hair">
        <color rgb="FF969696"/>
      </top>
      <bottom style="hair">
        <color rgb="FF969696"/>
      </bottom>
    </border>
    <border>
      <left style="thin"/>
      <right style="medium"/>
      <top style="hair">
        <color rgb="FF969696"/>
      </top>
      <bottom style="hair">
        <color rgb="FF969696"/>
      </bottom>
    </border>
    <border>
      <left style="medium"/>
      <right/>
      <top/>
      <bottom style="double"/>
    </border>
    <border>
      <left style="thin"/>
      <right style="medium"/>
      <top/>
      <bottom style="double"/>
    </border>
    <border>
      <left style="medium"/>
      <right>
        <color indexed="63"/>
      </right>
      <top>
        <color indexed="63"/>
      </top>
      <bottom style="medium"/>
    </border>
    <border>
      <left style="thin"/>
      <right style="medium"/>
      <top>
        <color indexed="63"/>
      </top>
      <bottom style="medium"/>
    </border>
    <border>
      <left style="thin"/>
      <right style="medium"/>
      <top style="double"/>
      <bottom style="medium"/>
    </border>
    <border>
      <left>
        <color indexed="63"/>
      </left>
      <right>
        <color indexed="63"/>
      </right>
      <top style="medium"/>
      <bottom>
        <color indexed="63"/>
      </bottom>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color indexed="63"/>
      </top>
      <bottom style="hair">
        <color rgb="FF969696"/>
      </bottom>
    </border>
    <border>
      <left style="hair"/>
      <right style="thin"/>
      <top>
        <color indexed="63"/>
      </top>
      <bottom style="hair">
        <color rgb="FF969696"/>
      </bottom>
    </border>
    <border>
      <left style="hair"/>
      <right/>
      <top/>
      <bottom style="hair">
        <color rgb="FF969696"/>
      </bottom>
    </border>
    <border>
      <left style="hair"/>
      <right style="hair"/>
      <top>
        <color indexed="63"/>
      </top>
      <bottom style="hair">
        <color rgb="FF969696"/>
      </bottom>
    </border>
    <border>
      <left style="thin"/>
      <right style="hair"/>
      <top style="hair">
        <color rgb="FF969696"/>
      </top>
      <bottom style="hair">
        <color rgb="FF969696"/>
      </bottom>
    </border>
    <border>
      <left style="hair"/>
      <right style="thin"/>
      <top style="hair">
        <color rgb="FF969696"/>
      </top>
      <bottom style="hair">
        <color rgb="FF969696"/>
      </bottom>
    </border>
    <border>
      <left style="hair"/>
      <right/>
      <top style="hair">
        <color rgb="FF969696"/>
      </top>
      <bottom style="hair">
        <color rgb="FF969696"/>
      </bottom>
    </border>
    <border>
      <left style="hair"/>
      <right style="hair"/>
      <top style="hair">
        <color rgb="FF969696"/>
      </top>
      <bottom style="hair">
        <color rgb="FF969696"/>
      </bottom>
    </border>
    <border>
      <left style="hair"/>
      <right/>
      <top/>
      <bottom style="medium"/>
    </border>
    <border>
      <left style="thin"/>
      <right style="hair"/>
      <top style="double"/>
      <bottom style="medium"/>
    </border>
    <border>
      <left style="hair"/>
      <right style="hair"/>
      <top style="double"/>
      <bottom style="medium"/>
    </border>
    <border>
      <left style="hair"/>
      <right/>
      <top style="double"/>
      <bottom style="medium"/>
    </border>
    <border>
      <left style="thin"/>
      <right/>
      <top style="thin">
        <color rgb="FF969696"/>
      </top>
      <bottom style="double"/>
    </border>
    <border>
      <left style="hair"/>
      <right style="thin"/>
      <top style="thin">
        <color rgb="FF969696"/>
      </top>
      <bottom style="double"/>
    </border>
    <border>
      <left style="thin"/>
      <right style="hair"/>
      <top style="thin">
        <color rgb="FF969696"/>
      </top>
      <bottom style="double"/>
    </border>
    <border>
      <left style="thin"/>
      <right style="hair"/>
      <top style="hair">
        <color indexed="55"/>
      </top>
      <bottom style="medium"/>
    </border>
    <border>
      <left style="hair"/>
      <right style="medium"/>
      <top style="hair">
        <color indexed="55"/>
      </top>
      <bottom style="medium"/>
    </border>
    <border>
      <left>
        <color indexed="63"/>
      </left>
      <right/>
      <top style="hair"/>
      <bottom style="thin"/>
    </border>
    <border>
      <left style="thin"/>
      <right/>
      <top style="hair"/>
      <bottom style="thin"/>
    </border>
    <border>
      <left style="thin"/>
      <right style="hair"/>
      <top style="hair"/>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top style="hair">
        <color rgb="FF969696"/>
      </top>
      <bottom>
        <color indexed="63"/>
      </bottom>
    </border>
    <border>
      <left style="thin"/>
      <right style="hair"/>
      <top style="hair">
        <color rgb="FF969696"/>
      </top>
      <bottom>
        <color indexed="63"/>
      </bottom>
    </border>
    <border>
      <left style="hair"/>
      <right style="thin"/>
      <top style="hair">
        <color rgb="FF969696"/>
      </top>
      <bottom>
        <color indexed="63"/>
      </bottom>
    </border>
    <border>
      <left style="hair"/>
      <right/>
      <top style="hair">
        <color rgb="FF969696"/>
      </top>
      <bottom>
        <color indexed="63"/>
      </bottom>
    </border>
    <border>
      <left style="thin"/>
      <right style="medium"/>
      <top style="hair">
        <color rgb="FF969696"/>
      </top>
      <bottom>
        <color indexed="63"/>
      </bottom>
    </border>
    <border>
      <left style="medium"/>
      <right/>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hair"/>
      <right/>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right/>
      <top style="thin">
        <color theme="0" tint="-0.3499799966812134"/>
      </top>
      <bottom style="thin">
        <color theme="0" tint="-0.3499799966812134"/>
      </bottom>
    </border>
    <border>
      <left style="hair"/>
      <right style="thin"/>
      <top>
        <color indexed="63"/>
      </top>
      <bottom style="double"/>
    </border>
    <border>
      <left style="thin"/>
      <right style="hair"/>
      <top>
        <color indexed="63"/>
      </top>
      <bottom style="double"/>
    </border>
    <border>
      <left style="medium"/>
      <right/>
      <top style="thin">
        <color theme="0" tint="-0.3499799966812134"/>
      </top>
      <bottom style="thin">
        <color rgb="FF969696"/>
      </bottom>
    </border>
    <border>
      <left style="thin"/>
      <right style="hair"/>
      <top style="thin">
        <color theme="0" tint="-0.3499799966812134"/>
      </top>
      <bottom style="thin">
        <color rgb="FF969696"/>
      </bottom>
    </border>
    <border>
      <left style="hair"/>
      <right style="thin"/>
      <top style="thin">
        <color theme="0" tint="-0.3499799966812134"/>
      </top>
      <bottom style="thin">
        <color rgb="FF969696"/>
      </bottom>
    </border>
    <border>
      <left style="hair"/>
      <right/>
      <top style="thin">
        <color theme="0" tint="-0.3499799966812134"/>
      </top>
      <bottom style="thin">
        <color rgb="FF969696"/>
      </bottom>
    </border>
    <border>
      <left style="thin"/>
      <right style="medium"/>
      <top style="thin">
        <color theme="0" tint="-0.3499799966812134"/>
      </top>
      <bottom style="thin">
        <color rgb="FF969696"/>
      </bottom>
    </border>
    <border>
      <left style="hair"/>
      <right style="hair"/>
      <top>
        <color indexed="63"/>
      </top>
      <bottom>
        <color indexed="63"/>
      </bottom>
    </border>
    <border>
      <left style="hair"/>
      <right/>
      <top/>
      <bottom>
        <color indexed="63"/>
      </bottom>
    </border>
    <border>
      <left style="hair"/>
      <right style="hair"/>
      <top style="thin">
        <color theme="0" tint="-0.3499799966812134"/>
      </top>
      <bottom style="thin">
        <color theme="0" tint="-0.3499799966812134"/>
      </bottom>
    </border>
    <border>
      <left style="hair"/>
      <right style="hair"/>
      <top style="hair">
        <color rgb="FF969696"/>
      </top>
      <bottom>
        <color indexed="63"/>
      </bottom>
    </border>
    <border>
      <left style="thin"/>
      <right/>
      <top>
        <color indexed="63"/>
      </top>
      <bottom style="double"/>
    </border>
    <border>
      <left style="thin"/>
      <right style="medium"/>
      <top/>
      <bottom/>
    </border>
    <border>
      <left style="medium"/>
      <right style="hair"/>
      <top>
        <color indexed="63"/>
      </top>
      <bottom>
        <color indexed="63"/>
      </bottom>
    </border>
    <border>
      <left style="medium"/>
      <right style="hair"/>
      <top>
        <color indexed="63"/>
      </top>
      <bottom style="thin"/>
    </border>
    <border>
      <left style="medium"/>
      <right style="hair"/>
      <top style="thin"/>
      <bottom style="hair"/>
    </border>
    <border>
      <left style="medium"/>
      <right style="hair"/>
      <top style="hair"/>
      <bottom style="hair"/>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style="thin"/>
    </border>
    <border>
      <left>
        <color indexed="63"/>
      </left>
      <right style="medium"/>
      <top style="medium"/>
      <bottom>
        <color indexed="63"/>
      </bottom>
    </border>
    <border>
      <left style="medium"/>
      <right style="hair"/>
      <top style="thin"/>
      <bottom>
        <color indexed="63"/>
      </bottom>
    </border>
    <border>
      <left style="medium"/>
      <right style="hair"/>
      <top>
        <color indexed="63"/>
      </top>
      <bottom style="medium"/>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style="thin"/>
    </border>
    <border>
      <left style="thin"/>
      <right style="thin"/>
      <top style="hair"/>
      <bottom style="hair"/>
    </border>
    <border>
      <left style="hair"/>
      <right style="thin"/>
      <top style="hair"/>
      <bottom style="hair"/>
    </border>
    <border>
      <left style="medium"/>
      <right/>
      <top/>
      <bottom style="thin"/>
    </border>
    <border>
      <left style="thin"/>
      <right style="thin"/>
      <top style="medium"/>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4" fillId="0" borderId="0" applyNumberFormat="0" applyFill="0" applyBorder="0" applyAlignment="0" applyProtection="0"/>
    <xf numFmtId="0" fontId="54" fillId="32" borderId="0" applyNumberFormat="0" applyBorder="0" applyAlignment="0" applyProtection="0"/>
  </cellStyleXfs>
  <cellXfs count="316">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right" vertical="center"/>
    </xf>
    <xf numFmtId="0" fontId="6" fillId="0" borderId="18" xfId="0" applyFont="1" applyBorder="1" applyAlignment="1">
      <alignment horizontal="right" vertical="center"/>
    </xf>
    <xf numFmtId="0" fontId="2" fillId="0" borderId="19" xfId="0" applyFont="1" applyBorder="1" applyAlignment="1">
      <alignment horizontal="right" vertical="center"/>
    </xf>
    <xf numFmtId="3" fontId="2" fillId="0" borderId="18" xfId="0" applyNumberFormat="1" applyFont="1" applyBorder="1" applyAlignment="1">
      <alignment horizontal="right" vertical="center"/>
    </xf>
    <xf numFmtId="3" fontId="2" fillId="0" borderId="19" xfId="0" applyNumberFormat="1" applyFont="1" applyBorder="1" applyAlignment="1">
      <alignment horizontal="right" vertical="center"/>
    </xf>
    <xf numFmtId="3" fontId="2" fillId="33" borderId="20" xfId="0" applyNumberFormat="1" applyFont="1" applyFill="1" applyBorder="1" applyAlignment="1">
      <alignment horizontal="right" vertical="center"/>
    </xf>
    <xf numFmtId="3" fontId="2" fillId="33" borderId="21" xfId="0" applyNumberFormat="1" applyFont="1" applyFill="1" applyBorder="1" applyAlignment="1">
      <alignment horizontal="right" vertical="center"/>
    </xf>
    <xf numFmtId="0" fontId="2" fillId="0" borderId="20" xfId="0" applyFont="1" applyBorder="1" applyAlignment="1">
      <alignment horizontal="distributed" vertical="center"/>
    </xf>
    <xf numFmtId="0" fontId="2" fillId="0" borderId="22" xfId="0" applyFont="1" applyBorder="1" applyAlignment="1">
      <alignment horizontal="distributed" vertical="center"/>
    </xf>
    <xf numFmtId="0" fontId="6" fillId="0" borderId="22" xfId="0" applyFont="1" applyBorder="1" applyAlignment="1">
      <alignment horizontal="distributed" vertical="center"/>
    </xf>
    <xf numFmtId="0" fontId="2" fillId="0" borderId="23" xfId="0" applyFont="1" applyBorder="1" applyAlignment="1">
      <alignment horizontal="distributed" vertical="center"/>
    </xf>
    <xf numFmtId="0" fontId="6" fillId="0" borderId="24" xfId="0" applyFont="1" applyBorder="1" applyAlignment="1">
      <alignment horizontal="right" vertical="center"/>
    </xf>
    <xf numFmtId="3" fontId="2" fillId="34" borderId="25" xfId="0" applyNumberFormat="1" applyFont="1" applyFill="1" applyBorder="1" applyAlignment="1">
      <alignment horizontal="right" vertical="center"/>
    </xf>
    <xf numFmtId="3" fontId="2" fillId="34" borderId="26"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0" fontId="2" fillId="0" borderId="28" xfId="0" applyFont="1" applyBorder="1" applyAlignment="1">
      <alignment horizontal="distributed" vertical="center"/>
    </xf>
    <xf numFmtId="0" fontId="7" fillId="33" borderId="10" xfId="0" applyFont="1" applyFill="1" applyBorder="1" applyAlignment="1">
      <alignment horizontal="right" vertical="top"/>
    </xf>
    <xf numFmtId="0" fontId="7" fillId="34" borderId="29" xfId="0" applyFont="1" applyFill="1" applyBorder="1" applyAlignment="1">
      <alignment horizontal="right" vertical="top"/>
    </xf>
    <xf numFmtId="3" fontId="2" fillId="0" borderId="13" xfId="0" applyNumberFormat="1" applyFont="1" applyBorder="1" applyAlignment="1">
      <alignment horizontal="center" vertical="center"/>
    </xf>
    <xf numFmtId="0" fontId="2" fillId="0" borderId="18" xfId="0" applyFont="1" applyBorder="1" applyAlignment="1">
      <alignment horizontal="center" vertical="center"/>
    </xf>
    <xf numFmtId="3" fontId="2" fillId="0" borderId="18" xfId="0" applyNumberFormat="1" applyFont="1" applyBorder="1" applyAlignment="1">
      <alignment horizontal="center" vertical="center"/>
    </xf>
    <xf numFmtId="0" fontId="2" fillId="0" borderId="30" xfId="0" applyFont="1" applyBorder="1" applyAlignment="1">
      <alignment horizontal="distributed" vertical="center"/>
    </xf>
    <xf numFmtId="3" fontId="2" fillId="33" borderId="30"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0" fontId="7" fillId="0" borderId="32" xfId="0" applyFont="1" applyFill="1" applyBorder="1" applyAlignment="1">
      <alignment horizontal="center" vertical="center"/>
    </xf>
    <xf numFmtId="0" fontId="7" fillId="0" borderId="13" xfId="0" applyFont="1" applyFill="1" applyBorder="1" applyAlignment="1">
      <alignment horizontal="right" vertical="top"/>
    </xf>
    <xf numFmtId="0" fontId="7" fillId="33" borderId="17"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3" xfId="0" applyNumberFormat="1" applyFont="1" applyFill="1" applyBorder="1" applyAlignment="1">
      <alignment horizontal="right" vertical="center"/>
    </xf>
    <xf numFmtId="0" fontId="2" fillId="0" borderId="32"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7" xfId="0" applyFont="1" applyFill="1" applyBorder="1" applyAlignment="1">
      <alignment horizontal="right"/>
    </xf>
    <xf numFmtId="0" fontId="7" fillId="34" borderId="34" xfId="0" applyFont="1" applyFill="1" applyBorder="1" applyAlignment="1">
      <alignment horizontal="right"/>
    </xf>
    <xf numFmtId="0" fontId="7" fillId="34" borderId="35" xfId="0" applyFont="1" applyFill="1" applyBorder="1" applyAlignment="1">
      <alignment horizontal="right"/>
    </xf>
    <xf numFmtId="0" fontId="7" fillId="34" borderId="36" xfId="0" applyFont="1" applyFill="1" applyBorder="1" applyAlignment="1">
      <alignment horizontal="right"/>
    </xf>
    <xf numFmtId="0" fontId="7" fillId="34" borderId="37" xfId="0" applyFont="1" applyFill="1" applyBorder="1" applyAlignment="1">
      <alignment horizontal="right"/>
    </xf>
    <xf numFmtId="0" fontId="5" fillId="0" borderId="0" xfId="0" applyFont="1" applyAlignment="1">
      <alignment horizontal="center" vertical="top"/>
    </xf>
    <xf numFmtId="0" fontId="2" fillId="0" borderId="20"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38" xfId="0" applyFont="1" applyBorder="1" applyAlignment="1">
      <alignment horizontal="distributed" vertical="center" indent="1"/>
    </xf>
    <xf numFmtId="0" fontId="10" fillId="0" borderId="0" xfId="61" applyFont="1" applyBorder="1" applyAlignment="1">
      <alignment horizontal="left" vertical="center"/>
      <protection/>
    </xf>
    <xf numFmtId="0" fontId="10" fillId="0" borderId="0" xfId="61" applyFont="1" applyBorder="1" applyAlignment="1">
      <alignment horizontal="left" vertical="top"/>
      <protection/>
    </xf>
    <xf numFmtId="0" fontId="10" fillId="0" borderId="39" xfId="61" applyFont="1" applyBorder="1" applyAlignment="1">
      <alignment horizontal="distributed" vertical="center" indent="1"/>
      <protection/>
    </xf>
    <xf numFmtId="0" fontId="10" fillId="0" borderId="40" xfId="61" applyFont="1" applyBorder="1" applyAlignment="1">
      <alignment horizontal="centerContinuous" vertical="center" wrapText="1"/>
      <protection/>
    </xf>
    <xf numFmtId="0" fontId="7" fillId="35" borderId="32" xfId="61" applyFont="1" applyFill="1" applyBorder="1" applyAlignment="1">
      <alignment horizontal="distributed" vertical="top"/>
      <protection/>
    </xf>
    <xf numFmtId="0" fontId="7" fillId="36" borderId="13" xfId="61" applyFont="1" applyFill="1" applyBorder="1" applyAlignment="1">
      <alignment horizontal="right" vertical="top"/>
      <protection/>
    </xf>
    <xf numFmtId="0" fontId="7" fillId="37" borderId="10" xfId="61" applyFont="1" applyFill="1" applyBorder="1" applyAlignment="1">
      <alignment horizontal="right" vertical="top"/>
      <protection/>
    </xf>
    <xf numFmtId="0" fontId="7" fillId="37" borderId="41" xfId="61" applyFont="1" applyFill="1" applyBorder="1" applyAlignment="1">
      <alignment horizontal="right" vertical="top"/>
      <protection/>
    </xf>
    <xf numFmtId="0" fontId="7" fillId="35" borderId="37" xfId="61" applyFont="1" applyFill="1" applyBorder="1" applyAlignment="1">
      <alignment horizontal="distributed" vertical="top"/>
      <protection/>
    </xf>
    <xf numFmtId="0" fontId="8" fillId="0" borderId="0" xfId="61" applyFont="1" applyBorder="1" applyAlignment="1">
      <alignment horizontal="right" vertical="top"/>
      <protection/>
    </xf>
    <xf numFmtId="0" fontId="10" fillId="35" borderId="42" xfId="61" applyFont="1" applyFill="1" applyBorder="1" applyAlignment="1">
      <alignment horizontal="distributed" vertical="center"/>
      <protection/>
    </xf>
    <xf numFmtId="0" fontId="10" fillId="35" borderId="43" xfId="61" applyFont="1" applyFill="1" applyBorder="1" applyAlignment="1">
      <alignment horizontal="distributed" vertical="center"/>
      <protection/>
    </xf>
    <xf numFmtId="0" fontId="9" fillId="0" borderId="0" xfId="61" applyFont="1" applyBorder="1">
      <alignment/>
      <protection/>
    </xf>
    <xf numFmtId="0" fontId="10" fillId="35" borderId="44" xfId="61" applyFont="1" applyFill="1" applyBorder="1" applyAlignment="1">
      <alignment horizontal="distributed" vertical="center"/>
      <protection/>
    </xf>
    <xf numFmtId="0" fontId="10" fillId="35" borderId="45" xfId="61" applyFont="1" applyFill="1" applyBorder="1" applyAlignment="1">
      <alignment horizontal="distributed" vertical="center"/>
      <protection/>
    </xf>
    <xf numFmtId="0" fontId="12" fillId="0" borderId="46" xfId="61" applyFont="1" applyFill="1" applyBorder="1" applyAlignment="1">
      <alignment horizontal="distributed" vertical="center"/>
      <protection/>
    </xf>
    <xf numFmtId="0" fontId="12" fillId="0" borderId="47" xfId="61" applyFont="1" applyFill="1" applyBorder="1" applyAlignment="1">
      <alignment horizontal="center" vertical="center"/>
      <protection/>
    </xf>
    <xf numFmtId="0" fontId="11" fillId="0" borderId="48" xfId="61" applyFont="1" applyBorder="1" applyAlignment="1">
      <alignment horizontal="center" vertical="center"/>
      <protection/>
    </xf>
    <xf numFmtId="0" fontId="11" fillId="0" borderId="49" xfId="61" applyFont="1" applyBorder="1" applyAlignment="1">
      <alignment horizontal="center" vertical="center"/>
      <protection/>
    </xf>
    <xf numFmtId="0" fontId="13" fillId="0" borderId="0" xfId="61" applyFont="1" applyBorder="1">
      <alignment/>
      <protection/>
    </xf>
    <xf numFmtId="0" fontId="8" fillId="0" borderId="0" xfId="61" applyFont="1" applyBorder="1" applyAlignment="1">
      <alignment vertical="top"/>
      <protection/>
    </xf>
    <xf numFmtId="0" fontId="10" fillId="35" borderId="32" xfId="61" applyFont="1" applyFill="1" applyBorder="1" applyAlignment="1">
      <alignment horizontal="distributed" vertical="top"/>
      <protection/>
    </xf>
    <xf numFmtId="0" fontId="10" fillId="36" borderId="13" xfId="61" applyFont="1" applyFill="1" applyBorder="1" applyAlignment="1">
      <alignment horizontal="right" vertical="top"/>
      <protection/>
    </xf>
    <xf numFmtId="0" fontId="10" fillId="37" borderId="10" xfId="61" applyFont="1" applyFill="1" applyBorder="1" applyAlignment="1">
      <alignment horizontal="right" vertical="top"/>
      <protection/>
    </xf>
    <xf numFmtId="0" fontId="10" fillId="36" borderId="29" xfId="61" applyFont="1" applyFill="1" applyBorder="1" applyAlignment="1">
      <alignment horizontal="right" vertical="top"/>
      <protection/>
    </xf>
    <xf numFmtId="0" fontId="10" fillId="36" borderId="41" xfId="61" applyFont="1" applyFill="1" applyBorder="1" applyAlignment="1">
      <alignment horizontal="right" vertical="top"/>
      <protection/>
    </xf>
    <xf numFmtId="0" fontId="10" fillId="35" borderId="37" xfId="61" applyFont="1" applyFill="1" applyBorder="1" applyAlignment="1">
      <alignment horizontal="distributed" vertical="top"/>
      <protection/>
    </xf>
    <xf numFmtId="0" fontId="13" fillId="0" borderId="0" xfId="61" applyFont="1" applyBorder="1" applyAlignment="1">
      <alignment vertical="top"/>
      <protection/>
    </xf>
    <xf numFmtId="0" fontId="14" fillId="35" borderId="42" xfId="61" applyFont="1" applyFill="1" applyBorder="1" applyAlignment="1">
      <alignment horizontal="distributed" vertical="center" shrinkToFit="1"/>
      <protection/>
    </xf>
    <xf numFmtId="0" fontId="14" fillId="35" borderId="43" xfId="61" applyFont="1" applyFill="1" applyBorder="1" applyAlignment="1">
      <alignment horizontal="distributed" vertical="center" shrinkToFit="1"/>
      <protection/>
    </xf>
    <xf numFmtId="0" fontId="14" fillId="35" borderId="44" xfId="61" applyFont="1" applyFill="1" applyBorder="1" applyAlignment="1">
      <alignment horizontal="distributed" vertical="center" shrinkToFit="1"/>
      <protection/>
    </xf>
    <xf numFmtId="0" fontId="14" fillId="35" borderId="45" xfId="61" applyFont="1" applyFill="1" applyBorder="1" applyAlignment="1">
      <alignment horizontal="distributed" vertical="center" shrinkToFit="1"/>
      <protection/>
    </xf>
    <xf numFmtId="0" fontId="10" fillId="35" borderId="42" xfId="61" applyFont="1" applyFill="1" applyBorder="1" applyAlignment="1">
      <alignment horizontal="distributed" vertical="center" shrinkToFit="1"/>
      <protection/>
    </xf>
    <xf numFmtId="0" fontId="10" fillId="35" borderId="45" xfId="61" applyFont="1" applyFill="1" applyBorder="1" applyAlignment="1">
      <alignment horizontal="distributed" vertical="center" shrinkToFit="1"/>
      <protection/>
    </xf>
    <xf numFmtId="0" fontId="15" fillId="0" borderId="46" xfId="61" applyFont="1" applyFill="1" applyBorder="1" applyAlignment="1">
      <alignment horizontal="distributed" vertical="center" shrinkToFit="1"/>
      <protection/>
    </xf>
    <xf numFmtId="0" fontId="11" fillId="0" borderId="48" xfId="61" applyFont="1" applyBorder="1" applyAlignment="1">
      <alignment horizontal="center" vertical="center" shrinkToFit="1"/>
      <protection/>
    </xf>
    <xf numFmtId="0" fontId="11" fillId="0" borderId="50" xfId="61" applyFont="1" applyBorder="1" applyAlignment="1">
      <alignment horizontal="center" vertical="center" shrinkToFit="1"/>
      <protection/>
    </xf>
    <xf numFmtId="0" fontId="10" fillId="0" borderId="51" xfId="61" applyFont="1" applyBorder="1" applyAlignment="1">
      <alignment vertical="center"/>
      <protection/>
    </xf>
    <xf numFmtId="0" fontId="10" fillId="0" borderId="39" xfId="61" applyFont="1" applyBorder="1" applyAlignment="1">
      <alignment horizontal="distributed" vertical="center" wrapText="1" indent="1"/>
      <protection/>
    </xf>
    <xf numFmtId="0" fontId="10" fillId="0" borderId="39" xfId="61" applyFont="1" applyBorder="1" applyAlignment="1">
      <alignment horizontal="centerContinuous" vertical="center" wrapText="1"/>
      <protection/>
    </xf>
    <xf numFmtId="0" fontId="2" fillId="0" borderId="0" xfId="0" applyFont="1" applyFill="1" applyBorder="1" applyAlignment="1">
      <alignment horizontal="distributed" vertical="center"/>
    </xf>
    <xf numFmtId="0" fontId="2" fillId="0" borderId="0" xfId="0" applyFont="1" applyFill="1" applyBorder="1" applyAlignment="1">
      <alignment horizontal="right" vertical="center"/>
    </xf>
    <xf numFmtId="3" fontId="2" fillId="0" borderId="0" xfId="0" applyNumberFormat="1" applyFont="1" applyFill="1" applyBorder="1" applyAlignment="1">
      <alignment horizontal="right" vertical="center"/>
    </xf>
    <xf numFmtId="3" fontId="2" fillId="0" borderId="0" xfId="0" applyNumberFormat="1" applyFont="1" applyFill="1" applyBorder="1" applyAlignment="1">
      <alignment horizontal="right" vertical="center" indent="1"/>
    </xf>
    <xf numFmtId="3" fontId="2" fillId="0" borderId="0" xfId="0" applyNumberFormat="1" applyFont="1" applyFill="1" applyAlignment="1">
      <alignment horizontal="left" vertical="center"/>
    </xf>
    <xf numFmtId="0" fontId="2" fillId="0" borderId="0" xfId="0" applyFont="1" applyFill="1" applyAlignment="1">
      <alignment horizontal="left" vertical="center"/>
    </xf>
    <xf numFmtId="0" fontId="11" fillId="0" borderId="0" xfId="61" applyFont="1" applyFill="1" applyBorder="1" applyAlignment="1">
      <alignment horizontal="center" vertical="center"/>
      <protection/>
    </xf>
    <xf numFmtId="177" fontId="11" fillId="0" borderId="0" xfId="61" applyNumberFormat="1" applyFont="1" applyFill="1" applyBorder="1" applyAlignment="1">
      <alignment horizontal="right" vertical="center"/>
      <protection/>
    </xf>
    <xf numFmtId="0" fontId="9" fillId="0" borderId="0" xfId="61" applyFont="1" applyFill="1" applyBorder="1">
      <alignment/>
      <protection/>
    </xf>
    <xf numFmtId="3" fontId="2" fillId="34" borderId="52" xfId="0" applyNumberFormat="1" applyFont="1" applyFill="1" applyBorder="1" applyAlignment="1">
      <alignment horizontal="right" vertical="center"/>
    </xf>
    <xf numFmtId="3" fontId="2" fillId="34" borderId="53"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3" fontId="2" fillId="33" borderId="54" xfId="0" applyNumberFormat="1" applyFont="1" applyFill="1" applyBorder="1" applyAlignment="1">
      <alignment horizontal="right" vertical="center"/>
    </xf>
    <xf numFmtId="3" fontId="6" fillId="34" borderId="53" xfId="0" applyNumberFormat="1" applyFont="1" applyFill="1" applyBorder="1" applyAlignment="1">
      <alignment horizontal="right" vertical="center"/>
    </xf>
    <xf numFmtId="3" fontId="6" fillId="33" borderId="22" xfId="0" applyNumberFormat="1" applyFont="1" applyFill="1" applyBorder="1" applyAlignment="1">
      <alignment horizontal="right" vertical="center"/>
    </xf>
    <xf numFmtId="3" fontId="6" fillId="33" borderId="54" xfId="0" applyNumberFormat="1" applyFont="1" applyFill="1" applyBorder="1" applyAlignment="1">
      <alignment horizontal="right" vertical="center"/>
    </xf>
    <xf numFmtId="3" fontId="2" fillId="34" borderId="55" xfId="0" applyNumberFormat="1" applyFont="1" applyFill="1" applyBorder="1" applyAlignment="1">
      <alignment horizontal="right" vertical="center"/>
    </xf>
    <xf numFmtId="3" fontId="2" fillId="33" borderId="56" xfId="0" applyNumberFormat="1" applyFont="1" applyFill="1" applyBorder="1" applyAlignment="1">
      <alignment horizontal="right" vertical="center"/>
    </xf>
    <xf numFmtId="3" fontId="2" fillId="33" borderId="57" xfId="0" applyNumberFormat="1" applyFont="1" applyFill="1" applyBorder="1" applyAlignment="1">
      <alignment horizontal="right" vertical="center"/>
    </xf>
    <xf numFmtId="3" fontId="2" fillId="34" borderId="58" xfId="0" applyNumberFormat="1" applyFont="1" applyFill="1" applyBorder="1" applyAlignment="1">
      <alignment horizontal="right" vertical="center"/>
    </xf>
    <xf numFmtId="3" fontId="2" fillId="34" borderId="58" xfId="0" applyNumberFormat="1" applyFont="1" applyFill="1" applyBorder="1" applyAlignment="1">
      <alignment vertical="center"/>
    </xf>
    <xf numFmtId="3" fontId="2" fillId="34" borderId="53" xfId="0" applyNumberFormat="1" applyFont="1" applyFill="1" applyBorder="1" applyAlignment="1">
      <alignment vertical="center"/>
    </xf>
    <xf numFmtId="3" fontId="6" fillId="34" borderId="59" xfId="0" applyNumberFormat="1" applyFont="1" applyFill="1" applyBorder="1" applyAlignment="1">
      <alignment horizontal="right" vertical="center"/>
    </xf>
    <xf numFmtId="3" fontId="6" fillId="33" borderId="60" xfId="0" applyNumberFormat="1" applyFont="1" applyFill="1" applyBorder="1" applyAlignment="1">
      <alignment horizontal="right" vertical="center"/>
    </xf>
    <xf numFmtId="3" fontId="6" fillId="33" borderId="61" xfId="0" applyNumberFormat="1" applyFont="1" applyFill="1" applyBorder="1" applyAlignment="1">
      <alignment horizontal="right" vertical="center"/>
    </xf>
    <xf numFmtId="3" fontId="2" fillId="34" borderId="62" xfId="0" applyNumberFormat="1" applyFont="1" applyFill="1" applyBorder="1" applyAlignment="1">
      <alignment horizontal="right" vertical="center"/>
    </xf>
    <xf numFmtId="3" fontId="2" fillId="33" borderId="63" xfId="0" applyNumberFormat="1" applyFont="1" applyFill="1" applyBorder="1" applyAlignment="1">
      <alignment horizontal="right" vertical="center"/>
    </xf>
    <xf numFmtId="3" fontId="2" fillId="33" borderId="64" xfId="0" applyNumberFormat="1" applyFont="1" applyFill="1" applyBorder="1" applyAlignment="1">
      <alignment horizontal="right" vertical="center"/>
    </xf>
    <xf numFmtId="177" fontId="14" fillId="36" borderId="65" xfId="61" applyNumberFormat="1" applyFont="1" applyFill="1" applyBorder="1" applyAlignment="1">
      <alignment horizontal="right" vertical="center" shrinkToFit="1"/>
      <protection/>
    </xf>
    <xf numFmtId="177" fontId="14" fillId="37" borderId="66" xfId="61" applyNumberFormat="1" applyFont="1" applyFill="1" applyBorder="1" applyAlignment="1">
      <alignment horizontal="right" vertical="center" shrinkToFit="1"/>
      <protection/>
    </xf>
    <xf numFmtId="177" fontId="14" fillId="37" borderId="67" xfId="61" applyNumberFormat="1" applyFont="1" applyFill="1" applyBorder="1" applyAlignment="1">
      <alignment horizontal="right" vertical="center" shrinkToFit="1"/>
      <protection/>
    </xf>
    <xf numFmtId="177" fontId="14" fillId="36" borderId="68" xfId="61" applyNumberFormat="1" applyFont="1" applyFill="1" applyBorder="1" applyAlignment="1">
      <alignment horizontal="right" vertical="center" shrinkToFit="1"/>
      <protection/>
    </xf>
    <xf numFmtId="177" fontId="14" fillId="36" borderId="67" xfId="61" applyNumberFormat="1" applyFont="1" applyFill="1" applyBorder="1" applyAlignment="1">
      <alignment horizontal="right" vertical="center" shrinkToFit="1"/>
      <protection/>
    </xf>
    <xf numFmtId="177" fontId="14" fillId="36" borderId="69" xfId="61" applyNumberFormat="1" applyFont="1" applyFill="1" applyBorder="1" applyAlignment="1">
      <alignment horizontal="right" vertical="center" shrinkToFit="1"/>
      <protection/>
    </xf>
    <xf numFmtId="177" fontId="14" fillId="37" borderId="70" xfId="61" applyNumberFormat="1" applyFont="1" applyFill="1" applyBorder="1" applyAlignment="1">
      <alignment horizontal="right" vertical="center" shrinkToFit="1"/>
      <protection/>
    </xf>
    <xf numFmtId="177" fontId="14" fillId="37" borderId="71" xfId="61" applyNumberFormat="1" applyFont="1" applyFill="1" applyBorder="1" applyAlignment="1">
      <alignment horizontal="right" vertical="center" shrinkToFit="1"/>
      <protection/>
    </xf>
    <xf numFmtId="177" fontId="14" fillId="36" borderId="72" xfId="61" applyNumberFormat="1" applyFont="1" applyFill="1" applyBorder="1" applyAlignment="1">
      <alignment horizontal="right" vertical="center" shrinkToFit="1"/>
      <protection/>
    </xf>
    <xf numFmtId="177" fontId="14" fillId="36" borderId="71" xfId="61" applyNumberFormat="1" applyFont="1" applyFill="1" applyBorder="1" applyAlignment="1">
      <alignment horizontal="right" vertical="center" shrinkToFit="1"/>
      <protection/>
    </xf>
    <xf numFmtId="177" fontId="11" fillId="36" borderId="19" xfId="61" applyNumberFormat="1" applyFont="1" applyFill="1" applyBorder="1" applyAlignment="1">
      <alignment horizontal="right" vertical="center" shrinkToFit="1"/>
      <protection/>
    </xf>
    <xf numFmtId="177" fontId="11" fillId="37" borderId="63" xfId="61" applyNumberFormat="1" applyFont="1" applyFill="1" applyBorder="1" applyAlignment="1">
      <alignment horizontal="right" vertical="center" shrinkToFit="1"/>
      <protection/>
    </xf>
    <xf numFmtId="177" fontId="11" fillId="37" borderId="73" xfId="61" applyNumberFormat="1" applyFont="1" applyFill="1" applyBorder="1" applyAlignment="1">
      <alignment horizontal="right" vertical="center" shrinkToFit="1"/>
      <protection/>
    </xf>
    <xf numFmtId="177" fontId="11" fillId="36" borderId="74" xfId="61" applyNumberFormat="1" applyFont="1" applyFill="1" applyBorder="1" applyAlignment="1">
      <alignment horizontal="right" vertical="center" shrinkToFit="1"/>
      <protection/>
    </xf>
    <xf numFmtId="177" fontId="11" fillId="36" borderId="75" xfId="61" applyNumberFormat="1" applyFont="1" applyFill="1" applyBorder="1" applyAlignment="1">
      <alignment horizontal="right" vertical="center" shrinkToFit="1"/>
      <protection/>
    </xf>
    <xf numFmtId="177" fontId="11" fillId="36" borderId="76" xfId="61" applyNumberFormat="1" applyFont="1" applyFill="1" applyBorder="1" applyAlignment="1">
      <alignment horizontal="right" vertical="center" shrinkToFit="1"/>
      <protection/>
    </xf>
    <xf numFmtId="0" fontId="0" fillId="0" borderId="0" xfId="61" applyFont="1" applyBorder="1">
      <alignment/>
      <protection/>
    </xf>
    <xf numFmtId="177" fontId="10" fillId="36" borderId="65" xfId="61" applyNumberFormat="1" applyFont="1" applyFill="1" applyBorder="1" applyAlignment="1">
      <alignment horizontal="right" vertical="center"/>
      <protection/>
    </xf>
    <xf numFmtId="177" fontId="10" fillId="37" borderId="66" xfId="61" applyNumberFormat="1" applyFont="1" applyFill="1" applyBorder="1" applyAlignment="1">
      <alignment horizontal="right" vertical="center"/>
      <protection/>
    </xf>
    <xf numFmtId="177" fontId="10" fillId="37" borderId="67" xfId="61" applyNumberFormat="1" applyFont="1" applyFill="1" applyBorder="1" applyAlignment="1">
      <alignment horizontal="right" vertical="center"/>
      <protection/>
    </xf>
    <xf numFmtId="177" fontId="10" fillId="36" borderId="69" xfId="61" applyNumberFormat="1" applyFont="1" applyFill="1" applyBorder="1" applyAlignment="1">
      <alignment horizontal="right" vertical="center"/>
      <protection/>
    </xf>
    <xf numFmtId="177" fontId="10" fillId="37" borderId="70" xfId="61" applyNumberFormat="1" applyFont="1" applyFill="1" applyBorder="1" applyAlignment="1">
      <alignment horizontal="right" vertical="center"/>
      <protection/>
    </xf>
    <xf numFmtId="177" fontId="10" fillId="37" borderId="71" xfId="61" applyNumberFormat="1" applyFont="1" applyFill="1" applyBorder="1" applyAlignment="1">
      <alignment horizontal="right" vertical="center"/>
      <protection/>
    </xf>
    <xf numFmtId="177" fontId="10" fillId="37" borderId="71" xfId="61" applyNumberFormat="1" applyFont="1" applyFill="1" applyBorder="1" applyAlignment="1">
      <alignment horizontal="right" vertical="center" shrinkToFit="1"/>
      <protection/>
    </xf>
    <xf numFmtId="177" fontId="12" fillId="0" borderId="77" xfId="61" applyNumberFormat="1" applyFont="1" applyFill="1" applyBorder="1" applyAlignment="1">
      <alignment horizontal="right" vertical="center"/>
      <protection/>
    </xf>
    <xf numFmtId="177" fontId="12" fillId="0" borderId="78" xfId="61" applyNumberFormat="1" applyFont="1" applyFill="1" applyBorder="1" applyAlignment="1">
      <alignment horizontal="right" vertical="center"/>
      <protection/>
    </xf>
    <xf numFmtId="177" fontId="12" fillId="0" borderId="79" xfId="61" applyNumberFormat="1" applyFont="1" applyFill="1" applyBorder="1" applyAlignment="1">
      <alignment horizontal="right" vertical="center"/>
      <protection/>
    </xf>
    <xf numFmtId="177" fontId="11" fillId="36" borderId="19" xfId="61" applyNumberFormat="1" applyFont="1" applyFill="1" applyBorder="1" applyAlignment="1">
      <alignment horizontal="right" vertical="center"/>
      <protection/>
    </xf>
    <xf numFmtId="177" fontId="11" fillId="37" borderId="63" xfId="61" applyNumberFormat="1" applyFont="1" applyFill="1" applyBorder="1" applyAlignment="1">
      <alignment horizontal="right" vertical="center"/>
      <protection/>
    </xf>
    <xf numFmtId="177" fontId="11" fillId="37" borderId="73" xfId="61" applyNumberFormat="1" applyFont="1" applyFill="1" applyBorder="1" applyAlignment="1">
      <alignment horizontal="right" vertical="center"/>
      <protection/>
    </xf>
    <xf numFmtId="0" fontId="0" fillId="0" borderId="0" xfId="61" applyFont="1" applyFill="1" applyBorder="1">
      <alignment/>
      <protection/>
    </xf>
    <xf numFmtId="0" fontId="0" fillId="0" borderId="0" xfId="61" applyFont="1" applyBorder="1" applyAlignment="1">
      <alignment horizontal="center"/>
      <protection/>
    </xf>
    <xf numFmtId="3" fontId="2" fillId="34" borderId="80"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81" xfId="0" applyNumberFormat="1" applyFont="1" applyFill="1" applyBorder="1" applyAlignment="1">
      <alignment horizontal="right" vertical="center"/>
    </xf>
    <xf numFmtId="0" fontId="10" fillId="0" borderId="82" xfId="61" applyFont="1" applyBorder="1" applyAlignment="1">
      <alignment horizontal="centerContinuous" vertical="center" wrapText="1"/>
      <protection/>
    </xf>
    <xf numFmtId="0" fontId="10" fillId="0" borderId="83" xfId="61" applyFont="1" applyBorder="1" applyAlignment="1">
      <alignment horizontal="centerContinuous" vertical="center" wrapText="1"/>
      <protection/>
    </xf>
    <xf numFmtId="0" fontId="10" fillId="0" borderId="84" xfId="61" applyFont="1" applyBorder="1" applyAlignment="1">
      <alignment horizontal="centerContinuous" vertical="center" wrapText="1"/>
      <protection/>
    </xf>
    <xf numFmtId="3" fontId="2" fillId="34" borderId="85" xfId="0" applyNumberFormat="1" applyFont="1" applyFill="1" applyBorder="1" applyAlignment="1">
      <alignment vertical="center"/>
    </xf>
    <xf numFmtId="3" fontId="2" fillId="34" borderId="86" xfId="0" applyNumberFormat="1" applyFont="1" applyFill="1" applyBorder="1" applyAlignment="1">
      <alignment vertical="center"/>
    </xf>
    <xf numFmtId="3" fontId="2" fillId="34" borderId="87" xfId="0" applyNumberFormat="1" applyFont="1" applyFill="1" applyBorder="1" applyAlignment="1">
      <alignment vertical="center"/>
    </xf>
    <xf numFmtId="3" fontId="2" fillId="34" borderId="49" xfId="0" applyNumberFormat="1" applyFont="1" applyFill="1" applyBorder="1" applyAlignment="1">
      <alignment vertical="center"/>
    </xf>
    <xf numFmtId="0" fontId="10" fillId="35" borderId="88" xfId="61" applyFont="1" applyFill="1" applyBorder="1" applyAlignment="1">
      <alignment horizontal="distributed" vertical="center"/>
      <protection/>
    </xf>
    <xf numFmtId="177" fontId="10" fillId="36" borderId="89" xfId="61" applyNumberFormat="1" applyFont="1" applyFill="1" applyBorder="1" applyAlignment="1">
      <alignment horizontal="right" vertical="center"/>
      <protection/>
    </xf>
    <xf numFmtId="177" fontId="10" fillId="37" borderId="90" xfId="61" applyNumberFormat="1" applyFont="1" applyFill="1" applyBorder="1" applyAlignment="1">
      <alignment horizontal="right" vertical="center"/>
      <protection/>
    </xf>
    <xf numFmtId="177" fontId="10" fillId="37" borderId="91" xfId="61" applyNumberFormat="1" applyFont="1" applyFill="1" applyBorder="1" applyAlignment="1">
      <alignment horizontal="right" vertical="center"/>
      <protection/>
    </xf>
    <xf numFmtId="0" fontId="10" fillId="35" borderId="92" xfId="61" applyFont="1" applyFill="1" applyBorder="1" applyAlignment="1">
      <alignment horizontal="distributed" vertical="center"/>
      <protection/>
    </xf>
    <xf numFmtId="0" fontId="11" fillId="35" borderId="93" xfId="61" applyFont="1" applyFill="1" applyBorder="1" applyAlignment="1">
      <alignment horizontal="distributed" vertical="center"/>
      <protection/>
    </xf>
    <xf numFmtId="177" fontId="11" fillId="36" borderId="94" xfId="61" applyNumberFormat="1" applyFont="1" applyFill="1" applyBorder="1" applyAlignment="1">
      <alignment horizontal="right" vertical="center"/>
      <protection/>
    </xf>
    <xf numFmtId="177" fontId="11" fillId="37" borderId="95" xfId="61" applyNumberFormat="1" applyFont="1" applyFill="1" applyBorder="1" applyAlignment="1">
      <alignment horizontal="right" vertical="center"/>
      <protection/>
    </xf>
    <xf numFmtId="177" fontId="11" fillId="37" borderId="96" xfId="61" applyNumberFormat="1" applyFont="1" applyFill="1" applyBorder="1" applyAlignment="1">
      <alignment horizontal="right" vertical="center"/>
      <protection/>
    </xf>
    <xf numFmtId="0" fontId="11" fillId="35" borderId="97" xfId="61" applyFont="1" applyFill="1" applyBorder="1" applyAlignment="1">
      <alignment horizontal="distributed" vertical="center"/>
      <protection/>
    </xf>
    <xf numFmtId="0" fontId="12" fillId="0" borderId="93" xfId="61" applyFont="1" applyFill="1" applyBorder="1" applyAlignment="1">
      <alignment horizontal="distributed" vertical="center"/>
      <protection/>
    </xf>
    <xf numFmtId="177" fontId="12" fillId="0" borderId="98" xfId="61" applyNumberFormat="1" applyFont="1" applyFill="1" applyBorder="1" applyAlignment="1">
      <alignment horizontal="right" vertical="center"/>
      <protection/>
    </xf>
    <xf numFmtId="177" fontId="12" fillId="0" borderId="95" xfId="61" applyNumberFormat="1" applyFont="1" applyFill="1" applyBorder="1" applyAlignment="1">
      <alignment horizontal="right" vertical="center"/>
      <protection/>
    </xf>
    <xf numFmtId="177" fontId="12" fillId="0" borderId="94" xfId="61" applyNumberFormat="1" applyFont="1" applyFill="1" applyBorder="1" applyAlignment="1">
      <alignment horizontal="right" vertical="center"/>
      <protection/>
    </xf>
    <xf numFmtId="0" fontId="12" fillId="0" borderId="97" xfId="61" applyFont="1" applyFill="1" applyBorder="1" applyAlignment="1">
      <alignment horizontal="center" vertical="center"/>
      <protection/>
    </xf>
    <xf numFmtId="177" fontId="12" fillId="0" borderId="99" xfId="61" applyNumberFormat="1" applyFont="1" applyFill="1" applyBorder="1" applyAlignment="1">
      <alignment horizontal="right" vertical="center"/>
      <protection/>
    </xf>
    <xf numFmtId="177" fontId="12" fillId="0" borderId="100" xfId="61" applyNumberFormat="1" applyFont="1" applyFill="1" applyBorder="1" applyAlignment="1">
      <alignment horizontal="right" vertical="center"/>
      <protection/>
    </xf>
    <xf numFmtId="0" fontId="11" fillId="35" borderId="101" xfId="61" applyFont="1" applyFill="1" applyBorder="1" applyAlignment="1">
      <alignment horizontal="distributed" vertical="center"/>
      <protection/>
    </xf>
    <xf numFmtId="177" fontId="11" fillId="36" borderId="102" xfId="61" applyNumberFormat="1" applyFont="1" applyFill="1" applyBorder="1" applyAlignment="1">
      <alignment horizontal="right" vertical="center"/>
      <protection/>
    </xf>
    <xf numFmtId="177" fontId="11" fillId="37" borderId="103" xfId="61" applyNumberFormat="1" applyFont="1" applyFill="1" applyBorder="1" applyAlignment="1">
      <alignment horizontal="right" vertical="center"/>
      <protection/>
    </xf>
    <xf numFmtId="177" fontId="11" fillId="37" borderId="104" xfId="61" applyNumberFormat="1" applyFont="1" applyFill="1" applyBorder="1" applyAlignment="1">
      <alignment horizontal="right" vertical="center"/>
      <protection/>
    </xf>
    <xf numFmtId="0" fontId="11" fillId="35" borderId="105" xfId="61" applyFont="1" applyFill="1" applyBorder="1" applyAlignment="1">
      <alignment horizontal="distributed" vertical="center"/>
      <protection/>
    </xf>
    <xf numFmtId="0" fontId="14" fillId="35" borderId="88" xfId="61" applyFont="1" applyFill="1" applyBorder="1" applyAlignment="1">
      <alignment horizontal="distributed" vertical="center" shrinkToFit="1"/>
      <protection/>
    </xf>
    <xf numFmtId="177" fontId="14" fillId="36" borderId="89" xfId="61" applyNumberFormat="1" applyFont="1" applyFill="1" applyBorder="1" applyAlignment="1">
      <alignment horizontal="right" vertical="center" shrinkToFit="1"/>
      <protection/>
    </xf>
    <xf numFmtId="177" fontId="14" fillId="37" borderId="90" xfId="61" applyNumberFormat="1" applyFont="1" applyFill="1" applyBorder="1" applyAlignment="1">
      <alignment horizontal="right" vertical="center" shrinkToFit="1"/>
      <protection/>
    </xf>
    <xf numFmtId="177" fontId="14" fillId="37" borderId="91" xfId="61" applyNumberFormat="1" applyFont="1" applyFill="1" applyBorder="1" applyAlignment="1">
      <alignment horizontal="right" vertical="center" shrinkToFit="1"/>
      <protection/>
    </xf>
    <xf numFmtId="177" fontId="14" fillId="36" borderId="18" xfId="61" applyNumberFormat="1" applyFont="1" applyFill="1" applyBorder="1" applyAlignment="1">
      <alignment horizontal="right" vertical="center" shrinkToFit="1"/>
      <protection/>
    </xf>
    <xf numFmtId="177" fontId="14" fillId="36" borderId="106" xfId="61" applyNumberFormat="1" applyFont="1" applyFill="1" applyBorder="1" applyAlignment="1">
      <alignment horizontal="right" vertical="center" shrinkToFit="1"/>
      <protection/>
    </xf>
    <xf numFmtId="177" fontId="14" fillId="36" borderId="107" xfId="61" applyNumberFormat="1" applyFont="1" applyFill="1" applyBorder="1" applyAlignment="1">
      <alignment horizontal="right" vertical="center" shrinkToFit="1"/>
      <protection/>
    </xf>
    <xf numFmtId="0" fontId="14" fillId="35" borderId="92" xfId="61" applyFont="1" applyFill="1" applyBorder="1" applyAlignment="1">
      <alignment horizontal="distributed" vertical="center" shrinkToFit="1"/>
      <protection/>
    </xf>
    <xf numFmtId="0" fontId="9" fillId="35" borderId="93" xfId="61" applyFont="1" applyFill="1" applyBorder="1" applyAlignment="1">
      <alignment horizontal="distributed" vertical="center" shrinkToFit="1"/>
      <protection/>
    </xf>
    <xf numFmtId="177" fontId="9" fillId="36" borderId="94" xfId="61" applyNumberFormat="1" applyFont="1" applyFill="1" applyBorder="1" applyAlignment="1">
      <alignment horizontal="right" vertical="center" shrinkToFit="1"/>
      <protection/>
    </xf>
    <xf numFmtId="177" fontId="9" fillId="37" borderId="95" xfId="61" applyNumberFormat="1" applyFont="1" applyFill="1" applyBorder="1" applyAlignment="1">
      <alignment horizontal="right" vertical="center" shrinkToFit="1"/>
      <protection/>
    </xf>
    <xf numFmtId="177" fontId="9" fillId="37" borderId="96" xfId="61" applyNumberFormat="1" applyFont="1" applyFill="1" applyBorder="1" applyAlignment="1">
      <alignment horizontal="right" vertical="center" shrinkToFit="1"/>
      <protection/>
    </xf>
    <xf numFmtId="177" fontId="9" fillId="36" borderId="108" xfId="61" applyNumberFormat="1" applyFont="1" applyFill="1" applyBorder="1" applyAlignment="1">
      <alignment horizontal="right" vertical="center" shrinkToFit="1"/>
      <protection/>
    </xf>
    <xf numFmtId="177" fontId="9" fillId="36" borderId="96" xfId="61" applyNumberFormat="1" applyFont="1" applyFill="1" applyBorder="1" applyAlignment="1">
      <alignment horizontal="right" vertical="center" shrinkToFit="1"/>
      <protection/>
    </xf>
    <xf numFmtId="0" fontId="9" fillId="35" borderId="97" xfId="61" applyFont="1" applyFill="1" applyBorder="1" applyAlignment="1">
      <alignment horizontal="distributed" vertical="center" shrinkToFit="1"/>
      <protection/>
    </xf>
    <xf numFmtId="0" fontId="15" fillId="0" borderId="93" xfId="61" applyFont="1" applyFill="1" applyBorder="1" applyAlignment="1">
      <alignment horizontal="distributed" vertical="center" shrinkToFit="1"/>
      <protection/>
    </xf>
    <xf numFmtId="177" fontId="15" fillId="0" borderId="98" xfId="61" applyNumberFormat="1" applyFont="1" applyFill="1" applyBorder="1" applyAlignment="1">
      <alignment horizontal="right" vertical="center" shrinkToFit="1"/>
      <protection/>
    </xf>
    <xf numFmtId="177" fontId="15" fillId="0" borderId="95" xfId="61" applyNumberFormat="1" applyFont="1" applyFill="1" applyBorder="1" applyAlignment="1">
      <alignment horizontal="right" vertical="center" shrinkToFit="1"/>
      <protection/>
    </xf>
    <xf numFmtId="177" fontId="15" fillId="0" borderId="94" xfId="61" applyNumberFormat="1" applyFont="1" applyFill="1" applyBorder="1" applyAlignment="1">
      <alignment horizontal="right" vertical="center" shrinkToFit="1"/>
      <protection/>
    </xf>
    <xf numFmtId="177" fontId="14" fillId="0" borderId="94" xfId="61" applyNumberFormat="1" applyFont="1" applyFill="1" applyBorder="1" applyAlignment="1">
      <alignment horizontal="right" vertical="center" shrinkToFit="1"/>
      <protection/>
    </xf>
    <xf numFmtId="177" fontId="14" fillId="0" borderId="108" xfId="61" applyNumberFormat="1" applyFont="1" applyFill="1" applyBorder="1" applyAlignment="1">
      <alignment horizontal="right" vertical="center" shrinkToFit="1"/>
      <protection/>
    </xf>
    <xf numFmtId="177" fontId="14" fillId="0" borderId="96" xfId="61" applyNumberFormat="1" applyFont="1" applyFill="1" applyBorder="1" applyAlignment="1">
      <alignment horizontal="right" vertical="center" shrinkToFit="1"/>
      <protection/>
    </xf>
    <xf numFmtId="0" fontId="15" fillId="0" borderId="97" xfId="61" applyFont="1" applyFill="1" applyBorder="1" applyAlignment="1">
      <alignment horizontal="center" vertical="center" shrinkToFit="1"/>
      <protection/>
    </xf>
    <xf numFmtId="177" fontId="14" fillId="36" borderId="109" xfId="61" applyNumberFormat="1" applyFont="1" applyFill="1" applyBorder="1" applyAlignment="1">
      <alignment horizontal="right" vertical="center" shrinkToFit="1"/>
      <protection/>
    </xf>
    <xf numFmtId="177" fontId="14" fillId="36" borderId="91" xfId="61" applyNumberFormat="1" applyFont="1" applyFill="1" applyBorder="1" applyAlignment="1">
      <alignment horizontal="right" vertical="center" shrinkToFit="1"/>
      <protection/>
    </xf>
    <xf numFmtId="177" fontId="15" fillId="0" borderId="110" xfId="61" applyNumberFormat="1" applyFont="1" applyFill="1" applyBorder="1" applyAlignment="1">
      <alignment horizontal="right" vertical="center" shrinkToFit="1"/>
      <protection/>
    </xf>
    <xf numFmtId="177" fontId="15" fillId="0" borderId="99" xfId="61" applyNumberFormat="1" applyFont="1" applyFill="1" applyBorder="1" applyAlignment="1">
      <alignment horizontal="right" vertical="center" shrinkToFit="1"/>
      <protection/>
    </xf>
    <xf numFmtId="177" fontId="15" fillId="0" borderId="100" xfId="61" applyNumberFormat="1" applyFont="1" applyFill="1" applyBorder="1" applyAlignment="1">
      <alignment horizontal="right" vertical="center" shrinkToFit="1"/>
      <protection/>
    </xf>
    <xf numFmtId="177" fontId="14" fillId="0" borderId="18" xfId="61" applyNumberFormat="1" applyFont="1" applyFill="1" applyBorder="1" applyAlignment="1">
      <alignment horizontal="right" vertical="center" shrinkToFit="1"/>
      <protection/>
    </xf>
    <xf numFmtId="177" fontId="14" fillId="0" borderId="106" xfId="61" applyNumberFormat="1" applyFont="1" applyFill="1" applyBorder="1" applyAlignment="1">
      <alignment horizontal="right" vertical="center" shrinkToFit="1"/>
      <protection/>
    </xf>
    <xf numFmtId="177" fontId="14" fillId="0" borderId="107" xfId="61" applyNumberFormat="1" applyFont="1" applyFill="1" applyBorder="1" applyAlignment="1">
      <alignment horizontal="right" vertical="center" shrinkToFit="1"/>
      <protection/>
    </xf>
    <xf numFmtId="0" fontId="15" fillId="0" borderId="111" xfId="61" applyFont="1" applyFill="1" applyBorder="1" applyAlignment="1">
      <alignment horizontal="center" vertical="center" shrinkToFit="1"/>
      <protection/>
    </xf>
    <xf numFmtId="3" fontId="55" fillId="34" borderId="52" xfId="0" applyNumberFormat="1" applyFont="1" applyFill="1" applyBorder="1" applyAlignment="1">
      <alignment horizontal="right" vertical="center"/>
    </xf>
    <xf numFmtId="3" fontId="55" fillId="34" borderId="53" xfId="0" applyNumberFormat="1" applyFont="1" applyFill="1" applyBorder="1" applyAlignment="1">
      <alignment horizontal="right" vertical="center"/>
    </xf>
    <xf numFmtId="3" fontId="56" fillId="34" borderId="53" xfId="0" applyNumberFormat="1" applyFont="1" applyFill="1" applyBorder="1" applyAlignment="1">
      <alignment horizontal="right" vertical="center"/>
    </xf>
    <xf numFmtId="3" fontId="55" fillId="34" borderId="55" xfId="0" applyNumberFormat="1" applyFont="1" applyFill="1" applyBorder="1" applyAlignment="1">
      <alignment horizontal="right" vertical="center"/>
    </xf>
    <xf numFmtId="0" fontId="56" fillId="0" borderId="24" xfId="0" applyFont="1" applyBorder="1" applyAlignment="1">
      <alignment horizontal="right" vertical="center"/>
    </xf>
    <xf numFmtId="3" fontId="55" fillId="34" borderId="25" xfId="0" applyNumberFormat="1" applyFont="1" applyFill="1" applyBorder="1" applyAlignment="1">
      <alignment horizontal="right" vertical="center"/>
    </xf>
    <xf numFmtId="3" fontId="55" fillId="34" borderId="80" xfId="0" applyNumberFormat="1" applyFont="1" applyFill="1" applyBorder="1" applyAlignment="1">
      <alignment horizontal="right" vertical="center"/>
    </xf>
    <xf numFmtId="177" fontId="57" fillId="37" borderId="66" xfId="61" applyNumberFormat="1" applyFont="1" applyFill="1" applyBorder="1" applyAlignment="1">
      <alignment horizontal="right" vertical="center"/>
      <protection/>
    </xf>
    <xf numFmtId="177" fontId="57" fillId="36" borderId="65" xfId="61" applyNumberFormat="1" applyFont="1" applyFill="1" applyBorder="1" applyAlignment="1">
      <alignment horizontal="right" vertical="center"/>
      <protection/>
    </xf>
    <xf numFmtId="177" fontId="57" fillId="37" borderId="67" xfId="61" applyNumberFormat="1" applyFont="1" applyFill="1" applyBorder="1" applyAlignment="1">
      <alignment horizontal="right" vertical="center"/>
      <protection/>
    </xf>
    <xf numFmtId="177" fontId="57" fillId="37" borderId="70" xfId="61" applyNumberFormat="1" applyFont="1" applyFill="1" applyBorder="1" applyAlignment="1">
      <alignment horizontal="right" vertical="center"/>
      <protection/>
    </xf>
    <xf numFmtId="177" fontId="57" fillId="36" borderId="69" xfId="61" applyNumberFormat="1" applyFont="1" applyFill="1" applyBorder="1" applyAlignment="1">
      <alignment horizontal="right" vertical="center"/>
      <protection/>
    </xf>
    <xf numFmtId="177" fontId="57" fillId="37" borderId="71" xfId="61" applyNumberFormat="1" applyFont="1" applyFill="1" applyBorder="1" applyAlignment="1">
      <alignment horizontal="right" vertical="center"/>
      <protection/>
    </xf>
    <xf numFmtId="177" fontId="57" fillId="37" borderId="90" xfId="61" applyNumberFormat="1" applyFont="1" applyFill="1" applyBorder="1" applyAlignment="1">
      <alignment horizontal="right" vertical="center"/>
      <protection/>
    </xf>
    <xf numFmtId="177" fontId="57" fillId="36" borderId="89" xfId="61" applyNumberFormat="1" applyFont="1" applyFill="1" applyBorder="1" applyAlignment="1">
      <alignment horizontal="right" vertical="center"/>
      <protection/>
    </xf>
    <xf numFmtId="177" fontId="57" fillId="37" borderId="91" xfId="61" applyNumberFormat="1" applyFont="1" applyFill="1" applyBorder="1" applyAlignment="1">
      <alignment horizontal="right" vertical="center"/>
      <protection/>
    </xf>
    <xf numFmtId="177" fontId="58" fillId="36" borderId="94" xfId="61" applyNumberFormat="1" applyFont="1" applyFill="1" applyBorder="1" applyAlignment="1">
      <alignment horizontal="right" vertical="center"/>
      <protection/>
    </xf>
    <xf numFmtId="177" fontId="58" fillId="37" borderId="95" xfId="61" applyNumberFormat="1" applyFont="1" applyFill="1" applyBorder="1" applyAlignment="1">
      <alignment horizontal="right" vertical="center"/>
      <protection/>
    </xf>
    <xf numFmtId="177" fontId="58" fillId="37" borderId="96" xfId="61" applyNumberFormat="1" applyFont="1" applyFill="1" applyBorder="1" applyAlignment="1">
      <alignment horizontal="right" vertical="center"/>
      <protection/>
    </xf>
    <xf numFmtId="177" fontId="59" fillId="0" borderId="99" xfId="61" applyNumberFormat="1" applyFont="1" applyFill="1" applyBorder="1" applyAlignment="1">
      <alignment horizontal="right" vertical="center"/>
      <protection/>
    </xf>
    <xf numFmtId="177" fontId="59" fillId="0" borderId="110" xfId="61" applyNumberFormat="1" applyFont="1" applyFill="1" applyBorder="1" applyAlignment="1">
      <alignment horizontal="right" vertical="center"/>
      <protection/>
    </xf>
    <xf numFmtId="177" fontId="59" fillId="0" borderId="100" xfId="61" applyNumberFormat="1" applyFont="1" applyFill="1" applyBorder="1" applyAlignment="1">
      <alignment horizontal="right" vertical="center"/>
      <protection/>
    </xf>
    <xf numFmtId="177" fontId="58" fillId="37" borderId="63" xfId="61" applyNumberFormat="1" applyFont="1" applyFill="1" applyBorder="1" applyAlignment="1">
      <alignment horizontal="right" vertical="center"/>
      <protection/>
    </xf>
    <xf numFmtId="177" fontId="58" fillId="36" borderId="19" xfId="61" applyNumberFormat="1" applyFont="1" applyFill="1" applyBorder="1" applyAlignment="1">
      <alignment horizontal="right" vertical="center"/>
      <protection/>
    </xf>
    <xf numFmtId="177" fontId="58" fillId="37" borderId="73" xfId="61" applyNumberFormat="1" applyFont="1" applyFill="1" applyBorder="1" applyAlignment="1">
      <alignment horizontal="right" vertical="center"/>
      <protection/>
    </xf>
    <xf numFmtId="0" fontId="2" fillId="0" borderId="112" xfId="0" applyFont="1" applyBorder="1" applyAlignment="1">
      <alignment horizontal="distributed" vertical="center" wrapText="1"/>
    </xf>
    <xf numFmtId="0" fontId="2" fillId="0" borderId="112" xfId="0" applyFont="1" applyBorder="1" applyAlignment="1">
      <alignment horizontal="distributed" vertical="center"/>
    </xf>
    <xf numFmtId="0" fontId="2" fillId="0" borderId="113" xfId="0" applyFont="1" applyBorder="1" applyAlignment="1">
      <alignment horizontal="distributed" vertical="center"/>
    </xf>
    <xf numFmtId="0" fontId="2" fillId="0" borderId="114" xfId="0" applyFont="1" applyBorder="1" applyAlignment="1">
      <alignment horizontal="distributed" vertical="center" wrapText="1"/>
    </xf>
    <xf numFmtId="0" fontId="2" fillId="0" borderId="115" xfId="0" applyFont="1" applyBorder="1" applyAlignment="1">
      <alignment horizontal="distributed" vertical="center"/>
    </xf>
    <xf numFmtId="0" fontId="6" fillId="0" borderId="116" xfId="0" applyFont="1" applyBorder="1" applyAlignment="1">
      <alignment horizontal="distributed" vertical="center"/>
    </xf>
    <xf numFmtId="0" fontId="6" fillId="0" borderId="117" xfId="0" applyFont="1" applyBorder="1" applyAlignment="1">
      <alignment horizontal="distributed" vertical="center"/>
    </xf>
    <xf numFmtId="0" fontId="2" fillId="0" borderId="48" xfId="0" applyFont="1" applyBorder="1" applyAlignment="1">
      <alignment horizontal="distributed" vertical="center"/>
    </xf>
    <xf numFmtId="0" fontId="2" fillId="0" borderId="118" xfId="0" applyFont="1" applyBorder="1" applyAlignment="1">
      <alignment horizontal="distributed" vertical="center"/>
    </xf>
    <xf numFmtId="0" fontId="2" fillId="0" borderId="0" xfId="0" applyFont="1" applyAlignment="1">
      <alignment horizontal="left" vertical="top" wrapText="1"/>
    </xf>
    <xf numFmtId="0" fontId="5" fillId="0" borderId="0" xfId="0" applyFont="1" applyAlignment="1">
      <alignment horizontal="center" vertical="top"/>
    </xf>
    <xf numFmtId="0" fontId="2" fillId="0" borderId="0" xfId="0" applyFont="1" applyAlignment="1">
      <alignment horizontal="left" vertical="top"/>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127" xfId="0" applyFont="1" applyBorder="1" applyAlignment="1">
      <alignment horizontal="center" vertical="center"/>
    </xf>
    <xf numFmtId="0" fontId="2" fillId="0" borderId="51"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distributed" vertical="center"/>
    </xf>
    <xf numFmtId="0" fontId="2" fillId="0" borderId="130" xfId="0" applyFont="1" applyBorder="1" applyAlignment="1">
      <alignment horizontal="distributed" vertical="center"/>
    </xf>
    <xf numFmtId="0" fontId="2" fillId="0" borderId="112" xfId="0" applyFont="1" applyBorder="1" applyAlignment="1">
      <alignment horizontal="distributed" vertical="center"/>
    </xf>
    <xf numFmtId="0" fontId="2" fillId="0" borderId="113" xfId="0" applyFont="1" applyBorder="1" applyAlignment="1">
      <alignment horizontal="distributed"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10" fillId="0" borderId="131" xfId="61" applyFont="1" applyBorder="1" applyAlignment="1">
      <alignment horizontal="center" vertical="center"/>
      <protection/>
    </xf>
    <xf numFmtId="0" fontId="10" fillId="0" borderId="132" xfId="61" applyFont="1" applyBorder="1" applyAlignment="1">
      <alignment horizontal="center" vertical="center"/>
      <protection/>
    </xf>
    <xf numFmtId="0" fontId="10" fillId="0" borderId="133" xfId="61" applyFont="1" applyBorder="1" applyAlignment="1">
      <alignment horizontal="center" vertical="center"/>
      <protection/>
    </xf>
    <xf numFmtId="0" fontId="10" fillId="0" borderId="134" xfId="61" applyFont="1" applyBorder="1" applyAlignment="1">
      <alignment horizontal="center" vertical="center"/>
      <protection/>
    </xf>
    <xf numFmtId="0" fontId="10" fillId="0" borderId="38" xfId="61" applyFont="1" applyBorder="1" applyAlignment="1">
      <alignment horizontal="distributed" vertical="center" wrapText="1"/>
      <protection/>
    </xf>
    <xf numFmtId="0" fontId="10" fillId="0" borderId="111" xfId="61" applyFont="1" applyBorder="1" applyAlignment="1">
      <alignment horizontal="distributed" vertical="center" wrapText="1"/>
      <protection/>
    </xf>
    <xf numFmtId="0" fontId="10" fillId="0" borderId="135" xfId="61" applyFont="1" applyBorder="1" applyAlignment="1">
      <alignment horizontal="distributed" vertical="center" wrapText="1"/>
      <protection/>
    </xf>
    <xf numFmtId="0" fontId="10" fillId="0" borderId="136" xfId="61" applyFont="1" applyBorder="1" applyAlignment="1">
      <alignment horizontal="distributed" vertical="center" indent="1"/>
      <protection/>
    </xf>
    <xf numFmtId="0" fontId="10" fillId="0" borderId="133" xfId="61" applyFont="1" applyBorder="1" applyAlignment="1">
      <alignment horizontal="distributed" vertical="center" indent="1"/>
      <protection/>
    </xf>
    <xf numFmtId="0" fontId="10" fillId="0" borderId="137" xfId="61" applyFont="1" applyBorder="1" applyAlignment="1">
      <alignment horizontal="distributed" vertical="center" indent="1"/>
      <protection/>
    </xf>
    <xf numFmtId="0" fontId="10" fillId="0" borderId="137" xfId="61" applyFont="1" applyBorder="1" applyAlignment="1">
      <alignment horizontal="center" vertical="center"/>
      <protection/>
    </xf>
    <xf numFmtId="0" fontId="10" fillId="0" borderId="0" xfId="61" applyFont="1" applyBorder="1" applyAlignment="1">
      <alignment horizontal="left" vertical="center"/>
      <protection/>
    </xf>
    <xf numFmtId="0" fontId="10" fillId="0" borderId="119" xfId="61" applyFont="1" applyBorder="1" applyAlignment="1">
      <alignment horizontal="distributed" vertical="center"/>
      <protection/>
    </xf>
    <xf numFmtId="0" fontId="10" fillId="0" borderId="121" xfId="61" applyFont="1" applyBorder="1" applyAlignment="1">
      <alignment horizontal="distributed" vertical="center"/>
      <protection/>
    </xf>
    <xf numFmtId="0" fontId="10" fillId="0" borderId="138" xfId="61" applyFont="1" applyBorder="1" applyAlignment="1">
      <alignment horizontal="distributed" vertical="center"/>
      <protection/>
    </xf>
    <xf numFmtId="0" fontId="10" fillId="0" borderId="139" xfId="61" applyFont="1" applyBorder="1" applyAlignment="1">
      <alignment horizontal="center" vertical="center"/>
      <protection/>
    </xf>
    <xf numFmtId="0" fontId="10" fillId="0" borderId="131" xfId="61" applyFont="1" applyBorder="1" applyAlignment="1">
      <alignment horizontal="distributed" vertical="center" indent="1"/>
      <protection/>
    </xf>
    <xf numFmtId="0" fontId="10" fillId="0" borderId="132" xfId="61" applyFont="1" applyBorder="1" applyAlignment="1">
      <alignment horizontal="distributed" vertical="center" indent="1"/>
      <protection/>
    </xf>
    <xf numFmtId="0" fontId="10" fillId="0" borderId="134" xfId="61" applyFont="1" applyBorder="1" applyAlignment="1">
      <alignment horizontal="distributed" vertical="center" indent="1"/>
      <protection/>
    </xf>
    <xf numFmtId="0" fontId="10" fillId="0" borderId="131" xfId="61" applyFont="1" applyBorder="1" applyAlignment="1">
      <alignment horizontal="distributed" vertical="center" wrapText="1" indent="1"/>
      <protection/>
    </xf>
    <xf numFmtId="0" fontId="10" fillId="0" borderId="140" xfId="61" applyFont="1" applyBorder="1" applyAlignment="1">
      <alignment horizontal="left" vertical="center"/>
      <protection/>
    </xf>
    <xf numFmtId="0" fontId="10" fillId="0" borderId="139" xfId="61" applyFont="1" applyBorder="1" applyAlignment="1">
      <alignment horizontal="distributed" vertical="center" indent="1"/>
      <protection/>
    </xf>
    <xf numFmtId="0" fontId="10" fillId="0" borderId="139" xfId="61" applyFont="1" applyBorder="1" applyAlignment="1">
      <alignment horizontal="distributed" vertical="center" wrapText="1" indent="1"/>
      <protection/>
    </xf>
    <xf numFmtId="0" fontId="10" fillId="0" borderId="136" xfId="61" applyFont="1" applyBorder="1" applyAlignment="1">
      <alignment horizontal="center" vertical="center"/>
      <protection/>
    </xf>
    <xf numFmtId="0" fontId="10" fillId="0" borderId="141" xfId="61" applyFont="1" applyBorder="1" applyAlignment="1">
      <alignment horizontal="center" vertical="center"/>
      <protection/>
    </xf>
    <xf numFmtId="0" fontId="10" fillId="0" borderId="142" xfId="61" applyFont="1" applyBorder="1" applyAlignment="1">
      <alignment horizontal="center" vertical="center"/>
      <protection/>
    </xf>
    <xf numFmtId="0" fontId="10" fillId="0" borderId="143" xfId="61" applyFont="1" applyBorder="1" applyAlignment="1">
      <alignment horizontal="distributed" vertical="center" wrapText="1"/>
      <protection/>
    </xf>
    <xf numFmtId="0" fontId="10" fillId="0" borderId="144" xfId="61" applyFont="1" applyBorder="1" applyAlignment="1">
      <alignment horizontal="distributed" vertical="center"/>
      <protection/>
    </xf>
    <xf numFmtId="0" fontId="10" fillId="0" borderId="145" xfId="61" applyFont="1" applyBorder="1" applyAlignment="1">
      <alignment horizontal="distributed" vertical="center" wrapText="1"/>
      <protection/>
    </xf>
    <xf numFmtId="0" fontId="10" fillId="0" borderId="146" xfId="61" applyFont="1" applyBorder="1" applyAlignment="1">
      <alignment horizontal="distributed" vertical="center"/>
      <protection/>
    </xf>
    <xf numFmtId="0" fontId="10" fillId="0" borderId="147" xfId="61" applyFont="1" applyBorder="1" applyAlignment="1">
      <alignment horizontal="distributed" vertical="center" wrapText="1"/>
      <protection/>
    </xf>
    <xf numFmtId="0" fontId="10" fillId="0" borderId="148" xfId="61" applyFont="1" applyBorder="1" applyAlignment="1">
      <alignment horizontal="distributed" vertical="center" wrapText="1"/>
      <protection/>
    </xf>
    <xf numFmtId="0" fontId="10" fillId="0" borderId="40" xfId="61" applyFont="1" applyBorder="1" applyAlignment="1">
      <alignment horizontal="center" vertical="center"/>
      <protection/>
    </xf>
    <xf numFmtId="0" fontId="2"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Fill="1" applyBorder="1" applyAlignment="1">
      <alignment horizontal="lef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19"/>
  <sheetViews>
    <sheetView showGridLines="0" tabSelected="1" workbookViewId="0" topLeftCell="A1">
      <selection activeCell="A1" sqref="A1:K1"/>
    </sheetView>
  </sheetViews>
  <sheetFormatPr defaultColWidth="5.875" defaultRowHeight="13.5"/>
  <cols>
    <col min="1" max="1" width="10.625" style="1" customWidth="1"/>
    <col min="2" max="2" width="16.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1.375" style="1" customWidth="1"/>
    <col min="9" max="9" width="3.00390625" style="1" customWidth="1"/>
    <col min="10" max="10" width="6.75390625" style="1" customWidth="1"/>
    <col min="11" max="11" width="11.375" style="1" bestFit="1" customWidth="1"/>
    <col min="12" max="16384" width="5.875" style="1" customWidth="1"/>
  </cols>
  <sheetData>
    <row r="1" spans="1:11" ht="15">
      <c r="A1" s="259" t="s">
        <v>0</v>
      </c>
      <c r="B1" s="259"/>
      <c r="C1" s="259"/>
      <c r="D1" s="259"/>
      <c r="E1" s="259"/>
      <c r="F1" s="259"/>
      <c r="G1" s="259"/>
      <c r="H1" s="259"/>
      <c r="I1" s="259"/>
      <c r="J1" s="259"/>
      <c r="K1" s="259"/>
    </row>
    <row r="2" spans="1:11" ht="15">
      <c r="A2" s="53"/>
      <c r="B2" s="53"/>
      <c r="C2" s="53"/>
      <c r="D2" s="53"/>
      <c r="E2" s="53"/>
      <c r="F2" s="53"/>
      <c r="G2" s="53"/>
      <c r="H2" s="53"/>
      <c r="I2" s="53"/>
      <c r="J2" s="53"/>
      <c r="K2" s="53"/>
    </row>
    <row r="3" spans="1:11" ht="12" thickBot="1">
      <c r="A3" s="260" t="s">
        <v>29</v>
      </c>
      <c r="B3" s="260"/>
      <c r="C3" s="260"/>
      <c r="D3" s="260"/>
      <c r="E3" s="260"/>
      <c r="F3" s="260"/>
      <c r="G3" s="260"/>
      <c r="H3" s="260"/>
      <c r="I3" s="260"/>
      <c r="J3" s="260"/>
      <c r="K3" s="260"/>
    </row>
    <row r="4" spans="1:11" ht="24" customHeight="1">
      <c r="A4" s="261" t="s">
        <v>1</v>
      </c>
      <c r="B4" s="262"/>
      <c r="C4" s="265" t="s">
        <v>15</v>
      </c>
      <c r="D4" s="266"/>
      <c r="E4" s="267"/>
      <c r="F4" s="265" t="s">
        <v>16</v>
      </c>
      <c r="G4" s="266"/>
      <c r="H4" s="267"/>
      <c r="I4" s="265" t="s">
        <v>17</v>
      </c>
      <c r="J4" s="266"/>
      <c r="K4" s="268"/>
    </row>
    <row r="5" spans="1:11" ht="24" customHeight="1">
      <c r="A5" s="263"/>
      <c r="B5" s="264"/>
      <c r="C5" s="269" t="s">
        <v>2</v>
      </c>
      <c r="D5" s="270"/>
      <c r="E5" s="6" t="s">
        <v>3</v>
      </c>
      <c r="F5" s="269" t="s">
        <v>2</v>
      </c>
      <c r="G5" s="270"/>
      <c r="H5" s="6" t="s">
        <v>3</v>
      </c>
      <c r="I5" s="269" t="s">
        <v>2</v>
      </c>
      <c r="J5" s="270"/>
      <c r="K5" s="14" t="s">
        <v>3</v>
      </c>
    </row>
    <row r="6" spans="1:11" ht="12" customHeight="1">
      <c r="A6" s="40"/>
      <c r="B6" s="43"/>
      <c r="C6" s="41"/>
      <c r="D6" s="33" t="s">
        <v>31</v>
      </c>
      <c r="E6" s="32" t="s">
        <v>30</v>
      </c>
      <c r="F6" s="41"/>
      <c r="G6" s="33" t="s">
        <v>31</v>
      </c>
      <c r="H6" s="32" t="s">
        <v>30</v>
      </c>
      <c r="I6" s="41"/>
      <c r="J6" s="33" t="s">
        <v>31</v>
      </c>
      <c r="K6" s="42" t="s">
        <v>30</v>
      </c>
    </row>
    <row r="7" spans="1:11" ht="30" customHeight="1">
      <c r="A7" s="249" t="s">
        <v>32</v>
      </c>
      <c r="B7" s="37" t="s">
        <v>18</v>
      </c>
      <c r="C7" s="15"/>
      <c r="D7" s="224">
        <v>57784</v>
      </c>
      <c r="E7" s="38">
        <v>38793734</v>
      </c>
      <c r="F7" s="18"/>
      <c r="G7" s="109">
        <v>155883</v>
      </c>
      <c r="H7" s="38">
        <v>1560967212</v>
      </c>
      <c r="I7" s="18"/>
      <c r="J7" s="109">
        <v>213667</v>
      </c>
      <c r="K7" s="39">
        <v>1599760946</v>
      </c>
    </row>
    <row r="8" spans="1:11" ht="30" customHeight="1">
      <c r="A8" s="250"/>
      <c r="B8" s="23" t="s">
        <v>19</v>
      </c>
      <c r="C8" s="15"/>
      <c r="D8" s="225">
        <v>88394</v>
      </c>
      <c r="E8" s="111">
        <v>38056410</v>
      </c>
      <c r="F8" s="18"/>
      <c r="G8" s="110">
        <v>58468</v>
      </c>
      <c r="H8" s="111">
        <v>36202642</v>
      </c>
      <c r="I8" s="18"/>
      <c r="J8" s="110">
        <v>146862</v>
      </c>
      <c r="K8" s="112">
        <v>74259051</v>
      </c>
    </row>
    <row r="9" spans="1:11" s="3" customFormat="1" ht="30" customHeight="1">
      <c r="A9" s="250"/>
      <c r="B9" s="24" t="s">
        <v>20</v>
      </c>
      <c r="C9" s="16"/>
      <c r="D9" s="226">
        <v>146178</v>
      </c>
      <c r="E9" s="114">
        <v>76850144</v>
      </c>
      <c r="F9" s="16"/>
      <c r="G9" s="113">
        <v>214351</v>
      </c>
      <c r="H9" s="114">
        <v>1597169853</v>
      </c>
      <c r="I9" s="16"/>
      <c r="J9" s="113">
        <v>360529</v>
      </c>
      <c r="K9" s="115">
        <v>1674019997</v>
      </c>
    </row>
    <row r="10" spans="1:11" ht="30" customHeight="1">
      <c r="A10" s="251"/>
      <c r="B10" s="25" t="s">
        <v>21</v>
      </c>
      <c r="C10" s="15"/>
      <c r="D10" s="227">
        <v>4293</v>
      </c>
      <c r="E10" s="117">
        <v>3532751</v>
      </c>
      <c r="F10" s="15"/>
      <c r="G10" s="116">
        <v>12519</v>
      </c>
      <c r="H10" s="117">
        <v>696535870</v>
      </c>
      <c r="I10" s="15"/>
      <c r="J10" s="116">
        <v>16812</v>
      </c>
      <c r="K10" s="118">
        <v>700068621</v>
      </c>
    </row>
    <row r="11" spans="1:11" ht="30" customHeight="1">
      <c r="A11" s="252" t="s">
        <v>33</v>
      </c>
      <c r="B11" s="54" t="s">
        <v>22</v>
      </c>
      <c r="C11" s="9"/>
      <c r="D11" s="119">
        <v>11359</v>
      </c>
      <c r="E11" s="20">
        <v>2236133</v>
      </c>
      <c r="F11" s="34"/>
      <c r="G11" s="120">
        <v>12997</v>
      </c>
      <c r="H11" s="20">
        <v>5087060</v>
      </c>
      <c r="I11" s="34"/>
      <c r="J11" s="120">
        <v>24356</v>
      </c>
      <c r="K11" s="21">
        <v>7323193</v>
      </c>
    </row>
    <row r="12" spans="1:11" ht="30" customHeight="1">
      <c r="A12" s="253"/>
      <c r="B12" s="55" t="s">
        <v>23</v>
      </c>
      <c r="C12" s="35"/>
      <c r="D12" s="110">
        <v>1161</v>
      </c>
      <c r="E12" s="111">
        <v>244776</v>
      </c>
      <c r="F12" s="36"/>
      <c r="G12" s="121">
        <v>1642</v>
      </c>
      <c r="H12" s="111">
        <v>2559230</v>
      </c>
      <c r="I12" s="36"/>
      <c r="J12" s="121">
        <v>2803</v>
      </c>
      <c r="K12" s="112">
        <v>2804006</v>
      </c>
    </row>
    <row r="13" spans="1:11" s="3" customFormat="1" ht="30" customHeight="1">
      <c r="A13" s="254" t="s">
        <v>6</v>
      </c>
      <c r="B13" s="255"/>
      <c r="C13" s="26" t="s">
        <v>14</v>
      </c>
      <c r="D13" s="122">
        <v>154285</v>
      </c>
      <c r="E13" s="123">
        <v>75308749</v>
      </c>
      <c r="F13" s="228" t="s">
        <v>14</v>
      </c>
      <c r="G13" s="122">
        <v>228343</v>
      </c>
      <c r="H13" s="123">
        <v>903161813</v>
      </c>
      <c r="I13" s="228" t="s">
        <v>14</v>
      </c>
      <c r="J13" s="122">
        <v>382628</v>
      </c>
      <c r="K13" s="124">
        <v>978470563</v>
      </c>
    </row>
    <row r="14" spans="1:11" ht="30" customHeight="1" thickBot="1">
      <c r="A14" s="256" t="s">
        <v>7</v>
      </c>
      <c r="B14" s="257"/>
      <c r="C14" s="17"/>
      <c r="D14" s="125">
        <v>10818</v>
      </c>
      <c r="E14" s="126">
        <v>462662</v>
      </c>
      <c r="F14" s="19"/>
      <c r="G14" s="125">
        <v>10146</v>
      </c>
      <c r="H14" s="126">
        <v>939075</v>
      </c>
      <c r="I14" s="19"/>
      <c r="J14" s="125">
        <v>20964</v>
      </c>
      <c r="K14" s="127">
        <v>1401737</v>
      </c>
    </row>
    <row r="15" spans="1:11" s="315" customFormat="1" ht="3" customHeight="1">
      <c r="A15" s="100"/>
      <c r="B15" s="100"/>
      <c r="C15" s="101"/>
      <c r="D15" s="102"/>
      <c r="E15" s="102"/>
      <c r="F15" s="102"/>
      <c r="G15" s="102"/>
      <c r="H15" s="102"/>
      <c r="I15" s="102"/>
      <c r="J15" s="102"/>
      <c r="K15" s="102"/>
    </row>
    <row r="16" spans="1:11" s="4" customFormat="1" ht="37.5" customHeight="1">
      <c r="A16" s="313" t="s">
        <v>163</v>
      </c>
      <c r="B16" s="314" t="s">
        <v>231</v>
      </c>
      <c r="C16" s="314"/>
      <c r="D16" s="314"/>
      <c r="E16" s="314"/>
      <c r="F16" s="314"/>
      <c r="G16" s="314"/>
      <c r="H16" s="314"/>
      <c r="I16" s="314"/>
      <c r="J16" s="314"/>
      <c r="K16" s="314"/>
    </row>
    <row r="17" spans="2:11" ht="45" customHeight="1">
      <c r="B17" s="258" t="s">
        <v>232</v>
      </c>
      <c r="C17" s="258"/>
      <c r="D17" s="258"/>
      <c r="E17" s="258"/>
      <c r="F17" s="258"/>
      <c r="G17" s="258"/>
      <c r="H17" s="258"/>
      <c r="I17" s="258"/>
      <c r="J17" s="258"/>
      <c r="K17" s="258"/>
    </row>
    <row r="18" spans="1:2" ht="14.25" customHeight="1">
      <c r="A18" s="1" t="s">
        <v>164</v>
      </c>
      <c r="B18" s="1" t="s">
        <v>165</v>
      </c>
    </row>
    <row r="19" spans="1:2" ht="11.25">
      <c r="A19" s="58" t="s">
        <v>166</v>
      </c>
      <c r="B19" s="1" t="s">
        <v>229</v>
      </c>
    </row>
  </sheetData>
  <sheetProtection/>
  <mergeCells count="15">
    <mergeCell ref="A1:K1"/>
    <mergeCell ref="A3:K3"/>
    <mergeCell ref="A4:B5"/>
    <mergeCell ref="C4:E4"/>
    <mergeCell ref="F4:H4"/>
    <mergeCell ref="I4:K4"/>
    <mergeCell ref="C5:D5"/>
    <mergeCell ref="F5:G5"/>
    <mergeCell ref="I5:J5"/>
    <mergeCell ref="A7:A10"/>
    <mergeCell ref="A11:A12"/>
    <mergeCell ref="A13:B13"/>
    <mergeCell ref="A14:B14"/>
    <mergeCell ref="B16:K16"/>
    <mergeCell ref="B17:K17"/>
  </mergeCells>
  <printOptions horizontalCentered="1"/>
  <pageMargins left="0.7086614173228347" right="0.7086614173228347" top="0.984251968503937" bottom="0.984251968503937" header="0.5118110236220472" footer="0.5118110236220472"/>
  <pageSetup horizontalDpi="600" verticalDpi="600" orientation="portrait" paperSize="9" r:id="rId1"/>
  <headerFooter alignWithMargins="0">
    <oddFooter>&amp;R&amp;K01+000名古屋国税局 消費税（H30）</oddFooter>
  </headerFooter>
</worksheet>
</file>

<file path=xl/worksheets/sheet2.xml><?xml version="1.0" encoding="utf-8"?>
<worksheet xmlns="http://schemas.openxmlformats.org/spreadsheetml/2006/main" xmlns:r="http://schemas.openxmlformats.org/officeDocument/2006/relationships">
  <dimension ref="A1:H22"/>
  <sheetViews>
    <sheetView showGridLines="0" zoomScaleSheetLayoutView="100" workbookViewId="0" topLeftCell="A1">
      <selection activeCell="A1" sqref="A1"/>
    </sheetView>
  </sheetViews>
  <sheetFormatPr defaultColWidth="9.00390625" defaultRowHeight="13.5"/>
  <cols>
    <col min="1" max="1" width="10.625" style="57" customWidth="1"/>
    <col min="2" max="2" width="15.625" style="57" customWidth="1"/>
    <col min="3" max="3" width="8.625" style="57" customWidth="1"/>
    <col min="4" max="4" width="10.625" style="57" customWidth="1"/>
    <col min="5" max="5" width="8.625" style="57" customWidth="1"/>
    <col min="6" max="6" width="12.875" style="57" bestFit="1" customWidth="1"/>
    <col min="7" max="7" width="8.625" style="57" customWidth="1"/>
    <col min="8" max="8" width="12.875" style="57" bestFit="1" customWidth="1"/>
    <col min="9" max="16384" width="9.00390625" style="57" customWidth="1"/>
  </cols>
  <sheetData>
    <row r="1" s="1" customFormat="1" ht="12" thickBot="1">
      <c r="A1" s="1" t="s">
        <v>34</v>
      </c>
    </row>
    <row r="2" spans="1:8" s="1" customFormat="1" ht="15" customHeight="1">
      <c r="A2" s="261" t="s">
        <v>1</v>
      </c>
      <c r="B2" s="262"/>
      <c r="C2" s="271" t="s">
        <v>15</v>
      </c>
      <c r="D2" s="271"/>
      <c r="E2" s="271" t="s">
        <v>24</v>
      </c>
      <c r="F2" s="271"/>
      <c r="G2" s="272" t="s">
        <v>25</v>
      </c>
      <c r="H2" s="273"/>
    </row>
    <row r="3" spans="1:8" s="1" customFormat="1" ht="15" customHeight="1">
      <c r="A3" s="263"/>
      <c r="B3" s="264"/>
      <c r="C3" s="9" t="s">
        <v>26</v>
      </c>
      <c r="D3" s="6" t="s">
        <v>27</v>
      </c>
      <c r="E3" s="9" t="s">
        <v>26</v>
      </c>
      <c r="F3" s="7" t="s">
        <v>27</v>
      </c>
      <c r="G3" s="9" t="s">
        <v>26</v>
      </c>
      <c r="H3" s="8" t="s">
        <v>27</v>
      </c>
    </row>
    <row r="4" spans="1:8" s="10" customFormat="1" ht="15" customHeight="1">
      <c r="A4" s="45"/>
      <c r="B4" s="6"/>
      <c r="C4" s="46" t="s">
        <v>4</v>
      </c>
      <c r="D4" s="47" t="s">
        <v>5</v>
      </c>
      <c r="E4" s="46" t="s">
        <v>4</v>
      </c>
      <c r="F4" s="47" t="s">
        <v>5</v>
      </c>
      <c r="G4" s="46" t="s">
        <v>4</v>
      </c>
      <c r="H4" s="48" t="s">
        <v>5</v>
      </c>
    </row>
    <row r="5" spans="1:8" s="56" customFormat="1" ht="30" customHeight="1">
      <c r="A5" s="276" t="s">
        <v>234</v>
      </c>
      <c r="B5" s="37" t="s">
        <v>12</v>
      </c>
      <c r="C5" s="44">
        <v>150362</v>
      </c>
      <c r="D5" s="38">
        <v>69660505</v>
      </c>
      <c r="E5" s="44">
        <v>213979</v>
      </c>
      <c r="F5" s="38">
        <v>1267857516</v>
      </c>
      <c r="G5" s="44">
        <v>364341</v>
      </c>
      <c r="H5" s="39">
        <v>1337518021</v>
      </c>
    </row>
    <row r="6" spans="1:8" s="56" customFormat="1" ht="30" customHeight="1">
      <c r="A6" s="277"/>
      <c r="B6" s="25" t="s">
        <v>13</v>
      </c>
      <c r="C6" s="28">
        <v>4094</v>
      </c>
      <c r="D6" s="29">
        <v>2447865</v>
      </c>
      <c r="E6" s="28">
        <v>10805</v>
      </c>
      <c r="F6" s="29">
        <v>527261049</v>
      </c>
      <c r="G6" s="28">
        <v>14899</v>
      </c>
      <c r="H6" s="30">
        <v>529708915</v>
      </c>
    </row>
    <row r="7" spans="1:8" s="56" customFormat="1" ht="30" customHeight="1">
      <c r="A7" s="276" t="s">
        <v>225</v>
      </c>
      <c r="B7" s="22" t="s">
        <v>12</v>
      </c>
      <c r="C7" s="27">
        <v>149996</v>
      </c>
      <c r="D7" s="20">
        <v>77162897</v>
      </c>
      <c r="E7" s="27">
        <v>213781</v>
      </c>
      <c r="F7" s="20">
        <v>1492886948</v>
      </c>
      <c r="G7" s="27">
        <v>363777</v>
      </c>
      <c r="H7" s="21">
        <v>1570049845</v>
      </c>
    </row>
    <row r="8" spans="1:8" s="56" customFormat="1" ht="30" customHeight="1">
      <c r="A8" s="277"/>
      <c r="B8" s="25" t="s">
        <v>13</v>
      </c>
      <c r="C8" s="28">
        <v>4201</v>
      </c>
      <c r="D8" s="29">
        <v>3442565</v>
      </c>
      <c r="E8" s="28">
        <v>11419</v>
      </c>
      <c r="F8" s="29">
        <v>557756889</v>
      </c>
      <c r="G8" s="28">
        <v>15620</v>
      </c>
      <c r="H8" s="30">
        <v>561199454</v>
      </c>
    </row>
    <row r="9" spans="1:8" s="56" customFormat="1" ht="30" customHeight="1">
      <c r="A9" s="276" t="s">
        <v>230</v>
      </c>
      <c r="B9" s="22" t="s">
        <v>12</v>
      </c>
      <c r="C9" s="27">
        <v>150456</v>
      </c>
      <c r="D9" s="20">
        <v>78017079</v>
      </c>
      <c r="E9" s="27">
        <v>214585</v>
      </c>
      <c r="F9" s="20">
        <v>1518559627</v>
      </c>
      <c r="G9" s="27">
        <v>365041</v>
      </c>
      <c r="H9" s="21">
        <v>1596576707</v>
      </c>
    </row>
    <row r="10" spans="1:8" s="56" customFormat="1" ht="30" customHeight="1">
      <c r="A10" s="277"/>
      <c r="B10" s="25" t="s">
        <v>13</v>
      </c>
      <c r="C10" s="28">
        <v>4192</v>
      </c>
      <c r="D10" s="29">
        <v>3539687</v>
      </c>
      <c r="E10" s="28">
        <v>11672</v>
      </c>
      <c r="F10" s="29">
        <v>581475508</v>
      </c>
      <c r="G10" s="28">
        <v>15864</v>
      </c>
      <c r="H10" s="30">
        <v>585015195</v>
      </c>
    </row>
    <row r="11" spans="1:8" s="56" customFormat="1" ht="30" customHeight="1">
      <c r="A11" s="276" t="s">
        <v>235</v>
      </c>
      <c r="B11" s="22" t="s">
        <v>12</v>
      </c>
      <c r="C11" s="27">
        <v>147890</v>
      </c>
      <c r="D11" s="20">
        <v>77484928</v>
      </c>
      <c r="E11" s="27">
        <v>214624</v>
      </c>
      <c r="F11" s="20">
        <v>1552822819</v>
      </c>
      <c r="G11" s="27">
        <v>362514</v>
      </c>
      <c r="H11" s="21">
        <v>1630307747</v>
      </c>
    </row>
    <row r="12" spans="1:8" s="56" customFormat="1" ht="30" customHeight="1">
      <c r="A12" s="277"/>
      <c r="B12" s="25" t="s">
        <v>13</v>
      </c>
      <c r="C12" s="28">
        <v>4155</v>
      </c>
      <c r="D12" s="29">
        <v>3360593</v>
      </c>
      <c r="E12" s="28">
        <v>11944</v>
      </c>
      <c r="F12" s="29">
        <v>640633498</v>
      </c>
      <c r="G12" s="28">
        <v>16099</v>
      </c>
      <c r="H12" s="30">
        <v>643994091</v>
      </c>
    </row>
    <row r="13" spans="1:8" s="1" customFormat="1" ht="30" customHeight="1">
      <c r="A13" s="274" t="s">
        <v>236</v>
      </c>
      <c r="B13" s="22" t="s">
        <v>12</v>
      </c>
      <c r="C13" s="229">
        <v>146178</v>
      </c>
      <c r="D13" s="20">
        <v>76850144</v>
      </c>
      <c r="E13" s="27">
        <v>214351</v>
      </c>
      <c r="F13" s="20">
        <v>1597169853</v>
      </c>
      <c r="G13" s="27">
        <v>360529</v>
      </c>
      <c r="H13" s="21">
        <v>1674019997</v>
      </c>
    </row>
    <row r="14" spans="1:8" s="1" customFormat="1" ht="30" customHeight="1" thickBot="1">
      <c r="A14" s="275"/>
      <c r="B14" s="31" t="s">
        <v>13</v>
      </c>
      <c r="C14" s="230">
        <v>4293</v>
      </c>
      <c r="D14" s="161">
        <v>3532751</v>
      </c>
      <c r="E14" s="160">
        <v>12519</v>
      </c>
      <c r="F14" s="161">
        <v>696535870</v>
      </c>
      <c r="G14" s="160">
        <v>16812</v>
      </c>
      <c r="H14" s="162">
        <v>700068621</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086614173228347" right="0.7086614173228347" top="0.984251968503937" bottom="0.984251968503937" header="0.5118110236220472" footer="0.5118110236220472"/>
  <pageSetup horizontalDpi="600" verticalDpi="600" orientation="portrait" paperSize="9" r:id="rId1"/>
  <headerFooter alignWithMargins="0">
    <oddFooter>&amp;R&amp;K01+000名古屋国税局 消費税（H30）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7"/>
  <sheetViews>
    <sheetView showGridLines="0" zoomScaleSheetLayoutView="100" workbookViewId="0" topLeftCell="A1">
      <selection activeCell="A1" sqref="A1"/>
    </sheetView>
  </sheetViews>
  <sheetFormatPr defaultColWidth="9.00390625" defaultRowHeight="13.5"/>
  <cols>
    <col min="1" max="2" width="18.625" style="57" customWidth="1"/>
    <col min="3" max="3" width="23.625" style="57" customWidth="1"/>
    <col min="4" max="4" width="18.625" style="57" customWidth="1"/>
    <col min="5" max="16384" width="9.00390625" style="57" customWidth="1"/>
  </cols>
  <sheetData>
    <row r="1" s="1" customFormat="1" ht="20.25" customHeight="1" thickBot="1">
      <c r="A1" s="1" t="s">
        <v>28</v>
      </c>
    </row>
    <row r="2" spans="1:4" s="4" customFormat="1" ht="19.5" customHeight="1">
      <c r="A2" s="11" t="s">
        <v>8</v>
      </c>
      <c r="B2" s="12" t="s">
        <v>9</v>
      </c>
      <c r="C2" s="13" t="s">
        <v>10</v>
      </c>
      <c r="D2" s="59" t="s">
        <v>35</v>
      </c>
    </row>
    <row r="3" spans="1:4" s="10" customFormat="1" ht="15" customHeight="1">
      <c r="A3" s="49" t="s">
        <v>4</v>
      </c>
      <c r="B3" s="50" t="s">
        <v>4</v>
      </c>
      <c r="C3" s="51" t="s">
        <v>4</v>
      </c>
      <c r="D3" s="52" t="s">
        <v>4</v>
      </c>
    </row>
    <row r="4" spans="1:9" s="4" customFormat="1" ht="30" customHeight="1" thickBot="1">
      <c r="A4" s="166">
        <v>377518</v>
      </c>
      <c r="B4" s="167">
        <v>10284</v>
      </c>
      <c r="C4" s="168">
        <v>1326</v>
      </c>
      <c r="D4" s="169">
        <v>389128</v>
      </c>
      <c r="E4" s="5"/>
      <c r="G4" s="5"/>
      <c r="I4" s="5"/>
    </row>
    <row r="5" spans="1:9" s="105" customFormat="1" ht="3" customHeight="1">
      <c r="A5" s="103"/>
      <c r="B5" s="103"/>
      <c r="C5" s="103"/>
      <c r="D5" s="103"/>
      <c r="E5" s="104"/>
      <c r="G5" s="104"/>
      <c r="I5" s="104"/>
    </row>
    <row r="6" spans="1:4" s="4" customFormat="1" ht="15" customHeight="1">
      <c r="A6" s="278" t="s">
        <v>233</v>
      </c>
      <c r="B6" s="278"/>
      <c r="C6" s="278"/>
      <c r="D6" s="278"/>
    </row>
    <row r="7" spans="1:4" s="4" customFormat="1" ht="15" customHeight="1">
      <c r="A7" s="279" t="s">
        <v>11</v>
      </c>
      <c r="B7" s="279"/>
      <c r="C7" s="279"/>
      <c r="D7" s="279"/>
    </row>
  </sheetData>
  <sheetProtection/>
  <mergeCells count="2">
    <mergeCell ref="A6:D6"/>
    <mergeCell ref="A7:D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&amp;R&amp;K01+000名古屋国税局 消費税（H30）</oddFooter>
  </headerFooter>
</worksheet>
</file>

<file path=xl/worksheets/sheet4.xml><?xml version="1.0" encoding="utf-8"?>
<worksheet xmlns="http://schemas.openxmlformats.org/spreadsheetml/2006/main" xmlns:r="http://schemas.openxmlformats.org/officeDocument/2006/relationships">
  <dimension ref="A1:N65"/>
  <sheetViews>
    <sheetView showGridLines="0" zoomScale="85" zoomScaleNormal="85" zoomScaleSheetLayoutView="100" zoomScalePageLayoutView="115" workbookViewId="0" topLeftCell="A1">
      <selection activeCell="E20" sqref="E20"/>
    </sheetView>
  </sheetViews>
  <sheetFormatPr defaultColWidth="9.00390625" defaultRowHeight="13.5"/>
  <cols>
    <col min="1" max="1" width="11.375" style="144" customWidth="1"/>
    <col min="2" max="2" width="11.25390625" style="144" customWidth="1"/>
    <col min="3" max="3" width="12.625" style="144" customWidth="1"/>
    <col min="4" max="4" width="11.25390625" style="144" customWidth="1"/>
    <col min="5" max="5" width="12.625" style="144" customWidth="1"/>
    <col min="6" max="6" width="11.25390625" style="144" customWidth="1"/>
    <col min="7" max="7" width="12.625" style="144" customWidth="1"/>
    <col min="8" max="8" width="11.25390625" style="144" customWidth="1"/>
    <col min="9" max="9" width="12.625" style="144" customWidth="1"/>
    <col min="10" max="10" width="11.25390625" style="144" customWidth="1"/>
    <col min="11" max="11" width="12.625" style="144" customWidth="1"/>
    <col min="12" max="12" width="11.25390625" style="144" customWidth="1"/>
    <col min="13" max="13" width="12.625" style="144" customWidth="1"/>
    <col min="14" max="14" width="11.375" style="144" customWidth="1"/>
    <col min="15" max="16384" width="9.00390625" style="144" customWidth="1"/>
  </cols>
  <sheetData>
    <row r="1" spans="1:14" ht="13.5">
      <c r="A1" s="60" t="s">
        <v>227</v>
      </c>
      <c r="B1" s="60"/>
      <c r="C1" s="60"/>
      <c r="D1" s="60"/>
      <c r="E1" s="60"/>
      <c r="F1" s="60"/>
      <c r="G1" s="60"/>
      <c r="H1" s="61"/>
      <c r="I1" s="61"/>
      <c r="J1" s="61"/>
      <c r="K1" s="61"/>
      <c r="L1" s="61"/>
      <c r="M1" s="61"/>
      <c r="N1" s="61"/>
    </row>
    <row r="2" spans="1:14" ht="14.25" thickBot="1">
      <c r="A2" s="291" t="s">
        <v>36</v>
      </c>
      <c r="B2" s="291"/>
      <c r="C2" s="291"/>
      <c r="D2" s="291"/>
      <c r="E2" s="291"/>
      <c r="F2" s="291"/>
      <c r="G2" s="291"/>
      <c r="H2" s="61"/>
      <c r="I2" s="61"/>
      <c r="J2" s="61"/>
      <c r="K2" s="61"/>
      <c r="L2" s="61"/>
      <c r="M2" s="61"/>
      <c r="N2" s="61"/>
    </row>
    <row r="3" spans="1:14" ht="22.5" customHeight="1">
      <c r="A3" s="292" t="s">
        <v>154</v>
      </c>
      <c r="B3" s="295" t="s">
        <v>155</v>
      </c>
      <c r="C3" s="295"/>
      <c r="D3" s="295"/>
      <c r="E3" s="295"/>
      <c r="F3" s="295"/>
      <c r="G3" s="295"/>
      <c r="H3" s="296" t="s">
        <v>13</v>
      </c>
      <c r="I3" s="297"/>
      <c r="J3" s="299" t="s">
        <v>37</v>
      </c>
      <c r="K3" s="297"/>
      <c r="L3" s="280" t="s">
        <v>38</v>
      </c>
      <c r="M3" s="281"/>
      <c r="N3" s="284" t="s">
        <v>39</v>
      </c>
    </row>
    <row r="4" spans="1:14" ht="18.75" customHeight="1">
      <c r="A4" s="293"/>
      <c r="B4" s="287" t="s">
        <v>18</v>
      </c>
      <c r="C4" s="287"/>
      <c r="D4" s="288" t="s">
        <v>40</v>
      </c>
      <c r="E4" s="289"/>
      <c r="F4" s="282" t="s">
        <v>41</v>
      </c>
      <c r="G4" s="290"/>
      <c r="H4" s="288"/>
      <c r="I4" s="298"/>
      <c r="J4" s="288"/>
      <c r="K4" s="298"/>
      <c r="L4" s="282"/>
      <c r="M4" s="283"/>
      <c r="N4" s="285"/>
    </row>
    <row r="5" spans="1:14" s="159" customFormat="1" ht="33.75" customHeight="1">
      <c r="A5" s="294"/>
      <c r="B5" s="165" t="s">
        <v>222</v>
      </c>
      <c r="C5" s="62" t="s">
        <v>156</v>
      </c>
      <c r="D5" s="165" t="s">
        <v>222</v>
      </c>
      <c r="E5" s="62" t="s">
        <v>156</v>
      </c>
      <c r="F5" s="165" t="s">
        <v>222</v>
      </c>
      <c r="G5" s="63" t="s">
        <v>219</v>
      </c>
      <c r="H5" s="165" t="s">
        <v>222</v>
      </c>
      <c r="I5" s="63" t="s">
        <v>220</v>
      </c>
      <c r="J5" s="165" t="s">
        <v>222</v>
      </c>
      <c r="K5" s="63" t="s">
        <v>221</v>
      </c>
      <c r="L5" s="165" t="s">
        <v>222</v>
      </c>
      <c r="M5" s="63" t="s">
        <v>157</v>
      </c>
      <c r="N5" s="286"/>
    </row>
    <row r="6" spans="1:14" s="69" customFormat="1" ht="10.5">
      <c r="A6" s="64"/>
      <c r="B6" s="65" t="s">
        <v>4</v>
      </c>
      <c r="C6" s="66" t="s">
        <v>5</v>
      </c>
      <c r="D6" s="65" t="s">
        <v>4</v>
      </c>
      <c r="E6" s="66" t="s">
        <v>5</v>
      </c>
      <c r="F6" s="65" t="s">
        <v>4</v>
      </c>
      <c r="G6" s="66" t="s">
        <v>5</v>
      </c>
      <c r="H6" s="65" t="s">
        <v>4</v>
      </c>
      <c r="I6" s="67" t="s">
        <v>5</v>
      </c>
      <c r="J6" s="65" t="s">
        <v>4</v>
      </c>
      <c r="K6" s="67" t="s">
        <v>5</v>
      </c>
      <c r="L6" s="65" t="s">
        <v>226</v>
      </c>
      <c r="M6" s="67" t="s">
        <v>5</v>
      </c>
      <c r="N6" s="68"/>
    </row>
    <row r="7" spans="1:14" s="72" customFormat="1" ht="22.5" customHeight="1">
      <c r="A7" s="70" t="s">
        <v>45</v>
      </c>
      <c r="B7" s="145">
        <f>_xlfn.COMPOUNDVALUE(385)</f>
        <v>1932</v>
      </c>
      <c r="C7" s="231">
        <v>1148219</v>
      </c>
      <c r="D7" s="232">
        <f>_xlfn.COMPOUNDVALUE(386)</f>
        <v>2444</v>
      </c>
      <c r="E7" s="231">
        <v>1061705</v>
      </c>
      <c r="F7" s="232">
        <f>_xlfn.COMPOUNDVALUE(387)</f>
        <v>4376</v>
      </c>
      <c r="G7" s="231">
        <v>2209924</v>
      </c>
      <c r="H7" s="232">
        <f>_xlfn.COMPOUNDVALUE(388)</f>
        <v>141</v>
      </c>
      <c r="I7" s="233">
        <v>63081</v>
      </c>
      <c r="J7" s="145">
        <v>451</v>
      </c>
      <c r="K7" s="147">
        <v>72629</v>
      </c>
      <c r="L7" s="145">
        <v>4643</v>
      </c>
      <c r="M7" s="147">
        <v>2219472</v>
      </c>
      <c r="N7" s="71" t="s">
        <v>46</v>
      </c>
    </row>
    <row r="8" spans="1:14" s="72" customFormat="1" ht="22.5" customHeight="1">
      <c r="A8" s="73" t="s">
        <v>47</v>
      </c>
      <c r="B8" s="148">
        <f>_xlfn.COMPOUNDVALUE(389)</f>
        <v>1628</v>
      </c>
      <c r="C8" s="234">
        <v>1023769</v>
      </c>
      <c r="D8" s="235">
        <f>_xlfn.COMPOUNDVALUE(390)</f>
        <v>1957</v>
      </c>
      <c r="E8" s="234">
        <v>878598</v>
      </c>
      <c r="F8" s="235">
        <f>_xlfn.COMPOUNDVALUE(391)</f>
        <v>3585</v>
      </c>
      <c r="G8" s="234">
        <v>1902367</v>
      </c>
      <c r="H8" s="235">
        <f>_xlfn.COMPOUNDVALUE(392)</f>
        <v>112</v>
      </c>
      <c r="I8" s="236">
        <v>74880</v>
      </c>
      <c r="J8" s="148">
        <v>324</v>
      </c>
      <c r="K8" s="150">
        <v>61502</v>
      </c>
      <c r="L8" s="148">
        <v>3774</v>
      </c>
      <c r="M8" s="150">
        <v>1888989</v>
      </c>
      <c r="N8" s="74" t="s">
        <v>48</v>
      </c>
    </row>
    <row r="9" spans="1:14" s="72" customFormat="1" ht="22.5" customHeight="1">
      <c r="A9" s="73" t="s">
        <v>49</v>
      </c>
      <c r="B9" s="148">
        <f>_xlfn.COMPOUNDVALUE(393)</f>
        <v>1579</v>
      </c>
      <c r="C9" s="234">
        <v>1020547</v>
      </c>
      <c r="D9" s="235">
        <f>_xlfn.COMPOUNDVALUE(394)</f>
        <v>2101</v>
      </c>
      <c r="E9" s="234">
        <v>857315</v>
      </c>
      <c r="F9" s="235">
        <f>_xlfn.COMPOUNDVALUE(395)</f>
        <v>3680</v>
      </c>
      <c r="G9" s="234">
        <v>1877862</v>
      </c>
      <c r="H9" s="235">
        <f>_xlfn.COMPOUNDVALUE(396)</f>
        <v>123</v>
      </c>
      <c r="I9" s="236">
        <v>55344</v>
      </c>
      <c r="J9" s="148">
        <v>286</v>
      </c>
      <c r="K9" s="150">
        <v>50708</v>
      </c>
      <c r="L9" s="148">
        <v>3887</v>
      </c>
      <c r="M9" s="150">
        <v>1873226</v>
      </c>
      <c r="N9" s="74" t="s">
        <v>50</v>
      </c>
    </row>
    <row r="10" spans="1:14" s="72" customFormat="1" ht="22.5" customHeight="1">
      <c r="A10" s="73" t="s">
        <v>51</v>
      </c>
      <c r="B10" s="148">
        <f>_xlfn.COMPOUNDVALUE(397)</f>
        <v>695</v>
      </c>
      <c r="C10" s="234">
        <v>449872</v>
      </c>
      <c r="D10" s="235">
        <f>_xlfn.COMPOUNDVALUE(398)</f>
        <v>1415</v>
      </c>
      <c r="E10" s="234">
        <v>528821</v>
      </c>
      <c r="F10" s="235">
        <f>_xlfn.COMPOUNDVALUE(399)</f>
        <v>2110</v>
      </c>
      <c r="G10" s="234">
        <v>978693</v>
      </c>
      <c r="H10" s="235">
        <f>_xlfn.COMPOUNDVALUE(400)</f>
        <v>59</v>
      </c>
      <c r="I10" s="236">
        <v>42055</v>
      </c>
      <c r="J10" s="148">
        <v>126</v>
      </c>
      <c r="K10" s="150">
        <v>8311</v>
      </c>
      <c r="L10" s="148">
        <v>2188</v>
      </c>
      <c r="M10" s="150">
        <v>944949</v>
      </c>
      <c r="N10" s="74" t="s">
        <v>52</v>
      </c>
    </row>
    <row r="11" spans="1:14" s="72" customFormat="1" ht="22.5" customHeight="1">
      <c r="A11" s="73" t="s">
        <v>53</v>
      </c>
      <c r="B11" s="148">
        <f>_xlfn.COMPOUNDVALUE(401)</f>
        <v>1093</v>
      </c>
      <c r="C11" s="234">
        <v>688437</v>
      </c>
      <c r="D11" s="235">
        <f>_xlfn.COMPOUNDVALUE(402)</f>
        <v>1798</v>
      </c>
      <c r="E11" s="234">
        <v>717840</v>
      </c>
      <c r="F11" s="235">
        <f>_xlfn.COMPOUNDVALUE(403)</f>
        <v>2891</v>
      </c>
      <c r="G11" s="234">
        <v>1406277</v>
      </c>
      <c r="H11" s="235">
        <f>_xlfn.COMPOUNDVALUE(404)</f>
        <v>96</v>
      </c>
      <c r="I11" s="236">
        <v>57515</v>
      </c>
      <c r="J11" s="148">
        <v>175</v>
      </c>
      <c r="K11" s="150">
        <v>26329</v>
      </c>
      <c r="L11" s="148">
        <v>3042</v>
      </c>
      <c r="M11" s="150">
        <v>1375091</v>
      </c>
      <c r="N11" s="74" t="s">
        <v>54</v>
      </c>
    </row>
    <row r="12" spans="1:14" s="72" customFormat="1" ht="22.5" customHeight="1">
      <c r="A12" s="73" t="s">
        <v>55</v>
      </c>
      <c r="B12" s="148">
        <f>_xlfn.COMPOUNDVALUE(405)</f>
        <v>1298</v>
      </c>
      <c r="C12" s="234">
        <v>745761</v>
      </c>
      <c r="D12" s="235">
        <f>_xlfn.COMPOUNDVALUE(406)</f>
        <v>1750</v>
      </c>
      <c r="E12" s="234">
        <v>696837</v>
      </c>
      <c r="F12" s="235">
        <f>_xlfn.COMPOUNDVALUE(407)</f>
        <v>3048</v>
      </c>
      <c r="G12" s="234">
        <v>1442598</v>
      </c>
      <c r="H12" s="235">
        <f>_xlfn.COMPOUNDVALUE(408)</f>
        <v>98</v>
      </c>
      <c r="I12" s="236">
        <v>36295</v>
      </c>
      <c r="J12" s="148">
        <v>262</v>
      </c>
      <c r="K12" s="150">
        <v>15105</v>
      </c>
      <c r="L12" s="148">
        <v>3190</v>
      </c>
      <c r="M12" s="150">
        <v>1421408</v>
      </c>
      <c r="N12" s="74" t="s">
        <v>56</v>
      </c>
    </row>
    <row r="13" spans="1:14" s="72" customFormat="1" ht="22.5" customHeight="1">
      <c r="A13" s="170" t="s">
        <v>57</v>
      </c>
      <c r="B13" s="171">
        <f>_xlfn.COMPOUNDVALUE(409)</f>
        <v>511</v>
      </c>
      <c r="C13" s="237">
        <v>311762</v>
      </c>
      <c r="D13" s="238">
        <f>_xlfn.COMPOUNDVALUE(410)</f>
        <v>822</v>
      </c>
      <c r="E13" s="237">
        <v>321526</v>
      </c>
      <c r="F13" s="238">
        <f>_xlfn.COMPOUNDVALUE(411)</f>
        <v>1333</v>
      </c>
      <c r="G13" s="237">
        <v>633288</v>
      </c>
      <c r="H13" s="238">
        <f>_xlfn.COMPOUNDVALUE(412)</f>
        <v>35</v>
      </c>
      <c r="I13" s="239">
        <v>15561</v>
      </c>
      <c r="J13" s="171">
        <v>76</v>
      </c>
      <c r="K13" s="173">
        <v>5496</v>
      </c>
      <c r="L13" s="171">
        <v>1379</v>
      </c>
      <c r="M13" s="173">
        <v>623223</v>
      </c>
      <c r="N13" s="174" t="s">
        <v>58</v>
      </c>
    </row>
    <row r="14" spans="1:14" s="72" customFormat="1" ht="22.5" customHeight="1">
      <c r="A14" s="175" t="s">
        <v>59</v>
      </c>
      <c r="B14" s="176">
        <v>8736</v>
      </c>
      <c r="C14" s="177">
        <v>5388368</v>
      </c>
      <c r="D14" s="176">
        <v>12287</v>
      </c>
      <c r="E14" s="177">
        <v>5062642</v>
      </c>
      <c r="F14" s="176">
        <v>21023</v>
      </c>
      <c r="G14" s="177">
        <v>10451010</v>
      </c>
      <c r="H14" s="176">
        <v>664</v>
      </c>
      <c r="I14" s="178">
        <v>344732</v>
      </c>
      <c r="J14" s="176">
        <v>1700</v>
      </c>
      <c r="K14" s="178">
        <v>240079</v>
      </c>
      <c r="L14" s="176">
        <v>22103</v>
      </c>
      <c r="M14" s="178">
        <v>10346357</v>
      </c>
      <c r="N14" s="179" t="s">
        <v>60</v>
      </c>
    </row>
    <row r="15" spans="1:14" s="72" customFormat="1" ht="22.5" customHeight="1">
      <c r="A15" s="180"/>
      <c r="B15" s="181"/>
      <c r="C15" s="182"/>
      <c r="D15" s="181"/>
      <c r="E15" s="182"/>
      <c r="F15" s="183"/>
      <c r="G15" s="182"/>
      <c r="H15" s="183"/>
      <c r="I15" s="182"/>
      <c r="J15" s="183"/>
      <c r="K15" s="182"/>
      <c r="L15" s="183"/>
      <c r="M15" s="182"/>
      <c r="N15" s="184"/>
    </row>
    <row r="16" spans="1:14" s="72" customFormat="1" ht="22.5" customHeight="1">
      <c r="A16" s="70" t="s">
        <v>61</v>
      </c>
      <c r="B16" s="232">
        <f>_xlfn.COMPOUNDVALUE(413)</f>
        <v>1920</v>
      </c>
      <c r="C16" s="231">
        <v>1206808</v>
      </c>
      <c r="D16" s="232">
        <f>_xlfn.COMPOUNDVALUE(414)</f>
        <v>3373</v>
      </c>
      <c r="E16" s="231">
        <v>1505572</v>
      </c>
      <c r="F16" s="232">
        <f>_xlfn.COMPOUNDVALUE(415)</f>
        <v>5293</v>
      </c>
      <c r="G16" s="231">
        <v>2712379</v>
      </c>
      <c r="H16" s="232">
        <f>_xlfn.COMPOUNDVALUE(416)</f>
        <v>117</v>
      </c>
      <c r="I16" s="233">
        <v>113283</v>
      </c>
      <c r="J16" s="145">
        <v>497</v>
      </c>
      <c r="K16" s="147">
        <v>76250</v>
      </c>
      <c r="L16" s="145">
        <v>5600</v>
      </c>
      <c r="M16" s="147">
        <v>2675346</v>
      </c>
      <c r="N16" s="71" t="s">
        <v>62</v>
      </c>
    </row>
    <row r="17" spans="1:14" s="72" customFormat="1" ht="22.5" customHeight="1">
      <c r="A17" s="70" t="s">
        <v>63</v>
      </c>
      <c r="B17" s="232">
        <f>_xlfn.COMPOUNDVALUE(417)</f>
        <v>879</v>
      </c>
      <c r="C17" s="231">
        <v>564039</v>
      </c>
      <c r="D17" s="232">
        <f>_xlfn.COMPOUNDVALUE(418)</f>
        <v>1712</v>
      </c>
      <c r="E17" s="231">
        <v>699161</v>
      </c>
      <c r="F17" s="232">
        <f>_xlfn.COMPOUNDVALUE(419)</f>
        <v>2591</v>
      </c>
      <c r="G17" s="231">
        <v>1263199</v>
      </c>
      <c r="H17" s="232">
        <f>_xlfn.COMPOUNDVALUE(420)</f>
        <v>48</v>
      </c>
      <c r="I17" s="233">
        <v>50126</v>
      </c>
      <c r="J17" s="145">
        <v>217</v>
      </c>
      <c r="K17" s="147">
        <v>27267</v>
      </c>
      <c r="L17" s="145">
        <v>2687</v>
      </c>
      <c r="M17" s="147">
        <v>1240340</v>
      </c>
      <c r="N17" s="71" t="s">
        <v>64</v>
      </c>
    </row>
    <row r="18" spans="1:14" s="72" customFormat="1" ht="22.5" customHeight="1">
      <c r="A18" s="70" t="s">
        <v>65</v>
      </c>
      <c r="B18" s="232">
        <f>_xlfn.COMPOUNDVALUE(421)</f>
        <v>1806</v>
      </c>
      <c r="C18" s="231">
        <v>1275983</v>
      </c>
      <c r="D18" s="232">
        <f>_xlfn.COMPOUNDVALUE(422)</f>
        <v>3546</v>
      </c>
      <c r="E18" s="231">
        <v>1473771</v>
      </c>
      <c r="F18" s="232">
        <f>_xlfn.COMPOUNDVALUE(423)</f>
        <v>5352</v>
      </c>
      <c r="G18" s="231">
        <v>2749755</v>
      </c>
      <c r="H18" s="232">
        <f>_xlfn.COMPOUNDVALUE(424)</f>
        <v>178</v>
      </c>
      <c r="I18" s="233">
        <v>188137</v>
      </c>
      <c r="J18" s="145">
        <v>473</v>
      </c>
      <c r="K18" s="147">
        <v>63705</v>
      </c>
      <c r="L18" s="145">
        <v>5667</v>
      </c>
      <c r="M18" s="147">
        <v>2625323</v>
      </c>
      <c r="N18" s="71" t="s">
        <v>66</v>
      </c>
    </row>
    <row r="19" spans="1:14" s="72" customFormat="1" ht="22.5" customHeight="1">
      <c r="A19" s="70" t="s">
        <v>67</v>
      </c>
      <c r="B19" s="232">
        <f>_xlfn.COMPOUNDVALUE(425)</f>
        <v>1192</v>
      </c>
      <c r="C19" s="231">
        <v>717690</v>
      </c>
      <c r="D19" s="232">
        <f>_xlfn.COMPOUNDVALUE(426)</f>
        <v>1845</v>
      </c>
      <c r="E19" s="231">
        <v>728831</v>
      </c>
      <c r="F19" s="232">
        <f>_xlfn.COMPOUNDVALUE(427)</f>
        <v>3037</v>
      </c>
      <c r="G19" s="231">
        <v>1446521</v>
      </c>
      <c r="H19" s="232">
        <f>_xlfn.COMPOUNDVALUE(428)</f>
        <v>90</v>
      </c>
      <c r="I19" s="233">
        <v>62556</v>
      </c>
      <c r="J19" s="145">
        <v>200</v>
      </c>
      <c r="K19" s="147">
        <v>37972</v>
      </c>
      <c r="L19" s="145">
        <v>3180</v>
      </c>
      <c r="M19" s="147">
        <v>1421937</v>
      </c>
      <c r="N19" s="71" t="s">
        <v>68</v>
      </c>
    </row>
    <row r="20" spans="1:14" s="72" customFormat="1" ht="22.5" customHeight="1">
      <c r="A20" s="70" t="s">
        <v>69</v>
      </c>
      <c r="B20" s="232">
        <f>_xlfn.COMPOUNDVALUE(429)</f>
        <v>1332</v>
      </c>
      <c r="C20" s="231">
        <v>966425</v>
      </c>
      <c r="D20" s="232">
        <f>_xlfn.COMPOUNDVALUE(430)</f>
        <v>2337</v>
      </c>
      <c r="E20" s="231">
        <v>1018489</v>
      </c>
      <c r="F20" s="232">
        <f>_xlfn.COMPOUNDVALUE(431)</f>
        <v>3669</v>
      </c>
      <c r="G20" s="231">
        <v>1984914</v>
      </c>
      <c r="H20" s="232">
        <f>_xlfn.COMPOUNDVALUE(432)</f>
        <v>71</v>
      </c>
      <c r="I20" s="233">
        <v>63426</v>
      </c>
      <c r="J20" s="145">
        <v>389</v>
      </c>
      <c r="K20" s="147">
        <v>54092</v>
      </c>
      <c r="L20" s="145">
        <v>3860</v>
      </c>
      <c r="M20" s="147">
        <v>1975580</v>
      </c>
      <c r="N20" s="71" t="s">
        <v>70</v>
      </c>
    </row>
    <row r="21" spans="1:14" s="72" customFormat="1" ht="22.5" customHeight="1">
      <c r="A21" s="70" t="s">
        <v>71</v>
      </c>
      <c r="B21" s="232">
        <f>_xlfn.COMPOUNDVALUE(433)</f>
        <v>465</v>
      </c>
      <c r="C21" s="231">
        <v>267655</v>
      </c>
      <c r="D21" s="232">
        <f>_xlfn.COMPOUNDVALUE(434)</f>
        <v>827</v>
      </c>
      <c r="E21" s="231">
        <v>343319</v>
      </c>
      <c r="F21" s="232">
        <f>_xlfn.COMPOUNDVALUE(435)</f>
        <v>1292</v>
      </c>
      <c r="G21" s="231">
        <v>610974</v>
      </c>
      <c r="H21" s="232">
        <f>_xlfn.COMPOUNDVALUE(436)</f>
        <v>43</v>
      </c>
      <c r="I21" s="233">
        <v>28882</v>
      </c>
      <c r="J21" s="145">
        <v>110</v>
      </c>
      <c r="K21" s="147">
        <v>9548</v>
      </c>
      <c r="L21" s="145">
        <v>1365</v>
      </c>
      <c r="M21" s="147">
        <v>591640</v>
      </c>
      <c r="N21" s="71" t="s">
        <v>72</v>
      </c>
    </row>
    <row r="22" spans="1:14" s="72" customFormat="1" ht="22.5" customHeight="1">
      <c r="A22" s="73" t="s">
        <v>73</v>
      </c>
      <c r="B22" s="235">
        <f>_xlfn.COMPOUNDVALUE(437)</f>
        <v>728</v>
      </c>
      <c r="C22" s="234">
        <v>453595</v>
      </c>
      <c r="D22" s="235">
        <f>_xlfn.COMPOUNDVALUE(438)</f>
        <v>1631</v>
      </c>
      <c r="E22" s="234">
        <v>669049</v>
      </c>
      <c r="F22" s="235">
        <f>_xlfn.COMPOUNDVALUE(439)</f>
        <v>2359</v>
      </c>
      <c r="G22" s="234">
        <v>1122644</v>
      </c>
      <c r="H22" s="235">
        <f>_xlfn.COMPOUNDVALUE(440)</f>
        <v>27</v>
      </c>
      <c r="I22" s="236">
        <v>10252</v>
      </c>
      <c r="J22" s="148">
        <v>223</v>
      </c>
      <c r="K22" s="150">
        <v>31769</v>
      </c>
      <c r="L22" s="148">
        <v>2456</v>
      </c>
      <c r="M22" s="150">
        <v>1144161</v>
      </c>
      <c r="N22" s="74" t="s">
        <v>74</v>
      </c>
    </row>
    <row r="23" spans="1:14" s="72" customFormat="1" ht="22.5" customHeight="1">
      <c r="A23" s="73" t="s">
        <v>75</v>
      </c>
      <c r="B23" s="235">
        <f>_xlfn.COMPOUNDVALUE(441)</f>
        <v>719</v>
      </c>
      <c r="C23" s="234">
        <v>475744</v>
      </c>
      <c r="D23" s="235">
        <f>_xlfn.COMPOUNDVALUE(442)</f>
        <v>1558</v>
      </c>
      <c r="E23" s="234">
        <v>605153</v>
      </c>
      <c r="F23" s="235">
        <f>_xlfn.COMPOUNDVALUE(443)</f>
        <v>2277</v>
      </c>
      <c r="G23" s="234">
        <v>1080897</v>
      </c>
      <c r="H23" s="235">
        <f>_xlfn.COMPOUNDVALUE(444)</f>
        <v>54</v>
      </c>
      <c r="I23" s="236">
        <v>23309</v>
      </c>
      <c r="J23" s="148">
        <v>134</v>
      </c>
      <c r="K23" s="150">
        <v>12459</v>
      </c>
      <c r="L23" s="148">
        <v>2348</v>
      </c>
      <c r="M23" s="150">
        <v>1070047</v>
      </c>
      <c r="N23" s="74" t="s">
        <v>76</v>
      </c>
    </row>
    <row r="24" spans="1:14" s="72" customFormat="1" ht="22.5" customHeight="1">
      <c r="A24" s="73" t="s">
        <v>77</v>
      </c>
      <c r="B24" s="235">
        <f>_xlfn.COMPOUNDVALUE(445)</f>
        <v>1469</v>
      </c>
      <c r="C24" s="234">
        <v>1037461</v>
      </c>
      <c r="D24" s="235">
        <f>_xlfn.COMPOUNDVALUE(446)</f>
        <v>2616</v>
      </c>
      <c r="E24" s="234">
        <v>1145863</v>
      </c>
      <c r="F24" s="235">
        <f>_xlfn.COMPOUNDVALUE(447)</f>
        <v>4085</v>
      </c>
      <c r="G24" s="234">
        <v>2183323</v>
      </c>
      <c r="H24" s="235">
        <f>_xlfn.COMPOUNDVALUE(448)</f>
        <v>100</v>
      </c>
      <c r="I24" s="236">
        <v>65670</v>
      </c>
      <c r="J24" s="148">
        <v>379</v>
      </c>
      <c r="K24" s="150">
        <v>67195</v>
      </c>
      <c r="L24" s="148">
        <v>4285</v>
      </c>
      <c r="M24" s="150">
        <v>2184848</v>
      </c>
      <c r="N24" s="74" t="s">
        <v>78</v>
      </c>
    </row>
    <row r="25" spans="1:14" s="72" customFormat="1" ht="23.25" customHeight="1">
      <c r="A25" s="73" t="s">
        <v>79</v>
      </c>
      <c r="B25" s="235">
        <f>_xlfn.COMPOUNDVALUE(449)</f>
        <v>891</v>
      </c>
      <c r="C25" s="234">
        <v>566297</v>
      </c>
      <c r="D25" s="235">
        <f>_xlfn.COMPOUNDVALUE(450)</f>
        <v>1732</v>
      </c>
      <c r="E25" s="234">
        <v>687929</v>
      </c>
      <c r="F25" s="235">
        <f>_xlfn.COMPOUNDVALUE(451)</f>
        <v>2623</v>
      </c>
      <c r="G25" s="234">
        <v>1254226</v>
      </c>
      <c r="H25" s="235">
        <f>_xlfn.COMPOUNDVALUE(452)</f>
        <v>90</v>
      </c>
      <c r="I25" s="236">
        <v>48868</v>
      </c>
      <c r="J25" s="148">
        <v>194</v>
      </c>
      <c r="K25" s="150">
        <v>23371</v>
      </c>
      <c r="L25" s="148">
        <v>2754</v>
      </c>
      <c r="M25" s="150">
        <v>1228729</v>
      </c>
      <c r="N25" s="74" t="s">
        <v>80</v>
      </c>
    </row>
    <row r="26" spans="1:14" s="72" customFormat="1" ht="22.5" customHeight="1">
      <c r="A26" s="73" t="s">
        <v>81</v>
      </c>
      <c r="B26" s="235">
        <f>_xlfn.COMPOUNDVALUE(453)</f>
        <v>745</v>
      </c>
      <c r="C26" s="234">
        <v>532425</v>
      </c>
      <c r="D26" s="235">
        <f>_xlfn.COMPOUNDVALUE(454)</f>
        <v>1556</v>
      </c>
      <c r="E26" s="234">
        <v>603015</v>
      </c>
      <c r="F26" s="235">
        <f>_xlfn.COMPOUNDVALUE(455)</f>
        <v>2301</v>
      </c>
      <c r="G26" s="234">
        <v>1135440</v>
      </c>
      <c r="H26" s="235">
        <f>_xlfn.COMPOUNDVALUE(456)</f>
        <v>64</v>
      </c>
      <c r="I26" s="236">
        <v>36723</v>
      </c>
      <c r="J26" s="148">
        <v>151</v>
      </c>
      <c r="K26" s="150">
        <v>13693</v>
      </c>
      <c r="L26" s="148">
        <v>2388</v>
      </c>
      <c r="M26" s="150">
        <v>1112410</v>
      </c>
      <c r="N26" s="74" t="s">
        <v>82</v>
      </c>
    </row>
    <row r="27" spans="1:14" s="72" customFormat="1" ht="22.5" customHeight="1">
      <c r="A27" s="73" t="s">
        <v>83</v>
      </c>
      <c r="B27" s="235">
        <f>_xlfn.COMPOUNDVALUE(457)</f>
        <v>944</v>
      </c>
      <c r="C27" s="234">
        <v>657794</v>
      </c>
      <c r="D27" s="235">
        <f>_xlfn.COMPOUNDVALUE(458)</f>
        <v>1822</v>
      </c>
      <c r="E27" s="234">
        <v>750513</v>
      </c>
      <c r="F27" s="235">
        <f>_xlfn.COMPOUNDVALUE(459)</f>
        <v>2766</v>
      </c>
      <c r="G27" s="234">
        <v>1408307</v>
      </c>
      <c r="H27" s="235">
        <f>_xlfn.COMPOUNDVALUE(460)</f>
        <v>51</v>
      </c>
      <c r="I27" s="236">
        <v>19479</v>
      </c>
      <c r="J27" s="148">
        <v>181</v>
      </c>
      <c r="K27" s="150">
        <v>27405</v>
      </c>
      <c r="L27" s="148">
        <v>2845</v>
      </c>
      <c r="M27" s="150">
        <v>1416233</v>
      </c>
      <c r="N27" s="74" t="s">
        <v>84</v>
      </c>
    </row>
    <row r="28" spans="1:14" s="72" customFormat="1" ht="22.5" customHeight="1">
      <c r="A28" s="170" t="s">
        <v>85</v>
      </c>
      <c r="B28" s="238">
        <f>_xlfn.COMPOUNDVALUE(461)</f>
        <v>333</v>
      </c>
      <c r="C28" s="237">
        <v>188824</v>
      </c>
      <c r="D28" s="238">
        <f>_xlfn.COMPOUNDVALUE(462)</f>
        <v>611</v>
      </c>
      <c r="E28" s="237">
        <v>227348</v>
      </c>
      <c r="F28" s="238">
        <f>_xlfn.COMPOUNDVALUE(463)</f>
        <v>944</v>
      </c>
      <c r="G28" s="237">
        <v>416172</v>
      </c>
      <c r="H28" s="238">
        <f>_xlfn.COMPOUNDVALUE(464)</f>
        <v>25</v>
      </c>
      <c r="I28" s="239">
        <v>23784</v>
      </c>
      <c r="J28" s="171">
        <v>81</v>
      </c>
      <c r="K28" s="173">
        <v>6862</v>
      </c>
      <c r="L28" s="171">
        <v>978</v>
      </c>
      <c r="M28" s="173">
        <v>399250</v>
      </c>
      <c r="N28" s="174" t="s">
        <v>86</v>
      </c>
    </row>
    <row r="29" spans="1:14" s="72" customFormat="1" ht="22.5" customHeight="1">
      <c r="A29" s="175" t="s">
        <v>87</v>
      </c>
      <c r="B29" s="240">
        <v>13423</v>
      </c>
      <c r="C29" s="241">
        <v>8910741</v>
      </c>
      <c r="D29" s="240">
        <v>25166</v>
      </c>
      <c r="E29" s="241">
        <v>10458011</v>
      </c>
      <c r="F29" s="240">
        <v>38589</v>
      </c>
      <c r="G29" s="241">
        <v>19368752</v>
      </c>
      <c r="H29" s="240">
        <v>958</v>
      </c>
      <c r="I29" s="242">
        <v>734493</v>
      </c>
      <c r="J29" s="176">
        <v>3229</v>
      </c>
      <c r="K29" s="178">
        <v>451586</v>
      </c>
      <c r="L29" s="176">
        <v>40413</v>
      </c>
      <c r="M29" s="178">
        <v>19085845</v>
      </c>
      <c r="N29" s="179" t="s">
        <v>88</v>
      </c>
    </row>
    <row r="30" spans="1:14" s="72" customFormat="1" ht="22.5" customHeight="1">
      <c r="A30" s="180"/>
      <c r="B30" s="181"/>
      <c r="C30" s="182"/>
      <c r="D30" s="181"/>
      <c r="E30" s="182"/>
      <c r="F30" s="183"/>
      <c r="G30" s="182"/>
      <c r="H30" s="183"/>
      <c r="I30" s="182"/>
      <c r="J30" s="183"/>
      <c r="K30" s="182"/>
      <c r="L30" s="183"/>
      <c r="M30" s="182"/>
      <c r="N30" s="184"/>
    </row>
    <row r="31" spans="1:14" s="72" customFormat="1" ht="22.5" customHeight="1">
      <c r="A31" s="70" t="s">
        <v>89</v>
      </c>
      <c r="B31" s="145">
        <f>_xlfn.COMPOUNDVALUE(465)</f>
        <v>1372</v>
      </c>
      <c r="C31" s="231">
        <v>1186034</v>
      </c>
      <c r="D31" s="232">
        <f>_xlfn.COMPOUNDVALUE(466)</f>
        <v>1707</v>
      </c>
      <c r="E31" s="231">
        <v>927774</v>
      </c>
      <c r="F31" s="232">
        <f>_xlfn.COMPOUNDVALUE(467)</f>
        <v>3079</v>
      </c>
      <c r="G31" s="231">
        <v>2113808</v>
      </c>
      <c r="H31" s="232">
        <f>_xlfn.COMPOUNDVALUE(468)</f>
        <v>113</v>
      </c>
      <c r="I31" s="233">
        <v>53414</v>
      </c>
      <c r="J31" s="145">
        <v>264</v>
      </c>
      <c r="K31" s="147">
        <v>44025</v>
      </c>
      <c r="L31" s="145">
        <v>3286</v>
      </c>
      <c r="M31" s="147">
        <v>2104419</v>
      </c>
      <c r="N31" s="71" t="s">
        <v>90</v>
      </c>
    </row>
    <row r="32" spans="1:14" s="72" customFormat="1" ht="22.5" customHeight="1">
      <c r="A32" s="70" t="s">
        <v>91</v>
      </c>
      <c r="B32" s="145">
        <f>_xlfn.COMPOUNDVALUE(469)</f>
        <v>502</v>
      </c>
      <c r="C32" s="231">
        <v>425326</v>
      </c>
      <c r="D32" s="232">
        <f>_xlfn.COMPOUNDVALUE(470)</f>
        <v>549</v>
      </c>
      <c r="E32" s="231">
        <v>304987</v>
      </c>
      <c r="F32" s="232">
        <f>_xlfn.COMPOUNDVALUE(471)</f>
        <v>1051</v>
      </c>
      <c r="G32" s="231">
        <v>730313</v>
      </c>
      <c r="H32" s="232">
        <f>_xlfn.COMPOUNDVALUE(472)</f>
        <v>48</v>
      </c>
      <c r="I32" s="233">
        <v>25597</v>
      </c>
      <c r="J32" s="145">
        <v>91</v>
      </c>
      <c r="K32" s="147">
        <v>37434</v>
      </c>
      <c r="L32" s="145">
        <v>1142</v>
      </c>
      <c r="M32" s="147">
        <v>742150</v>
      </c>
      <c r="N32" s="71" t="s">
        <v>92</v>
      </c>
    </row>
    <row r="33" spans="1:14" s="72" customFormat="1" ht="22.5" customHeight="1">
      <c r="A33" s="70" t="s">
        <v>93</v>
      </c>
      <c r="B33" s="145">
        <f>_xlfn.COMPOUNDVALUE(473)</f>
        <v>1237</v>
      </c>
      <c r="C33" s="231">
        <v>710112</v>
      </c>
      <c r="D33" s="232">
        <f>_xlfn.COMPOUNDVALUE(474)</f>
        <v>1511</v>
      </c>
      <c r="E33" s="231">
        <v>676919</v>
      </c>
      <c r="F33" s="232">
        <f>_xlfn.COMPOUNDVALUE(475)</f>
        <v>2748</v>
      </c>
      <c r="G33" s="231">
        <v>1387031</v>
      </c>
      <c r="H33" s="232">
        <f>_xlfn.COMPOUNDVALUE(476)</f>
        <v>76</v>
      </c>
      <c r="I33" s="233">
        <v>40300</v>
      </c>
      <c r="J33" s="145">
        <v>307</v>
      </c>
      <c r="K33" s="147">
        <v>46220</v>
      </c>
      <c r="L33" s="145">
        <v>2936</v>
      </c>
      <c r="M33" s="147">
        <v>1392951</v>
      </c>
      <c r="N33" s="71" t="s">
        <v>94</v>
      </c>
    </row>
    <row r="34" spans="1:14" s="72" customFormat="1" ht="22.5" customHeight="1">
      <c r="A34" s="70" t="s">
        <v>95</v>
      </c>
      <c r="B34" s="145">
        <f>_xlfn.COMPOUNDVALUE(477)</f>
        <v>1269</v>
      </c>
      <c r="C34" s="231">
        <v>696619</v>
      </c>
      <c r="D34" s="232">
        <f>_xlfn.COMPOUNDVALUE(478)</f>
        <v>1625</v>
      </c>
      <c r="E34" s="231">
        <v>752726</v>
      </c>
      <c r="F34" s="232">
        <f>_xlfn.COMPOUNDVALUE(479)</f>
        <v>2894</v>
      </c>
      <c r="G34" s="231">
        <v>1449345</v>
      </c>
      <c r="H34" s="232">
        <f>_xlfn.COMPOUNDVALUE(480)</f>
        <v>80</v>
      </c>
      <c r="I34" s="233">
        <v>75082</v>
      </c>
      <c r="J34" s="145">
        <v>279</v>
      </c>
      <c r="K34" s="147">
        <v>59362</v>
      </c>
      <c r="L34" s="145">
        <v>3112</v>
      </c>
      <c r="M34" s="147">
        <v>1433625</v>
      </c>
      <c r="N34" s="71" t="s">
        <v>96</v>
      </c>
    </row>
    <row r="35" spans="1:14" s="72" customFormat="1" ht="22.5" customHeight="1">
      <c r="A35" s="70" t="s">
        <v>97</v>
      </c>
      <c r="B35" s="145">
        <f>_xlfn.COMPOUNDVALUE(481)</f>
        <v>615</v>
      </c>
      <c r="C35" s="231">
        <v>401911</v>
      </c>
      <c r="D35" s="232">
        <f>_xlfn.COMPOUNDVALUE(482)</f>
        <v>785</v>
      </c>
      <c r="E35" s="231">
        <v>363737</v>
      </c>
      <c r="F35" s="232">
        <f>_xlfn.COMPOUNDVALUE(483)</f>
        <v>1400</v>
      </c>
      <c r="G35" s="231">
        <v>765647</v>
      </c>
      <c r="H35" s="232">
        <f>_xlfn.COMPOUNDVALUE(484)</f>
        <v>34</v>
      </c>
      <c r="I35" s="233">
        <v>32600</v>
      </c>
      <c r="J35" s="145">
        <v>138</v>
      </c>
      <c r="K35" s="147">
        <v>28509</v>
      </c>
      <c r="L35" s="145">
        <v>1467</v>
      </c>
      <c r="M35" s="147">
        <v>761556</v>
      </c>
      <c r="N35" s="71" t="s">
        <v>98</v>
      </c>
    </row>
    <row r="36" spans="1:14" s="72" customFormat="1" ht="22.5" customHeight="1">
      <c r="A36" s="70" t="s">
        <v>99</v>
      </c>
      <c r="B36" s="145">
        <f>_xlfn.COMPOUNDVALUE(485)</f>
        <v>1089</v>
      </c>
      <c r="C36" s="231">
        <v>1044232</v>
      </c>
      <c r="D36" s="232">
        <f>_xlfn.COMPOUNDVALUE(486)</f>
        <v>993</v>
      </c>
      <c r="E36" s="231">
        <v>601312</v>
      </c>
      <c r="F36" s="232">
        <f>_xlfn.COMPOUNDVALUE(487)</f>
        <v>2082</v>
      </c>
      <c r="G36" s="231">
        <v>1645544</v>
      </c>
      <c r="H36" s="232">
        <f>_xlfn.COMPOUNDVALUE(488)</f>
        <v>77</v>
      </c>
      <c r="I36" s="233">
        <v>74844</v>
      </c>
      <c r="J36" s="145">
        <v>239</v>
      </c>
      <c r="K36" s="147">
        <v>38212</v>
      </c>
      <c r="L36" s="145">
        <v>2231</v>
      </c>
      <c r="M36" s="147">
        <v>1608912</v>
      </c>
      <c r="N36" s="71" t="s">
        <v>100</v>
      </c>
    </row>
    <row r="37" spans="1:14" s="72" customFormat="1" ht="22.5" customHeight="1">
      <c r="A37" s="70" t="s">
        <v>101</v>
      </c>
      <c r="B37" s="145">
        <f>_xlfn.COMPOUNDVALUE(489)</f>
        <v>1992</v>
      </c>
      <c r="C37" s="231">
        <v>1522931</v>
      </c>
      <c r="D37" s="232">
        <f>_xlfn.COMPOUNDVALUE(490)</f>
        <v>2710</v>
      </c>
      <c r="E37" s="231">
        <v>1372694</v>
      </c>
      <c r="F37" s="232">
        <f>_xlfn.COMPOUNDVALUE(491)</f>
        <v>4702</v>
      </c>
      <c r="G37" s="231">
        <v>2895626</v>
      </c>
      <c r="H37" s="232">
        <f>_xlfn.COMPOUNDVALUE(492)</f>
        <v>178</v>
      </c>
      <c r="I37" s="233">
        <v>315781</v>
      </c>
      <c r="J37" s="145">
        <v>395</v>
      </c>
      <c r="K37" s="147">
        <v>55995</v>
      </c>
      <c r="L37" s="145">
        <v>5019</v>
      </c>
      <c r="M37" s="147">
        <v>2635840</v>
      </c>
      <c r="N37" s="71" t="s">
        <v>102</v>
      </c>
    </row>
    <row r="38" spans="1:14" s="72" customFormat="1" ht="22.5" customHeight="1">
      <c r="A38" s="70" t="s">
        <v>103</v>
      </c>
      <c r="B38" s="145">
        <f>_xlfn.COMPOUNDVALUE(493)</f>
        <v>1677</v>
      </c>
      <c r="C38" s="231">
        <v>1062313</v>
      </c>
      <c r="D38" s="232">
        <f>_xlfn.COMPOUNDVALUE(494)</f>
        <v>2195</v>
      </c>
      <c r="E38" s="231">
        <v>1013422</v>
      </c>
      <c r="F38" s="232">
        <f>_xlfn.COMPOUNDVALUE(495)</f>
        <v>3872</v>
      </c>
      <c r="G38" s="231">
        <v>2075735</v>
      </c>
      <c r="H38" s="232">
        <f>_xlfn.COMPOUNDVALUE(496)</f>
        <v>116</v>
      </c>
      <c r="I38" s="233">
        <v>72245</v>
      </c>
      <c r="J38" s="145">
        <v>655</v>
      </c>
      <c r="K38" s="147">
        <v>106175</v>
      </c>
      <c r="L38" s="145">
        <v>4155</v>
      </c>
      <c r="M38" s="147">
        <v>2109665</v>
      </c>
      <c r="N38" s="71" t="s">
        <v>104</v>
      </c>
    </row>
    <row r="39" spans="1:14" s="72" customFormat="1" ht="22.5" customHeight="1">
      <c r="A39" s="70" t="s">
        <v>105</v>
      </c>
      <c r="B39" s="145">
        <f>_xlfn.COMPOUNDVALUE(497)</f>
        <v>1296</v>
      </c>
      <c r="C39" s="231">
        <v>753232</v>
      </c>
      <c r="D39" s="232">
        <f>_xlfn.COMPOUNDVALUE(498)</f>
        <v>1735</v>
      </c>
      <c r="E39" s="231">
        <v>767420</v>
      </c>
      <c r="F39" s="232">
        <f>_xlfn.COMPOUNDVALUE(499)</f>
        <v>3031</v>
      </c>
      <c r="G39" s="231">
        <v>1520652</v>
      </c>
      <c r="H39" s="232">
        <f>_xlfn.COMPOUNDVALUE(500)</f>
        <v>154</v>
      </c>
      <c r="I39" s="233">
        <v>125951</v>
      </c>
      <c r="J39" s="145">
        <v>255</v>
      </c>
      <c r="K39" s="147">
        <v>66682</v>
      </c>
      <c r="L39" s="145">
        <v>3332</v>
      </c>
      <c r="M39" s="147">
        <v>1461383</v>
      </c>
      <c r="N39" s="71" t="s">
        <v>106</v>
      </c>
    </row>
    <row r="40" spans="1:14" s="72" customFormat="1" ht="22.5" customHeight="1">
      <c r="A40" s="70" t="s">
        <v>107</v>
      </c>
      <c r="B40" s="145">
        <f>_xlfn.COMPOUNDVALUE(501)</f>
        <v>2987</v>
      </c>
      <c r="C40" s="231">
        <v>2255005</v>
      </c>
      <c r="D40" s="232">
        <f>_xlfn.COMPOUNDVALUE(502)</f>
        <v>6862</v>
      </c>
      <c r="E40" s="231">
        <v>2857977</v>
      </c>
      <c r="F40" s="232">
        <f>_xlfn.COMPOUNDVALUE(503)</f>
        <v>9849</v>
      </c>
      <c r="G40" s="231">
        <v>5112982</v>
      </c>
      <c r="H40" s="232">
        <f>_xlfn.COMPOUNDVALUE(504)</f>
        <v>252</v>
      </c>
      <c r="I40" s="233">
        <v>157145</v>
      </c>
      <c r="J40" s="145">
        <v>547</v>
      </c>
      <c r="K40" s="147">
        <v>75295</v>
      </c>
      <c r="L40" s="145">
        <v>10264</v>
      </c>
      <c r="M40" s="147">
        <v>5031132</v>
      </c>
      <c r="N40" s="71" t="s">
        <v>108</v>
      </c>
    </row>
    <row r="41" spans="1:14" s="72" customFormat="1" ht="22.5" customHeight="1">
      <c r="A41" s="70" t="s">
        <v>109</v>
      </c>
      <c r="B41" s="145">
        <f>_xlfn.COMPOUNDVALUE(505)</f>
        <v>1406</v>
      </c>
      <c r="C41" s="231">
        <v>1042225</v>
      </c>
      <c r="D41" s="232">
        <f>_xlfn.COMPOUNDVALUE(506)</f>
        <v>2146</v>
      </c>
      <c r="E41" s="231">
        <v>963034</v>
      </c>
      <c r="F41" s="232">
        <f>_xlfn.COMPOUNDVALUE(507)</f>
        <v>3552</v>
      </c>
      <c r="G41" s="231">
        <v>2005259</v>
      </c>
      <c r="H41" s="232">
        <f>_xlfn.COMPOUNDVALUE(508)</f>
        <v>91</v>
      </c>
      <c r="I41" s="233">
        <v>63182</v>
      </c>
      <c r="J41" s="145">
        <v>245</v>
      </c>
      <c r="K41" s="147">
        <v>49363</v>
      </c>
      <c r="L41" s="145">
        <v>3729</v>
      </c>
      <c r="M41" s="147">
        <v>1991440</v>
      </c>
      <c r="N41" s="71" t="s">
        <v>110</v>
      </c>
    </row>
    <row r="42" spans="1:14" s="72" customFormat="1" ht="22.5" customHeight="1">
      <c r="A42" s="70" t="s">
        <v>111</v>
      </c>
      <c r="B42" s="145">
        <f>_xlfn.COMPOUNDVALUE(509)</f>
        <v>1824</v>
      </c>
      <c r="C42" s="231">
        <v>1020579</v>
      </c>
      <c r="D42" s="232">
        <f>_xlfn.COMPOUNDVALUE(510)</f>
        <v>2534</v>
      </c>
      <c r="E42" s="231">
        <v>1073471</v>
      </c>
      <c r="F42" s="232">
        <f>_xlfn.COMPOUNDVALUE(511)</f>
        <v>4358</v>
      </c>
      <c r="G42" s="231">
        <v>2094050</v>
      </c>
      <c r="H42" s="232">
        <f>_xlfn.COMPOUNDVALUE(512)</f>
        <v>130</v>
      </c>
      <c r="I42" s="233">
        <v>83519</v>
      </c>
      <c r="J42" s="145">
        <v>415</v>
      </c>
      <c r="K42" s="147">
        <v>56937</v>
      </c>
      <c r="L42" s="145">
        <v>4621</v>
      </c>
      <c r="M42" s="147">
        <v>2067468</v>
      </c>
      <c r="N42" s="71" t="s">
        <v>112</v>
      </c>
    </row>
    <row r="43" spans="1:14" s="72" customFormat="1" ht="22.5" customHeight="1">
      <c r="A43" s="70" t="s">
        <v>113</v>
      </c>
      <c r="B43" s="145">
        <f>_xlfn.COMPOUNDVALUE(513)</f>
        <v>713</v>
      </c>
      <c r="C43" s="231">
        <v>417324</v>
      </c>
      <c r="D43" s="232">
        <f>_xlfn.COMPOUNDVALUE(514)</f>
        <v>1035</v>
      </c>
      <c r="E43" s="231">
        <v>410382</v>
      </c>
      <c r="F43" s="232">
        <f>_xlfn.COMPOUNDVALUE(515)</f>
        <v>1748</v>
      </c>
      <c r="G43" s="231">
        <v>827706</v>
      </c>
      <c r="H43" s="232">
        <f>_xlfn.COMPOUNDVALUE(516)</f>
        <v>46</v>
      </c>
      <c r="I43" s="233">
        <v>15168</v>
      </c>
      <c r="J43" s="145">
        <v>125</v>
      </c>
      <c r="K43" s="147">
        <v>29815</v>
      </c>
      <c r="L43" s="145">
        <v>1845</v>
      </c>
      <c r="M43" s="147">
        <v>842353</v>
      </c>
      <c r="N43" s="71" t="s">
        <v>114</v>
      </c>
    </row>
    <row r="44" spans="1:14" s="72" customFormat="1" ht="22.5" customHeight="1">
      <c r="A44" s="73" t="s">
        <v>115</v>
      </c>
      <c r="B44" s="148">
        <f>_xlfn.COMPOUNDVALUE(517)</f>
        <v>2264</v>
      </c>
      <c r="C44" s="234">
        <v>1642145</v>
      </c>
      <c r="D44" s="235">
        <f>_xlfn.COMPOUNDVALUE(518)</f>
        <v>3420</v>
      </c>
      <c r="E44" s="234">
        <v>1425666</v>
      </c>
      <c r="F44" s="235">
        <f>_xlfn.COMPOUNDVALUE(519)</f>
        <v>5684</v>
      </c>
      <c r="G44" s="234">
        <v>3067811</v>
      </c>
      <c r="H44" s="235">
        <f>_xlfn.COMPOUNDVALUE(520)</f>
        <v>162</v>
      </c>
      <c r="I44" s="236">
        <v>109265</v>
      </c>
      <c r="J44" s="148">
        <v>536</v>
      </c>
      <c r="K44" s="150">
        <v>90882</v>
      </c>
      <c r="L44" s="148">
        <v>5975</v>
      </c>
      <c r="M44" s="150">
        <v>3049428</v>
      </c>
      <c r="N44" s="74" t="s">
        <v>116</v>
      </c>
    </row>
    <row r="45" spans="1:14" s="72" customFormat="1" ht="22.5" customHeight="1">
      <c r="A45" s="73" t="s">
        <v>117</v>
      </c>
      <c r="B45" s="148">
        <f>_xlfn.COMPOUNDVALUE(521)</f>
        <v>1381</v>
      </c>
      <c r="C45" s="234">
        <v>854832</v>
      </c>
      <c r="D45" s="235">
        <f>_xlfn.COMPOUNDVALUE(522)</f>
        <v>2016</v>
      </c>
      <c r="E45" s="234">
        <v>839959</v>
      </c>
      <c r="F45" s="235">
        <f>_xlfn.COMPOUNDVALUE(523)</f>
        <v>3397</v>
      </c>
      <c r="G45" s="234">
        <v>1694791</v>
      </c>
      <c r="H45" s="235">
        <f>_xlfn.COMPOUNDVALUE(524)</f>
        <v>78</v>
      </c>
      <c r="I45" s="236">
        <v>107263</v>
      </c>
      <c r="J45" s="148">
        <v>362</v>
      </c>
      <c r="K45" s="150">
        <v>53271</v>
      </c>
      <c r="L45" s="148">
        <v>3589</v>
      </c>
      <c r="M45" s="150">
        <v>1640799</v>
      </c>
      <c r="N45" s="74" t="s">
        <v>118</v>
      </c>
    </row>
    <row r="46" spans="1:14" s="72" customFormat="1" ht="22.5" customHeight="1">
      <c r="A46" s="73" t="s">
        <v>119</v>
      </c>
      <c r="B46" s="148">
        <f>_xlfn.COMPOUNDVALUE(525)</f>
        <v>1761</v>
      </c>
      <c r="C46" s="234">
        <v>1308999</v>
      </c>
      <c r="D46" s="235">
        <f>_xlfn.COMPOUNDVALUE(526)</f>
        <v>2636</v>
      </c>
      <c r="E46" s="234">
        <v>1167608</v>
      </c>
      <c r="F46" s="235">
        <f>_xlfn.COMPOUNDVALUE(527)</f>
        <v>4397</v>
      </c>
      <c r="G46" s="234">
        <v>2476607</v>
      </c>
      <c r="H46" s="235">
        <f>_xlfn.COMPOUNDVALUE(528)</f>
        <v>117</v>
      </c>
      <c r="I46" s="236">
        <v>227059</v>
      </c>
      <c r="J46" s="148">
        <v>385</v>
      </c>
      <c r="K46" s="150">
        <v>52103</v>
      </c>
      <c r="L46" s="148">
        <v>4605</v>
      </c>
      <c r="M46" s="150">
        <v>2301651</v>
      </c>
      <c r="N46" s="74" t="s">
        <v>120</v>
      </c>
    </row>
    <row r="47" spans="1:14" s="72" customFormat="1" ht="22.5" customHeight="1">
      <c r="A47" s="73" t="s">
        <v>121</v>
      </c>
      <c r="B47" s="148">
        <f>_xlfn.COMPOUNDVALUE(529)</f>
        <v>1320</v>
      </c>
      <c r="C47" s="234">
        <v>835509</v>
      </c>
      <c r="D47" s="235">
        <f>_xlfn.COMPOUNDVALUE(530)</f>
        <v>1840</v>
      </c>
      <c r="E47" s="234">
        <v>824134</v>
      </c>
      <c r="F47" s="235">
        <f>_xlfn.COMPOUNDVALUE(531)</f>
        <v>3160</v>
      </c>
      <c r="G47" s="234">
        <v>1659642</v>
      </c>
      <c r="H47" s="235">
        <f>_xlfn.COMPOUNDVALUE(532)</f>
        <v>75</v>
      </c>
      <c r="I47" s="236">
        <v>87232</v>
      </c>
      <c r="J47" s="148">
        <v>272</v>
      </c>
      <c r="K47" s="150">
        <v>41040</v>
      </c>
      <c r="L47" s="148">
        <v>3323</v>
      </c>
      <c r="M47" s="150">
        <v>1613450</v>
      </c>
      <c r="N47" s="74" t="s">
        <v>122</v>
      </c>
    </row>
    <row r="48" spans="1:14" s="72" customFormat="1" ht="22.5" customHeight="1">
      <c r="A48" s="73" t="s">
        <v>123</v>
      </c>
      <c r="B48" s="148">
        <f>_xlfn.COMPOUNDVALUE(533)</f>
        <v>820</v>
      </c>
      <c r="C48" s="234">
        <v>731028</v>
      </c>
      <c r="D48" s="235">
        <f>_xlfn.COMPOUNDVALUE(534)</f>
        <v>1424</v>
      </c>
      <c r="E48" s="234">
        <v>621006</v>
      </c>
      <c r="F48" s="235">
        <f>_xlfn.COMPOUNDVALUE(535)</f>
        <v>2244</v>
      </c>
      <c r="G48" s="234">
        <v>1352034</v>
      </c>
      <c r="H48" s="235">
        <f>_xlfn.COMPOUNDVALUE(536)</f>
        <v>88</v>
      </c>
      <c r="I48" s="236">
        <v>102876</v>
      </c>
      <c r="J48" s="148">
        <v>124</v>
      </c>
      <c r="K48" s="150">
        <v>12763</v>
      </c>
      <c r="L48" s="148">
        <v>2356</v>
      </c>
      <c r="M48" s="150">
        <v>1261921</v>
      </c>
      <c r="N48" s="74" t="s">
        <v>124</v>
      </c>
    </row>
    <row r="49" spans="1:14" s="72" customFormat="1" ht="22.5" customHeight="1">
      <c r="A49" s="73" t="s">
        <v>125</v>
      </c>
      <c r="B49" s="148">
        <f>_xlfn.COMPOUNDVALUE(537)</f>
        <v>2186</v>
      </c>
      <c r="C49" s="234">
        <v>1242011</v>
      </c>
      <c r="D49" s="235">
        <f>_xlfn.COMPOUNDVALUE(538)</f>
        <v>2996</v>
      </c>
      <c r="E49" s="234">
        <v>1301201</v>
      </c>
      <c r="F49" s="235">
        <f>_xlfn.COMPOUNDVALUE(539)</f>
        <v>5182</v>
      </c>
      <c r="G49" s="234">
        <v>2543212</v>
      </c>
      <c r="H49" s="235">
        <f>_xlfn.COMPOUNDVALUE(540)</f>
        <v>170</v>
      </c>
      <c r="I49" s="236">
        <v>137822</v>
      </c>
      <c r="J49" s="148">
        <v>571</v>
      </c>
      <c r="K49" s="150">
        <v>117020</v>
      </c>
      <c r="L49" s="148">
        <v>5629</v>
      </c>
      <c r="M49" s="150">
        <v>2522410</v>
      </c>
      <c r="N49" s="74" t="s">
        <v>126</v>
      </c>
    </row>
    <row r="50" spans="1:14" s="72" customFormat="1" ht="22.5" customHeight="1">
      <c r="A50" s="170" t="s">
        <v>127</v>
      </c>
      <c r="B50" s="171">
        <f>_xlfn.COMPOUNDVALUE(541)</f>
        <v>221</v>
      </c>
      <c r="C50" s="237">
        <v>121578</v>
      </c>
      <c r="D50" s="238">
        <f>_xlfn.COMPOUNDVALUE(542)</f>
        <v>384</v>
      </c>
      <c r="E50" s="237">
        <v>137511</v>
      </c>
      <c r="F50" s="238">
        <f>_xlfn.COMPOUNDVALUE(543)</f>
        <v>605</v>
      </c>
      <c r="G50" s="237">
        <v>259089</v>
      </c>
      <c r="H50" s="238">
        <f>_xlfn.COMPOUNDVALUE(544)</f>
        <v>9</v>
      </c>
      <c r="I50" s="239">
        <v>4248</v>
      </c>
      <c r="J50" s="171">
        <v>86</v>
      </c>
      <c r="K50" s="173">
        <v>13144</v>
      </c>
      <c r="L50" s="171">
        <v>622</v>
      </c>
      <c r="M50" s="173">
        <v>267985</v>
      </c>
      <c r="N50" s="174" t="s">
        <v>128</v>
      </c>
    </row>
    <row r="51" spans="1:14" s="72" customFormat="1" ht="22.5" customHeight="1">
      <c r="A51" s="175" t="s">
        <v>129</v>
      </c>
      <c r="B51" s="176">
        <v>27932</v>
      </c>
      <c r="C51" s="177">
        <v>19273945</v>
      </c>
      <c r="D51" s="176">
        <v>41103</v>
      </c>
      <c r="E51" s="177">
        <v>18402938</v>
      </c>
      <c r="F51" s="176">
        <v>69035</v>
      </c>
      <c r="G51" s="177">
        <v>37676883</v>
      </c>
      <c r="H51" s="176">
        <v>2094</v>
      </c>
      <c r="I51" s="178">
        <v>1910592</v>
      </c>
      <c r="J51" s="176">
        <v>6291</v>
      </c>
      <c r="K51" s="178">
        <v>1074247</v>
      </c>
      <c r="L51" s="176">
        <v>73238</v>
      </c>
      <c r="M51" s="178">
        <v>36840538</v>
      </c>
      <c r="N51" s="179" t="s">
        <v>130</v>
      </c>
    </row>
    <row r="52" spans="1:14" s="72" customFormat="1" ht="22.5" customHeight="1">
      <c r="A52" s="180"/>
      <c r="B52" s="181"/>
      <c r="C52" s="182"/>
      <c r="D52" s="181"/>
      <c r="E52" s="182"/>
      <c r="F52" s="183"/>
      <c r="G52" s="182"/>
      <c r="H52" s="183"/>
      <c r="I52" s="182"/>
      <c r="J52" s="183"/>
      <c r="K52" s="182"/>
      <c r="L52" s="183"/>
      <c r="M52" s="182"/>
      <c r="N52" s="184"/>
    </row>
    <row r="53" spans="1:14" s="72" customFormat="1" ht="22.5" customHeight="1">
      <c r="A53" s="70" t="s">
        <v>131</v>
      </c>
      <c r="B53" s="145">
        <f>_xlfn.COMPOUNDVALUE(545)</f>
        <v>1027</v>
      </c>
      <c r="C53" s="231">
        <v>719813</v>
      </c>
      <c r="D53" s="232">
        <f>_xlfn.COMPOUNDVALUE(546)</f>
        <v>1351</v>
      </c>
      <c r="E53" s="231">
        <v>597899</v>
      </c>
      <c r="F53" s="232">
        <f>_xlfn.COMPOUNDVALUE(547)</f>
        <v>2378</v>
      </c>
      <c r="G53" s="231">
        <v>1317711</v>
      </c>
      <c r="H53" s="232">
        <f>_xlfn.COMPOUNDVALUE(548)</f>
        <v>71</v>
      </c>
      <c r="I53" s="233">
        <v>68933</v>
      </c>
      <c r="J53" s="145">
        <v>226</v>
      </c>
      <c r="K53" s="147">
        <v>32177</v>
      </c>
      <c r="L53" s="145">
        <v>2520</v>
      </c>
      <c r="M53" s="147">
        <v>1280955</v>
      </c>
      <c r="N53" s="71" t="s">
        <v>132</v>
      </c>
    </row>
    <row r="54" spans="1:14" s="72" customFormat="1" ht="22.5" customHeight="1">
      <c r="A54" s="73" t="s">
        <v>133</v>
      </c>
      <c r="B54" s="148">
        <f>_xlfn.COMPOUNDVALUE(549)</f>
        <v>1488</v>
      </c>
      <c r="C54" s="234">
        <v>1040623</v>
      </c>
      <c r="D54" s="235">
        <f>_xlfn.COMPOUNDVALUE(550)</f>
        <v>1999</v>
      </c>
      <c r="E54" s="234">
        <v>890166</v>
      </c>
      <c r="F54" s="235">
        <f>_xlfn.COMPOUNDVALUE(551)</f>
        <v>3487</v>
      </c>
      <c r="G54" s="234">
        <v>1930789</v>
      </c>
      <c r="H54" s="235">
        <f>_xlfn.COMPOUNDVALUE(552)</f>
        <v>109</v>
      </c>
      <c r="I54" s="236">
        <v>148034</v>
      </c>
      <c r="J54" s="148">
        <v>221</v>
      </c>
      <c r="K54" s="150">
        <v>43989</v>
      </c>
      <c r="L54" s="148">
        <v>3690</v>
      </c>
      <c r="M54" s="150">
        <v>1826744</v>
      </c>
      <c r="N54" s="74" t="s">
        <v>134</v>
      </c>
    </row>
    <row r="55" spans="1:14" s="72" customFormat="1" ht="22.5" customHeight="1">
      <c r="A55" s="73" t="s">
        <v>135</v>
      </c>
      <c r="B55" s="148">
        <f>_xlfn.COMPOUNDVALUE(553)</f>
        <v>1317</v>
      </c>
      <c r="C55" s="234">
        <v>896855</v>
      </c>
      <c r="D55" s="235">
        <f>_xlfn.COMPOUNDVALUE(554)</f>
        <v>1699</v>
      </c>
      <c r="E55" s="234">
        <v>650054</v>
      </c>
      <c r="F55" s="235">
        <f>_xlfn.COMPOUNDVALUE(555)</f>
        <v>3016</v>
      </c>
      <c r="G55" s="234">
        <v>1546909</v>
      </c>
      <c r="H55" s="235">
        <f>_xlfn.COMPOUNDVALUE(556)</f>
        <v>94</v>
      </c>
      <c r="I55" s="236">
        <v>80265</v>
      </c>
      <c r="J55" s="148">
        <v>188</v>
      </c>
      <c r="K55" s="150">
        <v>29780</v>
      </c>
      <c r="L55" s="148">
        <v>3163</v>
      </c>
      <c r="M55" s="150">
        <v>1496424</v>
      </c>
      <c r="N55" s="74" t="s">
        <v>136</v>
      </c>
    </row>
    <row r="56" spans="1:14" s="72" customFormat="1" ht="22.5" customHeight="1">
      <c r="A56" s="73" t="s">
        <v>137</v>
      </c>
      <c r="B56" s="148">
        <f>_xlfn.COMPOUNDVALUE(557)</f>
        <v>992</v>
      </c>
      <c r="C56" s="234">
        <v>639793</v>
      </c>
      <c r="D56" s="235">
        <f>_xlfn.COMPOUNDVALUE(558)</f>
        <v>1136</v>
      </c>
      <c r="E56" s="234">
        <v>460100</v>
      </c>
      <c r="F56" s="235">
        <f>_xlfn.COMPOUNDVALUE(559)</f>
        <v>2128</v>
      </c>
      <c r="G56" s="234">
        <v>1099893</v>
      </c>
      <c r="H56" s="235">
        <f>_xlfn.COMPOUNDVALUE(560)</f>
        <v>79</v>
      </c>
      <c r="I56" s="236">
        <v>66229</v>
      </c>
      <c r="J56" s="148">
        <v>123</v>
      </c>
      <c r="K56" s="150">
        <v>22406</v>
      </c>
      <c r="L56" s="148">
        <v>2241</v>
      </c>
      <c r="M56" s="150">
        <v>1056070</v>
      </c>
      <c r="N56" s="74" t="s">
        <v>138</v>
      </c>
    </row>
    <row r="57" spans="1:14" s="72" customFormat="1" ht="22.5" customHeight="1">
      <c r="A57" s="73" t="s">
        <v>139</v>
      </c>
      <c r="B57" s="148">
        <f>_xlfn.COMPOUNDVALUE(561)</f>
        <v>785</v>
      </c>
      <c r="C57" s="234">
        <v>534329</v>
      </c>
      <c r="D57" s="235">
        <f>_xlfn.COMPOUNDVALUE(562)</f>
        <v>1053</v>
      </c>
      <c r="E57" s="234">
        <v>433814</v>
      </c>
      <c r="F57" s="235">
        <f>_xlfn.COMPOUNDVALUE(563)</f>
        <v>1838</v>
      </c>
      <c r="G57" s="234">
        <v>968143</v>
      </c>
      <c r="H57" s="235">
        <f>_xlfn.COMPOUNDVALUE(564)</f>
        <v>65</v>
      </c>
      <c r="I57" s="236">
        <v>33786</v>
      </c>
      <c r="J57" s="148">
        <v>171</v>
      </c>
      <c r="K57" s="150">
        <v>29393</v>
      </c>
      <c r="L57" s="148">
        <v>1956</v>
      </c>
      <c r="M57" s="150">
        <v>963750</v>
      </c>
      <c r="N57" s="74" t="s">
        <v>140</v>
      </c>
    </row>
    <row r="58" spans="1:14" s="72" customFormat="1" ht="22.5" customHeight="1">
      <c r="A58" s="73" t="s">
        <v>141</v>
      </c>
      <c r="B58" s="148">
        <f>_xlfn.COMPOUNDVALUE(565)</f>
        <v>647</v>
      </c>
      <c r="C58" s="234">
        <v>353267</v>
      </c>
      <c r="D58" s="235">
        <f>_xlfn.COMPOUNDVALUE(566)</f>
        <v>665</v>
      </c>
      <c r="E58" s="234">
        <v>265656</v>
      </c>
      <c r="F58" s="235">
        <f>_xlfn.COMPOUNDVALUE(567)</f>
        <v>1312</v>
      </c>
      <c r="G58" s="234">
        <v>618923</v>
      </c>
      <c r="H58" s="235">
        <f>_xlfn.COMPOUNDVALUE(568)</f>
        <v>58</v>
      </c>
      <c r="I58" s="236">
        <v>52439</v>
      </c>
      <c r="J58" s="148">
        <v>122</v>
      </c>
      <c r="K58" s="150">
        <v>16768</v>
      </c>
      <c r="L58" s="148">
        <v>1402</v>
      </c>
      <c r="M58" s="150">
        <v>583252</v>
      </c>
      <c r="N58" s="74" t="s">
        <v>142</v>
      </c>
    </row>
    <row r="59" spans="1:14" s="72" customFormat="1" ht="22.5" customHeight="1">
      <c r="A59" s="73" t="s">
        <v>143</v>
      </c>
      <c r="B59" s="235">
        <f>_xlfn.COMPOUNDVALUE(569)</f>
        <v>995</v>
      </c>
      <c r="C59" s="234">
        <v>677400</v>
      </c>
      <c r="D59" s="235">
        <f>_xlfn.COMPOUNDVALUE(570)</f>
        <v>1358</v>
      </c>
      <c r="E59" s="234">
        <v>612859</v>
      </c>
      <c r="F59" s="235">
        <f>_xlfn.COMPOUNDVALUE(571)</f>
        <v>2353</v>
      </c>
      <c r="G59" s="234">
        <v>1290259</v>
      </c>
      <c r="H59" s="235">
        <f>_xlfn.COMPOUNDVALUE(572)</f>
        <v>84</v>
      </c>
      <c r="I59" s="236">
        <v>88458</v>
      </c>
      <c r="J59" s="148">
        <v>167</v>
      </c>
      <c r="K59" s="150">
        <v>38113</v>
      </c>
      <c r="L59" s="148">
        <v>2511</v>
      </c>
      <c r="M59" s="150">
        <v>1239914</v>
      </c>
      <c r="N59" s="74" t="s">
        <v>144</v>
      </c>
    </row>
    <row r="60" spans="1:14" s="72" customFormat="1" ht="22.5" customHeight="1">
      <c r="A60" s="170" t="s">
        <v>145</v>
      </c>
      <c r="B60" s="238">
        <f>_xlfn.COMPOUNDVALUE(573)</f>
        <v>442</v>
      </c>
      <c r="C60" s="237">
        <v>358603</v>
      </c>
      <c r="D60" s="238">
        <f>_xlfn.COMPOUNDVALUE(574)</f>
        <v>577</v>
      </c>
      <c r="E60" s="237">
        <v>222269</v>
      </c>
      <c r="F60" s="238">
        <f>_xlfn.COMPOUNDVALUE(575)</f>
        <v>1019</v>
      </c>
      <c r="G60" s="237">
        <v>580872</v>
      </c>
      <c r="H60" s="238">
        <f>_xlfn.COMPOUNDVALUE(576)</f>
        <v>17</v>
      </c>
      <c r="I60" s="239">
        <v>4791</v>
      </c>
      <c r="J60" s="171">
        <v>82</v>
      </c>
      <c r="K60" s="173">
        <v>12820</v>
      </c>
      <c r="L60" s="171">
        <v>1048</v>
      </c>
      <c r="M60" s="173">
        <v>588901</v>
      </c>
      <c r="N60" s="174" t="s">
        <v>146</v>
      </c>
    </row>
    <row r="61" spans="1:14" s="72" customFormat="1" ht="22.5" customHeight="1">
      <c r="A61" s="175" t="s">
        <v>147</v>
      </c>
      <c r="B61" s="240">
        <v>7693</v>
      </c>
      <c r="C61" s="241">
        <v>5220682</v>
      </c>
      <c r="D61" s="240">
        <v>9838</v>
      </c>
      <c r="E61" s="241">
        <v>4132818</v>
      </c>
      <c r="F61" s="240">
        <v>17531</v>
      </c>
      <c r="G61" s="241">
        <v>9353499</v>
      </c>
      <c r="H61" s="240">
        <v>577</v>
      </c>
      <c r="I61" s="242">
        <v>542935</v>
      </c>
      <c r="J61" s="176">
        <v>1300</v>
      </c>
      <c r="K61" s="178">
        <v>225445</v>
      </c>
      <c r="L61" s="176">
        <v>18531</v>
      </c>
      <c r="M61" s="178">
        <v>9036010</v>
      </c>
      <c r="N61" s="179" t="s">
        <v>148</v>
      </c>
    </row>
    <row r="62" spans="1:14" s="72" customFormat="1" ht="22.5" customHeight="1" thickBot="1">
      <c r="A62" s="75"/>
      <c r="B62" s="244"/>
      <c r="C62" s="243"/>
      <c r="D62" s="244"/>
      <c r="E62" s="243"/>
      <c r="F62" s="245"/>
      <c r="G62" s="243"/>
      <c r="H62" s="245"/>
      <c r="I62" s="243"/>
      <c r="J62" s="186"/>
      <c r="K62" s="185"/>
      <c r="L62" s="186"/>
      <c r="M62" s="185"/>
      <c r="N62" s="76"/>
    </row>
    <row r="63" spans="1:14" s="72" customFormat="1" ht="22.5" customHeight="1" thickBot="1" thickTop="1">
      <c r="A63" s="77" t="s">
        <v>42</v>
      </c>
      <c r="B63" s="247">
        <v>57784</v>
      </c>
      <c r="C63" s="246">
        <v>38793734</v>
      </c>
      <c r="D63" s="247">
        <v>88394</v>
      </c>
      <c r="E63" s="246">
        <v>38056410</v>
      </c>
      <c r="F63" s="247">
        <v>146178</v>
      </c>
      <c r="G63" s="246">
        <v>76850144</v>
      </c>
      <c r="H63" s="247">
        <v>4293</v>
      </c>
      <c r="I63" s="248">
        <v>3532751</v>
      </c>
      <c r="J63" s="155">
        <v>12520</v>
      </c>
      <c r="K63" s="157">
        <v>1991357</v>
      </c>
      <c r="L63" s="155">
        <v>154285</v>
      </c>
      <c r="M63" s="157">
        <v>75308749</v>
      </c>
      <c r="N63" s="78" t="s">
        <v>43</v>
      </c>
    </row>
    <row r="64" spans="1:14" s="108" customFormat="1" ht="3" customHeight="1">
      <c r="A64" s="106"/>
      <c r="B64" s="107"/>
      <c r="C64" s="107"/>
      <c r="D64" s="107"/>
      <c r="E64" s="107"/>
      <c r="F64" s="107"/>
      <c r="G64" s="107"/>
      <c r="H64" s="107"/>
      <c r="I64" s="107"/>
      <c r="J64" s="107"/>
      <c r="K64" s="107"/>
      <c r="L64" s="107"/>
      <c r="M64" s="107"/>
      <c r="N64" s="106"/>
    </row>
    <row r="65" spans="1:14" ht="22.5" customHeight="1">
      <c r="A65" s="291" t="s">
        <v>223</v>
      </c>
      <c r="B65" s="291"/>
      <c r="C65" s="291"/>
      <c r="D65" s="291"/>
      <c r="E65" s="291"/>
      <c r="F65" s="291"/>
      <c r="G65" s="291"/>
      <c r="H65" s="291"/>
      <c r="I65" s="291"/>
      <c r="J65" s="60"/>
      <c r="K65" s="60"/>
      <c r="L65" s="61"/>
      <c r="M65" s="61"/>
      <c r="N65" s="61"/>
    </row>
  </sheetData>
  <sheetProtection/>
  <mergeCells count="11">
    <mergeCell ref="A2:G2"/>
    <mergeCell ref="A3:A5"/>
    <mergeCell ref="B3:G3"/>
    <mergeCell ref="H3:I4"/>
    <mergeCell ref="J3:K4"/>
    <mergeCell ref="L3:M4"/>
    <mergeCell ref="N3:N5"/>
    <mergeCell ref="B4:C4"/>
    <mergeCell ref="D4:E4"/>
    <mergeCell ref="F4:G4"/>
    <mergeCell ref="A65:I65"/>
  </mergeCells>
  <printOptions horizontalCentered="1"/>
  <pageMargins left="0.5118110236220472" right="0.5118110236220472" top="0.7480314960629921" bottom="0.7480314960629921" header="0.31496062992125984" footer="0.31496062992125984"/>
  <pageSetup horizontalDpi="600" verticalDpi="600" orientation="portrait" paperSize="9" scale="55" r:id="rId1"/>
  <headerFooter alignWithMargins="0">
    <oddFooter>&amp;R&amp;K01+000名古屋国税局 消費税（H30）</oddFooter>
  </headerFooter>
</worksheet>
</file>

<file path=xl/worksheets/sheet5.xml><?xml version="1.0" encoding="utf-8"?>
<worksheet xmlns="http://schemas.openxmlformats.org/spreadsheetml/2006/main" xmlns:r="http://schemas.openxmlformats.org/officeDocument/2006/relationships">
  <dimension ref="A1:N65"/>
  <sheetViews>
    <sheetView showGridLines="0" zoomScale="85" zoomScaleNormal="85" zoomScaleSheetLayoutView="100" workbookViewId="0" topLeftCell="A1">
      <selection activeCell="A1" sqref="A1"/>
    </sheetView>
  </sheetViews>
  <sheetFormatPr defaultColWidth="9.00390625" defaultRowHeight="13.5"/>
  <cols>
    <col min="1" max="1" width="11.375" style="144" customWidth="1"/>
    <col min="2" max="2" width="11.25390625" style="144" customWidth="1"/>
    <col min="3" max="3" width="12.625" style="144" customWidth="1"/>
    <col min="4" max="4" width="11.25390625" style="144" customWidth="1"/>
    <col min="5" max="5" width="12.625" style="144" customWidth="1"/>
    <col min="6" max="6" width="11.25390625" style="144" customWidth="1"/>
    <col min="7" max="7" width="12.625" style="144" customWidth="1"/>
    <col min="8" max="8" width="11.25390625" style="144" customWidth="1"/>
    <col min="9" max="9" width="12.625" style="144" customWidth="1"/>
    <col min="10" max="10" width="11.25390625" style="144" customWidth="1"/>
    <col min="11" max="11" width="12.625" style="144" customWidth="1"/>
    <col min="12" max="12" width="11.25390625" style="144" customWidth="1"/>
    <col min="13" max="13" width="12.625" style="144" customWidth="1"/>
    <col min="14" max="14" width="11.375" style="144" customWidth="1"/>
    <col min="15" max="16384" width="9.00390625" style="144" customWidth="1"/>
  </cols>
  <sheetData>
    <row r="1" spans="1:14" ht="13.5">
      <c r="A1" s="60" t="s">
        <v>228</v>
      </c>
      <c r="B1" s="60"/>
      <c r="C1" s="60"/>
      <c r="D1" s="60"/>
      <c r="E1" s="60"/>
      <c r="F1" s="60"/>
      <c r="G1" s="60"/>
      <c r="H1" s="60"/>
      <c r="I1" s="60"/>
      <c r="J1" s="60"/>
      <c r="K1" s="60"/>
      <c r="L1" s="61"/>
      <c r="M1" s="61"/>
      <c r="N1" s="79"/>
    </row>
    <row r="2" spans="1:14" ht="14.25" thickBot="1">
      <c r="A2" s="300" t="s">
        <v>149</v>
      </c>
      <c r="B2" s="300"/>
      <c r="C2" s="300"/>
      <c r="D2" s="300"/>
      <c r="E2" s="300"/>
      <c r="F2" s="300"/>
      <c r="G2" s="300"/>
      <c r="H2" s="300"/>
      <c r="I2" s="300"/>
      <c r="J2" s="60"/>
      <c r="K2" s="60"/>
      <c r="L2" s="61"/>
      <c r="M2" s="61"/>
      <c r="N2" s="79"/>
    </row>
    <row r="3" spans="1:14" ht="22.5" customHeight="1">
      <c r="A3" s="292" t="s">
        <v>154</v>
      </c>
      <c r="B3" s="295" t="s">
        <v>155</v>
      </c>
      <c r="C3" s="295"/>
      <c r="D3" s="295"/>
      <c r="E3" s="295"/>
      <c r="F3" s="295"/>
      <c r="G3" s="295"/>
      <c r="H3" s="296" t="s">
        <v>13</v>
      </c>
      <c r="I3" s="297"/>
      <c r="J3" s="299" t="s">
        <v>37</v>
      </c>
      <c r="K3" s="297"/>
      <c r="L3" s="280" t="s">
        <v>38</v>
      </c>
      <c r="M3" s="281"/>
      <c r="N3" s="284" t="s">
        <v>150</v>
      </c>
    </row>
    <row r="4" spans="1:14" ht="18.75" customHeight="1">
      <c r="A4" s="293"/>
      <c r="B4" s="288" t="s">
        <v>18</v>
      </c>
      <c r="C4" s="289"/>
      <c r="D4" s="288" t="s">
        <v>40</v>
      </c>
      <c r="E4" s="289"/>
      <c r="F4" s="282" t="s">
        <v>41</v>
      </c>
      <c r="G4" s="290"/>
      <c r="H4" s="288"/>
      <c r="I4" s="298"/>
      <c r="J4" s="288"/>
      <c r="K4" s="298"/>
      <c r="L4" s="282"/>
      <c r="M4" s="283"/>
      <c r="N4" s="285"/>
    </row>
    <row r="5" spans="1:14" ht="33.75" customHeight="1">
      <c r="A5" s="294"/>
      <c r="B5" s="165" t="s">
        <v>222</v>
      </c>
      <c r="C5" s="62" t="s">
        <v>156</v>
      </c>
      <c r="D5" s="165" t="s">
        <v>222</v>
      </c>
      <c r="E5" s="62" t="s">
        <v>156</v>
      </c>
      <c r="F5" s="165" t="s">
        <v>222</v>
      </c>
      <c r="G5" s="63" t="s">
        <v>219</v>
      </c>
      <c r="H5" s="165" t="s">
        <v>222</v>
      </c>
      <c r="I5" s="63" t="s">
        <v>220</v>
      </c>
      <c r="J5" s="165" t="s">
        <v>222</v>
      </c>
      <c r="K5" s="63" t="s">
        <v>221</v>
      </c>
      <c r="L5" s="165" t="s">
        <v>222</v>
      </c>
      <c r="M5" s="63" t="s">
        <v>157</v>
      </c>
      <c r="N5" s="286"/>
    </row>
    <row r="6" spans="1:14" s="80" customFormat="1" ht="10.5">
      <c r="A6" s="64"/>
      <c r="B6" s="65" t="s">
        <v>4</v>
      </c>
      <c r="C6" s="66" t="s">
        <v>5</v>
      </c>
      <c r="D6" s="65" t="s">
        <v>4</v>
      </c>
      <c r="E6" s="66" t="s">
        <v>5</v>
      </c>
      <c r="F6" s="65" t="s">
        <v>4</v>
      </c>
      <c r="G6" s="66" t="s">
        <v>5</v>
      </c>
      <c r="H6" s="65" t="s">
        <v>4</v>
      </c>
      <c r="I6" s="67" t="s">
        <v>5</v>
      </c>
      <c r="J6" s="65" t="s">
        <v>4</v>
      </c>
      <c r="K6" s="67" t="s">
        <v>5</v>
      </c>
      <c r="L6" s="65" t="s">
        <v>226</v>
      </c>
      <c r="M6" s="67" t="s">
        <v>5</v>
      </c>
      <c r="N6" s="68"/>
    </row>
    <row r="7" spans="1:14" ht="22.5" customHeight="1">
      <c r="A7" s="70" t="s">
        <v>158</v>
      </c>
      <c r="B7" s="145">
        <f>_xlfn.COMPOUNDVALUE(1)</f>
        <v>4551</v>
      </c>
      <c r="C7" s="146">
        <v>31332146</v>
      </c>
      <c r="D7" s="145">
        <f>_xlfn.COMPOUNDVALUE(2)</f>
        <v>1736</v>
      </c>
      <c r="E7" s="146">
        <v>1010595</v>
      </c>
      <c r="F7" s="145">
        <f>_xlfn.COMPOUNDVALUE(3)</f>
        <v>6287</v>
      </c>
      <c r="G7" s="146">
        <v>32342742</v>
      </c>
      <c r="H7" s="145">
        <f>_xlfn.COMPOUNDVALUE(4)</f>
        <v>351</v>
      </c>
      <c r="I7" s="147">
        <v>1828904</v>
      </c>
      <c r="J7" s="145">
        <v>411</v>
      </c>
      <c r="K7" s="147">
        <v>156095</v>
      </c>
      <c r="L7" s="145">
        <v>6673</v>
      </c>
      <c r="M7" s="147">
        <v>30669933</v>
      </c>
      <c r="N7" s="71" t="s">
        <v>46</v>
      </c>
    </row>
    <row r="8" spans="1:14" ht="22.5" customHeight="1">
      <c r="A8" s="73" t="s">
        <v>167</v>
      </c>
      <c r="B8" s="148">
        <f>_xlfn.COMPOUNDVALUE(5)</f>
        <v>4364</v>
      </c>
      <c r="C8" s="149">
        <v>35556138</v>
      </c>
      <c r="D8" s="148">
        <f>_xlfn.COMPOUNDVALUE(6)</f>
        <v>1534</v>
      </c>
      <c r="E8" s="149">
        <v>944185</v>
      </c>
      <c r="F8" s="148">
        <f>_xlfn.COMPOUNDVALUE(7)</f>
        <v>5898</v>
      </c>
      <c r="G8" s="149">
        <v>36500323</v>
      </c>
      <c r="H8" s="148">
        <f>_xlfn.COMPOUNDVALUE(8)</f>
        <v>325</v>
      </c>
      <c r="I8" s="150">
        <v>1138814</v>
      </c>
      <c r="J8" s="148">
        <v>433</v>
      </c>
      <c r="K8" s="150">
        <v>19559</v>
      </c>
      <c r="L8" s="148">
        <v>6266</v>
      </c>
      <c r="M8" s="150">
        <v>35381068</v>
      </c>
      <c r="N8" s="74" t="s">
        <v>48</v>
      </c>
    </row>
    <row r="9" spans="1:14" ht="22.5" customHeight="1">
      <c r="A9" s="73" t="s">
        <v>168</v>
      </c>
      <c r="B9" s="148">
        <f>_xlfn.COMPOUNDVALUE(9)</f>
        <v>3475</v>
      </c>
      <c r="C9" s="149">
        <v>36238069</v>
      </c>
      <c r="D9" s="148">
        <f>_xlfn.COMPOUNDVALUE(10)</f>
        <v>1197</v>
      </c>
      <c r="E9" s="149">
        <v>720418</v>
      </c>
      <c r="F9" s="148">
        <f>_xlfn.COMPOUNDVALUE(11)</f>
        <v>4672</v>
      </c>
      <c r="G9" s="149">
        <v>36958487</v>
      </c>
      <c r="H9" s="148">
        <f>_xlfn.COMPOUNDVALUE(12)</f>
        <v>311</v>
      </c>
      <c r="I9" s="150">
        <v>5427959</v>
      </c>
      <c r="J9" s="148">
        <v>280</v>
      </c>
      <c r="K9" s="150">
        <v>28030</v>
      </c>
      <c r="L9" s="148">
        <v>5019</v>
      </c>
      <c r="M9" s="150">
        <v>31558558</v>
      </c>
      <c r="N9" s="74" t="s">
        <v>50</v>
      </c>
    </row>
    <row r="10" spans="1:14" ht="22.5" customHeight="1">
      <c r="A10" s="73" t="s">
        <v>169</v>
      </c>
      <c r="B10" s="148">
        <f>_xlfn.COMPOUNDVALUE(13)</f>
        <v>1953</v>
      </c>
      <c r="C10" s="149">
        <v>10537800</v>
      </c>
      <c r="D10" s="148">
        <f>_xlfn.COMPOUNDVALUE(14)</f>
        <v>792</v>
      </c>
      <c r="E10" s="149">
        <v>440828</v>
      </c>
      <c r="F10" s="148">
        <f>_xlfn.COMPOUNDVALUE(15)</f>
        <v>2745</v>
      </c>
      <c r="G10" s="149">
        <v>10978628</v>
      </c>
      <c r="H10" s="148">
        <f>_xlfn.COMPOUNDVALUE(16)</f>
        <v>118</v>
      </c>
      <c r="I10" s="150">
        <v>631565</v>
      </c>
      <c r="J10" s="148">
        <v>228</v>
      </c>
      <c r="K10" s="150">
        <v>26924</v>
      </c>
      <c r="L10" s="148">
        <v>2876</v>
      </c>
      <c r="M10" s="150">
        <v>10373987</v>
      </c>
      <c r="N10" s="74" t="s">
        <v>52</v>
      </c>
    </row>
    <row r="11" spans="1:14" ht="22.5" customHeight="1">
      <c r="A11" s="73" t="s">
        <v>170</v>
      </c>
      <c r="B11" s="148">
        <f>_xlfn.COMPOUNDVALUE(17)</f>
        <v>2885</v>
      </c>
      <c r="C11" s="149">
        <v>22041735</v>
      </c>
      <c r="D11" s="148">
        <f>_xlfn.COMPOUNDVALUE(18)</f>
        <v>1351</v>
      </c>
      <c r="E11" s="149">
        <v>761375</v>
      </c>
      <c r="F11" s="148">
        <f>_xlfn.COMPOUNDVALUE(19)</f>
        <v>4236</v>
      </c>
      <c r="G11" s="149">
        <v>22803110</v>
      </c>
      <c r="H11" s="148">
        <f>_xlfn.COMPOUNDVALUE(20)</f>
        <v>242</v>
      </c>
      <c r="I11" s="150">
        <v>1526098</v>
      </c>
      <c r="J11" s="148">
        <v>296</v>
      </c>
      <c r="K11" s="150">
        <v>14015</v>
      </c>
      <c r="L11" s="148">
        <v>4497</v>
      </c>
      <c r="M11" s="150">
        <v>21291027</v>
      </c>
      <c r="N11" s="74" t="s">
        <v>54</v>
      </c>
    </row>
    <row r="12" spans="1:14" ht="22.5" customHeight="1">
      <c r="A12" s="73" t="s">
        <v>171</v>
      </c>
      <c r="B12" s="148">
        <f>_xlfn.COMPOUNDVALUE(21)</f>
        <v>2772</v>
      </c>
      <c r="C12" s="149">
        <v>19013458</v>
      </c>
      <c r="D12" s="148">
        <f>_xlfn.COMPOUNDVALUE(22)</f>
        <v>1027</v>
      </c>
      <c r="E12" s="149">
        <v>618015</v>
      </c>
      <c r="F12" s="148">
        <f>_xlfn.COMPOUNDVALUE(23)</f>
        <v>3799</v>
      </c>
      <c r="G12" s="149">
        <v>19631473</v>
      </c>
      <c r="H12" s="148">
        <f>_xlfn.COMPOUNDVALUE(24)</f>
        <v>198</v>
      </c>
      <c r="I12" s="150">
        <v>1345309</v>
      </c>
      <c r="J12" s="148">
        <v>262</v>
      </c>
      <c r="K12" s="150">
        <v>59018</v>
      </c>
      <c r="L12" s="148">
        <v>4024</v>
      </c>
      <c r="M12" s="150">
        <v>18345182</v>
      </c>
      <c r="N12" s="74" t="s">
        <v>56</v>
      </c>
    </row>
    <row r="13" spans="1:14" ht="22.5" customHeight="1">
      <c r="A13" s="170" t="s">
        <v>172</v>
      </c>
      <c r="B13" s="171">
        <f>_xlfn.COMPOUNDVALUE(25)</f>
        <v>1180</v>
      </c>
      <c r="C13" s="172">
        <v>9927822</v>
      </c>
      <c r="D13" s="171">
        <f>_xlfn.COMPOUNDVALUE(26)</f>
        <v>495</v>
      </c>
      <c r="E13" s="172">
        <v>291525</v>
      </c>
      <c r="F13" s="171">
        <f>_xlfn.COMPOUNDVALUE(27)</f>
        <v>1675</v>
      </c>
      <c r="G13" s="172">
        <v>10219347</v>
      </c>
      <c r="H13" s="171">
        <f>_xlfn.COMPOUNDVALUE(28)</f>
        <v>57</v>
      </c>
      <c r="I13" s="173">
        <v>151598</v>
      </c>
      <c r="J13" s="171">
        <v>92</v>
      </c>
      <c r="K13" s="173">
        <v>47115</v>
      </c>
      <c r="L13" s="171">
        <v>1747</v>
      </c>
      <c r="M13" s="173">
        <v>10114864</v>
      </c>
      <c r="N13" s="174" t="s">
        <v>58</v>
      </c>
    </row>
    <row r="14" spans="1:14" ht="22.5" customHeight="1">
      <c r="A14" s="175" t="s">
        <v>173</v>
      </c>
      <c r="B14" s="176">
        <v>21180</v>
      </c>
      <c r="C14" s="177">
        <v>164647169</v>
      </c>
      <c r="D14" s="176">
        <v>8132</v>
      </c>
      <c r="E14" s="177">
        <v>4786940</v>
      </c>
      <c r="F14" s="176">
        <v>29312</v>
      </c>
      <c r="G14" s="177">
        <v>169434108</v>
      </c>
      <c r="H14" s="176">
        <v>1602</v>
      </c>
      <c r="I14" s="178">
        <v>12050246</v>
      </c>
      <c r="J14" s="176">
        <v>2002</v>
      </c>
      <c r="K14" s="178">
        <v>350755</v>
      </c>
      <c r="L14" s="176">
        <v>31102</v>
      </c>
      <c r="M14" s="178">
        <v>157734618</v>
      </c>
      <c r="N14" s="179" t="s">
        <v>60</v>
      </c>
    </row>
    <row r="15" spans="1:14" ht="22.5" customHeight="1">
      <c r="A15" s="180"/>
      <c r="B15" s="181"/>
      <c r="C15" s="182"/>
      <c r="D15" s="181"/>
      <c r="E15" s="182"/>
      <c r="F15" s="183"/>
      <c r="G15" s="182"/>
      <c r="H15" s="183"/>
      <c r="I15" s="182"/>
      <c r="J15" s="183"/>
      <c r="K15" s="182"/>
      <c r="L15" s="183"/>
      <c r="M15" s="182"/>
      <c r="N15" s="184"/>
    </row>
    <row r="16" spans="1:14" ht="22.5" customHeight="1">
      <c r="A16" s="70" t="s">
        <v>174</v>
      </c>
      <c r="B16" s="145">
        <f>_xlfn.COMPOUNDVALUE(29)</f>
        <v>5334</v>
      </c>
      <c r="C16" s="146">
        <v>53485959</v>
      </c>
      <c r="D16" s="145">
        <f>_xlfn.COMPOUNDVALUE(30)</f>
        <v>2205</v>
      </c>
      <c r="E16" s="146">
        <v>1360717</v>
      </c>
      <c r="F16" s="145">
        <f>_xlfn.COMPOUNDVALUE(31)</f>
        <v>7539</v>
      </c>
      <c r="G16" s="146">
        <v>54846677</v>
      </c>
      <c r="H16" s="145">
        <f>_xlfn.COMPOUNDVALUE(32)</f>
        <v>372</v>
      </c>
      <c r="I16" s="147">
        <v>3177132</v>
      </c>
      <c r="J16" s="145">
        <v>606</v>
      </c>
      <c r="K16" s="147">
        <v>177465</v>
      </c>
      <c r="L16" s="145">
        <v>7968</v>
      </c>
      <c r="M16" s="147">
        <v>51847010</v>
      </c>
      <c r="N16" s="71" t="s">
        <v>62</v>
      </c>
    </row>
    <row r="17" spans="1:14" ht="22.5" customHeight="1">
      <c r="A17" s="70" t="s">
        <v>175</v>
      </c>
      <c r="B17" s="145">
        <f>_xlfn.COMPOUNDVALUE(33)</f>
        <v>2363</v>
      </c>
      <c r="C17" s="146">
        <v>19719648</v>
      </c>
      <c r="D17" s="145">
        <f>_xlfn.COMPOUNDVALUE(34)</f>
        <v>946</v>
      </c>
      <c r="E17" s="146">
        <v>554818</v>
      </c>
      <c r="F17" s="145">
        <f>_xlfn.COMPOUNDVALUE(35)</f>
        <v>3309</v>
      </c>
      <c r="G17" s="146">
        <v>20274466</v>
      </c>
      <c r="H17" s="145">
        <f>_xlfn.COMPOUNDVALUE(36)</f>
        <v>236</v>
      </c>
      <c r="I17" s="147">
        <v>1976018</v>
      </c>
      <c r="J17" s="145">
        <v>291</v>
      </c>
      <c r="K17" s="147">
        <v>-18527</v>
      </c>
      <c r="L17" s="145">
        <v>3579</v>
      </c>
      <c r="M17" s="147">
        <v>18279921</v>
      </c>
      <c r="N17" s="71" t="s">
        <v>64</v>
      </c>
    </row>
    <row r="18" spans="1:14" ht="22.5" customHeight="1">
      <c r="A18" s="70" t="s">
        <v>176</v>
      </c>
      <c r="B18" s="145">
        <f>_xlfn.COMPOUNDVALUE(37)</f>
        <v>5147</v>
      </c>
      <c r="C18" s="146">
        <v>41004550</v>
      </c>
      <c r="D18" s="145">
        <f>_xlfn.COMPOUNDVALUE(38)</f>
        <v>2359</v>
      </c>
      <c r="E18" s="146">
        <v>1435704</v>
      </c>
      <c r="F18" s="145">
        <f>_xlfn.COMPOUNDVALUE(39)</f>
        <v>7506</v>
      </c>
      <c r="G18" s="146">
        <v>42440254</v>
      </c>
      <c r="H18" s="145">
        <f>_xlfn.COMPOUNDVALUE(40)</f>
        <v>464</v>
      </c>
      <c r="I18" s="147">
        <v>6584817</v>
      </c>
      <c r="J18" s="145">
        <v>514</v>
      </c>
      <c r="K18" s="147">
        <v>54026</v>
      </c>
      <c r="L18" s="145">
        <v>8012</v>
      </c>
      <c r="M18" s="147">
        <v>35909463</v>
      </c>
      <c r="N18" s="71" t="s">
        <v>66</v>
      </c>
    </row>
    <row r="19" spans="1:14" ht="22.5" customHeight="1">
      <c r="A19" s="70" t="s">
        <v>177</v>
      </c>
      <c r="B19" s="145">
        <f>_xlfn.COMPOUNDVALUE(41)</f>
        <v>3791</v>
      </c>
      <c r="C19" s="146">
        <v>26519875</v>
      </c>
      <c r="D19" s="145">
        <f>_xlfn.COMPOUNDVALUE(42)</f>
        <v>1591</v>
      </c>
      <c r="E19" s="146">
        <v>946043</v>
      </c>
      <c r="F19" s="145">
        <f>_xlfn.COMPOUNDVALUE(43)</f>
        <v>5382</v>
      </c>
      <c r="G19" s="146">
        <v>27465918</v>
      </c>
      <c r="H19" s="145">
        <f>_xlfn.COMPOUNDVALUE(44)</f>
        <v>301</v>
      </c>
      <c r="I19" s="147">
        <v>19229692</v>
      </c>
      <c r="J19" s="145">
        <v>371</v>
      </c>
      <c r="K19" s="147">
        <v>41543</v>
      </c>
      <c r="L19" s="145">
        <v>5702</v>
      </c>
      <c r="M19" s="147">
        <v>8277769</v>
      </c>
      <c r="N19" s="71" t="s">
        <v>68</v>
      </c>
    </row>
    <row r="20" spans="1:14" ht="22.5" customHeight="1">
      <c r="A20" s="70" t="s">
        <v>178</v>
      </c>
      <c r="B20" s="145">
        <f>_xlfn.COMPOUNDVALUE(45)</f>
        <v>4206</v>
      </c>
      <c r="C20" s="146">
        <v>35340096</v>
      </c>
      <c r="D20" s="145">
        <f>_xlfn.COMPOUNDVALUE(46)</f>
        <v>1967</v>
      </c>
      <c r="E20" s="146">
        <v>1198450</v>
      </c>
      <c r="F20" s="145">
        <f>_xlfn.COMPOUNDVALUE(47)</f>
        <v>6173</v>
      </c>
      <c r="G20" s="146">
        <v>36538547</v>
      </c>
      <c r="H20" s="145">
        <f>_xlfn.COMPOUNDVALUE(48)</f>
        <v>241</v>
      </c>
      <c r="I20" s="147">
        <v>2368159</v>
      </c>
      <c r="J20" s="145">
        <v>386</v>
      </c>
      <c r="K20" s="147">
        <v>-11322</v>
      </c>
      <c r="L20" s="145">
        <v>6455</v>
      </c>
      <c r="M20" s="147">
        <v>34159066</v>
      </c>
      <c r="N20" s="71" t="s">
        <v>70</v>
      </c>
    </row>
    <row r="21" spans="1:14" ht="22.5" customHeight="1">
      <c r="A21" s="70" t="s">
        <v>179</v>
      </c>
      <c r="B21" s="145">
        <f>_xlfn.COMPOUNDVALUE(49)</f>
        <v>1236</v>
      </c>
      <c r="C21" s="146">
        <v>5182687</v>
      </c>
      <c r="D21" s="145">
        <f>_xlfn.COMPOUNDVALUE(50)</f>
        <v>657</v>
      </c>
      <c r="E21" s="146">
        <v>352402</v>
      </c>
      <c r="F21" s="145">
        <f>_xlfn.COMPOUNDVALUE(51)</f>
        <v>1893</v>
      </c>
      <c r="G21" s="146">
        <v>5535088</v>
      </c>
      <c r="H21" s="145">
        <f>_xlfn.COMPOUNDVALUE(52)</f>
        <v>80</v>
      </c>
      <c r="I21" s="147">
        <v>236884</v>
      </c>
      <c r="J21" s="145">
        <v>122</v>
      </c>
      <c r="K21" s="147">
        <v>10257</v>
      </c>
      <c r="L21" s="145">
        <v>1987</v>
      </c>
      <c r="M21" s="147">
        <v>5308461</v>
      </c>
      <c r="N21" s="71" t="s">
        <v>72</v>
      </c>
    </row>
    <row r="22" spans="1:14" ht="22.5" customHeight="1">
      <c r="A22" s="73" t="s">
        <v>180</v>
      </c>
      <c r="B22" s="148">
        <f>_xlfn.COMPOUNDVALUE(53)</f>
        <v>1989</v>
      </c>
      <c r="C22" s="149">
        <v>11943002</v>
      </c>
      <c r="D22" s="148">
        <f>_xlfn.COMPOUNDVALUE(54)</f>
        <v>1038</v>
      </c>
      <c r="E22" s="149">
        <v>602476</v>
      </c>
      <c r="F22" s="148">
        <f>_xlfn.COMPOUNDVALUE(55)</f>
        <v>3027</v>
      </c>
      <c r="G22" s="149">
        <v>12545478</v>
      </c>
      <c r="H22" s="148">
        <f>_xlfn.COMPOUNDVALUE(56)</f>
        <v>101</v>
      </c>
      <c r="I22" s="150">
        <v>346097</v>
      </c>
      <c r="J22" s="148">
        <v>183</v>
      </c>
      <c r="K22" s="150">
        <v>18023</v>
      </c>
      <c r="L22" s="148">
        <v>3144</v>
      </c>
      <c r="M22" s="150">
        <v>12217404</v>
      </c>
      <c r="N22" s="74" t="s">
        <v>74</v>
      </c>
    </row>
    <row r="23" spans="1:14" ht="22.5" customHeight="1">
      <c r="A23" s="73" t="s">
        <v>181</v>
      </c>
      <c r="B23" s="148">
        <f>_xlfn.COMPOUNDVALUE(57)</f>
        <v>1694</v>
      </c>
      <c r="C23" s="149">
        <v>11791763</v>
      </c>
      <c r="D23" s="148">
        <f>_xlfn.COMPOUNDVALUE(58)</f>
        <v>640</v>
      </c>
      <c r="E23" s="149">
        <v>378030</v>
      </c>
      <c r="F23" s="148">
        <f>_xlfn.COMPOUNDVALUE(59)</f>
        <v>2334</v>
      </c>
      <c r="G23" s="149">
        <v>12169792</v>
      </c>
      <c r="H23" s="148">
        <f>_xlfn.COMPOUNDVALUE(60)</f>
        <v>103</v>
      </c>
      <c r="I23" s="150">
        <v>1525913</v>
      </c>
      <c r="J23" s="148">
        <v>129</v>
      </c>
      <c r="K23" s="150">
        <v>19661</v>
      </c>
      <c r="L23" s="148">
        <v>2449</v>
      </c>
      <c r="M23" s="150">
        <v>10663540</v>
      </c>
      <c r="N23" s="74" t="s">
        <v>76</v>
      </c>
    </row>
    <row r="24" spans="1:14" ht="22.5" customHeight="1">
      <c r="A24" s="73" t="s">
        <v>182</v>
      </c>
      <c r="B24" s="148">
        <f>_xlfn.COMPOUNDVALUE(61)</f>
        <v>3759</v>
      </c>
      <c r="C24" s="149">
        <v>27379637</v>
      </c>
      <c r="D24" s="148">
        <f>_xlfn.COMPOUNDVALUE(62)</f>
        <v>1447</v>
      </c>
      <c r="E24" s="149">
        <v>870192</v>
      </c>
      <c r="F24" s="148">
        <f>_xlfn.COMPOUNDVALUE(63)</f>
        <v>5206</v>
      </c>
      <c r="G24" s="149">
        <v>28249828</v>
      </c>
      <c r="H24" s="148">
        <f>_xlfn.COMPOUNDVALUE(64)</f>
        <v>215</v>
      </c>
      <c r="I24" s="150">
        <v>5663193</v>
      </c>
      <c r="J24" s="148">
        <v>333</v>
      </c>
      <c r="K24" s="150">
        <v>301053</v>
      </c>
      <c r="L24" s="148">
        <v>5458</v>
      </c>
      <c r="M24" s="150">
        <v>22887688</v>
      </c>
      <c r="N24" s="74" t="s">
        <v>78</v>
      </c>
    </row>
    <row r="25" spans="1:14" ht="22.5" customHeight="1">
      <c r="A25" s="73" t="s">
        <v>183</v>
      </c>
      <c r="B25" s="148">
        <f>_xlfn.COMPOUNDVALUE(65)</f>
        <v>2151</v>
      </c>
      <c r="C25" s="149">
        <v>18331828</v>
      </c>
      <c r="D25" s="148">
        <f>_xlfn.COMPOUNDVALUE(66)</f>
        <v>918</v>
      </c>
      <c r="E25" s="149">
        <v>570946</v>
      </c>
      <c r="F25" s="148">
        <f>_xlfn.COMPOUNDVALUE(67)</f>
        <v>3069</v>
      </c>
      <c r="G25" s="149">
        <v>18902774</v>
      </c>
      <c r="H25" s="148">
        <f>_xlfn.COMPOUNDVALUE(68)</f>
        <v>183</v>
      </c>
      <c r="I25" s="150">
        <v>20654321</v>
      </c>
      <c r="J25" s="148">
        <v>153</v>
      </c>
      <c r="K25" s="150">
        <v>-281514</v>
      </c>
      <c r="L25" s="148">
        <v>3261</v>
      </c>
      <c r="M25" s="150">
        <v>-2033061</v>
      </c>
      <c r="N25" s="74" t="s">
        <v>80</v>
      </c>
    </row>
    <row r="26" spans="1:14" ht="22.5" customHeight="1">
      <c r="A26" s="73" t="s">
        <v>184</v>
      </c>
      <c r="B26" s="148">
        <f>_xlfn.COMPOUNDVALUE(69)</f>
        <v>1610</v>
      </c>
      <c r="C26" s="149">
        <v>9536895</v>
      </c>
      <c r="D26" s="148">
        <f>_xlfn.COMPOUNDVALUE(70)</f>
        <v>615</v>
      </c>
      <c r="E26" s="149">
        <v>374303</v>
      </c>
      <c r="F26" s="148">
        <f>_xlfn.COMPOUNDVALUE(71)</f>
        <v>2225</v>
      </c>
      <c r="G26" s="149">
        <v>9911197</v>
      </c>
      <c r="H26" s="148">
        <f>_xlfn.COMPOUNDVALUE(72)</f>
        <v>115</v>
      </c>
      <c r="I26" s="150">
        <v>2147738</v>
      </c>
      <c r="J26" s="148">
        <v>83</v>
      </c>
      <c r="K26" s="150">
        <v>18268</v>
      </c>
      <c r="L26" s="148">
        <v>2350</v>
      </c>
      <c r="M26" s="150">
        <v>7781727</v>
      </c>
      <c r="N26" s="74" t="s">
        <v>82</v>
      </c>
    </row>
    <row r="27" spans="1:14" ht="22.5" customHeight="1">
      <c r="A27" s="73" t="s">
        <v>185</v>
      </c>
      <c r="B27" s="148">
        <f>_xlfn.COMPOUNDVALUE(73)</f>
        <v>2520</v>
      </c>
      <c r="C27" s="149">
        <v>16758554</v>
      </c>
      <c r="D27" s="148">
        <f>_xlfn.COMPOUNDVALUE(74)</f>
        <v>894</v>
      </c>
      <c r="E27" s="149">
        <v>547402</v>
      </c>
      <c r="F27" s="148">
        <f>_xlfn.COMPOUNDVALUE(75)</f>
        <v>3414</v>
      </c>
      <c r="G27" s="149">
        <v>17305956</v>
      </c>
      <c r="H27" s="148">
        <f>_xlfn.COMPOUNDVALUE(76)</f>
        <v>181</v>
      </c>
      <c r="I27" s="150">
        <v>741942</v>
      </c>
      <c r="J27" s="148">
        <v>261</v>
      </c>
      <c r="K27" s="150">
        <v>15171</v>
      </c>
      <c r="L27" s="148">
        <v>3621</v>
      </c>
      <c r="M27" s="150">
        <v>16579185</v>
      </c>
      <c r="N27" s="74" t="s">
        <v>84</v>
      </c>
    </row>
    <row r="28" spans="1:14" ht="22.5" customHeight="1">
      <c r="A28" s="170" t="s">
        <v>186</v>
      </c>
      <c r="B28" s="171">
        <f>_xlfn.COMPOUNDVALUE(77)</f>
        <v>670</v>
      </c>
      <c r="C28" s="172">
        <v>2491462</v>
      </c>
      <c r="D28" s="171">
        <f>_xlfn.COMPOUNDVALUE(78)</f>
        <v>294</v>
      </c>
      <c r="E28" s="172">
        <v>153962</v>
      </c>
      <c r="F28" s="171">
        <f>_xlfn.COMPOUNDVALUE(79)</f>
        <v>964</v>
      </c>
      <c r="G28" s="172">
        <v>2645424</v>
      </c>
      <c r="H28" s="171">
        <f>_xlfn.COMPOUNDVALUE(80)</f>
        <v>37</v>
      </c>
      <c r="I28" s="173">
        <v>39517</v>
      </c>
      <c r="J28" s="171">
        <v>57</v>
      </c>
      <c r="K28" s="173">
        <v>9053</v>
      </c>
      <c r="L28" s="171">
        <v>1011</v>
      </c>
      <c r="M28" s="173">
        <v>2614960</v>
      </c>
      <c r="N28" s="174" t="s">
        <v>86</v>
      </c>
    </row>
    <row r="29" spans="1:14" ht="22.5" customHeight="1">
      <c r="A29" s="175" t="s">
        <v>187</v>
      </c>
      <c r="B29" s="176">
        <v>36470</v>
      </c>
      <c r="C29" s="177">
        <v>279485954</v>
      </c>
      <c r="D29" s="176">
        <v>15571</v>
      </c>
      <c r="E29" s="177">
        <v>9345444</v>
      </c>
      <c r="F29" s="176">
        <v>52041</v>
      </c>
      <c r="G29" s="177">
        <v>288831398</v>
      </c>
      <c r="H29" s="176">
        <v>2629</v>
      </c>
      <c r="I29" s="178">
        <v>64691424</v>
      </c>
      <c r="J29" s="176">
        <v>3489</v>
      </c>
      <c r="K29" s="178">
        <v>353157</v>
      </c>
      <c r="L29" s="176">
        <v>54997</v>
      </c>
      <c r="M29" s="178">
        <v>224493131</v>
      </c>
      <c r="N29" s="179" t="s">
        <v>88</v>
      </c>
    </row>
    <row r="30" spans="1:14" ht="22.5" customHeight="1">
      <c r="A30" s="180"/>
      <c r="B30" s="181"/>
      <c r="C30" s="182"/>
      <c r="D30" s="181"/>
      <c r="E30" s="182"/>
      <c r="F30" s="183"/>
      <c r="G30" s="182"/>
      <c r="H30" s="183"/>
      <c r="I30" s="182"/>
      <c r="J30" s="183"/>
      <c r="K30" s="182"/>
      <c r="L30" s="183"/>
      <c r="M30" s="182"/>
      <c r="N30" s="184"/>
    </row>
    <row r="31" spans="1:14" ht="22.5" customHeight="1">
      <c r="A31" s="70" t="s">
        <v>188</v>
      </c>
      <c r="B31" s="145">
        <f>_xlfn.COMPOUNDVALUE(81)</f>
        <v>3441</v>
      </c>
      <c r="C31" s="146">
        <v>26214146</v>
      </c>
      <c r="D31" s="145">
        <f>_xlfn.COMPOUNDVALUE(82)</f>
        <v>1476</v>
      </c>
      <c r="E31" s="146">
        <v>952038</v>
      </c>
      <c r="F31" s="145">
        <f>_xlfn.COMPOUNDVALUE(83)</f>
        <v>4917</v>
      </c>
      <c r="G31" s="146">
        <v>27166185</v>
      </c>
      <c r="H31" s="145">
        <f>_xlfn.COMPOUNDVALUE(84)</f>
        <v>397</v>
      </c>
      <c r="I31" s="147">
        <v>1910322</v>
      </c>
      <c r="J31" s="145">
        <v>317</v>
      </c>
      <c r="K31" s="147">
        <v>159408</v>
      </c>
      <c r="L31" s="145">
        <v>5356</v>
      </c>
      <c r="M31" s="147">
        <v>25415271</v>
      </c>
      <c r="N31" s="71" t="s">
        <v>90</v>
      </c>
    </row>
    <row r="32" spans="1:14" ht="22.5" customHeight="1">
      <c r="A32" s="70" t="s">
        <v>189</v>
      </c>
      <c r="B32" s="145">
        <f>_xlfn.COMPOUNDVALUE(85)</f>
        <v>2088</v>
      </c>
      <c r="C32" s="146">
        <v>100876291</v>
      </c>
      <c r="D32" s="145">
        <f>_xlfn.COMPOUNDVALUE(86)</f>
        <v>648</v>
      </c>
      <c r="E32" s="146">
        <v>420696</v>
      </c>
      <c r="F32" s="145">
        <f>_xlfn.COMPOUNDVALUE(87)</f>
        <v>2736</v>
      </c>
      <c r="G32" s="146">
        <v>101296987</v>
      </c>
      <c r="H32" s="145">
        <f>_xlfn.COMPOUNDVALUE(88)</f>
        <v>292</v>
      </c>
      <c r="I32" s="147">
        <v>25764535</v>
      </c>
      <c r="J32" s="145">
        <v>217</v>
      </c>
      <c r="K32" s="147">
        <v>-10929</v>
      </c>
      <c r="L32" s="145">
        <v>3053</v>
      </c>
      <c r="M32" s="147">
        <v>75521523</v>
      </c>
      <c r="N32" s="71" t="s">
        <v>92</v>
      </c>
    </row>
    <row r="33" spans="1:14" ht="22.5" customHeight="1">
      <c r="A33" s="70" t="s">
        <v>190</v>
      </c>
      <c r="B33" s="145">
        <f>_xlfn.COMPOUNDVALUE(89)</f>
        <v>3816</v>
      </c>
      <c r="C33" s="146">
        <v>25847031</v>
      </c>
      <c r="D33" s="145">
        <f>_xlfn.COMPOUNDVALUE(90)</f>
        <v>1443</v>
      </c>
      <c r="E33" s="146">
        <v>882958</v>
      </c>
      <c r="F33" s="145">
        <f>_xlfn.COMPOUNDVALUE(91)</f>
        <v>5259</v>
      </c>
      <c r="G33" s="146">
        <v>26729989</v>
      </c>
      <c r="H33" s="145">
        <f>_xlfn.COMPOUNDVALUE(92)</f>
        <v>286</v>
      </c>
      <c r="I33" s="147">
        <v>1055469</v>
      </c>
      <c r="J33" s="145">
        <v>421</v>
      </c>
      <c r="K33" s="147">
        <v>44279</v>
      </c>
      <c r="L33" s="145">
        <v>5591</v>
      </c>
      <c r="M33" s="147">
        <v>25718799</v>
      </c>
      <c r="N33" s="71" t="s">
        <v>94</v>
      </c>
    </row>
    <row r="34" spans="1:14" ht="22.5" customHeight="1">
      <c r="A34" s="70" t="s">
        <v>191</v>
      </c>
      <c r="B34" s="145">
        <f>_xlfn.COMPOUNDVALUE(93)</f>
        <v>4587</v>
      </c>
      <c r="C34" s="146">
        <v>44939799</v>
      </c>
      <c r="D34" s="145">
        <f>_xlfn.COMPOUNDVALUE(94)</f>
        <v>1414</v>
      </c>
      <c r="E34" s="146">
        <v>861306</v>
      </c>
      <c r="F34" s="145">
        <f>_xlfn.COMPOUNDVALUE(95)</f>
        <v>6001</v>
      </c>
      <c r="G34" s="146">
        <v>45801105</v>
      </c>
      <c r="H34" s="145">
        <f>_xlfn.COMPOUNDVALUE(96)</f>
        <v>349</v>
      </c>
      <c r="I34" s="147">
        <v>3831682</v>
      </c>
      <c r="J34" s="145">
        <v>431</v>
      </c>
      <c r="K34" s="147">
        <v>39836</v>
      </c>
      <c r="L34" s="145">
        <v>6389</v>
      </c>
      <c r="M34" s="147">
        <v>42009259</v>
      </c>
      <c r="N34" s="71" t="s">
        <v>96</v>
      </c>
    </row>
    <row r="35" spans="1:14" ht="22.5" customHeight="1">
      <c r="A35" s="70" t="s">
        <v>192</v>
      </c>
      <c r="B35" s="145">
        <f>_xlfn.COMPOUNDVALUE(97)</f>
        <v>3100</v>
      </c>
      <c r="C35" s="146">
        <v>113245085</v>
      </c>
      <c r="D35" s="145">
        <f>_xlfn.COMPOUNDVALUE(98)</f>
        <v>859</v>
      </c>
      <c r="E35" s="146">
        <v>560744</v>
      </c>
      <c r="F35" s="145">
        <f>_xlfn.COMPOUNDVALUE(99)</f>
        <v>3959</v>
      </c>
      <c r="G35" s="146">
        <v>113805828</v>
      </c>
      <c r="H35" s="145">
        <f>_xlfn.COMPOUNDVALUE(100)</f>
        <v>376</v>
      </c>
      <c r="I35" s="147">
        <v>72837862</v>
      </c>
      <c r="J35" s="145">
        <v>372</v>
      </c>
      <c r="K35" s="147">
        <v>194043</v>
      </c>
      <c r="L35" s="145">
        <v>4353</v>
      </c>
      <c r="M35" s="147">
        <v>41162009</v>
      </c>
      <c r="N35" s="71" t="s">
        <v>98</v>
      </c>
    </row>
    <row r="36" spans="1:14" ht="22.5" customHeight="1">
      <c r="A36" s="70" t="s">
        <v>193</v>
      </c>
      <c r="B36" s="145">
        <f>_xlfn.COMPOUNDVALUE(101)</f>
        <v>6288</v>
      </c>
      <c r="C36" s="146">
        <v>142717616</v>
      </c>
      <c r="D36" s="145">
        <f>_xlfn.COMPOUNDVALUE(102)</f>
        <v>1728</v>
      </c>
      <c r="E36" s="146">
        <v>1253622</v>
      </c>
      <c r="F36" s="145">
        <f>_xlfn.COMPOUNDVALUE(103)</f>
        <v>8016</v>
      </c>
      <c r="G36" s="146">
        <v>143971238</v>
      </c>
      <c r="H36" s="145">
        <f>_xlfn.COMPOUNDVALUE(104)</f>
        <v>736</v>
      </c>
      <c r="I36" s="147">
        <v>9215177</v>
      </c>
      <c r="J36" s="145">
        <v>682</v>
      </c>
      <c r="K36" s="147">
        <v>111138</v>
      </c>
      <c r="L36" s="145">
        <v>8844</v>
      </c>
      <c r="M36" s="147">
        <v>134867199</v>
      </c>
      <c r="N36" s="71" t="s">
        <v>100</v>
      </c>
    </row>
    <row r="37" spans="1:14" ht="22.5" customHeight="1">
      <c r="A37" s="70" t="s">
        <v>194</v>
      </c>
      <c r="B37" s="145">
        <f>_xlfn.COMPOUNDVALUE(105)</f>
        <v>5738</v>
      </c>
      <c r="C37" s="146">
        <v>52998816</v>
      </c>
      <c r="D37" s="145">
        <f>_xlfn.COMPOUNDVALUE(106)</f>
        <v>2208</v>
      </c>
      <c r="E37" s="146">
        <v>1374711</v>
      </c>
      <c r="F37" s="145">
        <f>_xlfn.COMPOUNDVALUE(107)</f>
        <v>7946</v>
      </c>
      <c r="G37" s="146">
        <v>54373527</v>
      </c>
      <c r="H37" s="145">
        <f>_xlfn.COMPOUNDVALUE(108)</f>
        <v>566</v>
      </c>
      <c r="I37" s="147">
        <v>21606803</v>
      </c>
      <c r="J37" s="145">
        <v>586</v>
      </c>
      <c r="K37" s="147">
        <v>93944</v>
      </c>
      <c r="L37" s="145">
        <v>8565</v>
      </c>
      <c r="M37" s="147">
        <v>32860668</v>
      </c>
      <c r="N37" s="71" t="s">
        <v>102</v>
      </c>
    </row>
    <row r="38" spans="1:14" ht="22.5" customHeight="1">
      <c r="A38" s="70" t="s">
        <v>195</v>
      </c>
      <c r="B38" s="145">
        <f>_xlfn.COMPOUNDVALUE(109)</f>
        <v>5821</v>
      </c>
      <c r="C38" s="146">
        <v>60507557</v>
      </c>
      <c r="D38" s="145">
        <f>_xlfn.COMPOUNDVALUE(110)</f>
        <v>2087</v>
      </c>
      <c r="E38" s="146">
        <v>1289790</v>
      </c>
      <c r="F38" s="145">
        <f>_xlfn.COMPOUNDVALUE(111)</f>
        <v>7908</v>
      </c>
      <c r="G38" s="146">
        <v>61797347</v>
      </c>
      <c r="H38" s="145">
        <f>_xlfn.COMPOUNDVALUE(112)</f>
        <v>324</v>
      </c>
      <c r="I38" s="147">
        <v>2453774</v>
      </c>
      <c r="J38" s="145">
        <v>505</v>
      </c>
      <c r="K38" s="147">
        <v>27057</v>
      </c>
      <c r="L38" s="145">
        <v>8294</v>
      </c>
      <c r="M38" s="147">
        <v>59370630</v>
      </c>
      <c r="N38" s="71" t="s">
        <v>104</v>
      </c>
    </row>
    <row r="39" spans="1:14" ht="22.5" customHeight="1">
      <c r="A39" s="70" t="s">
        <v>196</v>
      </c>
      <c r="B39" s="145">
        <f>_xlfn.COMPOUNDVALUE(113)</f>
        <v>4920</v>
      </c>
      <c r="C39" s="146">
        <v>41507806</v>
      </c>
      <c r="D39" s="145">
        <f>_xlfn.COMPOUNDVALUE(114)</f>
        <v>1507</v>
      </c>
      <c r="E39" s="146">
        <v>906837</v>
      </c>
      <c r="F39" s="145">
        <f>_xlfn.COMPOUNDVALUE(115)</f>
        <v>6427</v>
      </c>
      <c r="G39" s="146">
        <v>42414644</v>
      </c>
      <c r="H39" s="145">
        <f>_xlfn.COMPOUNDVALUE(116)</f>
        <v>696</v>
      </c>
      <c r="I39" s="147">
        <v>6242669</v>
      </c>
      <c r="J39" s="145">
        <v>542</v>
      </c>
      <c r="K39" s="147">
        <v>188770</v>
      </c>
      <c r="L39" s="145">
        <v>7189</v>
      </c>
      <c r="M39" s="147">
        <v>36360745</v>
      </c>
      <c r="N39" s="71" t="s">
        <v>106</v>
      </c>
    </row>
    <row r="40" spans="1:14" ht="22.5" customHeight="1">
      <c r="A40" s="70" t="s">
        <v>197</v>
      </c>
      <c r="B40" s="145">
        <f>_xlfn.COMPOUNDVALUE(117)</f>
        <v>6826</v>
      </c>
      <c r="C40" s="146">
        <v>52346033</v>
      </c>
      <c r="D40" s="145">
        <f>_xlfn.COMPOUNDVALUE(118)</f>
        <v>2843</v>
      </c>
      <c r="E40" s="146">
        <v>1736525</v>
      </c>
      <c r="F40" s="145">
        <f>_xlfn.COMPOUNDVALUE(119)</f>
        <v>9669</v>
      </c>
      <c r="G40" s="146">
        <v>54082559</v>
      </c>
      <c r="H40" s="145">
        <f>_xlfn.COMPOUNDVALUE(120)</f>
        <v>450</v>
      </c>
      <c r="I40" s="147">
        <v>4775318</v>
      </c>
      <c r="J40" s="145">
        <v>615</v>
      </c>
      <c r="K40" s="147">
        <v>217541</v>
      </c>
      <c r="L40" s="145">
        <v>10159</v>
      </c>
      <c r="M40" s="147">
        <v>49524782</v>
      </c>
      <c r="N40" s="71" t="s">
        <v>108</v>
      </c>
    </row>
    <row r="41" spans="1:14" ht="22.5" customHeight="1">
      <c r="A41" s="70" t="s">
        <v>198</v>
      </c>
      <c r="B41" s="145">
        <f>_xlfn.COMPOUNDVALUE(121)</f>
        <v>3665</v>
      </c>
      <c r="C41" s="146">
        <v>27420217</v>
      </c>
      <c r="D41" s="145">
        <f>_xlfn.COMPOUNDVALUE(122)</f>
        <v>1401</v>
      </c>
      <c r="E41" s="146">
        <v>879883</v>
      </c>
      <c r="F41" s="145">
        <f>_xlfn.COMPOUNDVALUE(123)</f>
        <v>5066</v>
      </c>
      <c r="G41" s="146">
        <v>28300099</v>
      </c>
      <c r="H41" s="145">
        <f>_xlfn.COMPOUNDVALUE(124)</f>
        <v>218</v>
      </c>
      <c r="I41" s="147">
        <v>629691</v>
      </c>
      <c r="J41" s="145">
        <v>257</v>
      </c>
      <c r="K41" s="147">
        <v>69716</v>
      </c>
      <c r="L41" s="145">
        <v>5327</v>
      </c>
      <c r="M41" s="147">
        <v>27740124</v>
      </c>
      <c r="N41" s="71" t="s">
        <v>110</v>
      </c>
    </row>
    <row r="42" spans="1:14" ht="22.5" customHeight="1">
      <c r="A42" s="70" t="s">
        <v>199</v>
      </c>
      <c r="B42" s="145">
        <f>_xlfn.COMPOUNDVALUE(125)</f>
        <v>4306</v>
      </c>
      <c r="C42" s="146">
        <v>38779066</v>
      </c>
      <c r="D42" s="145">
        <f>_xlfn.COMPOUNDVALUE(126)</f>
        <v>1777</v>
      </c>
      <c r="E42" s="146">
        <v>1085062</v>
      </c>
      <c r="F42" s="145">
        <f>_xlfn.COMPOUNDVALUE(127)</f>
        <v>6083</v>
      </c>
      <c r="G42" s="146">
        <v>39864128</v>
      </c>
      <c r="H42" s="145">
        <f>_xlfn.COMPOUNDVALUE(128)</f>
        <v>385</v>
      </c>
      <c r="I42" s="147">
        <v>2199940</v>
      </c>
      <c r="J42" s="145">
        <v>375</v>
      </c>
      <c r="K42" s="147">
        <v>37554</v>
      </c>
      <c r="L42" s="145">
        <v>6491</v>
      </c>
      <c r="M42" s="147">
        <v>37701742</v>
      </c>
      <c r="N42" s="71" t="s">
        <v>112</v>
      </c>
    </row>
    <row r="43" spans="1:14" ht="22.5" customHeight="1">
      <c r="A43" s="70" t="s">
        <v>200</v>
      </c>
      <c r="B43" s="145">
        <f>_xlfn.COMPOUNDVALUE(129)</f>
        <v>1905</v>
      </c>
      <c r="C43" s="146">
        <v>12242371</v>
      </c>
      <c r="D43" s="145">
        <f>_xlfn.COMPOUNDVALUE(130)</f>
        <v>821</v>
      </c>
      <c r="E43" s="146">
        <v>463966</v>
      </c>
      <c r="F43" s="145">
        <f>_xlfn.COMPOUNDVALUE(131)</f>
        <v>2726</v>
      </c>
      <c r="G43" s="146">
        <v>12706337</v>
      </c>
      <c r="H43" s="145">
        <f>_xlfn.COMPOUNDVALUE(132)</f>
        <v>121</v>
      </c>
      <c r="I43" s="147">
        <v>1500148</v>
      </c>
      <c r="J43" s="145">
        <v>170</v>
      </c>
      <c r="K43" s="147">
        <v>-56148</v>
      </c>
      <c r="L43" s="145">
        <v>2851</v>
      </c>
      <c r="M43" s="147">
        <v>11150041</v>
      </c>
      <c r="N43" s="71" t="s">
        <v>114</v>
      </c>
    </row>
    <row r="44" spans="1:14" ht="22.5" customHeight="1">
      <c r="A44" s="73" t="s">
        <v>201</v>
      </c>
      <c r="B44" s="148">
        <f>_xlfn.COMPOUNDVALUE(133)</f>
        <v>5040</v>
      </c>
      <c r="C44" s="149">
        <v>45446902</v>
      </c>
      <c r="D44" s="148">
        <f>_xlfn.COMPOUNDVALUE(134)</f>
        <v>1733</v>
      </c>
      <c r="E44" s="149">
        <v>1180605</v>
      </c>
      <c r="F44" s="148">
        <f>_xlfn.COMPOUNDVALUE(135)</f>
        <v>6773</v>
      </c>
      <c r="G44" s="149">
        <v>46627507</v>
      </c>
      <c r="H44" s="148">
        <f>_xlfn.COMPOUNDVALUE(136)</f>
        <v>353</v>
      </c>
      <c r="I44" s="150">
        <v>3401670</v>
      </c>
      <c r="J44" s="148">
        <v>341</v>
      </c>
      <c r="K44" s="150">
        <v>205667</v>
      </c>
      <c r="L44" s="148">
        <v>7188</v>
      </c>
      <c r="M44" s="150">
        <v>43431504</v>
      </c>
      <c r="N44" s="74" t="s">
        <v>116</v>
      </c>
    </row>
    <row r="45" spans="1:14" ht="22.5" customHeight="1">
      <c r="A45" s="73" t="s">
        <v>202</v>
      </c>
      <c r="B45" s="148">
        <f>_xlfn.COMPOUNDVALUE(137)</f>
        <v>3365</v>
      </c>
      <c r="C45" s="149">
        <v>24761974</v>
      </c>
      <c r="D45" s="148">
        <f>_xlfn.COMPOUNDVALUE(138)</f>
        <v>1081</v>
      </c>
      <c r="E45" s="149">
        <v>647847</v>
      </c>
      <c r="F45" s="148">
        <f>_xlfn.COMPOUNDVALUE(139)</f>
        <v>4446</v>
      </c>
      <c r="G45" s="149">
        <v>25409821</v>
      </c>
      <c r="H45" s="148">
        <f>_xlfn.COMPOUNDVALUE(140)</f>
        <v>421</v>
      </c>
      <c r="I45" s="150">
        <v>4282226</v>
      </c>
      <c r="J45" s="148">
        <v>252</v>
      </c>
      <c r="K45" s="150">
        <v>6182</v>
      </c>
      <c r="L45" s="148">
        <v>4897</v>
      </c>
      <c r="M45" s="150">
        <v>21133777</v>
      </c>
      <c r="N45" s="74" t="s">
        <v>118</v>
      </c>
    </row>
    <row r="46" spans="1:14" ht="22.5" customHeight="1">
      <c r="A46" s="73" t="s">
        <v>203</v>
      </c>
      <c r="B46" s="148">
        <f>_xlfn.COMPOUNDVALUE(141)</f>
        <v>4734</v>
      </c>
      <c r="C46" s="149">
        <v>69661847</v>
      </c>
      <c r="D46" s="148">
        <f>_xlfn.COMPOUNDVALUE(142)</f>
        <v>1533</v>
      </c>
      <c r="E46" s="149">
        <v>1012563</v>
      </c>
      <c r="F46" s="148">
        <f>_xlfn.COMPOUNDVALUE(143)</f>
        <v>6267</v>
      </c>
      <c r="G46" s="149">
        <v>70674410</v>
      </c>
      <c r="H46" s="148">
        <f>_xlfn.COMPOUNDVALUE(144)</f>
        <v>317</v>
      </c>
      <c r="I46" s="150">
        <v>69982091</v>
      </c>
      <c r="J46" s="148">
        <v>523</v>
      </c>
      <c r="K46" s="150">
        <v>285591</v>
      </c>
      <c r="L46" s="148">
        <v>6623</v>
      </c>
      <c r="M46" s="150">
        <v>977910</v>
      </c>
      <c r="N46" s="74" t="s">
        <v>120</v>
      </c>
    </row>
    <row r="47" spans="1:14" ht="22.5" customHeight="1">
      <c r="A47" s="73" t="s">
        <v>204</v>
      </c>
      <c r="B47" s="148">
        <f>_xlfn.COMPOUNDVALUE(145)</f>
        <v>3816</v>
      </c>
      <c r="C47" s="149">
        <v>44286724</v>
      </c>
      <c r="D47" s="148">
        <f>_xlfn.COMPOUNDVALUE(146)</f>
        <v>1339</v>
      </c>
      <c r="E47" s="149">
        <v>894778</v>
      </c>
      <c r="F47" s="148">
        <f>_xlfn.COMPOUNDVALUE(147)</f>
        <v>5155</v>
      </c>
      <c r="G47" s="149">
        <v>45181501</v>
      </c>
      <c r="H47" s="148">
        <f>_xlfn.COMPOUNDVALUE(148)</f>
        <v>256</v>
      </c>
      <c r="I47" s="150">
        <v>332218465</v>
      </c>
      <c r="J47" s="148">
        <v>279</v>
      </c>
      <c r="K47" s="150">
        <v>-160198</v>
      </c>
      <c r="L47" s="148">
        <v>5435</v>
      </c>
      <c r="M47" s="151">
        <v>-287197162</v>
      </c>
      <c r="N47" s="74" t="s">
        <v>122</v>
      </c>
    </row>
    <row r="48" spans="1:14" ht="22.5" customHeight="1">
      <c r="A48" s="73" t="s">
        <v>205</v>
      </c>
      <c r="B48" s="148">
        <f>_xlfn.COMPOUNDVALUE(149)</f>
        <v>1611</v>
      </c>
      <c r="C48" s="149">
        <v>13038691</v>
      </c>
      <c r="D48" s="148">
        <f>_xlfn.COMPOUNDVALUE(150)</f>
        <v>498</v>
      </c>
      <c r="E48" s="149">
        <v>331648</v>
      </c>
      <c r="F48" s="148">
        <f>_xlfn.COMPOUNDVALUE(151)</f>
        <v>2109</v>
      </c>
      <c r="G48" s="149">
        <v>13370340</v>
      </c>
      <c r="H48" s="148">
        <f>_xlfn.COMPOUNDVALUE(152)</f>
        <v>91</v>
      </c>
      <c r="I48" s="150">
        <v>860929</v>
      </c>
      <c r="J48" s="148">
        <v>107</v>
      </c>
      <c r="K48" s="150">
        <v>60596</v>
      </c>
      <c r="L48" s="148">
        <v>2209</v>
      </c>
      <c r="M48" s="150">
        <v>12570007</v>
      </c>
      <c r="N48" s="74" t="s">
        <v>124</v>
      </c>
    </row>
    <row r="49" spans="1:14" ht="22.5" customHeight="1">
      <c r="A49" s="73" t="s">
        <v>206</v>
      </c>
      <c r="B49" s="148">
        <f>_xlfn.COMPOUNDVALUE(153)</f>
        <v>6667</v>
      </c>
      <c r="C49" s="149">
        <v>54099363</v>
      </c>
      <c r="D49" s="148">
        <f>_xlfn.COMPOUNDVALUE(154)</f>
        <v>2558</v>
      </c>
      <c r="E49" s="149">
        <v>1666354</v>
      </c>
      <c r="F49" s="148">
        <f>_xlfn.COMPOUNDVALUE(155)</f>
        <v>9225</v>
      </c>
      <c r="G49" s="149">
        <v>55765717</v>
      </c>
      <c r="H49" s="148">
        <f>_xlfn.COMPOUNDVALUE(156)</f>
        <v>449</v>
      </c>
      <c r="I49" s="150">
        <v>16562394</v>
      </c>
      <c r="J49" s="148">
        <v>611</v>
      </c>
      <c r="K49" s="150">
        <v>89791</v>
      </c>
      <c r="L49" s="148">
        <v>9718</v>
      </c>
      <c r="M49" s="150">
        <v>39293114</v>
      </c>
      <c r="N49" s="74" t="s">
        <v>126</v>
      </c>
    </row>
    <row r="50" spans="1:14" ht="22.5" customHeight="1">
      <c r="A50" s="170" t="s">
        <v>207</v>
      </c>
      <c r="B50" s="171">
        <f>_xlfn.COMPOUNDVALUE(157)</f>
        <v>487</v>
      </c>
      <c r="C50" s="172">
        <v>2502525</v>
      </c>
      <c r="D50" s="171">
        <f>_xlfn.COMPOUNDVALUE(158)</f>
        <v>197</v>
      </c>
      <c r="E50" s="172">
        <v>118619</v>
      </c>
      <c r="F50" s="171">
        <f>_xlfn.COMPOUNDVALUE(159)</f>
        <v>684</v>
      </c>
      <c r="G50" s="172">
        <v>2621144</v>
      </c>
      <c r="H50" s="171">
        <f>_xlfn.COMPOUNDVALUE(160)</f>
        <v>26</v>
      </c>
      <c r="I50" s="173">
        <v>59430</v>
      </c>
      <c r="J50" s="171">
        <v>32</v>
      </c>
      <c r="K50" s="173">
        <v>1233</v>
      </c>
      <c r="L50" s="171">
        <v>710</v>
      </c>
      <c r="M50" s="173">
        <v>2562947</v>
      </c>
      <c r="N50" s="174" t="s">
        <v>128</v>
      </c>
    </row>
    <row r="51" spans="1:14" ht="22.5" customHeight="1">
      <c r="A51" s="175" t="s">
        <v>208</v>
      </c>
      <c r="B51" s="176">
        <v>82221</v>
      </c>
      <c r="C51" s="177">
        <v>993439860</v>
      </c>
      <c r="D51" s="176">
        <v>29151</v>
      </c>
      <c r="E51" s="177">
        <v>18520552</v>
      </c>
      <c r="F51" s="176">
        <v>111372</v>
      </c>
      <c r="G51" s="177">
        <v>1011960412</v>
      </c>
      <c r="H51" s="176">
        <v>7109</v>
      </c>
      <c r="I51" s="178">
        <v>581390594</v>
      </c>
      <c r="J51" s="176">
        <v>7635</v>
      </c>
      <c r="K51" s="178">
        <v>1605072</v>
      </c>
      <c r="L51" s="176">
        <v>119242</v>
      </c>
      <c r="M51" s="178">
        <v>432174889</v>
      </c>
      <c r="N51" s="179" t="s">
        <v>130</v>
      </c>
    </row>
    <row r="52" spans="1:14" ht="22.5" customHeight="1">
      <c r="A52" s="180"/>
      <c r="B52" s="181"/>
      <c r="C52" s="182"/>
      <c r="D52" s="181"/>
      <c r="E52" s="182"/>
      <c r="F52" s="183"/>
      <c r="G52" s="182"/>
      <c r="H52" s="183"/>
      <c r="I52" s="182"/>
      <c r="J52" s="183"/>
      <c r="K52" s="182"/>
      <c r="L52" s="183"/>
      <c r="M52" s="182"/>
      <c r="N52" s="184"/>
    </row>
    <row r="53" spans="1:14" ht="22.5" customHeight="1">
      <c r="A53" s="70" t="s">
        <v>209</v>
      </c>
      <c r="B53" s="145">
        <f>_xlfn.COMPOUNDVALUE(161)</f>
        <v>2275</v>
      </c>
      <c r="C53" s="146">
        <v>18405215</v>
      </c>
      <c r="D53" s="145">
        <f>_xlfn.COMPOUNDVALUE(162)</f>
        <v>886</v>
      </c>
      <c r="E53" s="146">
        <v>539988</v>
      </c>
      <c r="F53" s="145">
        <f>_xlfn.COMPOUNDVALUE(163)</f>
        <v>3161</v>
      </c>
      <c r="G53" s="146">
        <v>18945203</v>
      </c>
      <c r="H53" s="145">
        <f>_xlfn.COMPOUNDVALUE(164)</f>
        <v>168</v>
      </c>
      <c r="I53" s="147">
        <v>1323425</v>
      </c>
      <c r="J53" s="145">
        <v>240</v>
      </c>
      <c r="K53" s="147">
        <v>85069</v>
      </c>
      <c r="L53" s="145">
        <v>3369</v>
      </c>
      <c r="M53" s="147">
        <v>17706847</v>
      </c>
      <c r="N53" s="71" t="s">
        <v>132</v>
      </c>
    </row>
    <row r="54" spans="1:14" ht="22.5" customHeight="1">
      <c r="A54" s="73" t="s">
        <v>210</v>
      </c>
      <c r="B54" s="148">
        <f>_xlfn.COMPOUNDVALUE(165)</f>
        <v>3966</v>
      </c>
      <c r="C54" s="149">
        <v>39019714</v>
      </c>
      <c r="D54" s="148">
        <f>_xlfn.COMPOUNDVALUE(166)</f>
        <v>1383</v>
      </c>
      <c r="E54" s="149">
        <v>900824</v>
      </c>
      <c r="F54" s="148">
        <f>_xlfn.COMPOUNDVALUE(167)</f>
        <v>5349</v>
      </c>
      <c r="G54" s="149">
        <v>39920538</v>
      </c>
      <c r="H54" s="148">
        <f>_xlfn.COMPOUNDVALUE(168)</f>
        <v>279</v>
      </c>
      <c r="I54" s="150">
        <v>27606395</v>
      </c>
      <c r="J54" s="148">
        <v>448</v>
      </c>
      <c r="K54" s="150">
        <v>28175</v>
      </c>
      <c r="L54" s="148">
        <v>5680</v>
      </c>
      <c r="M54" s="150">
        <v>12342318</v>
      </c>
      <c r="N54" s="74" t="s">
        <v>134</v>
      </c>
    </row>
    <row r="55" spans="1:14" ht="22.5" customHeight="1">
      <c r="A55" s="73" t="s">
        <v>211</v>
      </c>
      <c r="B55" s="148">
        <f>_xlfn.COMPOUNDVALUE(169)</f>
        <v>2279</v>
      </c>
      <c r="C55" s="149">
        <v>12182528</v>
      </c>
      <c r="D55" s="148">
        <f>_xlfn.COMPOUNDVALUE(170)</f>
        <v>827</v>
      </c>
      <c r="E55" s="149">
        <v>463521</v>
      </c>
      <c r="F55" s="148">
        <f>_xlfn.COMPOUNDVALUE(171)</f>
        <v>3106</v>
      </c>
      <c r="G55" s="149">
        <v>12646049</v>
      </c>
      <c r="H55" s="148">
        <f>_xlfn.COMPOUNDVALUE(172)</f>
        <v>179</v>
      </c>
      <c r="I55" s="150">
        <v>1452704</v>
      </c>
      <c r="J55" s="148">
        <v>175</v>
      </c>
      <c r="K55" s="150">
        <v>74333</v>
      </c>
      <c r="L55" s="148">
        <v>3304</v>
      </c>
      <c r="M55" s="150">
        <v>11267678</v>
      </c>
      <c r="N55" s="74" t="s">
        <v>136</v>
      </c>
    </row>
    <row r="56" spans="1:14" ht="22.5" customHeight="1">
      <c r="A56" s="73" t="s">
        <v>212</v>
      </c>
      <c r="B56" s="148">
        <f>_xlfn.COMPOUNDVALUE(173)</f>
        <v>1794</v>
      </c>
      <c r="C56" s="149">
        <v>13573013</v>
      </c>
      <c r="D56" s="148">
        <f>_xlfn.COMPOUNDVALUE(174)</f>
        <v>590</v>
      </c>
      <c r="E56" s="149">
        <v>367105</v>
      </c>
      <c r="F56" s="148">
        <f>_xlfn.COMPOUNDVALUE(175)</f>
        <v>2384</v>
      </c>
      <c r="G56" s="149">
        <v>13940118</v>
      </c>
      <c r="H56" s="148">
        <f>_xlfn.COMPOUNDVALUE(176)</f>
        <v>151</v>
      </c>
      <c r="I56" s="150">
        <v>5208288</v>
      </c>
      <c r="J56" s="148">
        <v>205</v>
      </c>
      <c r="K56" s="150">
        <v>32389</v>
      </c>
      <c r="L56" s="148">
        <v>2555</v>
      </c>
      <c r="M56" s="150">
        <v>8764219</v>
      </c>
      <c r="N56" s="74" t="s">
        <v>138</v>
      </c>
    </row>
    <row r="57" spans="1:14" ht="22.5" customHeight="1">
      <c r="A57" s="73" t="s">
        <v>213</v>
      </c>
      <c r="B57" s="148">
        <f>_xlfn.COMPOUNDVALUE(177)</f>
        <v>1957</v>
      </c>
      <c r="C57" s="149">
        <v>16546128</v>
      </c>
      <c r="D57" s="148">
        <f>_xlfn.COMPOUNDVALUE(178)</f>
        <v>717</v>
      </c>
      <c r="E57" s="149">
        <v>442271</v>
      </c>
      <c r="F57" s="148">
        <f>_xlfn.COMPOUNDVALUE(179)</f>
        <v>2674</v>
      </c>
      <c r="G57" s="149">
        <v>16988400</v>
      </c>
      <c r="H57" s="148">
        <f>_xlfn.COMPOUNDVALUE(180)</f>
        <v>154</v>
      </c>
      <c r="I57" s="150">
        <v>1854557</v>
      </c>
      <c r="J57" s="148">
        <v>132</v>
      </c>
      <c r="K57" s="150">
        <v>9366</v>
      </c>
      <c r="L57" s="148">
        <v>2843</v>
      </c>
      <c r="M57" s="150">
        <v>15143209</v>
      </c>
      <c r="N57" s="74" t="s">
        <v>140</v>
      </c>
    </row>
    <row r="58" spans="1:14" ht="22.5" customHeight="1">
      <c r="A58" s="73" t="s">
        <v>214</v>
      </c>
      <c r="B58" s="148">
        <f>_xlfn.COMPOUNDVALUE(181)</f>
        <v>1208</v>
      </c>
      <c r="C58" s="149">
        <v>7797146</v>
      </c>
      <c r="D58" s="148">
        <f>_xlfn.COMPOUNDVALUE(182)</f>
        <v>416</v>
      </c>
      <c r="E58" s="149">
        <v>244182</v>
      </c>
      <c r="F58" s="148">
        <f>_xlfn.COMPOUNDVALUE(183)</f>
        <v>1624</v>
      </c>
      <c r="G58" s="149">
        <v>8041329</v>
      </c>
      <c r="H58" s="148">
        <f>_xlfn.COMPOUNDVALUE(184)</f>
        <v>83</v>
      </c>
      <c r="I58" s="150">
        <v>375939</v>
      </c>
      <c r="J58" s="148">
        <v>97</v>
      </c>
      <c r="K58" s="150">
        <v>26219</v>
      </c>
      <c r="L58" s="148">
        <v>1732</v>
      </c>
      <c r="M58" s="150">
        <v>7691609</v>
      </c>
      <c r="N58" s="74" t="s">
        <v>142</v>
      </c>
    </row>
    <row r="59" spans="1:14" ht="22.5" customHeight="1">
      <c r="A59" s="73" t="s">
        <v>215</v>
      </c>
      <c r="B59" s="148">
        <f>_xlfn.COMPOUNDVALUE(185)</f>
        <v>1965</v>
      </c>
      <c r="C59" s="149">
        <v>13135046</v>
      </c>
      <c r="D59" s="148">
        <f>_xlfn.COMPOUNDVALUE(186)</f>
        <v>606</v>
      </c>
      <c r="E59" s="149">
        <v>489552</v>
      </c>
      <c r="F59" s="148">
        <f>_xlfn.COMPOUNDVALUE(187)</f>
        <v>2571</v>
      </c>
      <c r="G59" s="149">
        <v>13624598</v>
      </c>
      <c r="H59" s="148">
        <f>_xlfn.COMPOUNDVALUE(188)</f>
        <v>129</v>
      </c>
      <c r="I59" s="150">
        <v>486471</v>
      </c>
      <c r="J59" s="148">
        <v>150</v>
      </c>
      <c r="K59" s="150">
        <v>-40142</v>
      </c>
      <c r="L59" s="148">
        <v>2721</v>
      </c>
      <c r="M59" s="150">
        <v>13097985</v>
      </c>
      <c r="N59" s="74" t="s">
        <v>144</v>
      </c>
    </row>
    <row r="60" spans="1:14" ht="22.5" customHeight="1">
      <c r="A60" s="170" t="s">
        <v>216</v>
      </c>
      <c r="B60" s="171">
        <f>_xlfn.COMPOUNDVALUE(189)</f>
        <v>568</v>
      </c>
      <c r="C60" s="172">
        <v>2735439</v>
      </c>
      <c r="D60" s="171">
        <f>_xlfn.COMPOUNDVALUE(190)</f>
        <v>189</v>
      </c>
      <c r="E60" s="172">
        <v>102263</v>
      </c>
      <c r="F60" s="171">
        <f>_xlfn.COMPOUNDVALUE(191)</f>
        <v>757</v>
      </c>
      <c r="G60" s="172">
        <v>2837702</v>
      </c>
      <c r="H60" s="171">
        <f>_xlfn.COMPOUNDVALUE(192)</f>
        <v>36</v>
      </c>
      <c r="I60" s="173">
        <v>95826</v>
      </c>
      <c r="J60" s="171">
        <v>66</v>
      </c>
      <c r="K60" s="173">
        <v>3436</v>
      </c>
      <c r="L60" s="171">
        <v>798</v>
      </c>
      <c r="M60" s="173">
        <v>2745312</v>
      </c>
      <c r="N60" s="174" t="s">
        <v>146</v>
      </c>
    </row>
    <row r="61" spans="1:14" ht="22.5" customHeight="1">
      <c r="A61" s="187" t="s">
        <v>217</v>
      </c>
      <c r="B61" s="188">
        <v>16012</v>
      </c>
      <c r="C61" s="189">
        <v>123394229</v>
      </c>
      <c r="D61" s="188">
        <v>5614</v>
      </c>
      <c r="E61" s="189">
        <v>3549706</v>
      </c>
      <c r="F61" s="188">
        <v>21626</v>
      </c>
      <c r="G61" s="189">
        <v>126943936</v>
      </c>
      <c r="H61" s="188">
        <v>1179</v>
      </c>
      <c r="I61" s="190">
        <v>38403606</v>
      </c>
      <c r="J61" s="188">
        <v>1513</v>
      </c>
      <c r="K61" s="190">
        <v>218845</v>
      </c>
      <c r="L61" s="188">
        <v>23002</v>
      </c>
      <c r="M61" s="190">
        <v>88759175</v>
      </c>
      <c r="N61" s="191" t="s">
        <v>148</v>
      </c>
    </row>
    <row r="62" spans="1:14" ht="22.5" customHeight="1" thickBot="1">
      <c r="A62" s="75"/>
      <c r="B62" s="152"/>
      <c r="C62" s="153"/>
      <c r="D62" s="152"/>
      <c r="E62" s="153"/>
      <c r="F62" s="154"/>
      <c r="G62" s="153"/>
      <c r="H62" s="154"/>
      <c r="I62" s="153"/>
      <c r="J62" s="154"/>
      <c r="K62" s="153"/>
      <c r="L62" s="154"/>
      <c r="M62" s="153"/>
      <c r="N62" s="76"/>
    </row>
    <row r="63" spans="1:14" ht="22.5" customHeight="1" thickBot="1" thickTop="1">
      <c r="A63" s="77" t="s">
        <v>218</v>
      </c>
      <c r="B63" s="155">
        <v>155883</v>
      </c>
      <c r="C63" s="156">
        <v>1560967212</v>
      </c>
      <c r="D63" s="155">
        <v>58468</v>
      </c>
      <c r="E63" s="156">
        <v>36202642</v>
      </c>
      <c r="F63" s="155">
        <v>214351</v>
      </c>
      <c r="G63" s="156">
        <v>1597169853</v>
      </c>
      <c r="H63" s="155">
        <v>12519</v>
      </c>
      <c r="I63" s="157">
        <v>696535870</v>
      </c>
      <c r="J63" s="155">
        <v>14639</v>
      </c>
      <c r="K63" s="157">
        <v>2527830</v>
      </c>
      <c r="L63" s="155">
        <v>228343</v>
      </c>
      <c r="M63" s="157">
        <v>903161813</v>
      </c>
      <c r="N63" s="78" t="s">
        <v>43</v>
      </c>
    </row>
    <row r="64" spans="1:14" s="158" customFormat="1" ht="3" customHeight="1">
      <c r="A64" s="106"/>
      <c r="B64" s="107"/>
      <c r="C64" s="107"/>
      <c r="D64" s="107"/>
      <c r="E64" s="107"/>
      <c r="F64" s="107"/>
      <c r="G64" s="107"/>
      <c r="H64" s="107"/>
      <c r="I64" s="107"/>
      <c r="J64" s="107"/>
      <c r="K64" s="107"/>
      <c r="L64" s="107"/>
      <c r="M64" s="107"/>
      <c r="N64" s="106"/>
    </row>
    <row r="65" spans="1:14" ht="22.5" customHeight="1">
      <c r="A65" s="291" t="s">
        <v>223</v>
      </c>
      <c r="B65" s="291"/>
      <c r="C65" s="291"/>
      <c r="D65" s="291"/>
      <c r="E65" s="291"/>
      <c r="F65" s="291"/>
      <c r="G65" s="291"/>
      <c r="H65" s="291"/>
      <c r="I65" s="291"/>
      <c r="J65" s="60"/>
      <c r="K65" s="60"/>
      <c r="L65" s="61"/>
      <c r="M65" s="61"/>
      <c r="N65" s="61"/>
    </row>
  </sheetData>
  <sheetProtection/>
  <mergeCells count="11">
    <mergeCell ref="A2:I2"/>
    <mergeCell ref="A3:A5"/>
    <mergeCell ref="B3:G3"/>
    <mergeCell ref="H3:I4"/>
    <mergeCell ref="J3:K4"/>
    <mergeCell ref="L3:M4"/>
    <mergeCell ref="N3:N5"/>
    <mergeCell ref="B4:C4"/>
    <mergeCell ref="D4:E4"/>
    <mergeCell ref="F4:G4"/>
    <mergeCell ref="A65:I65"/>
  </mergeCells>
  <printOptions horizontalCentered="1"/>
  <pageMargins left="0.5118110236220472" right="0.5118110236220472" top="0.7480314960629921" bottom="0.7480314960629921" header="0.31496062992125984" footer="0.31496062992125984"/>
  <pageSetup horizontalDpi="600" verticalDpi="600" orientation="portrait" paperSize="9" scale="55" r:id="rId1"/>
  <headerFooter alignWithMargins="0">
    <oddFooter>&amp;R&amp;K01+000名古屋国税局 消費税（H30）</oddFooter>
  </headerFooter>
</worksheet>
</file>

<file path=xl/worksheets/sheet6.xml><?xml version="1.0" encoding="utf-8"?>
<worksheet xmlns="http://schemas.openxmlformats.org/spreadsheetml/2006/main" xmlns:r="http://schemas.openxmlformats.org/officeDocument/2006/relationships">
  <dimension ref="A1:R64"/>
  <sheetViews>
    <sheetView showGridLines="0" zoomScale="70" zoomScaleNormal="70" zoomScaleSheetLayoutView="75" workbookViewId="0" topLeftCell="A1">
      <selection activeCell="A1" sqref="A1"/>
    </sheetView>
  </sheetViews>
  <sheetFormatPr defaultColWidth="9.00390625" defaultRowHeight="13.5"/>
  <cols>
    <col min="1" max="1" width="10.00390625" style="79" customWidth="1"/>
    <col min="2" max="2" width="10.625" style="79" customWidth="1"/>
    <col min="3" max="3" width="12.625" style="79" customWidth="1"/>
    <col min="4" max="4" width="10.625" style="79" customWidth="1"/>
    <col min="5" max="5" width="12.625" style="79" customWidth="1"/>
    <col min="6" max="6" width="10.625" style="79" customWidth="1"/>
    <col min="7" max="7" width="12.625" style="79" customWidth="1"/>
    <col min="8" max="8" width="10.625" style="79" customWidth="1"/>
    <col min="9" max="9" width="12.625" style="79" customWidth="1"/>
    <col min="10" max="10" width="10.625" style="79" customWidth="1"/>
    <col min="11" max="11" width="12.625" style="79" customWidth="1"/>
    <col min="12" max="12" width="10.625" style="79" customWidth="1"/>
    <col min="13" max="13" width="12.625" style="79" customWidth="1"/>
    <col min="14" max="17" width="10.625" style="79" customWidth="1"/>
    <col min="18" max="18" width="10.00390625" style="79" customWidth="1"/>
    <col min="19" max="16384" width="9.00390625" style="79" customWidth="1"/>
  </cols>
  <sheetData>
    <row r="1" spans="1:16" ht="12">
      <c r="A1" s="60" t="s">
        <v>228</v>
      </c>
      <c r="B1" s="60"/>
      <c r="C1" s="60"/>
      <c r="D1" s="60"/>
      <c r="E1" s="60"/>
      <c r="F1" s="60"/>
      <c r="G1" s="60"/>
      <c r="H1" s="60"/>
      <c r="I1" s="60"/>
      <c r="J1" s="60"/>
      <c r="K1" s="60"/>
      <c r="L1" s="61"/>
      <c r="M1" s="61"/>
      <c r="N1" s="61"/>
      <c r="O1" s="61"/>
      <c r="P1" s="61"/>
    </row>
    <row r="2" spans="1:16" ht="12.75" thickBot="1">
      <c r="A2" s="300" t="s">
        <v>151</v>
      </c>
      <c r="B2" s="300"/>
      <c r="C2" s="300"/>
      <c r="D2" s="300"/>
      <c r="E2" s="300"/>
      <c r="F2" s="300"/>
      <c r="G2" s="300"/>
      <c r="H2" s="300"/>
      <c r="I2" s="300"/>
      <c r="J2" s="60"/>
      <c r="K2" s="60"/>
      <c r="L2" s="61"/>
      <c r="M2" s="61"/>
      <c r="N2" s="61"/>
      <c r="O2" s="61"/>
      <c r="P2" s="61"/>
    </row>
    <row r="3" spans="1:18" ht="23.25" customHeight="1">
      <c r="A3" s="292" t="s">
        <v>154</v>
      </c>
      <c r="B3" s="295" t="s">
        <v>155</v>
      </c>
      <c r="C3" s="295"/>
      <c r="D3" s="295"/>
      <c r="E3" s="295"/>
      <c r="F3" s="295"/>
      <c r="G3" s="295"/>
      <c r="H3" s="301" t="s">
        <v>13</v>
      </c>
      <c r="I3" s="301"/>
      <c r="J3" s="302" t="s">
        <v>37</v>
      </c>
      <c r="K3" s="301"/>
      <c r="L3" s="295" t="s">
        <v>38</v>
      </c>
      <c r="M3" s="295"/>
      <c r="N3" s="304" t="s">
        <v>159</v>
      </c>
      <c r="O3" s="305"/>
      <c r="P3" s="305"/>
      <c r="Q3" s="305"/>
      <c r="R3" s="284" t="s">
        <v>150</v>
      </c>
    </row>
    <row r="4" spans="1:18" ht="23.25" customHeight="1">
      <c r="A4" s="293"/>
      <c r="B4" s="287" t="s">
        <v>18</v>
      </c>
      <c r="C4" s="287"/>
      <c r="D4" s="287" t="s">
        <v>40</v>
      </c>
      <c r="E4" s="287"/>
      <c r="F4" s="303" t="s">
        <v>41</v>
      </c>
      <c r="G4" s="303"/>
      <c r="H4" s="287"/>
      <c r="I4" s="287"/>
      <c r="J4" s="287"/>
      <c r="K4" s="287"/>
      <c r="L4" s="303"/>
      <c r="M4" s="303"/>
      <c r="N4" s="306" t="s">
        <v>152</v>
      </c>
      <c r="O4" s="308" t="s">
        <v>160</v>
      </c>
      <c r="P4" s="310" t="s">
        <v>161</v>
      </c>
      <c r="Q4" s="283" t="s">
        <v>153</v>
      </c>
      <c r="R4" s="285"/>
    </row>
    <row r="5" spans="1:18" ht="30" customHeight="1">
      <c r="A5" s="294"/>
      <c r="B5" s="164" t="s">
        <v>222</v>
      </c>
      <c r="C5" s="98" t="s">
        <v>156</v>
      </c>
      <c r="D5" s="63" t="s">
        <v>222</v>
      </c>
      <c r="E5" s="98" t="s">
        <v>156</v>
      </c>
      <c r="F5" s="63" t="s">
        <v>222</v>
      </c>
      <c r="G5" s="99" t="s">
        <v>219</v>
      </c>
      <c r="H5" s="163" t="s">
        <v>222</v>
      </c>
      <c r="I5" s="63" t="s">
        <v>220</v>
      </c>
      <c r="J5" s="164" t="s">
        <v>222</v>
      </c>
      <c r="K5" s="99" t="s">
        <v>221</v>
      </c>
      <c r="L5" s="163" t="s">
        <v>222</v>
      </c>
      <c r="M5" s="99" t="s">
        <v>162</v>
      </c>
      <c r="N5" s="307"/>
      <c r="O5" s="309"/>
      <c r="P5" s="311"/>
      <c r="Q5" s="312"/>
      <c r="R5" s="286"/>
    </row>
    <row r="6" spans="1:18" s="87" customFormat="1" ht="12">
      <c r="A6" s="81"/>
      <c r="B6" s="82" t="s">
        <v>4</v>
      </c>
      <c r="C6" s="83" t="s">
        <v>5</v>
      </c>
      <c r="D6" s="82" t="s">
        <v>4</v>
      </c>
      <c r="E6" s="83" t="s">
        <v>5</v>
      </c>
      <c r="F6" s="82" t="s">
        <v>4</v>
      </c>
      <c r="G6" s="83" t="s">
        <v>5</v>
      </c>
      <c r="H6" s="82" t="s">
        <v>4</v>
      </c>
      <c r="I6" s="83" t="s">
        <v>5</v>
      </c>
      <c r="J6" s="82" t="s">
        <v>4</v>
      </c>
      <c r="K6" s="83" t="s">
        <v>5</v>
      </c>
      <c r="L6" s="82" t="s">
        <v>226</v>
      </c>
      <c r="M6" s="83" t="s">
        <v>5</v>
      </c>
      <c r="N6" s="82" t="s">
        <v>4</v>
      </c>
      <c r="O6" s="84" t="s">
        <v>4</v>
      </c>
      <c r="P6" s="84" t="s">
        <v>4</v>
      </c>
      <c r="Q6" s="85" t="s">
        <v>4</v>
      </c>
      <c r="R6" s="86"/>
    </row>
    <row r="7" spans="1:18" ht="25.5" customHeight="1">
      <c r="A7" s="88" t="s">
        <v>45</v>
      </c>
      <c r="B7" s="128">
        <f>_xlfn.COMPOUNDVALUE(193)</f>
        <v>6483</v>
      </c>
      <c r="C7" s="129">
        <v>32480366</v>
      </c>
      <c r="D7" s="128">
        <f>_xlfn.COMPOUNDVALUE(194)</f>
        <v>4180</v>
      </c>
      <c r="E7" s="129">
        <v>2072300</v>
      </c>
      <c r="F7" s="128">
        <f>_xlfn.COMPOUNDVALUE(195)</f>
        <v>10663</v>
      </c>
      <c r="G7" s="129">
        <v>34552666</v>
      </c>
      <c r="H7" s="128">
        <f>_xlfn.COMPOUNDVALUE(196)</f>
        <v>492</v>
      </c>
      <c r="I7" s="130">
        <v>1891984</v>
      </c>
      <c r="J7" s="128">
        <v>862</v>
      </c>
      <c r="K7" s="130">
        <v>228724</v>
      </c>
      <c r="L7" s="128">
        <v>11316</v>
      </c>
      <c r="M7" s="130">
        <v>32889406</v>
      </c>
      <c r="N7" s="128">
        <v>11112</v>
      </c>
      <c r="O7" s="131">
        <v>256</v>
      </c>
      <c r="P7" s="131">
        <v>26</v>
      </c>
      <c r="Q7" s="132">
        <v>11394</v>
      </c>
      <c r="R7" s="89" t="s">
        <v>46</v>
      </c>
    </row>
    <row r="8" spans="1:18" ht="25.5" customHeight="1">
      <c r="A8" s="90" t="s">
        <v>47</v>
      </c>
      <c r="B8" s="133">
        <f>_xlfn.COMPOUNDVALUE(197)</f>
        <v>5992</v>
      </c>
      <c r="C8" s="134">
        <v>36579907</v>
      </c>
      <c r="D8" s="133">
        <f>_xlfn.COMPOUNDVALUE(198)</f>
        <v>3491</v>
      </c>
      <c r="E8" s="134">
        <v>1822783</v>
      </c>
      <c r="F8" s="133">
        <f>_xlfn.COMPOUNDVALUE(199)</f>
        <v>9483</v>
      </c>
      <c r="G8" s="134">
        <v>38402690</v>
      </c>
      <c r="H8" s="133">
        <f>_xlfn.COMPOUNDVALUE(200)</f>
        <v>437</v>
      </c>
      <c r="I8" s="135">
        <v>1213694</v>
      </c>
      <c r="J8" s="133">
        <v>757</v>
      </c>
      <c r="K8" s="135">
        <v>81061</v>
      </c>
      <c r="L8" s="133">
        <v>10040</v>
      </c>
      <c r="M8" s="135">
        <v>37270057</v>
      </c>
      <c r="N8" s="128">
        <v>9936</v>
      </c>
      <c r="O8" s="131">
        <v>232</v>
      </c>
      <c r="P8" s="131">
        <v>22</v>
      </c>
      <c r="Q8" s="132">
        <v>10190</v>
      </c>
      <c r="R8" s="91" t="s">
        <v>48</v>
      </c>
    </row>
    <row r="9" spans="1:18" ht="25.5" customHeight="1">
      <c r="A9" s="90" t="s">
        <v>49</v>
      </c>
      <c r="B9" s="133">
        <f>_xlfn.COMPOUNDVALUE(201)</f>
        <v>5054</v>
      </c>
      <c r="C9" s="134">
        <v>37258616</v>
      </c>
      <c r="D9" s="133">
        <f>_xlfn.COMPOUNDVALUE(202)</f>
        <v>3298</v>
      </c>
      <c r="E9" s="134">
        <v>1577733</v>
      </c>
      <c r="F9" s="133">
        <f>_xlfn.COMPOUNDVALUE(203)</f>
        <v>8352</v>
      </c>
      <c r="G9" s="134">
        <v>38836349</v>
      </c>
      <c r="H9" s="133">
        <f>_xlfn.COMPOUNDVALUE(204)</f>
        <v>434</v>
      </c>
      <c r="I9" s="135">
        <v>5483303</v>
      </c>
      <c r="J9" s="133">
        <v>566</v>
      </c>
      <c r="K9" s="135">
        <v>78737</v>
      </c>
      <c r="L9" s="133">
        <v>8906</v>
      </c>
      <c r="M9" s="135">
        <v>33431783</v>
      </c>
      <c r="N9" s="128">
        <v>8581</v>
      </c>
      <c r="O9" s="131">
        <v>270</v>
      </c>
      <c r="P9" s="131">
        <v>23</v>
      </c>
      <c r="Q9" s="132">
        <v>8874</v>
      </c>
      <c r="R9" s="91" t="s">
        <v>50</v>
      </c>
    </row>
    <row r="10" spans="1:18" ht="25.5" customHeight="1">
      <c r="A10" s="90" t="s">
        <v>51</v>
      </c>
      <c r="B10" s="133">
        <f>_xlfn.COMPOUNDVALUE(205)</f>
        <v>2648</v>
      </c>
      <c r="C10" s="134">
        <v>10987672</v>
      </c>
      <c r="D10" s="133">
        <f>_xlfn.COMPOUNDVALUE(206)</f>
        <v>2207</v>
      </c>
      <c r="E10" s="134">
        <v>969649</v>
      </c>
      <c r="F10" s="133">
        <f>_xlfn.COMPOUNDVALUE(207)</f>
        <v>4855</v>
      </c>
      <c r="G10" s="134">
        <v>11957321</v>
      </c>
      <c r="H10" s="133">
        <f>_xlfn.COMPOUNDVALUE(208)</f>
        <v>177</v>
      </c>
      <c r="I10" s="135">
        <v>673620</v>
      </c>
      <c r="J10" s="133">
        <v>354</v>
      </c>
      <c r="K10" s="135">
        <v>35235</v>
      </c>
      <c r="L10" s="133">
        <v>5064</v>
      </c>
      <c r="M10" s="135">
        <v>11318936</v>
      </c>
      <c r="N10" s="128">
        <v>4845</v>
      </c>
      <c r="O10" s="131">
        <v>146</v>
      </c>
      <c r="P10" s="131">
        <v>7</v>
      </c>
      <c r="Q10" s="132">
        <v>4998</v>
      </c>
      <c r="R10" s="91" t="s">
        <v>52</v>
      </c>
    </row>
    <row r="11" spans="1:18" ht="25.5" customHeight="1">
      <c r="A11" s="90" t="s">
        <v>53</v>
      </c>
      <c r="B11" s="133">
        <f>_xlfn.COMPOUNDVALUE(209)</f>
        <v>3978</v>
      </c>
      <c r="C11" s="134">
        <v>22730172</v>
      </c>
      <c r="D11" s="133">
        <f>_xlfn.COMPOUNDVALUE(210)</f>
        <v>3149</v>
      </c>
      <c r="E11" s="134">
        <v>1479215</v>
      </c>
      <c r="F11" s="133">
        <f>_xlfn.COMPOUNDVALUE(211)</f>
        <v>7127</v>
      </c>
      <c r="G11" s="134">
        <v>24209387</v>
      </c>
      <c r="H11" s="133">
        <f>_xlfn.COMPOUNDVALUE(212)</f>
        <v>338</v>
      </c>
      <c r="I11" s="135">
        <v>1583613</v>
      </c>
      <c r="J11" s="133">
        <v>471</v>
      </c>
      <c r="K11" s="135">
        <v>40343</v>
      </c>
      <c r="L11" s="133">
        <v>7539</v>
      </c>
      <c r="M11" s="135">
        <v>22666117</v>
      </c>
      <c r="N11" s="128">
        <v>7373</v>
      </c>
      <c r="O11" s="131">
        <v>193</v>
      </c>
      <c r="P11" s="131">
        <v>18</v>
      </c>
      <c r="Q11" s="132">
        <v>7584</v>
      </c>
      <c r="R11" s="91" t="s">
        <v>54</v>
      </c>
    </row>
    <row r="12" spans="1:18" ht="25.5" customHeight="1">
      <c r="A12" s="90" t="s">
        <v>55</v>
      </c>
      <c r="B12" s="133">
        <f>_xlfn.COMPOUNDVALUE(213)</f>
        <v>4070</v>
      </c>
      <c r="C12" s="134">
        <v>19759219</v>
      </c>
      <c r="D12" s="133">
        <f>_xlfn.COMPOUNDVALUE(214)</f>
        <v>2777</v>
      </c>
      <c r="E12" s="134">
        <v>1314852</v>
      </c>
      <c r="F12" s="133">
        <f>_xlfn.COMPOUNDVALUE(215)</f>
        <v>6847</v>
      </c>
      <c r="G12" s="134">
        <v>21074071</v>
      </c>
      <c r="H12" s="133">
        <f>_xlfn.COMPOUNDVALUE(216)</f>
        <v>296</v>
      </c>
      <c r="I12" s="135">
        <v>1381604</v>
      </c>
      <c r="J12" s="133">
        <v>524</v>
      </c>
      <c r="K12" s="135">
        <v>74123</v>
      </c>
      <c r="L12" s="133">
        <v>7214</v>
      </c>
      <c r="M12" s="135">
        <v>19766590</v>
      </c>
      <c r="N12" s="128">
        <v>6967</v>
      </c>
      <c r="O12" s="131">
        <v>170</v>
      </c>
      <c r="P12" s="131">
        <v>8</v>
      </c>
      <c r="Q12" s="132">
        <v>7145</v>
      </c>
      <c r="R12" s="91" t="s">
        <v>56</v>
      </c>
    </row>
    <row r="13" spans="1:18" ht="25.5" customHeight="1">
      <c r="A13" s="192" t="s">
        <v>57</v>
      </c>
      <c r="B13" s="193">
        <f>_xlfn.COMPOUNDVALUE(217)</f>
        <v>1691</v>
      </c>
      <c r="C13" s="194">
        <v>10239585</v>
      </c>
      <c r="D13" s="193">
        <f>_xlfn.COMPOUNDVALUE(218)</f>
        <v>1317</v>
      </c>
      <c r="E13" s="194">
        <v>613050</v>
      </c>
      <c r="F13" s="193">
        <f>_xlfn.COMPOUNDVALUE(219)</f>
        <v>3008</v>
      </c>
      <c r="G13" s="194">
        <v>10852635</v>
      </c>
      <c r="H13" s="193">
        <f>_xlfn.COMPOUNDVALUE(220)</f>
        <v>92</v>
      </c>
      <c r="I13" s="195">
        <v>167159</v>
      </c>
      <c r="J13" s="193">
        <v>168</v>
      </c>
      <c r="K13" s="195">
        <v>52611</v>
      </c>
      <c r="L13" s="193">
        <v>3126</v>
      </c>
      <c r="M13" s="195">
        <v>10738087</v>
      </c>
      <c r="N13" s="196">
        <v>3026</v>
      </c>
      <c r="O13" s="197">
        <v>79</v>
      </c>
      <c r="P13" s="197">
        <v>10</v>
      </c>
      <c r="Q13" s="198">
        <v>3115</v>
      </c>
      <c r="R13" s="199" t="s">
        <v>58</v>
      </c>
    </row>
    <row r="14" spans="1:18" ht="25.5" customHeight="1">
      <c r="A14" s="200" t="s">
        <v>59</v>
      </c>
      <c r="B14" s="201">
        <v>29916</v>
      </c>
      <c r="C14" s="202">
        <v>170035536</v>
      </c>
      <c r="D14" s="201">
        <v>20419</v>
      </c>
      <c r="E14" s="202">
        <v>9849582</v>
      </c>
      <c r="F14" s="201">
        <v>50335</v>
      </c>
      <c r="G14" s="202">
        <v>179885119</v>
      </c>
      <c r="H14" s="201">
        <v>2266</v>
      </c>
      <c r="I14" s="203">
        <v>12394978</v>
      </c>
      <c r="J14" s="201">
        <v>3702</v>
      </c>
      <c r="K14" s="203">
        <v>590834</v>
      </c>
      <c r="L14" s="201">
        <v>53205</v>
      </c>
      <c r="M14" s="203">
        <v>168080974</v>
      </c>
      <c r="N14" s="201">
        <v>51840</v>
      </c>
      <c r="O14" s="204">
        <v>1346</v>
      </c>
      <c r="P14" s="204">
        <v>114</v>
      </c>
      <c r="Q14" s="205">
        <v>53300</v>
      </c>
      <c r="R14" s="206" t="s">
        <v>60</v>
      </c>
    </row>
    <row r="15" spans="1:18" ht="25.5" customHeight="1">
      <c r="A15" s="207"/>
      <c r="B15" s="208"/>
      <c r="C15" s="209"/>
      <c r="D15" s="208"/>
      <c r="E15" s="209"/>
      <c r="F15" s="210"/>
      <c r="G15" s="209"/>
      <c r="H15" s="210"/>
      <c r="I15" s="209"/>
      <c r="J15" s="210"/>
      <c r="K15" s="209"/>
      <c r="L15" s="210"/>
      <c r="M15" s="209"/>
      <c r="N15" s="211"/>
      <c r="O15" s="212"/>
      <c r="P15" s="212"/>
      <c r="Q15" s="213"/>
      <c r="R15" s="214" t="s">
        <v>44</v>
      </c>
    </row>
    <row r="16" spans="1:18" ht="25.5" customHeight="1">
      <c r="A16" s="88" t="s">
        <v>61</v>
      </c>
      <c r="B16" s="128">
        <f>_xlfn.COMPOUNDVALUE(221)</f>
        <v>7254</v>
      </c>
      <c r="C16" s="129">
        <v>54692767</v>
      </c>
      <c r="D16" s="128">
        <f>_xlfn.COMPOUNDVALUE(222)</f>
        <v>5578</v>
      </c>
      <c r="E16" s="129">
        <v>2866289</v>
      </c>
      <c r="F16" s="128">
        <f>_xlfn.COMPOUNDVALUE(223)</f>
        <v>12832</v>
      </c>
      <c r="G16" s="129">
        <v>57559056</v>
      </c>
      <c r="H16" s="128">
        <f>_xlfn.COMPOUNDVALUE(224)</f>
        <v>489</v>
      </c>
      <c r="I16" s="130">
        <v>3290415</v>
      </c>
      <c r="J16" s="128">
        <v>1103</v>
      </c>
      <c r="K16" s="130">
        <v>253714</v>
      </c>
      <c r="L16" s="128">
        <v>13568</v>
      </c>
      <c r="M16" s="130">
        <v>54522355</v>
      </c>
      <c r="N16" s="128">
        <v>13194</v>
      </c>
      <c r="O16" s="131">
        <v>330</v>
      </c>
      <c r="P16" s="131">
        <v>37</v>
      </c>
      <c r="Q16" s="132">
        <v>13561</v>
      </c>
      <c r="R16" s="89" t="s">
        <v>62</v>
      </c>
    </row>
    <row r="17" spans="1:18" ht="25.5" customHeight="1">
      <c r="A17" s="88" t="s">
        <v>63</v>
      </c>
      <c r="B17" s="128">
        <f>_xlfn.COMPOUNDVALUE(225)</f>
        <v>3242</v>
      </c>
      <c r="C17" s="129">
        <v>20283686</v>
      </c>
      <c r="D17" s="128">
        <f>_xlfn.COMPOUNDVALUE(226)</f>
        <v>2658</v>
      </c>
      <c r="E17" s="129">
        <v>1253979</v>
      </c>
      <c r="F17" s="128">
        <f>_xlfn.COMPOUNDVALUE(227)</f>
        <v>5900</v>
      </c>
      <c r="G17" s="129">
        <v>21537665</v>
      </c>
      <c r="H17" s="128">
        <f>_xlfn.COMPOUNDVALUE(228)</f>
        <v>284</v>
      </c>
      <c r="I17" s="130">
        <v>2026144</v>
      </c>
      <c r="J17" s="128">
        <v>508</v>
      </c>
      <c r="K17" s="130">
        <v>8740</v>
      </c>
      <c r="L17" s="128">
        <v>6266</v>
      </c>
      <c r="M17" s="130">
        <v>19520261</v>
      </c>
      <c r="N17" s="128">
        <v>6259</v>
      </c>
      <c r="O17" s="131">
        <v>139</v>
      </c>
      <c r="P17" s="131">
        <v>13</v>
      </c>
      <c r="Q17" s="132">
        <v>6411</v>
      </c>
      <c r="R17" s="91" t="s">
        <v>64</v>
      </c>
    </row>
    <row r="18" spans="1:18" ht="25.5" customHeight="1">
      <c r="A18" s="88" t="s">
        <v>65</v>
      </c>
      <c r="B18" s="128">
        <f>_xlfn.COMPOUNDVALUE(229)</f>
        <v>6953</v>
      </c>
      <c r="C18" s="129">
        <v>42280533</v>
      </c>
      <c r="D18" s="128">
        <f>_xlfn.COMPOUNDVALUE(230)</f>
        <v>5905</v>
      </c>
      <c r="E18" s="129">
        <v>2909475</v>
      </c>
      <c r="F18" s="128">
        <f>_xlfn.COMPOUNDVALUE(231)</f>
        <v>12858</v>
      </c>
      <c r="G18" s="129">
        <v>45190008</v>
      </c>
      <c r="H18" s="128">
        <f>_xlfn.COMPOUNDVALUE(232)</f>
        <v>642</v>
      </c>
      <c r="I18" s="130">
        <v>6772954</v>
      </c>
      <c r="J18" s="128">
        <v>987</v>
      </c>
      <c r="K18" s="130">
        <v>117731</v>
      </c>
      <c r="L18" s="128">
        <v>13679</v>
      </c>
      <c r="M18" s="130">
        <v>38534785</v>
      </c>
      <c r="N18" s="128">
        <v>13564</v>
      </c>
      <c r="O18" s="131">
        <v>471</v>
      </c>
      <c r="P18" s="131">
        <v>42</v>
      </c>
      <c r="Q18" s="132">
        <v>14077</v>
      </c>
      <c r="R18" s="91" t="s">
        <v>66</v>
      </c>
    </row>
    <row r="19" spans="1:18" ht="25.5" customHeight="1">
      <c r="A19" s="88" t="s">
        <v>67</v>
      </c>
      <c r="B19" s="128">
        <f>_xlfn.COMPOUNDVALUE(233)</f>
        <v>4983</v>
      </c>
      <c r="C19" s="129">
        <v>27237565</v>
      </c>
      <c r="D19" s="128">
        <f>_xlfn.COMPOUNDVALUE(234)</f>
        <v>3436</v>
      </c>
      <c r="E19" s="129">
        <v>1674874</v>
      </c>
      <c r="F19" s="128">
        <f>_xlfn.COMPOUNDVALUE(235)</f>
        <v>8419</v>
      </c>
      <c r="G19" s="129">
        <v>28912439</v>
      </c>
      <c r="H19" s="128">
        <f>_xlfn.COMPOUNDVALUE(236)</f>
        <v>391</v>
      </c>
      <c r="I19" s="130">
        <v>19292248</v>
      </c>
      <c r="J19" s="128">
        <v>571</v>
      </c>
      <c r="K19" s="130">
        <v>79515</v>
      </c>
      <c r="L19" s="128">
        <v>8882</v>
      </c>
      <c r="M19" s="130">
        <v>9699706</v>
      </c>
      <c r="N19" s="128">
        <v>9275</v>
      </c>
      <c r="O19" s="131">
        <v>270</v>
      </c>
      <c r="P19" s="131">
        <v>22</v>
      </c>
      <c r="Q19" s="132">
        <v>9567</v>
      </c>
      <c r="R19" s="91" t="s">
        <v>68</v>
      </c>
    </row>
    <row r="20" spans="1:18" ht="25.5" customHeight="1">
      <c r="A20" s="88" t="s">
        <v>69</v>
      </c>
      <c r="B20" s="128">
        <f>_xlfn.COMPOUNDVALUE(237)</f>
        <v>5538</v>
      </c>
      <c r="C20" s="129">
        <v>36306522</v>
      </c>
      <c r="D20" s="128">
        <f>_xlfn.COMPOUNDVALUE(238)</f>
        <v>4304</v>
      </c>
      <c r="E20" s="129">
        <v>2216939</v>
      </c>
      <c r="F20" s="128">
        <f>_xlfn.COMPOUNDVALUE(239)</f>
        <v>9842</v>
      </c>
      <c r="G20" s="129">
        <v>38523460</v>
      </c>
      <c r="H20" s="128">
        <f>_xlfn.COMPOUNDVALUE(240)</f>
        <v>312</v>
      </c>
      <c r="I20" s="130">
        <v>2431585</v>
      </c>
      <c r="J20" s="128">
        <v>775</v>
      </c>
      <c r="K20" s="130">
        <v>42769</v>
      </c>
      <c r="L20" s="128">
        <v>10315</v>
      </c>
      <c r="M20" s="130">
        <v>36134644</v>
      </c>
      <c r="N20" s="128">
        <v>10221</v>
      </c>
      <c r="O20" s="131">
        <v>257</v>
      </c>
      <c r="P20" s="131">
        <v>33</v>
      </c>
      <c r="Q20" s="132">
        <v>10511</v>
      </c>
      <c r="R20" s="91" t="s">
        <v>70</v>
      </c>
    </row>
    <row r="21" spans="1:18" ht="25.5" customHeight="1">
      <c r="A21" s="88" t="s">
        <v>71</v>
      </c>
      <c r="B21" s="128">
        <f>_xlfn.COMPOUNDVALUE(241)</f>
        <v>1701</v>
      </c>
      <c r="C21" s="129">
        <v>5450342</v>
      </c>
      <c r="D21" s="128">
        <f>_xlfn.COMPOUNDVALUE(242)</f>
        <v>1484</v>
      </c>
      <c r="E21" s="129">
        <v>695721</v>
      </c>
      <c r="F21" s="128">
        <f>_xlfn.COMPOUNDVALUE(243)</f>
        <v>3185</v>
      </c>
      <c r="G21" s="129">
        <v>6146062</v>
      </c>
      <c r="H21" s="128">
        <f>_xlfn.COMPOUNDVALUE(244)</f>
        <v>123</v>
      </c>
      <c r="I21" s="130">
        <v>265766</v>
      </c>
      <c r="J21" s="128">
        <v>232</v>
      </c>
      <c r="K21" s="130">
        <v>19805</v>
      </c>
      <c r="L21" s="128">
        <v>3352</v>
      </c>
      <c r="M21" s="130">
        <v>5900101</v>
      </c>
      <c r="N21" s="128">
        <v>3393</v>
      </c>
      <c r="O21" s="131">
        <v>102</v>
      </c>
      <c r="P21" s="131">
        <v>9</v>
      </c>
      <c r="Q21" s="132">
        <v>3504</v>
      </c>
      <c r="R21" s="91" t="s">
        <v>72</v>
      </c>
    </row>
    <row r="22" spans="1:18" ht="25.5" customHeight="1">
      <c r="A22" s="90" t="s">
        <v>73</v>
      </c>
      <c r="B22" s="133">
        <f>_xlfn.COMPOUNDVALUE(245)</f>
        <v>2717</v>
      </c>
      <c r="C22" s="134">
        <v>12396597</v>
      </c>
      <c r="D22" s="133">
        <f>_xlfn.COMPOUNDVALUE(246)</f>
        <v>2669</v>
      </c>
      <c r="E22" s="134">
        <v>1271524</v>
      </c>
      <c r="F22" s="133">
        <f>_xlfn.COMPOUNDVALUE(247)</f>
        <v>5386</v>
      </c>
      <c r="G22" s="134">
        <v>13668122</v>
      </c>
      <c r="H22" s="133">
        <f>_xlfn.COMPOUNDVALUE(248)</f>
        <v>128</v>
      </c>
      <c r="I22" s="135">
        <v>356349</v>
      </c>
      <c r="J22" s="133">
        <v>406</v>
      </c>
      <c r="K22" s="135">
        <v>49791</v>
      </c>
      <c r="L22" s="133">
        <v>5600</v>
      </c>
      <c r="M22" s="135">
        <v>13361564</v>
      </c>
      <c r="N22" s="128">
        <v>5718</v>
      </c>
      <c r="O22" s="131">
        <v>145</v>
      </c>
      <c r="P22" s="131">
        <v>9</v>
      </c>
      <c r="Q22" s="132">
        <v>5872</v>
      </c>
      <c r="R22" s="91" t="s">
        <v>74</v>
      </c>
    </row>
    <row r="23" spans="1:18" ht="25.5" customHeight="1">
      <c r="A23" s="90" t="s">
        <v>75</v>
      </c>
      <c r="B23" s="133">
        <f>_xlfn.COMPOUNDVALUE(249)</f>
        <v>2413</v>
      </c>
      <c r="C23" s="134">
        <v>12267506</v>
      </c>
      <c r="D23" s="133">
        <f>_xlfn.COMPOUNDVALUE(250)</f>
        <v>2198</v>
      </c>
      <c r="E23" s="134">
        <v>983183</v>
      </c>
      <c r="F23" s="133">
        <f>_xlfn.COMPOUNDVALUE(251)</f>
        <v>4611</v>
      </c>
      <c r="G23" s="134">
        <v>13250689</v>
      </c>
      <c r="H23" s="133">
        <f>_xlfn.COMPOUNDVALUE(252)</f>
        <v>157</v>
      </c>
      <c r="I23" s="135">
        <v>1549222</v>
      </c>
      <c r="J23" s="133">
        <v>263</v>
      </c>
      <c r="K23" s="135">
        <v>32121</v>
      </c>
      <c r="L23" s="133">
        <v>4797</v>
      </c>
      <c r="M23" s="135">
        <v>11733588</v>
      </c>
      <c r="N23" s="128">
        <v>4849</v>
      </c>
      <c r="O23" s="131">
        <v>105</v>
      </c>
      <c r="P23" s="131">
        <v>15</v>
      </c>
      <c r="Q23" s="132">
        <v>4969</v>
      </c>
      <c r="R23" s="91" t="s">
        <v>76</v>
      </c>
    </row>
    <row r="24" spans="1:18" ht="25.5" customHeight="1">
      <c r="A24" s="90" t="s">
        <v>77</v>
      </c>
      <c r="B24" s="133">
        <f>_xlfn.COMPOUNDVALUE(253)</f>
        <v>5228</v>
      </c>
      <c r="C24" s="134">
        <v>28417098</v>
      </c>
      <c r="D24" s="133">
        <f>_xlfn.COMPOUNDVALUE(254)</f>
        <v>4063</v>
      </c>
      <c r="E24" s="134">
        <v>2016054</v>
      </c>
      <c r="F24" s="133">
        <f>_xlfn.COMPOUNDVALUE(255)</f>
        <v>9291</v>
      </c>
      <c r="G24" s="134">
        <v>30433152</v>
      </c>
      <c r="H24" s="133">
        <f>_xlfn.COMPOUNDVALUE(256)</f>
        <v>315</v>
      </c>
      <c r="I24" s="135">
        <v>5728863</v>
      </c>
      <c r="J24" s="133">
        <v>712</v>
      </c>
      <c r="K24" s="135">
        <v>368248</v>
      </c>
      <c r="L24" s="133">
        <v>9743</v>
      </c>
      <c r="M24" s="135">
        <v>25072537</v>
      </c>
      <c r="N24" s="128">
        <v>9674</v>
      </c>
      <c r="O24" s="131">
        <v>220</v>
      </c>
      <c r="P24" s="131">
        <v>16</v>
      </c>
      <c r="Q24" s="132">
        <v>9910</v>
      </c>
      <c r="R24" s="91" t="s">
        <v>78</v>
      </c>
    </row>
    <row r="25" spans="1:18" ht="25.5" customHeight="1">
      <c r="A25" s="90" t="s">
        <v>79</v>
      </c>
      <c r="B25" s="133">
        <f>_xlfn.COMPOUNDVALUE(257)</f>
        <v>3042</v>
      </c>
      <c r="C25" s="134">
        <v>18898125</v>
      </c>
      <c r="D25" s="133">
        <f>_xlfn.COMPOUNDVALUE(258)</f>
        <v>2650</v>
      </c>
      <c r="E25" s="134">
        <v>1258875</v>
      </c>
      <c r="F25" s="133">
        <f>_xlfn.COMPOUNDVALUE(259)</f>
        <v>5692</v>
      </c>
      <c r="G25" s="134">
        <v>20157000</v>
      </c>
      <c r="H25" s="133">
        <f>_xlfn.COMPOUNDVALUE(260)</f>
        <v>273</v>
      </c>
      <c r="I25" s="135">
        <v>20703188</v>
      </c>
      <c r="J25" s="133">
        <v>347</v>
      </c>
      <c r="K25" s="135">
        <v>-258143</v>
      </c>
      <c r="L25" s="133">
        <v>6015</v>
      </c>
      <c r="M25" s="135">
        <v>-804331</v>
      </c>
      <c r="N25" s="128">
        <v>6293</v>
      </c>
      <c r="O25" s="131">
        <v>189</v>
      </c>
      <c r="P25" s="131">
        <v>20</v>
      </c>
      <c r="Q25" s="132">
        <v>6502</v>
      </c>
      <c r="R25" s="91" t="s">
        <v>80</v>
      </c>
    </row>
    <row r="26" spans="1:18" ht="25.5" customHeight="1">
      <c r="A26" s="90" t="s">
        <v>81</v>
      </c>
      <c r="B26" s="133">
        <f>_xlfn.COMPOUNDVALUE(261)</f>
        <v>2355</v>
      </c>
      <c r="C26" s="134">
        <v>10069320</v>
      </c>
      <c r="D26" s="133">
        <f>_xlfn.COMPOUNDVALUE(262)</f>
        <v>2171</v>
      </c>
      <c r="E26" s="134">
        <v>977317</v>
      </c>
      <c r="F26" s="133">
        <f>_xlfn.COMPOUNDVALUE(263)</f>
        <v>4526</v>
      </c>
      <c r="G26" s="134">
        <v>11046638</v>
      </c>
      <c r="H26" s="133">
        <f>_xlfn.COMPOUNDVALUE(264)</f>
        <v>179</v>
      </c>
      <c r="I26" s="135">
        <v>2184461</v>
      </c>
      <c r="J26" s="133">
        <v>234</v>
      </c>
      <c r="K26" s="135">
        <v>31960</v>
      </c>
      <c r="L26" s="133">
        <v>4738</v>
      </c>
      <c r="M26" s="135">
        <v>8894137</v>
      </c>
      <c r="N26" s="128">
        <v>4601</v>
      </c>
      <c r="O26" s="131">
        <v>133</v>
      </c>
      <c r="P26" s="131">
        <v>8</v>
      </c>
      <c r="Q26" s="132">
        <v>4742</v>
      </c>
      <c r="R26" s="91" t="s">
        <v>82</v>
      </c>
    </row>
    <row r="27" spans="1:18" ht="25.5" customHeight="1">
      <c r="A27" s="90" t="s">
        <v>83</v>
      </c>
      <c r="B27" s="133">
        <f>_xlfn.COMPOUNDVALUE(265)</f>
        <v>3464</v>
      </c>
      <c r="C27" s="134">
        <v>17416348</v>
      </c>
      <c r="D27" s="133">
        <f>_xlfn.COMPOUNDVALUE(266)</f>
        <v>2716</v>
      </c>
      <c r="E27" s="134">
        <v>1297915</v>
      </c>
      <c r="F27" s="133">
        <f>_xlfn.COMPOUNDVALUE(267)</f>
        <v>6180</v>
      </c>
      <c r="G27" s="134">
        <v>18714263</v>
      </c>
      <c r="H27" s="133">
        <f>_xlfn.COMPOUNDVALUE(268)</f>
        <v>232</v>
      </c>
      <c r="I27" s="135">
        <v>761422</v>
      </c>
      <c r="J27" s="133">
        <v>442</v>
      </c>
      <c r="K27" s="135">
        <v>42576</v>
      </c>
      <c r="L27" s="133">
        <v>6466</v>
      </c>
      <c r="M27" s="135">
        <v>17995417</v>
      </c>
      <c r="N27" s="128">
        <v>6414</v>
      </c>
      <c r="O27" s="131">
        <v>117</v>
      </c>
      <c r="P27" s="131">
        <v>24</v>
      </c>
      <c r="Q27" s="132">
        <v>6555</v>
      </c>
      <c r="R27" s="91" t="s">
        <v>84</v>
      </c>
    </row>
    <row r="28" spans="1:18" ht="25.5" customHeight="1">
      <c r="A28" s="192" t="s">
        <v>85</v>
      </c>
      <c r="B28" s="193">
        <f>_xlfn.COMPOUNDVALUE(269)</f>
        <v>1003</v>
      </c>
      <c r="C28" s="194">
        <v>2680286</v>
      </c>
      <c r="D28" s="193">
        <f>_xlfn.COMPOUNDVALUE(270)</f>
        <v>905</v>
      </c>
      <c r="E28" s="194">
        <v>381310</v>
      </c>
      <c r="F28" s="193">
        <f>_xlfn.COMPOUNDVALUE(271)</f>
        <v>1908</v>
      </c>
      <c r="G28" s="194">
        <v>3061595</v>
      </c>
      <c r="H28" s="193">
        <f>_xlfn.COMPOUNDVALUE(272)</f>
        <v>62</v>
      </c>
      <c r="I28" s="195">
        <v>63301</v>
      </c>
      <c r="J28" s="193">
        <v>138</v>
      </c>
      <c r="K28" s="195">
        <v>15915</v>
      </c>
      <c r="L28" s="193">
        <v>1989</v>
      </c>
      <c r="M28" s="195">
        <v>3014209</v>
      </c>
      <c r="N28" s="193">
        <v>1938</v>
      </c>
      <c r="O28" s="215">
        <v>44</v>
      </c>
      <c r="P28" s="215">
        <v>3</v>
      </c>
      <c r="Q28" s="216">
        <v>1985</v>
      </c>
      <c r="R28" s="199" t="s">
        <v>86</v>
      </c>
    </row>
    <row r="29" spans="1:18" ht="25.5" customHeight="1">
      <c r="A29" s="200" t="s">
        <v>87</v>
      </c>
      <c r="B29" s="201">
        <v>49893</v>
      </c>
      <c r="C29" s="202">
        <v>288396695</v>
      </c>
      <c r="D29" s="201">
        <v>40737</v>
      </c>
      <c r="E29" s="202">
        <v>19803455</v>
      </c>
      <c r="F29" s="201">
        <v>90630</v>
      </c>
      <c r="G29" s="202">
        <v>308200150</v>
      </c>
      <c r="H29" s="201">
        <v>3587</v>
      </c>
      <c r="I29" s="203">
        <v>65425917</v>
      </c>
      <c r="J29" s="201">
        <v>6718</v>
      </c>
      <c r="K29" s="203">
        <v>804743</v>
      </c>
      <c r="L29" s="201">
        <v>95410</v>
      </c>
      <c r="M29" s="203">
        <v>243578976</v>
      </c>
      <c r="N29" s="201">
        <v>95393</v>
      </c>
      <c r="O29" s="204">
        <v>2522</v>
      </c>
      <c r="P29" s="204">
        <v>251</v>
      </c>
      <c r="Q29" s="205">
        <v>98166</v>
      </c>
      <c r="R29" s="206" t="s">
        <v>88</v>
      </c>
    </row>
    <row r="30" spans="1:18" ht="25.5" customHeight="1">
      <c r="A30" s="207"/>
      <c r="B30" s="208"/>
      <c r="C30" s="209"/>
      <c r="D30" s="208"/>
      <c r="E30" s="209"/>
      <c r="F30" s="210"/>
      <c r="G30" s="209"/>
      <c r="H30" s="210"/>
      <c r="I30" s="209"/>
      <c r="J30" s="210"/>
      <c r="K30" s="209"/>
      <c r="L30" s="210"/>
      <c r="M30" s="209"/>
      <c r="N30" s="211"/>
      <c r="O30" s="212"/>
      <c r="P30" s="212"/>
      <c r="Q30" s="213"/>
      <c r="R30" s="214" t="s">
        <v>44</v>
      </c>
    </row>
    <row r="31" spans="1:18" ht="25.5" customHeight="1">
      <c r="A31" s="88" t="s">
        <v>89</v>
      </c>
      <c r="B31" s="128">
        <f>_xlfn.COMPOUNDVALUE(273)</f>
        <v>4813</v>
      </c>
      <c r="C31" s="129">
        <v>27400180</v>
      </c>
      <c r="D31" s="128">
        <f>_xlfn.COMPOUNDVALUE(274)</f>
        <v>3183</v>
      </c>
      <c r="E31" s="129">
        <v>1879813</v>
      </c>
      <c r="F31" s="128">
        <f>_xlfn.COMPOUNDVALUE(275)</f>
        <v>7996</v>
      </c>
      <c r="G31" s="129">
        <v>29279993</v>
      </c>
      <c r="H31" s="128">
        <f>_xlfn.COMPOUNDVALUE(276)</f>
        <v>510</v>
      </c>
      <c r="I31" s="130">
        <v>1963735</v>
      </c>
      <c r="J31" s="128">
        <v>581</v>
      </c>
      <c r="K31" s="130">
        <v>203433</v>
      </c>
      <c r="L31" s="128">
        <v>8642</v>
      </c>
      <c r="M31" s="130">
        <v>27519691</v>
      </c>
      <c r="N31" s="128">
        <v>8740</v>
      </c>
      <c r="O31" s="131">
        <v>338</v>
      </c>
      <c r="P31" s="131">
        <v>37</v>
      </c>
      <c r="Q31" s="132">
        <v>9115</v>
      </c>
      <c r="R31" s="89" t="s">
        <v>90</v>
      </c>
    </row>
    <row r="32" spans="1:18" ht="25.5" customHeight="1">
      <c r="A32" s="88" t="s">
        <v>91</v>
      </c>
      <c r="B32" s="128">
        <f>_xlfn.COMPOUNDVALUE(277)</f>
        <v>2590</v>
      </c>
      <c r="C32" s="129">
        <v>101301617</v>
      </c>
      <c r="D32" s="128">
        <f>_xlfn.COMPOUNDVALUE(278)</f>
        <v>1197</v>
      </c>
      <c r="E32" s="129">
        <v>725683</v>
      </c>
      <c r="F32" s="128">
        <f>_xlfn.COMPOUNDVALUE(279)</f>
        <v>3787</v>
      </c>
      <c r="G32" s="129">
        <v>102027300</v>
      </c>
      <c r="H32" s="128">
        <f>_xlfn.COMPOUNDVALUE(280)</f>
        <v>340</v>
      </c>
      <c r="I32" s="130">
        <v>25790132</v>
      </c>
      <c r="J32" s="128">
        <v>308</v>
      </c>
      <c r="K32" s="130">
        <v>26506</v>
      </c>
      <c r="L32" s="128">
        <v>4195</v>
      </c>
      <c r="M32" s="130">
        <v>76263674</v>
      </c>
      <c r="N32" s="133">
        <v>4181</v>
      </c>
      <c r="O32" s="136">
        <v>186</v>
      </c>
      <c r="P32" s="136">
        <v>35</v>
      </c>
      <c r="Q32" s="137">
        <v>4402</v>
      </c>
      <c r="R32" s="91" t="s">
        <v>92</v>
      </c>
    </row>
    <row r="33" spans="1:18" ht="25.5" customHeight="1">
      <c r="A33" s="88" t="s">
        <v>93</v>
      </c>
      <c r="B33" s="128">
        <f>_xlfn.COMPOUNDVALUE(281)</f>
        <v>5053</v>
      </c>
      <c r="C33" s="129">
        <v>26557143</v>
      </c>
      <c r="D33" s="128">
        <f>_xlfn.COMPOUNDVALUE(282)</f>
        <v>2954</v>
      </c>
      <c r="E33" s="129">
        <v>1559877</v>
      </c>
      <c r="F33" s="128">
        <f>_xlfn.COMPOUNDVALUE(283)</f>
        <v>8007</v>
      </c>
      <c r="G33" s="129">
        <v>28117020</v>
      </c>
      <c r="H33" s="128">
        <f>_xlfn.COMPOUNDVALUE(284)</f>
        <v>362</v>
      </c>
      <c r="I33" s="130">
        <v>1095769</v>
      </c>
      <c r="J33" s="128">
        <v>728</v>
      </c>
      <c r="K33" s="130">
        <v>90499</v>
      </c>
      <c r="L33" s="128">
        <v>8527</v>
      </c>
      <c r="M33" s="130">
        <v>27111750</v>
      </c>
      <c r="N33" s="133">
        <v>8633</v>
      </c>
      <c r="O33" s="136">
        <v>218</v>
      </c>
      <c r="P33" s="136">
        <v>32</v>
      </c>
      <c r="Q33" s="137">
        <v>8883</v>
      </c>
      <c r="R33" s="91" t="s">
        <v>94</v>
      </c>
    </row>
    <row r="34" spans="1:18" ht="25.5" customHeight="1">
      <c r="A34" s="88" t="s">
        <v>95</v>
      </c>
      <c r="B34" s="128">
        <f>_xlfn.COMPOUNDVALUE(285)</f>
        <v>5856</v>
      </c>
      <c r="C34" s="129">
        <v>45636418</v>
      </c>
      <c r="D34" s="128">
        <f>_xlfn.COMPOUNDVALUE(286)</f>
        <v>3039</v>
      </c>
      <c r="E34" s="129">
        <v>1614032</v>
      </c>
      <c r="F34" s="128">
        <f>_xlfn.COMPOUNDVALUE(287)</f>
        <v>8895</v>
      </c>
      <c r="G34" s="129">
        <v>47250450</v>
      </c>
      <c r="H34" s="128">
        <f>_xlfn.COMPOUNDVALUE(288)</f>
        <v>429</v>
      </c>
      <c r="I34" s="130">
        <v>3906763</v>
      </c>
      <c r="J34" s="128">
        <v>710</v>
      </c>
      <c r="K34" s="130">
        <v>99198</v>
      </c>
      <c r="L34" s="128">
        <v>9501</v>
      </c>
      <c r="M34" s="130">
        <v>43442885</v>
      </c>
      <c r="N34" s="133">
        <v>9609</v>
      </c>
      <c r="O34" s="136">
        <v>196</v>
      </c>
      <c r="P34" s="136">
        <v>45</v>
      </c>
      <c r="Q34" s="137">
        <v>9850</v>
      </c>
      <c r="R34" s="91" t="s">
        <v>96</v>
      </c>
    </row>
    <row r="35" spans="1:18" ht="25.5" customHeight="1">
      <c r="A35" s="92" t="s">
        <v>97</v>
      </c>
      <c r="B35" s="128">
        <f>_xlfn.COMPOUNDVALUE(289)</f>
        <v>3715</v>
      </c>
      <c r="C35" s="129">
        <v>113646996</v>
      </c>
      <c r="D35" s="128">
        <f>_xlfn.COMPOUNDVALUE(290)</f>
        <v>1644</v>
      </c>
      <c r="E35" s="129">
        <v>924480</v>
      </c>
      <c r="F35" s="128">
        <f>_xlfn.COMPOUNDVALUE(291)</f>
        <v>5359</v>
      </c>
      <c r="G35" s="129">
        <v>114571476</v>
      </c>
      <c r="H35" s="128">
        <f>_xlfn.COMPOUNDVALUE(292)</f>
        <v>410</v>
      </c>
      <c r="I35" s="130">
        <v>72870462</v>
      </c>
      <c r="J35" s="128">
        <v>510</v>
      </c>
      <c r="K35" s="130">
        <v>222552</v>
      </c>
      <c r="L35" s="128">
        <v>5820</v>
      </c>
      <c r="M35" s="130">
        <v>41923566</v>
      </c>
      <c r="N35" s="133">
        <v>5703</v>
      </c>
      <c r="O35" s="136">
        <v>199</v>
      </c>
      <c r="P35" s="136">
        <v>64</v>
      </c>
      <c r="Q35" s="137">
        <v>5966</v>
      </c>
      <c r="R35" s="93" t="s">
        <v>98</v>
      </c>
    </row>
    <row r="36" spans="1:18" ht="25.5" customHeight="1">
      <c r="A36" s="88" t="s">
        <v>99</v>
      </c>
      <c r="B36" s="128">
        <f>_xlfn.COMPOUNDVALUE(293)</f>
        <v>7377</v>
      </c>
      <c r="C36" s="129">
        <v>143761848</v>
      </c>
      <c r="D36" s="128">
        <f>_xlfn.COMPOUNDVALUE(294)</f>
        <v>2721</v>
      </c>
      <c r="E36" s="129">
        <v>1854934</v>
      </c>
      <c r="F36" s="128">
        <f>_xlfn.COMPOUNDVALUE(295)</f>
        <v>10098</v>
      </c>
      <c r="G36" s="129">
        <v>145616782</v>
      </c>
      <c r="H36" s="128">
        <f>_xlfn.COMPOUNDVALUE(296)</f>
        <v>813</v>
      </c>
      <c r="I36" s="130">
        <v>9290022</v>
      </c>
      <c r="J36" s="128">
        <v>921</v>
      </c>
      <c r="K36" s="130">
        <v>149351</v>
      </c>
      <c r="L36" s="128">
        <v>11075</v>
      </c>
      <c r="M36" s="130">
        <v>136476111</v>
      </c>
      <c r="N36" s="133">
        <v>10988</v>
      </c>
      <c r="O36" s="136">
        <v>474</v>
      </c>
      <c r="P36" s="136">
        <v>148</v>
      </c>
      <c r="Q36" s="137">
        <v>11610</v>
      </c>
      <c r="R36" s="91" t="s">
        <v>100</v>
      </c>
    </row>
    <row r="37" spans="1:18" ht="25.5" customHeight="1">
      <c r="A37" s="88" t="s">
        <v>101</v>
      </c>
      <c r="B37" s="128">
        <f>_xlfn.COMPOUNDVALUE(297)</f>
        <v>7730</v>
      </c>
      <c r="C37" s="129">
        <v>54521747</v>
      </c>
      <c r="D37" s="128">
        <f>_xlfn.COMPOUNDVALUE(298)</f>
        <v>4918</v>
      </c>
      <c r="E37" s="129">
        <v>2747405</v>
      </c>
      <c r="F37" s="128">
        <f>_xlfn.COMPOUNDVALUE(299)</f>
        <v>12648</v>
      </c>
      <c r="G37" s="129">
        <v>57269152</v>
      </c>
      <c r="H37" s="128">
        <f>_xlfn.COMPOUNDVALUE(300)</f>
        <v>744</v>
      </c>
      <c r="I37" s="130">
        <v>21922584</v>
      </c>
      <c r="J37" s="128">
        <v>981</v>
      </c>
      <c r="K37" s="130">
        <v>149939</v>
      </c>
      <c r="L37" s="128">
        <v>13584</v>
      </c>
      <c r="M37" s="130">
        <v>35496507</v>
      </c>
      <c r="N37" s="133">
        <v>13566</v>
      </c>
      <c r="O37" s="136">
        <v>466</v>
      </c>
      <c r="P37" s="136">
        <v>50</v>
      </c>
      <c r="Q37" s="137">
        <v>14082</v>
      </c>
      <c r="R37" s="91" t="s">
        <v>102</v>
      </c>
    </row>
    <row r="38" spans="1:18" ht="25.5" customHeight="1">
      <c r="A38" s="88" t="s">
        <v>103</v>
      </c>
      <c r="B38" s="128">
        <f>_xlfn.COMPOUNDVALUE(301)</f>
        <v>7498</v>
      </c>
      <c r="C38" s="129">
        <v>61569870</v>
      </c>
      <c r="D38" s="128">
        <f>_xlfn.COMPOUNDVALUE(302)</f>
        <v>4282</v>
      </c>
      <c r="E38" s="129">
        <v>2303212</v>
      </c>
      <c r="F38" s="128">
        <f>_xlfn.COMPOUNDVALUE(303)</f>
        <v>11780</v>
      </c>
      <c r="G38" s="129">
        <v>63873082</v>
      </c>
      <c r="H38" s="128">
        <f>_xlfn.COMPOUNDVALUE(304)</f>
        <v>440</v>
      </c>
      <c r="I38" s="130">
        <v>2526019</v>
      </c>
      <c r="J38" s="128">
        <v>1160</v>
      </c>
      <c r="K38" s="130">
        <v>133232</v>
      </c>
      <c r="L38" s="128">
        <v>12449</v>
      </c>
      <c r="M38" s="130">
        <v>61480295</v>
      </c>
      <c r="N38" s="133">
        <v>12466</v>
      </c>
      <c r="O38" s="136">
        <v>253</v>
      </c>
      <c r="P38" s="136">
        <v>49</v>
      </c>
      <c r="Q38" s="137">
        <v>12768</v>
      </c>
      <c r="R38" s="91" t="s">
        <v>104</v>
      </c>
    </row>
    <row r="39" spans="1:18" ht="25.5" customHeight="1">
      <c r="A39" s="88" t="s">
        <v>105</v>
      </c>
      <c r="B39" s="128">
        <f>_xlfn.COMPOUNDVALUE(305)</f>
        <v>6216</v>
      </c>
      <c r="C39" s="129">
        <v>42261039</v>
      </c>
      <c r="D39" s="128">
        <f>_xlfn.COMPOUNDVALUE(306)</f>
        <v>3242</v>
      </c>
      <c r="E39" s="129">
        <v>1674257</v>
      </c>
      <c r="F39" s="128">
        <f>_xlfn.COMPOUNDVALUE(307)</f>
        <v>9458</v>
      </c>
      <c r="G39" s="129">
        <v>43935296</v>
      </c>
      <c r="H39" s="128">
        <f>_xlfn.COMPOUNDVALUE(308)</f>
        <v>850</v>
      </c>
      <c r="I39" s="130">
        <v>6368620</v>
      </c>
      <c r="J39" s="128">
        <v>797</v>
      </c>
      <c r="K39" s="130">
        <v>255452</v>
      </c>
      <c r="L39" s="128">
        <v>10521</v>
      </c>
      <c r="M39" s="130">
        <v>37822128</v>
      </c>
      <c r="N39" s="133">
        <v>10288</v>
      </c>
      <c r="O39" s="136">
        <v>367</v>
      </c>
      <c r="P39" s="136">
        <v>37</v>
      </c>
      <c r="Q39" s="137">
        <v>10692</v>
      </c>
      <c r="R39" s="91" t="s">
        <v>106</v>
      </c>
    </row>
    <row r="40" spans="1:18" ht="25.5" customHeight="1">
      <c r="A40" s="88" t="s">
        <v>107</v>
      </c>
      <c r="B40" s="128">
        <f>_xlfn.COMPOUNDVALUE(309)</f>
        <v>9813</v>
      </c>
      <c r="C40" s="129">
        <v>54601038</v>
      </c>
      <c r="D40" s="128">
        <f>_xlfn.COMPOUNDVALUE(310)</f>
        <v>9705</v>
      </c>
      <c r="E40" s="129">
        <v>4594502</v>
      </c>
      <c r="F40" s="128">
        <f>_xlfn.COMPOUNDVALUE(311)</f>
        <v>19518</v>
      </c>
      <c r="G40" s="129">
        <v>59195540</v>
      </c>
      <c r="H40" s="128">
        <f>_xlfn.COMPOUNDVALUE(312)</f>
        <v>702</v>
      </c>
      <c r="I40" s="130">
        <v>4932462</v>
      </c>
      <c r="J40" s="128">
        <v>1162</v>
      </c>
      <c r="K40" s="130">
        <v>292838</v>
      </c>
      <c r="L40" s="128">
        <v>20423</v>
      </c>
      <c r="M40" s="130">
        <v>54555916</v>
      </c>
      <c r="N40" s="133">
        <v>19701</v>
      </c>
      <c r="O40" s="136">
        <v>433</v>
      </c>
      <c r="P40" s="136">
        <v>50</v>
      </c>
      <c r="Q40" s="137">
        <v>20184</v>
      </c>
      <c r="R40" s="91" t="s">
        <v>108</v>
      </c>
    </row>
    <row r="41" spans="1:18" ht="25.5" customHeight="1">
      <c r="A41" s="88" t="s">
        <v>109</v>
      </c>
      <c r="B41" s="128">
        <f>_xlfn.COMPOUNDVALUE(313)</f>
        <v>5071</v>
      </c>
      <c r="C41" s="129">
        <v>28462442</v>
      </c>
      <c r="D41" s="128">
        <f>_xlfn.COMPOUNDVALUE(314)</f>
        <v>3547</v>
      </c>
      <c r="E41" s="129">
        <v>1842917</v>
      </c>
      <c r="F41" s="128">
        <f>_xlfn.COMPOUNDVALUE(315)</f>
        <v>8618</v>
      </c>
      <c r="G41" s="129">
        <v>30305359</v>
      </c>
      <c r="H41" s="128">
        <f>_xlfn.COMPOUNDVALUE(316)</f>
        <v>309</v>
      </c>
      <c r="I41" s="130">
        <v>692873</v>
      </c>
      <c r="J41" s="128">
        <v>502</v>
      </c>
      <c r="K41" s="130">
        <v>119078</v>
      </c>
      <c r="L41" s="128">
        <v>9056</v>
      </c>
      <c r="M41" s="130">
        <v>29731564</v>
      </c>
      <c r="N41" s="133">
        <v>8898</v>
      </c>
      <c r="O41" s="136">
        <v>187</v>
      </c>
      <c r="P41" s="136">
        <v>28</v>
      </c>
      <c r="Q41" s="137">
        <v>9113</v>
      </c>
      <c r="R41" s="91" t="s">
        <v>110</v>
      </c>
    </row>
    <row r="42" spans="1:18" ht="25.5" customHeight="1">
      <c r="A42" s="88" t="s">
        <v>111</v>
      </c>
      <c r="B42" s="128">
        <f>_xlfn.COMPOUNDVALUE(317)</f>
        <v>6130</v>
      </c>
      <c r="C42" s="129">
        <v>39799645</v>
      </c>
      <c r="D42" s="128">
        <f>_xlfn.COMPOUNDVALUE(318)</f>
        <v>4311</v>
      </c>
      <c r="E42" s="129">
        <v>2158532</v>
      </c>
      <c r="F42" s="128">
        <f>_xlfn.COMPOUNDVALUE(319)</f>
        <v>10441</v>
      </c>
      <c r="G42" s="129">
        <v>41958177</v>
      </c>
      <c r="H42" s="128">
        <f>_xlfn.COMPOUNDVALUE(320)</f>
        <v>515</v>
      </c>
      <c r="I42" s="130">
        <v>2283459</v>
      </c>
      <c r="J42" s="128">
        <v>790</v>
      </c>
      <c r="K42" s="130">
        <v>94491</v>
      </c>
      <c r="L42" s="128">
        <v>11112</v>
      </c>
      <c r="M42" s="130">
        <v>39769209</v>
      </c>
      <c r="N42" s="133">
        <v>10914</v>
      </c>
      <c r="O42" s="136">
        <v>285</v>
      </c>
      <c r="P42" s="136">
        <v>28</v>
      </c>
      <c r="Q42" s="137">
        <v>11227</v>
      </c>
      <c r="R42" s="91" t="s">
        <v>112</v>
      </c>
    </row>
    <row r="43" spans="1:18" ht="25.5" customHeight="1">
      <c r="A43" s="88" t="s">
        <v>113</v>
      </c>
      <c r="B43" s="128">
        <f>_xlfn.COMPOUNDVALUE(321)</f>
        <v>2618</v>
      </c>
      <c r="C43" s="129">
        <v>12659695</v>
      </c>
      <c r="D43" s="128">
        <f>_xlfn.COMPOUNDVALUE(322)</f>
        <v>1856</v>
      </c>
      <c r="E43" s="129">
        <v>874348</v>
      </c>
      <c r="F43" s="128">
        <f>_xlfn.COMPOUNDVALUE(323)</f>
        <v>4474</v>
      </c>
      <c r="G43" s="129">
        <v>13534043</v>
      </c>
      <c r="H43" s="128">
        <f>_xlfn.COMPOUNDVALUE(324)</f>
        <v>167</v>
      </c>
      <c r="I43" s="130">
        <v>1515315</v>
      </c>
      <c r="J43" s="128">
        <v>295</v>
      </c>
      <c r="K43" s="130">
        <v>-26333</v>
      </c>
      <c r="L43" s="128">
        <v>4696</v>
      </c>
      <c r="M43" s="130">
        <v>11992395</v>
      </c>
      <c r="N43" s="133">
        <v>4653</v>
      </c>
      <c r="O43" s="136">
        <v>84</v>
      </c>
      <c r="P43" s="136">
        <v>17</v>
      </c>
      <c r="Q43" s="137">
        <v>4754</v>
      </c>
      <c r="R43" s="91" t="s">
        <v>114</v>
      </c>
    </row>
    <row r="44" spans="1:18" ht="24.75" customHeight="1">
      <c r="A44" s="90" t="s">
        <v>115</v>
      </c>
      <c r="B44" s="133">
        <f>_xlfn.COMPOUNDVALUE(325)</f>
        <v>7304</v>
      </c>
      <c r="C44" s="134">
        <v>47089047</v>
      </c>
      <c r="D44" s="133">
        <f>_xlfn.COMPOUNDVALUE(326)</f>
        <v>5153</v>
      </c>
      <c r="E44" s="134">
        <v>2606271</v>
      </c>
      <c r="F44" s="133">
        <f>_xlfn.COMPOUNDVALUE(327)</f>
        <v>12457</v>
      </c>
      <c r="G44" s="134">
        <v>49695318</v>
      </c>
      <c r="H44" s="133">
        <f>_xlfn.COMPOUNDVALUE(328)</f>
        <v>515</v>
      </c>
      <c r="I44" s="135">
        <v>3510935</v>
      </c>
      <c r="J44" s="133">
        <v>877</v>
      </c>
      <c r="K44" s="135">
        <v>296549</v>
      </c>
      <c r="L44" s="133">
        <v>13163</v>
      </c>
      <c r="M44" s="135">
        <v>46480932</v>
      </c>
      <c r="N44" s="133">
        <v>12708</v>
      </c>
      <c r="O44" s="136">
        <v>390</v>
      </c>
      <c r="P44" s="136">
        <v>38</v>
      </c>
      <c r="Q44" s="137">
        <v>13136</v>
      </c>
      <c r="R44" s="91" t="s">
        <v>116</v>
      </c>
    </row>
    <row r="45" spans="1:18" ht="25.5" customHeight="1">
      <c r="A45" s="90" t="s">
        <v>117</v>
      </c>
      <c r="B45" s="133">
        <f>_xlfn.COMPOUNDVALUE(329)</f>
        <v>4746</v>
      </c>
      <c r="C45" s="134">
        <v>25616805</v>
      </c>
      <c r="D45" s="133">
        <f>_xlfn.COMPOUNDVALUE(330)</f>
        <v>3097</v>
      </c>
      <c r="E45" s="134">
        <v>1487806</v>
      </c>
      <c r="F45" s="133">
        <f>_xlfn.COMPOUNDVALUE(331)</f>
        <v>7843</v>
      </c>
      <c r="G45" s="134">
        <v>27104611</v>
      </c>
      <c r="H45" s="133">
        <f>_xlfn.COMPOUNDVALUE(332)</f>
        <v>499</v>
      </c>
      <c r="I45" s="135">
        <v>4389489</v>
      </c>
      <c r="J45" s="133">
        <v>614</v>
      </c>
      <c r="K45" s="135">
        <v>59452</v>
      </c>
      <c r="L45" s="133">
        <v>8486</v>
      </c>
      <c r="M45" s="135">
        <v>22774574</v>
      </c>
      <c r="N45" s="133">
        <v>8306</v>
      </c>
      <c r="O45" s="136">
        <v>236</v>
      </c>
      <c r="P45" s="136">
        <v>24</v>
      </c>
      <c r="Q45" s="137">
        <v>8566</v>
      </c>
      <c r="R45" s="91" t="s">
        <v>118</v>
      </c>
    </row>
    <row r="46" spans="1:18" ht="25.5" customHeight="1">
      <c r="A46" s="90" t="s">
        <v>119</v>
      </c>
      <c r="B46" s="133">
        <f>_xlfn.COMPOUNDVALUE(333)</f>
        <v>6495</v>
      </c>
      <c r="C46" s="134">
        <v>70970846</v>
      </c>
      <c r="D46" s="133">
        <f>_xlfn.COMPOUNDVALUE(334)</f>
        <v>4169</v>
      </c>
      <c r="E46" s="134">
        <v>2180171</v>
      </c>
      <c r="F46" s="133">
        <f>_xlfn.COMPOUNDVALUE(335)</f>
        <v>10664</v>
      </c>
      <c r="G46" s="134">
        <v>73151017</v>
      </c>
      <c r="H46" s="133">
        <f>_xlfn.COMPOUNDVALUE(336)</f>
        <v>434</v>
      </c>
      <c r="I46" s="135">
        <v>70209150</v>
      </c>
      <c r="J46" s="133">
        <v>908</v>
      </c>
      <c r="K46" s="135">
        <v>337694</v>
      </c>
      <c r="L46" s="133">
        <v>11228</v>
      </c>
      <c r="M46" s="135">
        <v>3279561</v>
      </c>
      <c r="N46" s="133">
        <v>10901</v>
      </c>
      <c r="O46" s="136">
        <v>268</v>
      </c>
      <c r="P46" s="136">
        <v>51</v>
      </c>
      <c r="Q46" s="137">
        <v>11220</v>
      </c>
      <c r="R46" s="91" t="s">
        <v>120</v>
      </c>
    </row>
    <row r="47" spans="1:18" ht="25.5" customHeight="1">
      <c r="A47" s="90" t="s">
        <v>121</v>
      </c>
      <c r="B47" s="133">
        <f>_xlfn.COMPOUNDVALUE(337)</f>
        <v>5136</v>
      </c>
      <c r="C47" s="134">
        <v>45122232</v>
      </c>
      <c r="D47" s="133">
        <f>_xlfn.COMPOUNDVALUE(338)</f>
        <v>3179</v>
      </c>
      <c r="E47" s="134">
        <v>1718911</v>
      </c>
      <c r="F47" s="133">
        <f>_xlfn.COMPOUNDVALUE(339)</f>
        <v>8315</v>
      </c>
      <c r="G47" s="134">
        <v>46841143</v>
      </c>
      <c r="H47" s="133">
        <f>_xlfn.COMPOUNDVALUE(340)</f>
        <v>331</v>
      </c>
      <c r="I47" s="135">
        <v>332305697</v>
      </c>
      <c r="J47" s="133">
        <v>551</v>
      </c>
      <c r="K47" s="135">
        <v>-119159</v>
      </c>
      <c r="L47" s="133">
        <v>8758</v>
      </c>
      <c r="M47" s="135">
        <v>-285583713</v>
      </c>
      <c r="N47" s="133">
        <v>8496</v>
      </c>
      <c r="O47" s="136">
        <v>218</v>
      </c>
      <c r="P47" s="136">
        <v>37</v>
      </c>
      <c r="Q47" s="137">
        <v>8751</v>
      </c>
      <c r="R47" s="91" t="s">
        <v>122</v>
      </c>
    </row>
    <row r="48" spans="1:18" ht="25.5" customHeight="1">
      <c r="A48" s="90" t="s">
        <v>123</v>
      </c>
      <c r="B48" s="133">
        <f>_xlfn.COMPOUNDVALUE(341)</f>
        <v>2431</v>
      </c>
      <c r="C48" s="134">
        <v>13769719</v>
      </c>
      <c r="D48" s="133">
        <f>_xlfn.COMPOUNDVALUE(342)</f>
        <v>1922</v>
      </c>
      <c r="E48" s="134">
        <v>952655</v>
      </c>
      <c r="F48" s="133">
        <f>_xlfn.COMPOUNDVALUE(343)</f>
        <v>4353</v>
      </c>
      <c r="G48" s="134">
        <v>14722373</v>
      </c>
      <c r="H48" s="133">
        <f>_xlfn.COMPOUNDVALUE(344)</f>
        <v>179</v>
      </c>
      <c r="I48" s="135">
        <v>963805</v>
      </c>
      <c r="J48" s="133">
        <v>231</v>
      </c>
      <c r="K48" s="135">
        <v>73360</v>
      </c>
      <c r="L48" s="133">
        <v>4565</v>
      </c>
      <c r="M48" s="135">
        <v>13831928</v>
      </c>
      <c r="N48" s="133">
        <v>4405</v>
      </c>
      <c r="O48" s="136">
        <v>94</v>
      </c>
      <c r="P48" s="136">
        <v>15</v>
      </c>
      <c r="Q48" s="137">
        <v>4514</v>
      </c>
      <c r="R48" s="91" t="s">
        <v>124</v>
      </c>
    </row>
    <row r="49" spans="1:18" ht="25.5" customHeight="1">
      <c r="A49" s="90" t="s">
        <v>125</v>
      </c>
      <c r="B49" s="133">
        <f>_xlfn.COMPOUNDVALUE(345)</f>
        <v>8853</v>
      </c>
      <c r="C49" s="134">
        <v>55341374</v>
      </c>
      <c r="D49" s="133">
        <f>_xlfn.COMPOUNDVALUE(346)</f>
        <v>5554</v>
      </c>
      <c r="E49" s="134">
        <v>2967555</v>
      </c>
      <c r="F49" s="133">
        <f>_xlfn.COMPOUNDVALUE(347)</f>
        <v>14407</v>
      </c>
      <c r="G49" s="134">
        <v>58308929</v>
      </c>
      <c r="H49" s="133">
        <f>_xlfn.COMPOUNDVALUE(348)</f>
        <v>619</v>
      </c>
      <c r="I49" s="135">
        <v>16700217</v>
      </c>
      <c r="J49" s="133">
        <v>1182</v>
      </c>
      <c r="K49" s="135">
        <v>206811</v>
      </c>
      <c r="L49" s="133">
        <v>15347</v>
      </c>
      <c r="M49" s="135">
        <v>41815523</v>
      </c>
      <c r="N49" s="133">
        <v>15140</v>
      </c>
      <c r="O49" s="136">
        <v>369</v>
      </c>
      <c r="P49" s="136">
        <v>51</v>
      </c>
      <c r="Q49" s="137">
        <v>15560</v>
      </c>
      <c r="R49" s="91" t="s">
        <v>126</v>
      </c>
    </row>
    <row r="50" spans="1:18" ht="25.5" customHeight="1">
      <c r="A50" s="192" t="s">
        <v>127</v>
      </c>
      <c r="B50" s="193">
        <f>_xlfn.COMPOUNDVALUE(349)</f>
        <v>708</v>
      </c>
      <c r="C50" s="194">
        <v>2624104</v>
      </c>
      <c r="D50" s="193">
        <f>_xlfn.COMPOUNDVALUE(350)</f>
        <v>581</v>
      </c>
      <c r="E50" s="194">
        <v>256130</v>
      </c>
      <c r="F50" s="193">
        <f>_xlfn.COMPOUNDVALUE(351)</f>
        <v>1289</v>
      </c>
      <c r="G50" s="194">
        <v>2880234</v>
      </c>
      <c r="H50" s="193">
        <f>_xlfn.COMPOUNDVALUE(352)</f>
        <v>35</v>
      </c>
      <c r="I50" s="195">
        <v>63678</v>
      </c>
      <c r="J50" s="193">
        <v>118</v>
      </c>
      <c r="K50" s="195">
        <v>14378</v>
      </c>
      <c r="L50" s="193">
        <v>1332</v>
      </c>
      <c r="M50" s="195">
        <v>2830934</v>
      </c>
      <c r="N50" s="193">
        <v>1262</v>
      </c>
      <c r="O50" s="215">
        <v>33</v>
      </c>
      <c r="P50" s="215">
        <v>3</v>
      </c>
      <c r="Q50" s="216">
        <v>1298</v>
      </c>
      <c r="R50" s="199" t="s">
        <v>128</v>
      </c>
    </row>
    <row r="51" spans="1:18" ht="25.5" customHeight="1">
      <c r="A51" s="200" t="s">
        <v>129</v>
      </c>
      <c r="B51" s="201">
        <v>110153</v>
      </c>
      <c r="C51" s="202">
        <v>1012713804</v>
      </c>
      <c r="D51" s="201">
        <v>70254</v>
      </c>
      <c r="E51" s="202">
        <v>36923490</v>
      </c>
      <c r="F51" s="201">
        <v>180407</v>
      </c>
      <c r="G51" s="202">
        <v>1049637294</v>
      </c>
      <c r="H51" s="201">
        <v>9203</v>
      </c>
      <c r="I51" s="203">
        <v>583301186</v>
      </c>
      <c r="J51" s="201">
        <v>13926</v>
      </c>
      <c r="K51" s="203">
        <v>2679319</v>
      </c>
      <c r="L51" s="201">
        <v>192480</v>
      </c>
      <c r="M51" s="203">
        <v>469015428</v>
      </c>
      <c r="N51" s="201">
        <v>189558</v>
      </c>
      <c r="O51" s="204">
        <v>5294</v>
      </c>
      <c r="P51" s="204">
        <v>839</v>
      </c>
      <c r="Q51" s="205">
        <v>195691</v>
      </c>
      <c r="R51" s="206" t="s">
        <v>130</v>
      </c>
    </row>
    <row r="52" spans="1:18" ht="25.5" customHeight="1">
      <c r="A52" s="207"/>
      <c r="B52" s="208"/>
      <c r="C52" s="209"/>
      <c r="D52" s="208"/>
      <c r="E52" s="209"/>
      <c r="F52" s="210"/>
      <c r="G52" s="209"/>
      <c r="H52" s="210"/>
      <c r="I52" s="209"/>
      <c r="J52" s="210"/>
      <c r="K52" s="209"/>
      <c r="L52" s="210"/>
      <c r="M52" s="209"/>
      <c r="N52" s="211"/>
      <c r="O52" s="212"/>
      <c r="P52" s="212"/>
      <c r="Q52" s="213"/>
      <c r="R52" s="214" t="s">
        <v>44</v>
      </c>
    </row>
    <row r="53" spans="1:18" ht="25.5" customHeight="1">
      <c r="A53" s="88" t="s">
        <v>131</v>
      </c>
      <c r="B53" s="128">
        <f>_xlfn.COMPOUNDVALUE(353)</f>
        <v>3302</v>
      </c>
      <c r="C53" s="129">
        <v>19125028</v>
      </c>
      <c r="D53" s="128">
        <f>_xlfn.COMPOUNDVALUE(354)</f>
        <v>2237</v>
      </c>
      <c r="E53" s="129">
        <v>1137886</v>
      </c>
      <c r="F53" s="128">
        <f>_xlfn.COMPOUNDVALUE(355)</f>
        <v>5539</v>
      </c>
      <c r="G53" s="129">
        <v>20262914</v>
      </c>
      <c r="H53" s="128">
        <f>_xlfn.COMPOUNDVALUE(356)</f>
        <v>239</v>
      </c>
      <c r="I53" s="130">
        <v>1392359</v>
      </c>
      <c r="J53" s="128">
        <v>466</v>
      </c>
      <c r="K53" s="130">
        <v>117246</v>
      </c>
      <c r="L53" s="128">
        <v>5889</v>
      </c>
      <c r="M53" s="130">
        <v>18987801</v>
      </c>
      <c r="N53" s="128">
        <v>6006</v>
      </c>
      <c r="O53" s="131">
        <v>157</v>
      </c>
      <c r="P53" s="131">
        <v>22</v>
      </c>
      <c r="Q53" s="132">
        <v>6185</v>
      </c>
      <c r="R53" s="89" t="s">
        <v>132</v>
      </c>
    </row>
    <row r="54" spans="1:18" ht="25.5" customHeight="1">
      <c r="A54" s="90" t="s">
        <v>133</v>
      </c>
      <c r="B54" s="133">
        <f>_xlfn.COMPOUNDVALUE(357)</f>
        <v>5454</v>
      </c>
      <c r="C54" s="134">
        <v>40060336</v>
      </c>
      <c r="D54" s="133">
        <f>_xlfn.COMPOUNDVALUE(358)</f>
        <v>3382</v>
      </c>
      <c r="E54" s="134">
        <v>1790991</v>
      </c>
      <c r="F54" s="133">
        <f>_xlfn.COMPOUNDVALUE(359)</f>
        <v>8836</v>
      </c>
      <c r="G54" s="134">
        <v>41851327</v>
      </c>
      <c r="H54" s="133">
        <f>_xlfn.COMPOUNDVALUE(360)</f>
        <v>388</v>
      </c>
      <c r="I54" s="135">
        <v>27754429</v>
      </c>
      <c r="J54" s="133">
        <v>669</v>
      </c>
      <c r="K54" s="135">
        <v>72164</v>
      </c>
      <c r="L54" s="133">
        <v>9370</v>
      </c>
      <c r="M54" s="135">
        <v>14169062</v>
      </c>
      <c r="N54" s="133">
        <v>9169</v>
      </c>
      <c r="O54" s="136">
        <v>243</v>
      </c>
      <c r="P54" s="136">
        <v>24</v>
      </c>
      <c r="Q54" s="137">
        <v>9436</v>
      </c>
      <c r="R54" s="91" t="s">
        <v>134</v>
      </c>
    </row>
    <row r="55" spans="1:18" ht="25.5" customHeight="1">
      <c r="A55" s="90" t="s">
        <v>135</v>
      </c>
      <c r="B55" s="133">
        <f>_xlfn.COMPOUNDVALUE(361)</f>
        <v>3596</v>
      </c>
      <c r="C55" s="134">
        <v>13079383</v>
      </c>
      <c r="D55" s="133">
        <f>_xlfn.COMPOUNDVALUE(362)</f>
        <v>2526</v>
      </c>
      <c r="E55" s="134">
        <v>1113576</v>
      </c>
      <c r="F55" s="133">
        <f>_xlfn.COMPOUNDVALUE(363)</f>
        <v>6122</v>
      </c>
      <c r="G55" s="134">
        <v>14192959</v>
      </c>
      <c r="H55" s="133">
        <f>_xlfn.COMPOUNDVALUE(364)</f>
        <v>273</v>
      </c>
      <c r="I55" s="135">
        <v>1532968</v>
      </c>
      <c r="J55" s="133">
        <v>363</v>
      </c>
      <c r="K55" s="135">
        <v>104113</v>
      </c>
      <c r="L55" s="133">
        <v>6467</v>
      </c>
      <c r="M55" s="135">
        <v>12764104</v>
      </c>
      <c r="N55" s="133">
        <v>6211</v>
      </c>
      <c r="O55" s="136">
        <v>172</v>
      </c>
      <c r="P55" s="136">
        <v>18</v>
      </c>
      <c r="Q55" s="137">
        <v>6401</v>
      </c>
      <c r="R55" s="91" t="s">
        <v>136</v>
      </c>
    </row>
    <row r="56" spans="1:18" ht="25.5" customHeight="1">
      <c r="A56" s="90" t="s">
        <v>137</v>
      </c>
      <c r="B56" s="133">
        <f>_xlfn.COMPOUNDVALUE(365)</f>
        <v>2786</v>
      </c>
      <c r="C56" s="134">
        <v>14212805</v>
      </c>
      <c r="D56" s="133">
        <f>_xlfn.COMPOUNDVALUE(366)</f>
        <v>1726</v>
      </c>
      <c r="E56" s="134">
        <v>827205</v>
      </c>
      <c r="F56" s="133">
        <f>_xlfn.COMPOUNDVALUE(367)</f>
        <v>4512</v>
      </c>
      <c r="G56" s="134">
        <v>15040011</v>
      </c>
      <c r="H56" s="133">
        <f>_xlfn.COMPOUNDVALUE(368)</f>
        <v>230</v>
      </c>
      <c r="I56" s="135">
        <v>5274517</v>
      </c>
      <c r="J56" s="133">
        <v>328</v>
      </c>
      <c r="K56" s="135">
        <v>54794</v>
      </c>
      <c r="L56" s="133">
        <v>4796</v>
      </c>
      <c r="M56" s="135">
        <v>9820288</v>
      </c>
      <c r="N56" s="133">
        <v>4634</v>
      </c>
      <c r="O56" s="136">
        <v>135</v>
      </c>
      <c r="P56" s="136">
        <v>15</v>
      </c>
      <c r="Q56" s="137">
        <v>4784</v>
      </c>
      <c r="R56" s="91" t="s">
        <v>138</v>
      </c>
    </row>
    <row r="57" spans="1:18" ht="25.5" customHeight="1">
      <c r="A57" s="90" t="s">
        <v>139</v>
      </c>
      <c r="B57" s="133">
        <f>_xlfn.COMPOUNDVALUE(369)</f>
        <v>2742</v>
      </c>
      <c r="C57" s="134">
        <v>17080458</v>
      </c>
      <c r="D57" s="133">
        <f>_xlfn.COMPOUNDVALUE(370)</f>
        <v>1770</v>
      </c>
      <c r="E57" s="134">
        <v>876085</v>
      </c>
      <c r="F57" s="133">
        <f>_xlfn.COMPOUNDVALUE(371)</f>
        <v>4512</v>
      </c>
      <c r="G57" s="134">
        <v>17956543</v>
      </c>
      <c r="H57" s="133">
        <f>_xlfn.COMPOUNDVALUE(372)</f>
        <v>219</v>
      </c>
      <c r="I57" s="135">
        <v>1888342</v>
      </c>
      <c r="J57" s="133">
        <v>303</v>
      </c>
      <c r="K57" s="135">
        <v>38759</v>
      </c>
      <c r="L57" s="133">
        <v>4799</v>
      </c>
      <c r="M57" s="135">
        <v>16106960</v>
      </c>
      <c r="N57" s="133">
        <v>4653</v>
      </c>
      <c r="O57" s="136">
        <v>131</v>
      </c>
      <c r="P57" s="136">
        <v>5</v>
      </c>
      <c r="Q57" s="137">
        <v>4789</v>
      </c>
      <c r="R57" s="91" t="s">
        <v>140</v>
      </c>
    </row>
    <row r="58" spans="1:18" ht="25.5" customHeight="1">
      <c r="A58" s="90" t="s">
        <v>141</v>
      </c>
      <c r="B58" s="133">
        <f>_xlfn.COMPOUNDVALUE(373)</f>
        <v>1855</v>
      </c>
      <c r="C58" s="134">
        <v>8150413</v>
      </c>
      <c r="D58" s="133">
        <f>_xlfn.COMPOUNDVALUE(374)</f>
        <v>1081</v>
      </c>
      <c r="E58" s="134">
        <v>509839</v>
      </c>
      <c r="F58" s="133">
        <f>_xlfn.COMPOUNDVALUE(375)</f>
        <v>2936</v>
      </c>
      <c r="G58" s="134">
        <v>8660252</v>
      </c>
      <c r="H58" s="133">
        <f>_xlfn.COMPOUNDVALUE(376)</f>
        <v>141</v>
      </c>
      <c r="I58" s="135">
        <v>428378</v>
      </c>
      <c r="J58" s="133">
        <v>219</v>
      </c>
      <c r="K58" s="135">
        <v>42988</v>
      </c>
      <c r="L58" s="133">
        <v>3134</v>
      </c>
      <c r="M58" s="135">
        <v>8274862</v>
      </c>
      <c r="N58" s="133">
        <v>3103</v>
      </c>
      <c r="O58" s="136">
        <v>96</v>
      </c>
      <c r="P58" s="136">
        <v>14</v>
      </c>
      <c r="Q58" s="137">
        <v>3213</v>
      </c>
      <c r="R58" s="91" t="s">
        <v>142</v>
      </c>
    </row>
    <row r="59" spans="1:18" ht="25.5" customHeight="1">
      <c r="A59" s="90" t="s">
        <v>143</v>
      </c>
      <c r="B59" s="133">
        <f>_xlfn.COMPOUNDVALUE(377)</f>
        <v>2960</v>
      </c>
      <c r="C59" s="134">
        <v>13812445</v>
      </c>
      <c r="D59" s="133">
        <f>_xlfn.COMPOUNDVALUE(378)</f>
        <v>1964</v>
      </c>
      <c r="E59" s="134">
        <v>1102411</v>
      </c>
      <c r="F59" s="133">
        <f>_xlfn.COMPOUNDVALUE(379)</f>
        <v>4924</v>
      </c>
      <c r="G59" s="134">
        <v>14914857</v>
      </c>
      <c r="H59" s="133">
        <f>_xlfn.COMPOUNDVALUE(380)</f>
        <v>213</v>
      </c>
      <c r="I59" s="135">
        <v>574929</v>
      </c>
      <c r="J59" s="133">
        <v>317</v>
      </c>
      <c r="K59" s="135">
        <v>-2029</v>
      </c>
      <c r="L59" s="133">
        <v>5232</v>
      </c>
      <c r="M59" s="135">
        <v>14337899</v>
      </c>
      <c r="N59" s="133">
        <v>5129</v>
      </c>
      <c r="O59" s="136">
        <v>157</v>
      </c>
      <c r="P59" s="136">
        <v>23</v>
      </c>
      <c r="Q59" s="137">
        <v>5309</v>
      </c>
      <c r="R59" s="91" t="s">
        <v>144</v>
      </c>
    </row>
    <row r="60" spans="1:18" ht="25.5" customHeight="1">
      <c r="A60" s="192" t="s">
        <v>145</v>
      </c>
      <c r="B60" s="193">
        <f>_xlfn.COMPOUNDVALUE(381)</f>
        <v>1010</v>
      </c>
      <c r="C60" s="194">
        <v>3094042</v>
      </c>
      <c r="D60" s="193">
        <f>_xlfn.COMPOUNDVALUE(382)</f>
        <v>766</v>
      </c>
      <c r="E60" s="194">
        <v>324532</v>
      </c>
      <c r="F60" s="193">
        <f>_xlfn.COMPOUNDVALUE(383)</f>
        <v>1776</v>
      </c>
      <c r="G60" s="194">
        <v>3418574</v>
      </c>
      <c r="H60" s="193">
        <f>_xlfn.COMPOUNDVALUE(384)</f>
        <v>53</v>
      </c>
      <c r="I60" s="195">
        <v>100618</v>
      </c>
      <c r="J60" s="193">
        <v>148</v>
      </c>
      <c r="K60" s="195">
        <v>16256</v>
      </c>
      <c r="L60" s="193">
        <v>1846</v>
      </c>
      <c r="M60" s="195">
        <v>3334212</v>
      </c>
      <c r="N60" s="193">
        <v>1822</v>
      </c>
      <c r="O60" s="215">
        <v>31</v>
      </c>
      <c r="P60" s="215">
        <v>1</v>
      </c>
      <c r="Q60" s="216">
        <v>1854</v>
      </c>
      <c r="R60" s="199" t="s">
        <v>146</v>
      </c>
    </row>
    <row r="61" spans="1:18" ht="25.5" customHeight="1">
      <c r="A61" s="200" t="s">
        <v>147</v>
      </c>
      <c r="B61" s="201">
        <v>23705</v>
      </c>
      <c r="C61" s="202">
        <v>128614911</v>
      </c>
      <c r="D61" s="201">
        <v>15452</v>
      </c>
      <c r="E61" s="202">
        <v>7682524</v>
      </c>
      <c r="F61" s="201">
        <v>39157</v>
      </c>
      <c r="G61" s="202">
        <v>136297435</v>
      </c>
      <c r="H61" s="201">
        <v>1756</v>
      </c>
      <c r="I61" s="203">
        <v>38946540</v>
      </c>
      <c r="J61" s="201">
        <v>2813</v>
      </c>
      <c r="K61" s="203">
        <v>444291</v>
      </c>
      <c r="L61" s="201">
        <v>41533</v>
      </c>
      <c r="M61" s="203">
        <v>97795185</v>
      </c>
      <c r="N61" s="201">
        <v>40727</v>
      </c>
      <c r="O61" s="204">
        <v>1122</v>
      </c>
      <c r="P61" s="204">
        <v>122</v>
      </c>
      <c r="Q61" s="205">
        <v>41971</v>
      </c>
      <c r="R61" s="206" t="s">
        <v>148</v>
      </c>
    </row>
    <row r="62" spans="1:18" ht="25.5" customHeight="1" thickBot="1">
      <c r="A62" s="94"/>
      <c r="B62" s="217"/>
      <c r="C62" s="218"/>
      <c r="D62" s="217"/>
      <c r="E62" s="218"/>
      <c r="F62" s="219"/>
      <c r="G62" s="218"/>
      <c r="H62" s="219"/>
      <c r="I62" s="218"/>
      <c r="J62" s="219"/>
      <c r="K62" s="218"/>
      <c r="L62" s="219"/>
      <c r="M62" s="218"/>
      <c r="N62" s="220"/>
      <c r="O62" s="221"/>
      <c r="P62" s="221"/>
      <c r="Q62" s="222"/>
      <c r="R62" s="223" t="s">
        <v>44</v>
      </c>
    </row>
    <row r="63" spans="1:18" ht="25.5" customHeight="1" thickBot="1" thickTop="1">
      <c r="A63" s="95" t="s">
        <v>43</v>
      </c>
      <c r="B63" s="138">
        <v>213667</v>
      </c>
      <c r="C63" s="139">
        <v>1599760946</v>
      </c>
      <c r="D63" s="138">
        <v>146862</v>
      </c>
      <c r="E63" s="139">
        <v>74259051</v>
      </c>
      <c r="F63" s="138">
        <v>360529</v>
      </c>
      <c r="G63" s="139">
        <v>1674019997</v>
      </c>
      <c r="H63" s="138">
        <v>16812</v>
      </c>
      <c r="I63" s="140">
        <v>700068621</v>
      </c>
      <c r="J63" s="138">
        <v>27159</v>
      </c>
      <c r="K63" s="140">
        <v>4519186</v>
      </c>
      <c r="L63" s="138">
        <v>382628</v>
      </c>
      <c r="M63" s="140">
        <v>978470563</v>
      </c>
      <c r="N63" s="141">
        <v>377518</v>
      </c>
      <c r="O63" s="142">
        <v>10284</v>
      </c>
      <c r="P63" s="142">
        <v>1326</v>
      </c>
      <c r="Q63" s="143">
        <v>389128</v>
      </c>
      <c r="R63" s="96" t="s">
        <v>43</v>
      </c>
    </row>
    <row r="64" spans="1:9" ht="25.5" customHeight="1">
      <c r="A64" s="97" t="s">
        <v>224</v>
      </c>
      <c r="B64" s="97"/>
      <c r="C64" s="97"/>
      <c r="D64" s="97"/>
      <c r="E64" s="97"/>
      <c r="F64" s="97"/>
      <c r="G64" s="97"/>
      <c r="H64" s="97"/>
      <c r="I64" s="97"/>
    </row>
  </sheetData>
  <sheetProtection/>
  <mergeCells count="15">
    <mergeCell ref="N3:Q3"/>
    <mergeCell ref="R3:R5"/>
    <mergeCell ref="B4:C4"/>
    <mergeCell ref="D4:E4"/>
    <mergeCell ref="F4:G4"/>
    <mergeCell ref="N4:N5"/>
    <mergeCell ref="O4:O5"/>
    <mergeCell ref="P4:P5"/>
    <mergeCell ref="Q4:Q5"/>
    <mergeCell ref="A2:I2"/>
    <mergeCell ref="A3:A5"/>
    <mergeCell ref="B3:G3"/>
    <mergeCell ref="H3:I4"/>
    <mergeCell ref="J3:K4"/>
    <mergeCell ref="L3:M4"/>
  </mergeCells>
  <printOptions horizontalCentered="1"/>
  <pageMargins left="0.11811023622047245" right="0.11811023622047245" top="0.7480314960629921" bottom="0.7480314960629921" header="0.31496062992125984" footer="0.31496062992125984"/>
  <pageSetup horizontalDpi="600" verticalDpi="600" orientation="portrait" paperSize="9" scale="48" r:id="rId1"/>
  <headerFooter alignWithMargins="0">
    <oddFooter>&amp;R&amp;K01+000名古屋国税局 消費税（H30）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2020-01-21T02:57:21Z</cp:lastPrinted>
  <dcterms:created xsi:type="dcterms:W3CDTF">2003-07-09T01:05:10Z</dcterms:created>
  <dcterms:modified xsi:type="dcterms:W3CDTF">2020-06-10T05:41:04Z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