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767" activeTab="0"/>
  </bookViews>
  <sheets>
    <sheet name="(1)　課税状況" sheetId="1" r:id="rId1"/>
    <sheet name="(2)　課税状況の累年比較" sheetId="2" r:id="rId2"/>
    <sheet name="(3)　課税事業者等届出件数" sheetId="3" r:id="rId3"/>
    <sheet name="(4)　税務署別（個人事業者）" sheetId="4" r:id="rId4"/>
    <sheet name="(4)　税務署別（法人）" sheetId="5" r:id="rId5"/>
    <sheet name="(4)　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<sst xmlns="http://schemas.openxmlformats.org/spreadsheetml/2006/main" count="520" uniqueCount="236">
  <si>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</si>
  <si>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</si>
  <si>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</si>
  <si>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</si>
  <si>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</si>
  <si>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</si>
  <si>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</si>
  <si>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</si>
  <si>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</si>
  <si>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</si>
  <si>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</si>
  <si>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</si>
  <si>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</si>
  <si>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</si>
  <si>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</si>
  <si>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</si>
  <si>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</si>
  <si>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</si>
  <si>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</si>
  <si>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</si>
  <si>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</si>
  <si>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</si>
  <si>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</si>
  <si>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</si>
  <si>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法　　　　　　　人</t>
  </si>
  <si>
    <t>合　　　　　　　計</t>
  </si>
  <si>
    <t>件　　数</t>
  </si>
  <si>
    <t>税　　額</t>
  </si>
  <si>
    <t>(3)　課税事業者等届出件数</t>
  </si>
  <si>
    <t>(1)　課税状況</t>
  </si>
  <si>
    <t>千円</t>
  </si>
  <si>
    <t>件</t>
  </si>
  <si>
    <t>現年分</t>
  </si>
  <si>
    <t>既往年分</t>
  </si>
  <si>
    <t>(2)　課税状況の累年比較</t>
  </si>
  <si>
    <t>合計</t>
  </si>
  <si>
    <t>　イ　個人事業者</t>
  </si>
  <si>
    <t>既往年分の
申告及び処理</t>
  </si>
  <si>
    <t>合　　　　　　計</t>
  </si>
  <si>
    <t>税務署名</t>
  </si>
  <si>
    <t>簡易申告及び処理</t>
  </si>
  <si>
    <t>小　　　　　　計</t>
  </si>
  <si>
    <t>総　計</t>
  </si>
  <si>
    <t>総　計</t>
  </si>
  <si>
    <t/>
  </si>
  <si>
    <t>岐阜北</t>
  </si>
  <si>
    <t>岐阜北</t>
  </si>
  <si>
    <t>岐阜南</t>
  </si>
  <si>
    <t>岐阜南</t>
  </si>
  <si>
    <t>大垣</t>
  </si>
  <si>
    <t>大垣</t>
  </si>
  <si>
    <t>高山</t>
  </si>
  <si>
    <t>高山</t>
  </si>
  <si>
    <t>多治見</t>
  </si>
  <si>
    <t>多治見</t>
  </si>
  <si>
    <t>関</t>
  </si>
  <si>
    <t>関</t>
  </si>
  <si>
    <t>中津川</t>
  </si>
  <si>
    <t>中津川</t>
  </si>
  <si>
    <t>岐阜県計</t>
  </si>
  <si>
    <t>岐阜県計</t>
  </si>
  <si>
    <t>静岡</t>
  </si>
  <si>
    <t>静岡</t>
  </si>
  <si>
    <t>清水</t>
  </si>
  <si>
    <t>清水</t>
  </si>
  <si>
    <t>浜松西</t>
  </si>
  <si>
    <t>浜松西</t>
  </si>
  <si>
    <t>浜松東</t>
  </si>
  <si>
    <t>浜松東</t>
  </si>
  <si>
    <t>沼津</t>
  </si>
  <si>
    <t>沼津</t>
  </si>
  <si>
    <t>熱海</t>
  </si>
  <si>
    <t>熱海</t>
  </si>
  <si>
    <t>三島</t>
  </si>
  <si>
    <t>三島</t>
  </si>
  <si>
    <t>島田</t>
  </si>
  <si>
    <t>島田</t>
  </si>
  <si>
    <t>富士</t>
  </si>
  <si>
    <t>富士</t>
  </si>
  <si>
    <t>磐田</t>
  </si>
  <si>
    <t>磐田</t>
  </si>
  <si>
    <t>掛川</t>
  </si>
  <si>
    <t>掛川</t>
  </si>
  <si>
    <t>藤枝</t>
  </si>
  <si>
    <t>藤枝</t>
  </si>
  <si>
    <t>下田</t>
  </si>
  <si>
    <t>下田</t>
  </si>
  <si>
    <t>静岡県計</t>
  </si>
  <si>
    <t>静岡県計</t>
  </si>
  <si>
    <t>千種</t>
  </si>
  <si>
    <t>千種</t>
  </si>
  <si>
    <t>名古屋東</t>
  </si>
  <si>
    <t>名古屋東</t>
  </si>
  <si>
    <t>名古屋北</t>
  </si>
  <si>
    <t>名古屋北</t>
  </si>
  <si>
    <t>名古屋西</t>
  </si>
  <si>
    <t>名古屋西</t>
  </si>
  <si>
    <t>名古屋中村</t>
  </si>
  <si>
    <t>名古屋中村</t>
  </si>
  <si>
    <t>名古屋中</t>
  </si>
  <si>
    <t>名古屋中</t>
  </si>
  <si>
    <t>昭和</t>
  </si>
  <si>
    <t>昭和</t>
  </si>
  <si>
    <t>熱田</t>
  </si>
  <si>
    <t>熱田</t>
  </si>
  <si>
    <t>中川</t>
  </si>
  <si>
    <t>中川</t>
  </si>
  <si>
    <t>豊橋</t>
  </si>
  <si>
    <t>豊橋</t>
  </si>
  <si>
    <t>岡崎</t>
  </si>
  <si>
    <t>岡崎</t>
  </si>
  <si>
    <t>一宮</t>
  </si>
  <si>
    <t>一宮</t>
  </si>
  <si>
    <t>尾張瀬戸</t>
  </si>
  <si>
    <t>尾張瀬戸</t>
  </si>
  <si>
    <t>半田</t>
  </si>
  <si>
    <t>半田</t>
  </si>
  <si>
    <t>津島</t>
  </si>
  <si>
    <t>津島</t>
  </si>
  <si>
    <t>刈谷</t>
  </si>
  <si>
    <t>刈谷</t>
  </si>
  <si>
    <t>豊田</t>
  </si>
  <si>
    <t>豊田</t>
  </si>
  <si>
    <t>西尾</t>
  </si>
  <si>
    <t>西尾</t>
  </si>
  <si>
    <t>小牧</t>
  </si>
  <si>
    <t>小牧</t>
  </si>
  <si>
    <t>新城</t>
  </si>
  <si>
    <t>新城</t>
  </si>
  <si>
    <t>愛知県計</t>
  </si>
  <si>
    <t>愛知県計</t>
  </si>
  <si>
    <t>津</t>
  </si>
  <si>
    <t>津</t>
  </si>
  <si>
    <t>四日市</t>
  </si>
  <si>
    <t>四日市</t>
  </si>
  <si>
    <t>伊勢</t>
  </si>
  <si>
    <t>伊勢</t>
  </si>
  <si>
    <t>松阪</t>
  </si>
  <si>
    <t>松阪</t>
  </si>
  <si>
    <t>桑名</t>
  </si>
  <si>
    <t>桑名</t>
  </si>
  <si>
    <t>上野</t>
  </si>
  <si>
    <t>上野</t>
  </si>
  <si>
    <t>鈴鹿</t>
  </si>
  <si>
    <t>鈴鹿</t>
  </si>
  <si>
    <t>尾鷲</t>
  </si>
  <si>
    <t>尾鷲</t>
  </si>
  <si>
    <t>三重県計</t>
  </si>
  <si>
    <t>三重県計</t>
  </si>
  <si>
    <t>　ロ　法　　　人</t>
  </si>
  <si>
    <t>税務署名</t>
  </si>
  <si>
    <t>　ハ　個人事業者と法人の合計</t>
  </si>
  <si>
    <t>課税事業者
届出</t>
  </si>
  <si>
    <t>合　　　計</t>
  </si>
  <si>
    <t>(4)　税務署別課税状況</t>
  </si>
  <si>
    <t>税務署名</t>
  </si>
  <si>
    <t>納　　　税　　　申　　　告　　　及　　　び　　　処　　　理</t>
  </si>
  <si>
    <t>税額</t>
  </si>
  <si>
    <t>税　　　額
(①－②＋③)</t>
  </si>
  <si>
    <t>(4)　税務署別課税状況（続）</t>
  </si>
  <si>
    <t>岐阜北</t>
  </si>
  <si>
    <t>課　税　事　業　者　等　届　出　件　数</t>
  </si>
  <si>
    <t>課税事業者
選択届出</t>
  </si>
  <si>
    <t>新設法人に
該当する旨
の届出</t>
  </si>
  <si>
    <t>税　　額
(①－②＋③)</t>
  </si>
  <si>
    <t>平成23年度</t>
  </si>
  <si>
    <t>平成24年度</t>
  </si>
  <si>
    <t>平成25年度</t>
  </si>
  <si>
    <t>調査対象等：</t>
  </si>
  <si>
    <t>　（注）１</t>
  </si>
  <si>
    <t>税関分は含まない。</t>
  </si>
  <si>
    <t>　　　　２</t>
  </si>
  <si>
    <t>「件数欄」の「実」は、実件数を示す。</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</si>
  <si>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</si>
  <si>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</si>
  <si>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</si>
  <si>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</si>
  <si>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</si>
  <si>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</si>
  <si>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</si>
  <si>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</si>
  <si>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</si>
  <si>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</si>
  <si>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</si>
  <si>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</si>
  <si>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</si>
  <si>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</si>
  <si>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</si>
  <si>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</si>
  <si>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</si>
  <si>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</si>
  <si>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</si>
  <si>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</si>
  <si>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</si>
  <si>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</si>
  <si>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</si>
  <si>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</si>
  <si>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</si>
  <si>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</si>
  <si>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</si>
  <si>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</si>
  <si>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</si>
  <si>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</si>
  <si>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</si>
  <si>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</si>
  <si>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</si>
  <si>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</si>
  <si>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</si>
  <si>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</si>
  <si>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</si>
  <si>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</si>
  <si>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</si>
  <si>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</si>
  <si>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</si>
  <si>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</si>
  <si>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</si>
  <si>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</si>
  <si>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</si>
  <si>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</si>
  <si>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</si>
  <si>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</si>
  <si>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</si>
  <si>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</si>
  <si>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</si>
  <si>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総　計</t>
  </si>
  <si>
    <t>税　額
①</t>
  </si>
  <si>
    <t>税　額
②</t>
  </si>
  <si>
    <t>税　額
③</t>
  </si>
  <si>
    <t>件　数</t>
  </si>
  <si>
    <t>　「現年分」は、平成27年４月１日から平成28年３月31日までに終了した課税期間について、平成28年６月30日現在の申告（国・地方公共団体等については平成28年９月30日までの申告を含む。）及び処理（更正、決定等）による課税事績を「申告書及び決議書」に基づいて作成した。</t>
  </si>
  <si>
    <t>　「既往年分」は、平成27年３月31日以前に終了した課税期間について、平成27年７月１日から平成28年６月30日までの間の申告（平成27年７月１日から同年９月30日までの間の国・地方公共団体等に係る申告を除く。）及び処理（更正、決定等）による課税事績を「申告書及び決議書」に基づいて作成した。</t>
  </si>
  <si>
    <t>平成26年度</t>
  </si>
  <si>
    <t>平成27年度</t>
  </si>
  <si>
    <t>調査対象等：　平成27年度末（平成28年３月31日現在）の届出件数を示している。</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</si>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</sst>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50">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sz val="10"/>
      <name val="ＭＳ 明朝"/>
      <family val="1"/>
    </font>
    <font>
      <sz val="10"/>
      <name val="ＭＳ ゴシック"/>
      <family val="3"/>
    </font>
    <font>
      <b/>
      <sz val="10"/>
      <name val="ＭＳ 明朝"/>
      <family val="1"/>
    </font>
    <font>
      <sz val="10"/>
      <name val="ＭＳ Ｐゴシック"/>
      <family val="3"/>
    </font>
    <font>
      <sz val="11"/>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CCFFFF"/>
        <bgColor indexed="64"/>
      </patternFill>
    </fill>
    <fill>
      <patternFill patternType="solid">
        <fgColor rgb="FFFFFFCC"/>
        <bgColor indexed="64"/>
      </patternFill>
    </fill>
    <fill>
      <patternFill patternType="solid">
        <fgColor rgb="FFFFFF99"/>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color indexed="63"/>
      </bottom>
    </border>
    <border>
      <left style="hair"/>
      <right style="thin"/>
      <top style="hair"/>
      <bottom style="thin"/>
    </border>
    <border>
      <left style="hair"/>
      <right/>
      <top style="hair"/>
      <bottom style="thin"/>
    </border>
    <border>
      <left style="hair"/>
      <right/>
      <top style="thin"/>
      <bottom/>
    </border>
    <border>
      <left style="medium"/>
      <right/>
      <top/>
      <bottom style="hair">
        <color rgb="FF969696"/>
      </bottom>
    </border>
    <border>
      <left style="thin"/>
      <right style="medium"/>
      <top/>
      <bottom style="hair">
        <color rgb="FF969696"/>
      </bottom>
    </border>
    <border>
      <left style="medium"/>
      <right/>
      <top style="hair">
        <color rgb="FF969696"/>
      </top>
      <bottom style="hair">
        <color rgb="FF969696"/>
      </bottom>
    </border>
    <border>
      <left style="thin"/>
      <right style="medium"/>
      <top style="hair">
        <color rgb="FF969696"/>
      </top>
      <bottom style="hair">
        <color rgb="FF969696"/>
      </bottom>
    </border>
    <border>
      <left style="medium"/>
      <right/>
      <top style="hair">
        <color rgb="FF969696"/>
      </top>
      <bottom style="thin">
        <color rgb="FF969696"/>
      </bottom>
    </border>
    <border>
      <left style="thin"/>
      <right style="medium"/>
      <top style="hair">
        <color rgb="FF969696"/>
      </top>
      <bottom style="thin">
        <color rgb="FF969696"/>
      </bottom>
    </border>
    <border>
      <left style="medium"/>
      <right/>
      <top style="thin">
        <color rgb="FF969696"/>
      </top>
      <bottom style="thin">
        <color rgb="FF969696"/>
      </bottom>
    </border>
    <border>
      <left style="thin"/>
      <right style="medium"/>
      <top style="thin">
        <color rgb="FF969696"/>
      </top>
      <bottom style="thin">
        <color rgb="FF969696"/>
      </bottom>
    </border>
    <border>
      <left style="thin"/>
      <right style="medium"/>
      <top style="thin">
        <color rgb="FF969696"/>
      </top>
      <bottom style="hair">
        <color rgb="FF969696"/>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style="thin">
        <color rgb="FF808080"/>
      </top>
      <bottom style="thin">
        <color rgb="FF808080"/>
      </bottom>
    </border>
    <border>
      <left style="thin"/>
      <right style="medium"/>
      <top style="thin">
        <color rgb="FF808080"/>
      </top>
      <bottom/>
    </border>
    <border>
      <left style="thin"/>
      <right style="medium"/>
      <top style="double"/>
      <bottom style="medium"/>
    </border>
    <border>
      <left>
        <color indexed="63"/>
      </left>
      <right>
        <color indexed="63"/>
      </right>
      <top style="medium"/>
      <bottom>
        <color indexed="63"/>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color indexed="63"/>
      </top>
      <bottom style="hair">
        <color rgb="FF969696"/>
      </bottom>
    </border>
    <border>
      <left style="hair"/>
      <right style="thin"/>
      <top>
        <color indexed="63"/>
      </top>
      <bottom style="hair">
        <color rgb="FF969696"/>
      </bottom>
    </border>
    <border>
      <left style="hair"/>
      <right/>
      <top/>
      <bottom style="hair">
        <color rgb="FF969696"/>
      </bottom>
    </border>
    <border>
      <left style="hair"/>
      <right style="hair"/>
      <top>
        <color indexed="63"/>
      </top>
      <bottom style="hair">
        <color rgb="FF969696"/>
      </bottom>
    </border>
    <border>
      <left style="thin"/>
      <right style="hair"/>
      <top style="hair">
        <color rgb="FF969696"/>
      </top>
      <bottom style="hair">
        <color rgb="FF969696"/>
      </bottom>
    </border>
    <border>
      <left style="hair"/>
      <right style="thin"/>
      <top style="hair">
        <color rgb="FF969696"/>
      </top>
      <bottom style="hair">
        <color rgb="FF969696"/>
      </bottom>
    </border>
    <border>
      <left style="hair"/>
      <right/>
      <top style="hair">
        <color rgb="FF969696"/>
      </top>
      <bottom style="hair">
        <color rgb="FF969696"/>
      </bottom>
    </border>
    <border>
      <left style="thin"/>
      <right style="hair"/>
      <top style="hair">
        <color rgb="FF969696"/>
      </top>
      <bottom style="thin">
        <color rgb="FF969696"/>
      </bottom>
    </border>
    <border>
      <left style="hair"/>
      <right style="thin"/>
      <top style="hair">
        <color rgb="FF969696"/>
      </top>
      <bottom style="thin">
        <color rgb="FF969696"/>
      </bottom>
    </border>
    <border>
      <left style="hair"/>
      <right/>
      <top style="hair">
        <color rgb="FF969696"/>
      </top>
      <bottom style="thin">
        <color rgb="FF969696"/>
      </bottom>
    </border>
    <border>
      <left style="hair"/>
      <right style="hair"/>
      <top style="hair">
        <color rgb="FF969696"/>
      </top>
      <bottom style="thin">
        <color rgb="FF969696"/>
      </bottom>
    </border>
    <border>
      <left style="thin"/>
      <right/>
      <top style="thin">
        <color rgb="FF969696"/>
      </top>
      <bottom style="hair"/>
    </border>
    <border>
      <left style="hair"/>
      <right style="thin"/>
      <top style="thin">
        <color rgb="FF969696"/>
      </top>
      <bottom style="hair"/>
    </border>
    <border>
      <left style="thin"/>
      <right style="hair"/>
      <top style="thin">
        <color rgb="FF969696"/>
      </top>
      <bottom style="hair"/>
    </border>
    <border>
      <left style="thin"/>
      <right style="hair"/>
      <top style="thin">
        <color rgb="FF969696"/>
      </top>
      <bottom style="thin">
        <color rgb="FF969696"/>
      </bottom>
    </border>
    <border>
      <left style="hair"/>
      <right style="hair"/>
      <top style="thin">
        <color rgb="FF969696"/>
      </top>
      <bottom style="thin">
        <color rgb="FF969696"/>
      </bottom>
    </border>
    <border>
      <left style="hair"/>
      <right/>
      <top style="thin">
        <color rgb="FF969696"/>
      </top>
      <bottom style="thin">
        <color rgb="FF969696"/>
      </bottom>
    </border>
    <border>
      <left style="hair"/>
      <right style="hair"/>
      <top style="hair">
        <color rgb="FF969696"/>
      </top>
      <bottom style="hair">
        <color rgb="FF969696"/>
      </bottom>
    </border>
    <border>
      <left style="thin"/>
      <right/>
      <top style="thin">
        <color rgb="FF969696"/>
      </top>
      <bottom style="double"/>
    </border>
    <border>
      <left style="hair"/>
      <right style="thin"/>
      <top style="thin">
        <color rgb="FF969696"/>
      </top>
      <bottom style="double"/>
    </border>
    <border>
      <left style="thin"/>
      <right style="hair"/>
      <top style="thin">
        <color rgb="FF969696"/>
      </top>
      <bottom style="double"/>
    </border>
    <border>
      <left style="thin"/>
      <right style="hair"/>
      <top style="thin">
        <color rgb="FF969696"/>
      </top>
      <bottom/>
    </border>
    <border>
      <left style="hair"/>
      <right style="hair"/>
      <top style="thin">
        <color rgb="FF969696"/>
      </top>
      <bottom/>
    </border>
    <border>
      <left style="hair"/>
      <right/>
      <top style="thin">
        <color rgb="FF969696"/>
      </top>
      <botto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hair"/>
      <top style="hair">
        <color indexed="55"/>
      </top>
      <bottom style="medium"/>
    </border>
    <border>
      <left style="hair"/>
      <right style="medium"/>
      <top style="hair">
        <color indexed="55"/>
      </top>
      <bottom style="medium"/>
    </border>
    <border>
      <left>
        <color indexed="63"/>
      </left>
      <right/>
      <top style="hair"/>
      <bottom style="thin"/>
    </border>
    <border>
      <left style="thin"/>
      <right/>
      <top style="hair"/>
      <bottom style="thin"/>
    </border>
    <border>
      <left style="thin"/>
      <right style="hair"/>
      <top style="hair"/>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style="thin"/>
      <bottom>
        <color indexed="63"/>
      </bottom>
    </border>
    <border>
      <left style="thin"/>
      <right style="medium"/>
      <top/>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hair"/>
      <right/>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 fillId="0" borderId="0" applyNumberFormat="0" applyFill="0" applyBorder="0" applyAlignment="0" applyProtection="0"/>
    <xf numFmtId="0" fontId="49" fillId="32" borderId="0" applyNumberFormat="0" applyBorder="0" applyAlignment="0" applyProtection="0"/>
  </cellStyleXfs>
  <cellXfs count="264">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6" fillId="0" borderId="18" xfId="0" applyFont="1" applyBorder="1" applyAlignment="1">
      <alignment horizontal="right" vertical="center"/>
    </xf>
    <xf numFmtId="0" fontId="2" fillId="0" borderId="19" xfId="0"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6" fillId="0" borderId="22" xfId="0" applyFont="1" applyBorder="1" applyAlignment="1">
      <alignment horizontal="distributed" vertical="center"/>
    </xf>
    <xf numFmtId="0" fontId="2" fillId="0" borderId="23" xfId="0" applyFont="1" applyBorder="1" applyAlignment="1">
      <alignment horizontal="distributed" vertical="center"/>
    </xf>
    <xf numFmtId="0" fontId="6" fillId="0" borderId="24" xfId="0" applyFont="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0" fontId="7" fillId="33" borderId="10" xfId="0" applyFont="1" applyFill="1" applyBorder="1" applyAlignment="1">
      <alignment horizontal="right" vertical="top"/>
    </xf>
    <xf numFmtId="0" fontId="7" fillId="34" borderId="29"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8" xfId="0" applyFont="1" applyBorder="1" applyAlignment="1">
      <alignment horizontal="center" vertical="center"/>
    </xf>
    <xf numFmtId="3" fontId="2" fillId="0" borderId="18" xfId="0" applyNumberFormat="1" applyFont="1" applyBorder="1" applyAlignment="1">
      <alignment horizontal="center" vertical="center"/>
    </xf>
    <xf numFmtId="0" fontId="2" fillId="0" borderId="30"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0" borderId="32"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3" xfId="0" applyNumberFormat="1" applyFont="1" applyFill="1" applyBorder="1" applyAlignment="1">
      <alignment horizontal="right" vertical="center"/>
    </xf>
    <xf numFmtId="0" fontId="2" fillId="0" borderId="32"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4" xfId="0" applyFont="1" applyFill="1" applyBorder="1" applyAlignment="1">
      <alignment horizontal="right"/>
    </xf>
    <xf numFmtId="0" fontId="7" fillId="34" borderId="35"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5" fillId="0" borderId="0" xfId="0" applyFont="1" applyAlignment="1">
      <alignment horizontal="center" vertical="top"/>
    </xf>
    <xf numFmtId="0" fontId="2" fillId="0" borderId="2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38" xfId="0" applyFont="1" applyBorder="1" applyAlignment="1">
      <alignment horizontal="distributed" vertical="center" indent="1"/>
    </xf>
    <xf numFmtId="0" fontId="10" fillId="0" borderId="0" xfId="61" applyFont="1" applyBorder="1" applyAlignment="1">
      <alignment horizontal="left" vertical="center"/>
      <protection/>
    </xf>
    <xf numFmtId="0" fontId="10" fillId="0" borderId="0" xfId="61" applyFont="1" applyBorder="1" applyAlignment="1">
      <alignment horizontal="left" vertical="top"/>
      <protection/>
    </xf>
    <xf numFmtId="0" fontId="10" fillId="0" borderId="39" xfId="61" applyFont="1" applyBorder="1" applyAlignment="1">
      <alignment horizontal="distributed" vertical="center" indent="1"/>
      <protection/>
    </xf>
    <xf numFmtId="0" fontId="10" fillId="0" borderId="40" xfId="61" applyFont="1" applyBorder="1" applyAlignment="1">
      <alignment horizontal="centerContinuous" vertical="center" wrapText="1"/>
      <protection/>
    </xf>
    <xf numFmtId="0" fontId="7" fillId="35" borderId="32" xfId="61" applyFont="1" applyFill="1" applyBorder="1" applyAlignment="1">
      <alignment horizontal="distributed" vertical="top"/>
      <protection/>
    </xf>
    <xf numFmtId="0" fontId="7" fillId="36" borderId="13" xfId="61" applyFont="1" applyFill="1" applyBorder="1" applyAlignment="1">
      <alignment horizontal="right" vertical="top"/>
      <protection/>
    </xf>
    <xf numFmtId="0" fontId="7" fillId="37" borderId="10" xfId="61" applyFont="1" applyFill="1" applyBorder="1" applyAlignment="1">
      <alignment horizontal="right" vertical="top"/>
      <protection/>
    </xf>
    <xf numFmtId="0" fontId="7" fillId="37" borderId="41" xfId="61" applyFont="1" applyFill="1" applyBorder="1" applyAlignment="1">
      <alignment horizontal="right" vertical="top"/>
      <protection/>
    </xf>
    <xf numFmtId="0" fontId="7" fillId="35" borderId="37" xfId="61" applyFont="1" applyFill="1" applyBorder="1" applyAlignment="1">
      <alignment horizontal="distributed" vertical="top"/>
      <protection/>
    </xf>
    <xf numFmtId="0" fontId="8" fillId="0" borderId="0" xfId="61" applyFont="1" applyBorder="1" applyAlignment="1">
      <alignment horizontal="right" vertical="top"/>
      <protection/>
    </xf>
    <xf numFmtId="0" fontId="10" fillId="35" borderId="42" xfId="61" applyFont="1" applyFill="1" applyBorder="1" applyAlignment="1">
      <alignment horizontal="distributed" vertical="center"/>
      <protection/>
    </xf>
    <xf numFmtId="0" fontId="10" fillId="35" borderId="43" xfId="61" applyFont="1" applyFill="1" applyBorder="1" applyAlignment="1">
      <alignment horizontal="distributed" vertical="center"/>
      <protection/>
    </xf>
    <xf numFmtId="0" fontId="9" fillId="0" borderId="0" xfId="61" applyFont="1" applyBorder="1">
      <alignment/>
      <protection/>
    </xf>
    <xf numFmtId="0" fontId="10" fillId="35" borderId="44" xfId="61" applyFont="1" applyFill="1" applyBorder="1" applyAlignment="1">
      <alignment horizontal="distributed" vertical="center"/>
      <protection/>
    </xf>
    <xf numFmtId="0" fontId="10" fillId="35" borderId="45" xfId="61" applyFont="1" applyFill="1" applyBorder="1" applyAlignment="1">
      <alignment horizontal="distributed" vertical="center"/>
      <protection/>
    </xf>
    <xf numFmtId="0" fontId="11" fillId="35" borderId="46" xfId="61" applyFont="1" applyFill="1" applyBorder="1" applyAlignment="1">
      <alignment horizontal="distributed" vertical="center"/>
      <protection/>
    </xf>
    <xf numFmtId="0" fontId="11" fillId="35" borderId="47" xfId="61" applyFont="1" applyFill="1" applyBorder="1" applyAlignment="1">
      <alignment horizontal="distributed" vertical="center"/>
      <protection/>
    </xf>
    <xf numFmtId="0" fontId="12" fillId="0" borderId="48" xfId="61" applyFont="1" applyFill="1" applyBorder="1" applyAlignment="1">
      <alignment horizontal="distributed" vertical="center"/>
      <protection/>
    </xf>
    <xf numFmtId="0" fontId="12" fillId="0" borderId="49" xfId="61" applyFont="1" applyFill="1" applyBorder="1" applyAlignment="1">
      <alignment horizontal="center" vertical="center"/>
      <protection/>
    </xf>
    <xf numFmtId="0" fontId="10" fillId="35" borderId="50" xfId="61" applyFont="1" applyFill="1" applyBorder="1" applyAlignment="1">
      <alignment horizontal="distributed" vertical="center"/>
      <protection/>
    </xf>
    <xf numFmtId="0" fontId="12" fillId="0" borderId="51" xfId="61" applyFont="1" applyFill="1" applyBorder="1" applyAlignment="1">
      <alignment horizontal="distributed" vertical="center"/>
      <protection/>
    </xf>
    <xf numFmtId="0" fontId="12" fillId="0" borderId="52" xfId="61" applyFont="1" applyFill="1" applyBorder="1" applyAlignment="1">
      <alignment horizontal="center" vertical="center"/>
      <protection/>
    </xf>
    <xf numFmtId="0" fontId="11" fillId="0" borderId="53" xfId="61" applyFont="1" applyBorder="1" applyAlignment="1">
      <alignment horizontal="center" vertical="center"/>
      <protection/>
    </xf>
    <xf numFmtId="0" fontId="11" fillId="0" borderId="54" xfId="61" applyFont="1" applyBorder="1" applyAlignment="1">
      <alignment horizontal="center" vertical="center"/>
      <protection/>
    </xf>
    <xf numFmtId="0" fontId="13" fillId="0" borderId="0" xfId="61" applyFont="1" applyBorder="1">
      <alignment/>
      <protection/>
    </xf>
    <xf numFmtId="0" fontId="8" fillId="0" borderId="0" xfId="61" applyFont="1" applyBorder="1" applyAlignment="1">
      <alignment vertical="top"/>
      <protection/>
    </xf>
    <xf numFmtId="0" fontId="10" fillId="35" borderId="32" xfId="61" applyFont="1" applyFill="1" applyBorder="1" applyAlignment="1">
      <alignment horizontal="distributed" vertical="top"/>
      <protection/>
    </xf>
    <xf numFmtId="0" fontId="10" fillId="36" borderId="13" xfId="61" applyFont="1" applyFill="1" applyBorder="1" applyAlignment="1">
      <alignment horizontal="right" vertical="top"/>
      <protection/>
    </xf>
    <xf numFmtId="0" fontId="10" fillId="37" borderId="10" xfId="61" applyFont="1" applyFill="1" applyBorder="1" applyAlignment="1">
      <alignment horizontal="right" vertical="top"/>
      <protection/>
    </xf>
    <xf numFmtId="0" fontId="10" fillId="36" borderId="29" xfId="61" applyFont="1" applyFill="1" applyBorder="1" applyAlignment="1">
      <alignment horizontal="right" vertical="top"/>
      <protection/>
    </xf>
    <xf numFmtId="0" fontId="10" fillId="36" borderId="41" xfId="61" applyFont="1" applyFill="1" applyBorder="1" applyAlignment="1">
      <alignment horizontal="right" vertical="top"/>
      <protection/>
    </xf>
    <xf numFmtId="0" fontId="10" fillId="35" borderId="37" xfId="61" applyFont="1" applyFill="1" applyBorder="1" applyAlignment="1">
      <alignment horizontal="distributed" vertical="top"/>
      <protection/>
    </xf>
    <xf numFmtId="0" fontId="13" fillId="0" borderId="0" xfId="61" applyFont="1" applyBorder="1" applyAlignment="1">
      <alignment vertical="top"/>
      <protection/>
    </xf>
    <xf numFmtId="0" fontId="14" fillId="35" borderId="42" xfId="61" applyFont="1" applyFill="1" applyBorder="1" applyAlignment="1">
      <alignment horizontal="distributed" vertical="center" shrinkToFit="1"/>
      <protection/>
    </xf>
    <xf numFmtId="0" fontId="14" fillId="35" borderId="43" xfId="61" applyFont="1" applyFill="1" applyBorder="1" applyAlignment="1">
      <alignment horizontal="distributed" vertical="center" shrinkToFit="1"/>
      <protection/>
    </xf>
    <xf numFmtId="0" fontId="14" fillId="35" borderId="44" xfId="61" applyFont="1" applyFill="1" applyBorder="1" applyAlignment="1">
      <alignment horizontal="distributed" vertical="center" shrinkToFit="1"/>
      <protection/>
    </xf>
    <xf numFmtId="0" fontId="14" fillId="35" borderId="45" xfId="61" applyFont="1" applyFill="1" applyBorder="1" applyAlignment="1">
      <alignment horizontal="distributed" vertical="center" shrinkToFit="1"/>
      <protection/>
    </xf>
    <xf numFmtId="0" fontId="9" fillId="35" borderId="46" xfId="61" applyFont="1" applyFill="1" applyBorder="1" applyAlignment="1">
      <alignment horizontal="distributed" vertical="center" shrinkToFit="1"/>
      <protection/>
    </xf>
    <xf numFmtId="0" fontId="9" fillId="35" borderId="47" xfId="61" applyFont="1" applyFill="1" applyBorder="1" applyAlignment="1">
      <alignment horizontal="distributed" vertical="center" shrinkToFit="1"/>
      <protection/>
    </xf>
    <xf numFmtId="0" fontId="15" fillId="0" borderId="48" xfId="61" applyFont="1" applyFill="1" applyBorder="1" applyAlignment="1">
      <alignment horizontal="distributed" vertical="center" shrinkToFit="1"/>
      <protection/>
    </xf>
    <xf numFmtId="0" fontId="15" fillId="0" borderId="55" xfId="61" applyFont="1" applyFill="1" applyBorder="1" applyAlignment="1">
      <alignment horizontal="center" vertical="center" shrinkToFit="1"/>
      <protection/>
    </xf>
    <xf numFmtId="0" fontId="10" fillId="35" borderId="42" xfId="61" applyFont="1" applyFill="1" applyBorder="1" applyAlignment="1">
      <alignment horizontal="distributed" vertical="center" shrinkToFit="1"/>
      <protection/>
    </xf>
    <xf numFmtId="0" fontId="10" fillId="35" borderId="45" xfId="61" applyFont="1" applyFill="1" applyBorder="1" applyAlignment="1">
      <alignment horizontal="distributed" vertical="center" shrinkToFit="1"/>
      <protection/>
    </xf>
    <xf numFmtId="0" fontId="15" fillId="0" borderId="51" xfId="61" applyFont="1" applyFill="1" applyBorder="1" applyAlignment="1">
      <alignment horizontal="distributed" vertical="center" shrinkToFit="1"/>
      <protection/>
    </xf>
    <xf numFmtId="0" fontId="15" fillId="0" borderId="56" xfId="61" applyFont="1" applyFill="1" applyBorder="1" applyAlignment="1">
      <alignment horizontal="center" vertical="center" shrinkToFit="1"/>
      <protection/>
    </xf>
    <xf numFmtId="0" fontId="11" fillId="0" borderId="53" xfId="61" applyFont="1" applyBorder="1" applyAlignment="1">
      <alignment horizontal="center" vertical="center" shrinkToFit="1"/>
      <protection/>
    </xf>
    <xf numFmtId="0" fontId="11" fillId="0" borderId="57" xfId="61" applyFont="1" applyBorder="1" applyAlignment="1">
      <alignment horizontal="center" vertical="center" shrinkToFit="1"/>
      <protection/>
    </xf>
    <xf numFmtId="0" fontId="10" fillId="0" borderId="58" xfId="61" applyFont="1" applyBorder="1" applyAlignment="1">
      <alignment vertical="center"/>
      <protection/>
    </xf>
    <xf numFmtId="0" fontId="10" fillId="0" borderId="39" xfId="61" applyFont="1" applyBorder="1" applyAlignment="1">
      <alignment horizontal="distributed" vertical="center" wrapText="1" indent="1"/>
      <protection/>
    </xf>
    <xf numFmtId="0" fontId="10" fillId="0" borderId="39" xfId="61" applyFont="1" applyBorder="1" applyAlignment="1">
      <alignment horizontal="centerContinuous" vertical="center" wrapText="1"/>
      <protection/>
    </xf>
    <xf numFmtId="0" fontId="2" fillId="0" borderId="0" xfId="0" applyFont="1" applyFill="1" applyBorder="1" applyAlignment="1">
      <alignment horizontal="distributed"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0" xfId="0" applyFont="1" applyFill="1" applyAlignment="1">
      <alignment horizontal="left" vertical="top"/>
    </xf>
    <xf numFmtId="0" fontId="2" fillId="0" borderId="0" xfId="0" applyFont="1" applyBorder="1" applyAlignment="1">
      <alignment horizontal="left" vertical="top" wrapText="1"/>
    </xf>
    <xf numFmtId="3" fontId="2" fillId="0" borderId="0" xfId="0" applyNumberFormat="1" applyFont="1" applyFill="1" applyBorder="1" applyAlignment="1">
      <alignment horizontal="right" vertical="center" indent="1"/>
    </xf>
    <xf numFmtId="3" fontId="2" fillId="0" borderId="0" xfId="0" applyNumberFormat="1" applyFont="1" applyFill="1" applyAlignment="1">
      <alignment horizontal="left" vertical="center"/>
    </xf>
    <xf numFmtId="0" fontId="2" fillId="0" borderId="0" xfId="0" applyFont="1" applyFill="1" applyAlignment="1">
      <alignment horizontal="left" vertical="center"/>
    </xf>
    <xf numFmtId="0" fontId="11" fillId="0" borderId="0" xfId="61" applyFont="1" applyFill="1" applyBorder="1" applyAlignment="1">
      <alignment horizontal="center" vertical="center"/>
      <protection/>
    </xf>
    <xf numFmtId="177" fontId="11" fillId="0" borderId="0" xfId="61" applyNumberFormat="1" applyFont="1" applyFill="1" applyBorder="1" applyAlignment="1">
      <alignment horizontal="right" vertical="center"/>
      <protection/>
    </xf>
    <xf numFmtId="0" fontId="9" fillId="0" borderId="0" xfId="61" applyFont="1" applyFill="1" applyBorder="1">
      <alignment/>
      <protection/>
    </xf>
    <xf numFmtId="3" fontId="2" fillId="34" borderId="59" xfId="0" applyNumberFormat="1" applyFont="1" applyFill="1" applyBorder="1" applyAlignment="1">
      <alignment horizontal="right" vertical="center"/>
    </xf>
    <xf numFmtId="3" fontId="2" fillId="34" borderId="60"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61" xfId="0" applyNumberFormat="1" applyFont="1" applyFill="1" applyBorder="1" applyAlignment="1">
      <alignment horizontal="right" vertical="center"/>
    </xf>
    <xf numFmtId="3" fontId="6" fillId="34" borderId="60"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3" fontId="6" fillId="33" borderId="61" xfId="0" applyNumberFormat="1" applyFont="1" applyFill="1" applyBorder="1" applyAlignment="1">
      <alignment horizontal="right" vertical="center"/>
    </xf>
    <xf numFmtId="3" fontId="2" fillId="34" borderId="62" xfId="0" applyNumberFormat="1" applyFont="1" applyFill="1" applyBorder="1" applyAlignment="1">
      <alignment horizontal="right" vertical="center"/>
    </xf>
    <xf numFmtId="3" fontId="2" fillId="33"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2" fillId="34" borderId="65" xfId="0" applyNumberFormat="1" applyFont="1" applyFill="1" applyBorder="1" applyAlignment="1">
      <alignment horizontal="right" vertical="center"/>
    </xf>
    <xf numFmtId="3" fontId="2" fillId="34" borderId="65" xfId="0" applyNumberFormat="1" applyFont="1" applyFill="1" applyBorder="1" applyAlignment="1">
      <alignment vertical="center"/>
    </xf>
    <xf numFmtId="3" fontId="2" fillId="34" borderId="60" xfId="0" applyNumberFormat="1" applyFont="1" applyFill="1" applyBorder="1" applyAlignment="1">
      <alignment vertical="center"/>
    </xf>
    <xf numFmtId="3" fontId="6" fillId="34" borderId="66" xfId="0" applyNumberFormat="1" applyFont="1" applyFill="1" applyBorder="1" applyAlignment="1">
      <alignment horizontal="right" vertical="center"/>
    </xf>
    <xf numFmtId="3" fontId="6" fillId="33" borderId="67" xfId="0" applyNumberFormat="1" applyFont="1" applyFill="1" applyBorder="1" applyAlignment="1">
      <alignment horizontal="right" vertical="center"/>
    </xf>
    <xf numFmtId="3" fontId="6" fillId="33" borderId="68" xfId="0" applyNumberFormat="1" applyFont="1" applyFill="1" applyBorder="1" applyAlignment="1">
      <alignment horizontal="right" vertical="center"/>
    </xf>
    <xf numFmtId="3" fontId="2" fillId="34"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177" fontId="14" fillId="36" borderId="72" xfId="61" applyNumberFormat="1" applyFont="1" applyFill="1" applyBorder="1" applyAlignment="1">
      <alignment horizontal="right" vertical="center" shrinkToFit="1"/>
      <protection/>
    </xf>
    <xf numFmtId="177" fontId="14" fillId="37" borderId="73" xfId="61" applyNumberFormat="1" applyFont="1" applyFill="1" applyBorder="1" applyAlignment="1">
      <alignment horizontal="right" vertical="center" shrinkToFit="1"/>
      <protection/>
    </xf>
    <xf numFmtId="177" fontId="14" fillId="37" borderId="74" xfId="61" applyNumberFormat="1" applyFont="1" applyFill="1" applyBorder="1" applyAlignment="1">
      <alignment horizontal="right" vertical="center" shrinkToFit="1"/>
      <protection/>
    </xf>
    <xf numFmtId="177" fontId="14" fillId="36" borderId="75" xfId="61" applyNumberFormat="1" applyFont="1" applyFill="1" applyBorder="1" applyAlignment="1">
      <alignment horizontal="right" vertical="center" shrinkToFit="1"/>
      <protection/>
    </xf>
    <xf numFmtId="177" fontId="14" fillId="36" borderId="74" xfId="61" applyNumberFormat="1" applyFont="1" applyFill="1" applyBorder="1" applyAlignment="1">
      <alignment horizontal="right" vertical="center" shrinkToFit="1"/>
      <protection/>
    </xf>
    <xf numFmtId="177" fontId="14" fillId="36" borderId="76" xfId="61" applyNumberFormat="1" applyFont="1" applyFill="1" applyBorder="1" applyAlignment="1">
      <alignment horizontal="right" vertical="center" shrinkToFit="1"/>
      <protection/>
    </xf>
    <xf numFmtId="177" fontId="14" fillId="37" borderId="77" xfId="61" applyNumberFormat="1" applyFont="1" applyFill="1" applyBorder="1" applyAlignment="1">
      <alignment horizontal="right" vertical="center" shrinkToFit="1"/>
      <protection/>
    </xf>
    <xf numFmtId="177" fontId="14" fillId="37" borderId="78" xfId="61" applyNumberFormat="1" applyFont="1" applyFill="1" applyBorder="1" applyAlignment="1">
      <alignment horizontal="right" vertical="center" shrinkToFit="1"/>
      <protection/>
    </xf>
    <xf numFmtId="177" fontId="9" fillId="36" borderId="79" xfId="61" applyNumberFormat="1" applyFont="1" applyFill="1" applyBorder="1" applyAlignment="1">
      <alignment horizontal="right" vertical="center" shrinkToFit="1"/>
      <protection/>
    </xf>
    <xf numFmtId="177" fontId="9" fillId="37" borderId="80" xfId="61" applyNumberFormat="1" applyFont="1" applyFill="1" applyBorder="1" applyAlignment="1">
      <alignment horizontal="right" vertical="center" shrinkToFit="1"/>
      <protection/>
    </xf>
    <xf numFmtId="177" fontId="9" fillId="37" borderId="81" xfId="61" applyNumberFormat="1" applyFont="1" applyFill="1" applyBorder="1" applyAlignment="1">
      <alignment horizontal="right" vertical="center" shrinkToFit="1"/>
      <protection/>
    </xf>
    <xf numFmtId="177" fontId="9" fillId="36" borderId="82" xfId="61" applyNumberFormat="1" applyFont="1" applyFill="1" applyBorder="1" applyAlignment="1">
      <alignment horizontal="right" vertical="center" shrinkToFit="1"/>
      <protection/>
    </xf>
    <xf numFmtId="177" fontId="9" fillId="36" borderId="81" xfId="61" applyNumberFormat="1" applyFont="1" applyFill="1" applyBorder="1" applyAlignment="1">
      <alignment horizontal="right" vertical="center" shrinkToFit="1"/>
      <protection/>
    </xf>
    <xf numFmtId="177" fontId="15" fillId="0" borderId="83" xfId="61" applyNumberFormat="1" applyFont="1" applyFill="1" applyBorder="1" applyAlignment="1">
      <alignment horizontal="right" vertical="center" shrinkToFit="1"/>
      <protection/>
    </xf>
    <xf numFmtId="177" fontId="15" fillId="0" borderId="84" xfId="61" applyNumberFormat="1" applyFont="1" applyFill="1" applyBorder="1" applyAlignment="1">
      <alignment horizontal="right" vertical="center" shrinkToFit="1"/>
      <protection/>
    </xf>
    <xf numFmtId="177" fontId="15" fillId="0" borderId="85" xfId="61" applyNumberFormat="1" applyFont="1" applyFill="1" applyBorder="1" applyAlignment="1">
      <alignment horizontal="right" vertical="center" shrinkToFit="1"/>
      <protection/>
    </xf>
    <xf numFmtId="177" fontId="14" fillId="0" borderId="86" xfId="61" applyNumberFormat="1" applyFont="1" applyFill="1" applyBorder="1" applyAlignment="1">
      <alignment horizontal="right" vertical="center" shrinkToFit="1"/>
      <protection/>
    </xf>
    <xf numFmtId="177" fontId="14" fillId="0" borderId="87" xfId="61" applyNumberFormat="1" applyFont="1" applyFill="1" applyBorder="1" applyAlignment="1">
      <alignment horizontal="right" vertical="center" shrinkToFit="1"/>
      <protection/>
    </xf>
    <xf numFmtId="177" fontId="14" fillId="0" borderId="88" xfId="61" applyNumberFormat="1" applyFont="1" applyFill="1" applyBorder="1" applyAlignment="1">
      <alignment horizontal="right" vertical="center" shrinkToFit="1"/>
      <protection/>
    </xf>
    <xf numFmtId="177" fontId="14" fillId="36" borderId="89" xfId="61" applyNumberFormat="1" applyFont="1" applyFill="1" applyBorder="1" applyAlignment="1">
      <alignment horizontal="right" vertical="center" shrinkToFit="1"/>
      <protection/>
    </xf>
    <xf numFmtId="177" fontId="14" fillId="36" borderId="78" xfId="61" applyNumberFormat="1" applyFont="1" applyFill="1" applyBorder="1" applyAlignment="1">
      <alignment horizontal="right" vertical="center" shrinkToFit="1"/>
      <protection/>
    </xf>
    <xf numFmtId="177" fontId="15" fillId="0" borderId="90" xfId="61" applyNumberFormat="1" applyFont="1" applyFill="1" applyBorder="1" applyAlignment="1">
      <alignment horizontal="right" vertical="center" shrinkToFit="1"/>
      <protection/>
    </xf>
    <xf numFmtId="177" fontId="15" fillId="0" borderId="91" xfId="61" applyNumberFormat="1" applyFont="1" applyFill="1" applyBorder="1" applyAlignment="1">
      <alignment horizontal="right" vertical="center" shrinkToFit="1"/>
      <protection/>
    </xf>
    <xf numFmtId="177" fontId="15" fillId="0" borderId="92" xfId="61" applyNumberFormat="1" applyFont="1" applyFill="1" applyBorder="1" applyAlignment="1">
      <alignment horizontal="right" vertical="center" shrinkToFit="1"/>
      <protection/>
    </xf>
    <xf numFmtId="177" fontId="14" fillId="0" borderId="93" xfId="61" applyNumberFormat="1" applyFont="1" applyFill="1" applyBorder="1" applyAlignment="1">
      <alignment horizontal="right" vertical="center" shrinkToFit="1"/>
      <protection/>
    </xf>
    <xf numFmtId="177" fontId="14" fillId="0" borderId="94" xfId="61" applyNumberFormat="1" applyFont="1" applyFill="1" applyBorder="1" applyAlignment="1">
      <alignment horizontal="right" vertical="center" shrinkToFit="1"/>
      <protection/>
    </xf>
    <xf numFmtId="177" fontId="14" fillId="0" borderId="95" xfId="61" applyNumberFormat="1" applyFont="1" applyFill="1" applyBorder="1" applyAlignment="1">
      <alignment horizontal="right" vertical="center" shrinkToFit="1"/>
      <protection/>
    </xf>
    <xf numFmtId="177" fontId="11" fillId="36" borderId="19" xfId="61" applyNumberFormat="1" applyFont="1" applyFill="1" applyBorder="1" applyAlignment="1">
      <alignment horizontal="right" vertical="center" shrinkToFit="1"/>
      <protection/>
    </xf>
    <xf numFmtId="177" fontId="11" fillId="37" borderId="70" xfId="61" applyNumberFormat="1" applyFont="1" applyFill="1" applyBorder="1" applyAlignment="1">
      <alignment horizontal="right" vertical="center" shrinkToFit="1"/>
      <protection/>
    </xf>
    <xf numFmtId="177" fontId="11" fillId="37" borderId="96" xfId="61" applyNumberFormat="1" applyFont="1" applyFill="1" applyBorder="1" applyAlignment="1">
      <alignment horizontal="right" vertical="center" shrinkToFit="1"/>
      <protection/>
    </xf>
    <xf numFmtId="177" fontId="11" fillId="36" borderId="97" xfId="61" applyNumberFormat="1" applyFont="1" applyFill="1" applyBorder="1" applyAlignment="1">
      <alignment horizontal="right" vertical="center" shrinkToFit="1"/>
      <protection/>
    </xf>
    <xf numFmtId="177" fontId="11" fillId="36" borderId="98" xfId="61" applyNumberFormat="1" applyFont="1" applyFill="1" applyBorder="1" applyAlignment="1">
      <alignment horizontal="right" vertical="center" shrinkToFit="1"/>
      <protection/>
    </xf>
    <xf numFmtId="177" fontId="11" fillId="36" borderId="99" xfId="61" applyNumberFormat="1" applyFont="1" applyFill="1" applyBorder="1" applyAlignment="1">
      <alignment horizontal="right" vertical="center" shrinkToFit="1"/>
      <protection/>
    </xf>
    <xf numFmtId="0" fontId="0" fillId="0" borderId="0" xfId="61" applyFont="1" applyBorder="1">
      <alignment/>
      <protection/>
    </xf>
    <xf numFmtId="177" fontId="10" fillId="36" borderId="72" xfId="61" applyNumberFormat="1" applyFont="1" applyFill="1" applyBorder="1" applyAlignment="1">
      <alignment horizontal="right" vertical="center"/>
      <protection/>
    </xf>
    <xf numFmtId="177" fontId="10" fillId="37" borderId="73" xfId="61" applyNumberFormat="1" applyFont="1" applyFill="1" applyBorder="1" applyAlignment="1">
      <alignment horizontal="right" vertical="center"/>
      <protection/>
    </xf>
    <xf numFmtId="177" fontId="10" fillId="37" borderId="74" xfId="61" applyNumberFormat="1" applyFont="1" applyFill="1" applyBorder="1" applyAlignment="1">
      <alignment horizontal="right" vertical="center"/>
      <protection/>
    </xf>
    <xf numFmtId="177" fontId="10" fillId="36" borderId="76" xfId="61" applyNumberFormat="1" applyFont="1" applyFill="1" applyBorder="1" applyAlignment="1">
      <alignment horizontal="right" vertical="center"/>
      <protection/>
    </xf>
    <xf numFmtId="177" fontId="10" fillId="37" borderId="77" xfId="61" applyNumberFormat="1" applyFont="1" applyFill="1" applyBorder="1" applyAlignment="1">
      <alignment horizontal="right" vertical="center"/>
      <protection/>
    </xf>
    <xf numFmtId="177" fontId="10" fillId="37" borderId="78" xfId="61" applyNumberFormat="1" applyFont="1" applyFill="1" applyBorder="1" applyAlignment="1">
      <alignment horizontal="right" vertical="center"/>
      <protection/>
    </xf>
    <xf numFmtId="177" fontId="11" fillId="36" borderId="79" xfId="61" applyNumberFormat="1" applyFont="1" applyFill="1" applyBorder="1" applyAlignment="1">
      <alignment horizontal="right" vertical="center"/>
      <protection/>
    </xf>
    <xf numFmtId="177" fontId="11" fillId="37" borderId="80" xfId="61" applyNumberFormat="1" applyFont="1" applyFill="1" applyBorder="1" applyAlignment="1">
      <alignment horizontal="right" vertical="center"/>
      <protection/>
    </xf>
    <xf numFmtId="177" fontId="11" fillId="37" borderId="81" xfId="61" applyNumberFormat="1" applyFont="1" applyFill="1" applyBorder="1" applyAlignment="1">
      <alignment horizontal="right" vertical="center"/>
      <protection/>
    </xf>
    <xf numFmtId="177" fontId="12" fillId="0" borderId="83" xfId="61" applyNumberFormat="1" applyFont="1" applyFill="1" applyBorder="1" applyAlignment="1">
      <alignment horizontal="right" vertical="center"/>
      <protection/>
    </xf>
    <xf numFmtId="177" fontId="12" fillId="0" borderId="84" xfId="61" applyNumberFormat="1" applyFont="1" applyFill="1" applyBorder="1" applyAlignment="1">
      <alignment horizontal="right" vertical="center"/>
      <protection/>
    </xf>
    <xf numFmtId="177" fontId="12" fillId="0" borderId="85" xfId="61" applyNumberFormat="1" applyFont="1" applyFill="1" applyBorder="1" applyAlignment="1">
      <alignment horizontal="right" vertical="center"/>
      <protection/>
    </xf>
    <xf numFmtId="177" fontId="10" fillId="37" borderId="78" xfId="61" applyNumberFormat="1" applyFont="1" applyFill="1" applyBorder="1" applyAlignment="1">
      <alignment horizontal="right" vertical="center" shrinkToFit="1"/>
      <protection/>
    </xf>
    <xf numFmtId="177" fontId="12" fillId="0" borderId="90" xfId="61" applyNumberFormat="1" applyFont="1" applyFill="1" applyBorder="1" applyAlignment="1">
      <alignment horizontal="right" vertical="center"/>
      <protection/>
    </xf>
    <xf numFmtId="177" fontId="12" fillId="0" borderId="91" xfId="61" applyNumberFormat="1" applyFont="1" applyFill="1" applyBorder="1" applyAlignment="1">
      <alignment horizontal="right" vertical="center"/>
      <protection/>
    </xf>
    <xf numFmtId="177" fontId="12" fillId="0" borderId="92" xfId="61" applyNumberFormat="1" applyFont="1" applyFill="1" applyBorder="1" applyAlignment="1">
      <alignment horizontal="right" vertical="center"/>
      <protection/>
    </xf>
    <xf numFmtId="177" fontId="11" fillId="36" borderId="19" xfId="61" applyNumberFormat="1" applyFont="1" applyFill="1" applyBorder="1" applyAlignment="1">
      <alignment horizontal="right" vertical="center"/>
      <protection/>
    </xf>
    <xf numFmtId="177" fontId="11" fillId="37" borderId="70" xfId="61" applyNumberFormat="1" applyFont="1" applyFill="1" applyBorder="1" applyAlignment="1">
      <alignment horizontal="right" vertical="center"/>
      <protection/>
    </xf>
    <xf numFmtId="177" fontId="11" fillId="37" borderId="96" xfId="61" applyNumberFormat="1" applyFont="1" applyFill="1" applyBorder="1" applyAlignment="1">
      <alignment horizontal="right" vertical="center"/>
      <protection/>
    </xf>
    <xf numFmtId="0" fontId="0" fillId="0" borderId="0" xfId="61" applyFont="1" applyFill="1" applyBorder="1">
      <alignment/>
      <protection/>
    </xf>
    <xf numFmtId="0" fontId="0" fillId="0" borderId="0" xfId="61" applyFont="1" applyBorder="1" applyAlignment="1">
      <alignment horizontal="center"/>
      <protection/>
    </xf>
    <xf numFmtId="3" fontId="2" fillId="34" borderId="100" xfId="0" applyNumberFormat="1" applyFont="1" applyFill="1" applyBorder="1" applyAlignment="1">
      <alignment horizontal="right" vertical="center" indent="1"/>
    </xf>
    <xf numFmtId="3" fontId="2" fillId="34" borderId="101" xfId="0" applyNumberFormat="1" applyFont="1" applyFill="1" applyBorder="1" applyAlignment="1">
      <alignment horizontal="right" vertical="center" indent="1"/>
    </xf>
    <xf numFmtId="3" fontId="2" fillId="34" borderId="102" xfId="0" applyNumberFormat="1" applyFont="1" applyFill="1" applyBorder="1" applyAlignment="1">
      <alignment horizontal="right" vertical="center" indent="1"/>
    </xf>
    <xf numFmtId="3" fontId="2" fillId="34" borderId="54" xfId="0" applyNumberFormat="1" applyFont="1" applyFill="1" applyBorder="1" applyAlignment="1">
      <alignment horizontal="right" vertical="center" indent="1"/>
    </xf>
    <xf numFmtId="3" fontId="2" fillId="34" borderId="103"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104" xfId="0" applyNumberFormat="1" applyFont="1" applyFill="1" applyBorder="1" applyAlignment="1">
      <alignment horizontal="right" vertical="center"/>
    </xf>
    <xf numFmtId="0" fontId="10" fillId="0" borderId="105" xfId="61" applyFont="1" applyBorder="1" applyAlignment="1">
      <alignment horizontal="centerContinuous" vertical="center" wrapText="1"/>
      <protection/>
    </xf>
    <xf numFmtId="0" fontId="10" fillId="0" borderId="106" xfId="61" applyFont="1" applyBorder="1" applyAlignment="1">
      <alignment horizontal="centerContinuous" vertical="center" wrapText="1"/>
      <protection/>
    </xf>
    <xf numFmtId="0" fontId="10" fillId="0" borderId="107" xfId="61" applyFont="1" applyBorder="1" applyAlignment="1">
      <alignment horizontal="centerContinuous" vertical="center" wrapText="1"/>
      <protection/>
    </xf>
    <xf numFmtId="0" fontId="5" fillId="0" borderId="0" xfId="0" applyFont="1" applyAlignment="1">
      <alignment horizontal="center" vertical="top"/>
    </xf>
    <xf numFmtId="0" fontId="2" fillId="0" borderId="0" xfId="0" applyFont="1" applyAlignment="1">
      <alignment horizontal="left" vertical="top"/>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116" xfId="0" applyFont="1" applyBorder="1" applyAlignment="1">
      <alignment horizontal="distributed" vertical="center" wrapText="1"/>
    </xf>
    <xf numFmtId="0" fontId="2" fillId="0" borderId="116" xfId="0" applyFont="1" applyBorder="1" applyAlignment="1">
      <alignment horizontal="distributed" vertical="center"/>
    </xf>
    <xf numFmtId="0" fontId="2" fillId="0" borderId="117" xfId="0" applyFont="1" applyBorder="1" applyAlignment="1">
      <alignment horizontal="distributed" vertical="center"/>
    </xf>
    <xf numFmtId="0" fontId="2" fillId="0" borderId="118" xfId="0" applyFont="1" applyBorder="1" applyAlignment="1">
      <alignment horizontal="distributed" vertical="center" wrapText="1"/>
    </xf>
    <xf numFmtId="0" fontId="2" fillId="0" borderId="119" xfId="0" applyFont="1" applyBorder="1" applyAlignment="1">
      <alignment horizontal="distributed" vertical="center"/>
    </xf>
    <xf numFmtId="0" fontId="6" fillId="0" borderId="120" xfId="0" applyFont="1" applyBorder="1" applyAlignment="1">
      <alignment horizontal="distributed" vertical="center"/>
    </xf>
    <xf numFmtId="0" fontId="6" fillId="0" borderId="121" xfId="0" applyFont="1" applyBorder="1" applyAlignment="1">
      <alignment horizontal="distributed" vertical="center"/>
    </xf>
    <xf numFmtId="0" fontId="2" fillId="0" borderId="53" xfId="0" applyFont="1" applyBorder="1" applyAlignment="1">
      <alignment horizontal="distributed" vertical="center"/>
    </xf>
    <xf numFmtId="0" fontId="2" fillId="0" borderId="122"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23" xfId="0" applyFont="1" applyBorder="1" applyAlignment="1">
      <alignment horizontal="center" vertical="center"/>
    </xf>
    <xf numFmtId="0" fontId="2" fillId="0" borderId="58" xfId="0" applyFont="1" applyBorder="1" applyAlignment="1">
      <alignment horizontal="center" vertical="center"/>
    </xf>
    <xf numFmtId="0" fontId="2" fillId="0" borderId="124" xfId="0" applyFont="1" applyBorder="1" applyAlignment="1">
      <alignment horizontal="center" vertical="center"/>
    </xf>
    <xf numFmtId="0" fontId="2" fillId="0" borderId="118" xfId="0" applyFont="1" applyBorder="1" applyAlignment="1">
      <alignment horizontal="center" vertical="center"/>
    </xf>
    <xf numFmtId="0" fontId="2" fillId="0" borderId="12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26"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10" fillId="0" borderId="38" xfId="61" applyFont="1" applyBorder="1" applyAlignment="1">
      <alignment horizontal="distributed" vertical="center" wrapText="1"/>
      <protection/>
    </xf>
    <xf numFmtId="0" fontId="10" fillId="0" borderId="127" xfId="61" applyFont="1" applyBorder="1" applyAlignment="1">
      <alignment horizontal="distributed" vertical="center" wrapText="1"/>
      <protection/>
    </xf>
    <xf numFmtId="0" fontId="10" fillId="0" borderId="128" xfId="61" applyFont="1" applyBorder="1" applyAlignment="1">
      <alignment horizontal="distributed" vertical="center" wrapText="1"/>
      <protection/>
    </xf>
    <xf numFmtId="0" fontId="10" fillId="0" borderId="129" xfId="61" applyFont="1" applyBorder="1" applyAlignment="1">
      <alignment horizontal="center" vertical="center"/>
      <protection/>
    </xf>
    <xf numFmtId="0" fontId="10" fillId="0" borderId="130" xfId="61" applyFont="1" applyBorder="1" applyAlignment="1">
      <alignment horizontal="center" vertical="center"/>
      <protection/>
    </xf>
    <xf numFmtId="0" fontId="10" fillId="0" borderId="131" xfId="61" applyFont="1" applyBorder="1" applyAlignment="1">
      <alignment horizontal="center" vertical="center"/>
      <protection/>
    </xf>
    <xf numFmtId="0" fontId="10" fillId="0" borderId="0" xfId="61" applyFont="1" applyBorder="1" applyAlignment="1">
      <alignment horizontal="left" vertical="center"/>
      <protection/>
    </xf>
    <xf numFmtId="0" fontId="10" fillId="0" borderId="108" xfId="61" applyFont="1" applyBorder="1" applyAlignment="1">
      <alignment horizontal="distributed" vertical="center"/>
      <protection/>
    </xf>
    <xf numFmtId="0" fontId="10" fillId="0" borderId="110" xfId="61" applyFont="1" applyBorder="1" applyAlignment="1">
      <alignment horizontal="distributed" vertical="center"/>
      <protection/>
    </xf>
    <xf numFmtId="0" fontId="10" fillId="0" borderId="132" xfId="61" applyFont="1" applyBorder="1" applyAlignment="1">
      <alignment horizontal="distributed" vertical="center"/>
      <protection/>
    </xf>
    <xf numFmtId="0" fontId="10" fillId="0" borderId="133" xfId="61" applyFont="1" applyBorder="1" applyAlignment="1">
      <alignment horizontal="center" vertical="center"/>
      <protection/>
    </xf>
    <xf numFmtId="0" fontId="10" fillId="0" borderId="134" xfId="61" applyFont="1" applyBorder="1" applyAlignment="1">
      <alignment horizontal="center" vertical="center"/>
      <protection/>
    </xf>
    <xf numFmtId="0" fontId="10" fillId="0" borderId="135" xfId="61" applyFont="1" applyBorder="1" applyAlignment="1">
      <alignment horizontal="center" vertical="center"/>
      <protection/>
    </xf>
    <xf numFmtId="0" fontId="10" fillId="0" borderId="136" xfId="61" applyFont="1" applyBorder="1" applyAlignment="1">
      <alignment horizontal="center" vertical="center"/>
      <protection/>
    </xf>
    <xf numFmtId="0" fontId="10" fillId="0" borderId="134" xfId="61" applyFont="1" applyBorder="1" applyAlignment="1">
      <alignment horizontal="center" vertical="center" wrapText="1"/>
      <protection/>
    </xf>
    <xf numFmtId="0" fontId="10" fillId="0" borderId="137" xfId="61" applyFont="1" applyBorder="1" applyAlignment="1">
      <alignment horizontal="left" vertical="center"/>
      <protection/>
    </xf>
    <xf numFmtId="0" fontId="10" fillId="0" borderId="138" xfId="61" applyFont="1" applyBorder="1" applyAlignment="1">
      <alignment horizontal="center" vertical="center"/>
      <protection/>
    </xf>
    <xf numFmtId="0" fontId="10" fillId="0" borderId="139" xfId="61" applyFont="1" applyBorder="1" applyAlignment="1">
      <alignment horizontal="center" vertical="center"/>
      <protection/>
    </xf>
    <xf numFmtId="0" fontId="10" fillId="0" borderId="140" xfId="61" applyFont="1" applyBorder="1" applyAlignment="1">
      <alignment horizontal="distributed" vertical="center" wrapText="1"/>
      <protection/>
    </xf>
    <xf numFmtId="0" fontId="10" fillId="0" borderId="141" xfId="61" applyFont="1" applyBorder="1" applyAlignment="1">
      <alignment horizontal="distributed" vertical="center"/>
      <protection/>
    </xf>
    <xf numFmtId="0" fontId="10" fillId="0" borderId="142" xfId="61" applyFont="1" applyBorder="1" applyAlignment="1">
      <alignment horizontal="distributed" vertical="center" wrapText="1"/>
      <protection/>
    </xf>
    <xf numFmtId="0" fontId="10" fillId="0" borderId="143" xfId="61" applyFont="1" applyBorder="1" applyAlignment="1">
      <alignment horizontal="distributed" vertical="center"/>
      <protection/>
    </xf>
    <xf numFmtId="0" fontId="10" fillId="0" borderId="144" xfId="61" applyFont="1" applyBorder="1" applyAlignment="1">
      <alignment horizontal="distributed" vertical="center" wrapText="1"/>
      <protection/>
    </xf>
    <xf numFmtId="0" fontId="10" fillId="0" borderId="145" xfId="61" applyFont="1" applyBorder="1" applyAlignment="1">
      <alignment horizontal="distributed" vertical="center" wrapText="1"/>
      <protection/>
    </xf>
    <xf numFmtId="0" fontId="10" fillId="0" borderId="40" xfId="61" applyFont="1" applyBorder="1" applyAlignment="1">
      <alignment horizontal="center" vertical="center"/>
      <protection/>
    </xf>
    <xf numFmtId="0" fontId="10" fillId="0" borderId="133"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9"/>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customWidth="1"/>
    <col min="9" max="9" width="3.00390625" style="1" customWidth="1"/>
    <col min="10" max="10" width="6.75390625" style="1" customWidth="1"/>
    <col min="11" max="11" width="11.375" style="1" bestFit="1" customWidth="1"/>
    <col min="12" max="16384" width="5.875" style="1" customWidth="1"/>
  </cols>
  <sheetData>
    <row r="1" spans="1:11" ht="15">
      <c r="A1" s="205" t="s">
        <v>0</v>
      </c>
      <c r="B1" s="205"/>
      <c r="C1" s="205"/>
      <c r="D1" s="205"/>
      <c r="E1" s="205"/>
      <c r="F1" s="205"/>
      <c r="G1" s="205"/>
      <c r="H1" s="205"/>
      <c r="I1" s="205"/>
      <c r="J1" s="205"/>
      <c r="K1" s="205"/>
    </row>
    <row r="2" spans="1:11" ht="15">
      <c r="A2" s="53"/>
      <c r="B2" s="53"/>
      <c r="C2" s="53"/>
      <c r="D2" s="53"/>
      <c r="E2" s="53"/>
      <c r="F2" s="53"/>
      <c r="G2" s="53"/>
      <c r="H2" s="53"/>
      <c r="I2" s="53"/>
      <c r="J2" s="53"/>
      <c r="K2" s="53"/>
    </row>
    <row r="3" spans="1:11" ht="12" thickBot="1">
      <c r="A3" s="206" t="s">
        <v>29</v>
      </c>
      <c r="B3" s="206"/>
      <c r="C3" s="206"/>
      <c r="D3" s="206"/>
      <c r="E3" s="206"/>
      <c r="F3" s="206"/>
      <c r="G3" s="206"/>
      <c r="H3" s="206"/>
      <c r="I3" s="206"/>
      <c r="J3" s="206"/>
      <c r="K3" s="206"/>
    </row>
    <row r="4" spans="1:11" ht="24" customHeight="1">
      <c r="A4" s="207" t="s">
        <v>1</v>
      </c>
      <c r="B4" s="208"/>
      <c r="C4" s="211" t="s">
        <v>15</v>
      </c>
      <c r="D4" s="212"/>
      <c r="E4" s="213"/>
      <c r="F4" s="211" t="s">
        <v>16</v>
      </c>
      <c r="G4" s="212"/>
      <c r="H4" s="213"/>
      <c r="I4" s="211" t="s">
        <v>17</v>
      </c>
      <c r="J4" s="212"/>
      <c r="K4" s="214"/>
    </row>
    <row r="5" spans="1:11" ht="24" customHeight="1">
      <c r="A5" s="209"/>
      <c r="B5" s="210"/>
      <c r="C5" s="215" t="s">
        <v>2</v>
      </c>
      <c r="D5" s="216"/>
      <c r="E5" s="6" t="s">
        <v>3</v>
      </c>
      <c r="F5" s="215" t="s">
        <v>2</v>
      </c>
      <c r="G5" s="216"/>
      <c r="H5" s="6" t="s">
        <v>3</v>
      </c>
      <c r="I5" s="215" t="s">
        <v>2</v>
      </c>
      <c r="J5" s="216"/>
      <c r="K5" s="14" t="s">
        <v>3</v>
      </c>
    </row>
    <row r="6" spans="1:11" ht="12" customHeight="1">
      <c r="A6" s="40"/>
      <c r="B6" s="43"/>
      <c r="C6" s="41"/>
      <c r="D6" s="33" t="s">
        <v>31</v>
      </c>
      <c r="E6" s="32" t="s">
        <v>30</v>
      </c>
      <c r="F6" s="41"/>
      <c r="G6" s="33" t="s">
        <v>31</v>
      </c>
      <c r="H6" s="32" t="s">
        <v>30</v>
      </c>
      <c r="I6" s="41"/>
      <c r="J6" s="33" t="s">
        <v>31</v>
      </c>
      <c r="K6" s="42" t="s">
        <v>30</v>
      </c>
    </row>
    <row r="7" spans="1:11" ht="30" customHeight="1">
      <c r="A7" s="217" t="s">
        <v>32</v>
      </c>
      <c r="B7" s="37" t="s">
        <v>18</v>
      </c>
      <c r="C7" s="15"/>
      <c r="D7" s="121">
        <v>57643</v>
      </c>
      <c r="E7" s="38">
        <v>38953496</v>
      </c>
      <c r="F7" s="18"/>
      <c r="G7" s="121">
        <v>153334</v>
      </c>
      <c r="H7" s="38">
        <v>1456854331</v>
      </c>
      <c r="I7" s="18"/>
      <c r="J7" s="121">
        <v>210977</v>
      </c>
      <c r="K7" s="39">
        <v>1495807826</v>
      </c>
    </row>
    <row r="8" spans="1:11" ht="30" customHeight="1">
      <c r="A8" s="218"/>
      <c r="B8" s="23" t="s">
        <v>19</v>
      </c>
      <c r="C8" s="15"/>
      <c r="D8" s="122">
        <v>92353</v>
      </c>
      <c r="E8" s="123">
        <v>38209401</v>
      </c>
      <c r="F8" s="18"/>
      <c r="G8" s="122">
        <v>60447</v>
      </c>
      <c r="H8" s="123">
        <v>36032617</v>
      </c>
      <c r="I8" s="18"/>
      <c r="J8" s="122">
        <v>152800</v>
      </c>
      <c r="K8" s="124">
        <v>74242018</v>
      </c>
    </row>
    <row r="9" spans="1:11" s="3" customFormat="1" ht="30" customHeight="1">
      <c r="A9" s="218"/>
      <c r="B9" s="24" t="s">
        <v>20</v>
      </c>
      <c r="C9" s="16"/>
      <c r="D9" s="125">
        <v>149996</v>
      </c>
      <c r="E9" s="126">
        <v>77162897</v>
      </c>
      <c r="F9" s="16"/>
      <c r="G9" s="125">
        <v>213781</v>
      </c>
      <c r="H9" s="126">
        <v>1492886948</v>
      </c>
      <c r="I9" s="16"/>
      <c r="J9" s="125">
        <v>363777</v>
      </c>
      <c r="K9" s="127">
        <v>1570049845</v>
      </c>
    </row>
    <row r="10" spans="1:11" ht="30" customHeight="1">
      <c r="A10" s="219"/>
      <c r="B10" s="25" t="s">
        <v>21</v>
      </c>
      <c r="C10" s="15"/>
      <c r="D10" s="128">
        <v>4201</v>
      </c>
      <c r="E10" s="129">
        <v>3442565</v>
      </c>
      <c r="F10" s="15"/>
      <c r="G10" s="128">
        <v>11419</v>
      </c>
      <c r="H10" s="129">
        <v>557756889</v>
      </c>
      <c r="I10" s="15"/>
      <c r="J10" s="128">
        <v>15620</v>
      </c>
      <c r="K10" s="130">
        <v>561199454</v>
      </c>
    </row>
    <row r="11" spans="1:11" ht="30" customHeight="1">
      <c r="A11" s="220" t="s">
        <v>33</v>
      </c>
      <c r="B11" s="54" t="s">
        <v>22</v>
      </c>
      <c r="C11" s="9"/>
      <c r="D11" s="131">
        <v>8462</v>
      </c>
      <c r="E11" s="20">
        <v>1483409</v>
      </c>
      <c r="F11" s="34"/>
      <c r="G11" s="132">
        <v>11503</v>
      </c>
      <c r="H11" s="20">
        <v>3328977</v>
      </c>
      <c r="I11" s="34"/>
      <c r="J11" s="132">
        <v>19965</v>
      </c>
      <c r="K11" s="21">
        <v>4812386</v>
      </c>
    </row>
    <row r="12" spans="1:11" ht="30" customHeight="1">
      <c r="A12" s="221"/>
      <c r="B12" s="55" t="s">
        <v>23</v>
      </c>
      <c r="C12" s="35"/>
      <c r="D12" s="122">
        <v>1052</v>
      </c>
      <c r="E12" s="123">
        <v>169090</v>
      </c>
      <c r="F12" s="36"/>
      <c r="G12" s="133">
        <v>1514</v>
      </c>
      <c r="H12" s="123">
        <v>2336358</v>
      </c>
      <c r="I12" s="36"/>
      <c r="J12" s="133">
        <v>2566</v>
      </c>
      <c r="K12" s="124">
        <v>2505448</v>
      </c>
    </row>
    <row r="13" spans="1:11" s="3" customFormat="1" ht="30" customHeight="1">
      <c r="A13" s="222" t="s">
        <v>6</v>
      </c>
      <c r="B13" s="223"/>
      <c r="C13" s="26" t="s">
        <v>14</v>
      </c>
      <c r="D13" s="134">
        <v>157701</v>
      </c>
      <c r="E13" s="135">
        <v>75034651</v>
      </c>
      <c r="F13" s="26" t="s">
        <v>14</v>
      </c>
      <c r="G13" s="134">
        <v>226425</v>
      </c>
      <c r="H13" s="135">
        <v>936122678</v>
      </c>
      <c r="I13" s="26" t="s">
        <v>14</v>
      </c>
      <c r="J13" s="134">
        <v>384126</v>
      </c>
      <c r="K13" s="136">
        <v>1011157330</v>
      </c>
    </row>
    <row r="14" spans="1:11" ht="30" customHeight="1" thickBot="1">
      <c r="A14" s="224" t="s">
        <v>7</v>
      </c>
      <c r="B14" s="225"/>
      <c r="C14" s="17"/>
      <c r="D14" s="137">
        <v>8572</v>
      </c>
      <c r="E14" s="138">
        <v>301610</v>
      </c>
      <c r="F14" s="19"/>
      <c r="G14" s="137">
        <v>8988</v>
      </c>
      <c r="H14" s="138">
        <v>611537</v>
      </c>
      <c r="I14" s="19"/>
      <c r="J14" s="137">
        <v>17560</v>
      </c>
      <c r="K14" s="139">
        <v>913146</v>
      </c>
    </row>
    <row r="15" spans="1:11" s="113" customFormat="1" ht="3" customHeight="1">
      <c r="A15" s="110"/>
      <c r="B15" s="110"/>
      <c r="C15" s="111"/>
      <c r="D15" s="112"/>
      <c r="E15" s="112"/>
      <c r="F15" s="112"/>
      <c r="G15" s="112"/>
      <c r="H15" s="112"/>
      <c r="I15" s="112"/>
      <c r="J15" s="112"/>
      <c r="K15" s="112"/>
    </row>
    <row r="16" spans="1:11" s="4" customFormat="1" ht="37.5" customHeight="1">
      <c r="A16" s="114" t="s">
        <v>168</v>
      </c>
      <c r="B16" s="226" t="s">
        <v>229</v>
      </c>
      <c r="C16" s="226"/>
      <c r="D16" s="226"/>
      <c r="E16" s="226"/>
      <c r="F16" s="226"/>
      <c r="G16" s="226"/>
      <c r="H16" s="226"/>
      <c r="I16" s="226"/>
      <c r="J16" s="226"/>
      <c r="K16" s="226"/>
    </row>
    <row r="17" spans="2:11" ht="45" customHeight="1">
      <c r="B17" s="227" t="s">
        <v>230</v>
      </c>
      <c r="C17" s="227"/>
      <c r="D17" s="227"/>
      <c r="E17" s="227"/>
      <c r="F17" s="227"/>
      <c r="G17" s="227"/>
      <c r="H17" s="227"/>
      <c r="I17" s="227"/>
      <c r="J17" s="227"/>
      <c r="K17" s="227"/>
    </row>
    <row r="18" spans="1:2" ht="14.25" customHeight="1">
      <c r="A18" s="1" t="s">
        <v>169</v>
      </c>
      <c r="B18" s="1" t="s">
        <v>170</v>
      </c>
    </row>
    <row r="19" spans="1:2" ht="11.25">
      <c r="A19" s="58" t="s">
        <v>171</v>
      </c>
      <c r="B19" s="1" t="s">
        <v>172</v>
      </c>
    </row>
  </sheetData>
  <sheetProtection/>
  <mergeCells count="15">
    <mergeCell ref="A7:A10"/>
    <mergeCell ref="A11:A12"/>
    <mergeCell ref="A13:B13"/>
    <mergeCell ref="A14:B14"/>
    <mergeCell ref="B16:K16"/>
    <mergeCell ref="B17:K17"/>
    <mergeCell ref="A1:K1"/>
    <mergeCell ref="A3:K3"/>
    <mergeCell ref="A4:B5"/>
    <mergeCell ref="C4:E4"/>
    <mergeCell ref="F4:H4"/>
    <mergeCell ref="I4:K4"/>
    <mergeCell ref="C5:D5"/>
    <mergeCell ref="F5:G5"/>
    <mergeCell ref="I5:J5"/>
  </mergeCells>
  <printOptions horizontalCentered="1"/>
  <pageMargins left="0.7086614173228347" right="0.7086614173228347" top="0.984251968503937" bottom="0.984251968503937" header="0.5118110236220472" footer="0.5118110236220472"/>
  <pageSetup horizontalDpi="600" verticalDpi="600" orientation="portrait" paperSize="9" r:id="rId1"/>
  <headerFooter alignWithMargins="0">
    <oddFooter>&amp;R名古屋国税局　消費税（H27）</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zoomScaleSheetLayoutView="100" zoomScalePageLayoutView="0" workbookViewId="0" topLeftCell="A1">
      <selection activeCell="A1" sqref="A1"/>
    </sheetView>
  </sheetViews>
  <sheetFormatPr defaultColWidth="9.00390625" defaultRowHeight="13.5"/>
  <cols>
    <col min="1" max="1" width="10.625" style="57" customWidth="1"/>
    <col min="2" max="2" width="15.625" style="57" customWidth="1"/>
    <col min="3" max="3" width="8.625" style="57" customWidth="1"/>
    <col min="4" max="4" width="10.625" style="57" customWidth="1"/>
    <col min="5" max="5" width="8.625" style="57" customWidth="1"/>
    <col min="6" max="6" width="12.875" style="57" bestFit="1" customWidth="1"/>
    <col min="7" max="7" width="8.625" style="57" customWidth="1"/>
    <col min="8" max="8" width="12.875" style="57" bestFit="1" customWidth="1"/>
    <col min="9" max="16384" width="9.00390625" style="57" customWidth="1"/>
  </cols>
  <sheetData>
    <row r="1" s="1" customFormat="1" ht="12" thickBot="1">
      <c r="A1" s="1" t="s">
        <v>34</v>
      </c>
    </row>
    <row r="2" spans="1:8" s="1" customFormat="1" ht="15" customHeight="1">
      <c r="A2" s="207" t="s">
        <v>1</v>
      </c>
      <c r="B2" s="208"/>
      <c r="C2" s="228" t="s">
        <v>15</v>
      </c>
      <c r="D2" s="228"/>
      <c r="E2" s="228" t="s">
        <v>24</v>
      </c>
      <c r="F2" s="228"/>
      <c r="G2" s="229" t="s">
        <v>25</v>
      </c>
      <c r="H2" s="230"/>
    </row>
    <row r="3" spans="1:8" s="1" customFormat="1" ht="15" customHeight="1">
      <c r="A3" s="209"/>
      <c r="B3" s="210"/>
      <c r="C3" s="9" t="s">
        <v>26</v>
      </c>
      <c r="D3" s="6" t="s">
        <v>27</v>
      </c>
      <c r="E3" s="9" t="s">
        <v>26</v>
      </c>
      <c r="F3" s="7" t="s">
        <v>27</v>
      </c>
      <c r="G3" s="9" t="s">
        <v>26</v>
      </c>
      <c r="H3" s="8" t="s">
        <v>27</v>
      </c>
    </row>
    <row r="4" spans="1:8" s="10" customFormat="1" ht="15" customHeight="1">
      <c r="A4" s="45"/>
      <c r="B4" s="6"/>
      <c r="C4" s="46" t="s">
        <v>4</v>
      </c>
      <c r="D4" s="47" t="s">
        <v>5</v>
      </c>
      <c r="E4" s="46" t="s">
        <v>4</v>
      </c>
      <c r="F4" s="47" t="s">
        <v>5</v>
      </c>
      <c r="G4" s="46" t="s">
        <v>4</v>
      </c>
      <c r="H4" s="48" t="s">
        <v>5</v>
      </c>
    </row>
    <row r="5" spans="1:8" s="56" customFormat="1" ht="30" customHeight="1">
      <c r="A5" s="233" t="s">
        <v>165</v>
      </c>
      <c r="B5" s="37" t="s">
        <v>12</v>
      </c>
      <c r="C5" s="44">
        <v>161323</v>
      </c>
      <c r="D5" s="38">
        <v>49879002</v>
      </c>
      <c r="E5" s="44">
        <v>219346</v>
      </c>
      <c r="F5" s="38">
        <v>878364017</v>
      </c>
      <c r="G5" s="44">
        <v>380669</v>
      </c>
      <c r="H5" s="39">
        <v>928243020</v>
      </c>
    </row>
    <row r="6" spans="1:8" s="56" customFormat="1" ht="30" customHeight="1">
      <c r="A6" s="234"/>
      <c r="B6" s="25" t="s">
        <v>13</v>
      </c>
      <c r="C6" s="28">
        <v>3565</v>
      </c>
      <c r="D6" s="29">
        <v>1417875</v>
      </c>
      <c r="E6" s="28">
        <v>9725</v>
      </c>
      <c r="F6" s="29">
        <v>279726998</v>
      </c>
      <c r="G6" s="28">
        <v>13290</v>
      </c>
      <c r="H6" s="30">
        <v>281144873</v>
      </c>
    </row>
    <row r="7" spans="1:8" s="56" customFormat="1" ht="30" customHeight="1">
      <c r="A7" s="235" t="s">
        <v>166</v>
      </c>
      <c r="B7" s="22" t="s">
        <v>12</v>
      </c>
      <c r="C7" s="27">
        <v>153712</v>
      </c>
      <c r="D7" s="20">
        <v>49152267</v>
      </c>
      <c r="E7" s="27">
        <v>215943</v>
      </c>
      <c r="F7" s="20">
        <v>921343022</v>
      </c>
      <c r="G7" s="27">
        <v>369655</v>
      </c>
      <c r="H7" s="21">
        <v>970495289</v>
      </c>
    </row>
    <row r="8" spans="1:8" s="56" customFormat="1" ht="30" customHeight="1">
      <c r="A8" s="234"/>
      <c r="B8" s="25" t="s">
        <v>13</v>
      </c>
      <c r="C8" s="28">
        <v>3499</v>
      </c>
      <c r="D8" s="29">
        <v>1383975</v>
      </c>
      <c r="E8" s="28">
        <v>9215</v>
      </c>
      <c r="F8" s="29">
        <v>274011605</v>
      </c>
      <c r="G8" s="28">
        <v>12714</v>
      </c>
      <c r="H8" s="30">
        <v>275395580</v>
      </c>
    </row>
    <row r="9" spans="1:8" s="56" customFormat="1" ht="30" customHeight="1">
      <c r="A9" s="235" t="s">
        <v>167</v>
      </c>
      <c r="B9" s="22" t="s">
        <v>12</v>
      </c>
      <c r="C9" s="27">
        <v>151300</v>
      </c>
      <c r="D9" s="20">
        <v>48910848</v>
      </c>
      <c r="E9" s="27">
        <v>214781</v>
      </c>
      <c r="F9" s="20">
        <v>884729086</v>
      </c>
      <c r="G9" s="27">
        <v>366081</v>
      </c>
      <c r="H9" s="21">
        <v>933639934</v>
      </c>
    </row>
    <row r="10" spans="1:8" s="56" customFormat="1" ht="30" customHeight="1">
      <c r="A10" s="234"/>
      <c r="B10" s="25" t="s">
        <v>13</v>
      </c>
      <c r="C10" s="28">
        <v>3738</v>
      </c>
      <c r="D10" s="29">
        <v>1624932</v>
      </c>
      <c r="E10" s="28">
        <v>9818</v>
      </c>
      <c r="F10" s="29">
        <v>298920075</v>
      </c>
      <c r="G10" s="28">
        <v>13556</v>
      </c>
      <c r="H10" s="30">
        <v>300545007</v>
      </c>
    </row>
    <row r="11" spans="1:8" s="56" customFormat="1" ht="30" customHeight="1">
      <c r="A11" s="235" t="s">
        <v>231</v>
      </c>
      <c r="B11" s="22" t="s">
        <v>12</v>
      </c>
      <c r="C11" s="27">
        <v>150362</v>
      </c>
      <c r="D11" s="20">
        <v>69660505</v>
      </c>
      <c r="E11" s="27">
        <v>213979</v>
      </c>
      <c r="F11" s="20">
        <v>1267857516</v>
      </c>
      <c r="G11" s="27">
        <v>364341</v>
      </c>
      <c r="H11" s="21">
        <v>1337518021</v>
      </c>
    </row>
    <row r="12" spans="1:8" s="56" customFormat="1" ht="30" customHeight="1">
      <c r="A12" s="234"/>
      <c r="B12" s="25" t="s">
        <v>13</v>
      </c>
      <c r="C12" s="28">
        <v>4094</v>
      </c>
      <c r="D12" s="29">
        <v>2447865</v>
      </c>
      <c r="E12" s="28">
        <v>10805</v>
      </c>
      <c r="F12" s="29">
        <v>527261049</v>
      </c>
      <c r="G12" s="28">
        <v>14899</v>
      </c>
      <c r="H12" s="30">
        <v>529708915</v>
      </c>
    </row>
    <row r="13" spans="1:8" s="1" customFormat="1" ht="30" customHeight="1">
      <c r="A13" s="231" t="s">
        <v>232</v>
      </c>
      <c r="B13" s="22" t="s">
        <v>12</v>
      </c>
      <c r="C13" s="27">
        <v>149996</v>
      </c>
      <c r="D13" s="20">
        <v>77162897</v>
      </c>
      <c r="E13" s="27">
        <v>213781</v>
      </c>
      <c r="F13" s="20">
        <v>1492886948</v>
      </c>
      <c r="G13" s="27">
        <v>363777</v>
      </c>
      <c r="H13" s="21">
        <v>1570049845</v>
      </c>
    </row>
    <row r="14" spans="1:8" s="1" customFormat="1" ht="30" customHeight="1" thickBot="1">
      <c r="A14" s="232"/>
      <c r="B14" s="31" t="s">
        <v>13</v>
      </c>
      <c r="C14" s="199">
        <v>4201</v>
      </c>
      <c r="D14" s="200">
        <v>3442565</v>
      </c>
      <c r="E14" s="199">
        <v>11419</v>
      </c>
      <c r="F14" s="200">
        <v>557756889</v>
      </c>
      <c r="G14" s="199">
        <v>15620</v>
      </c>
      <c r="H14" s="201">
        <v>561199454</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086614173228347" right="0.7086614173228347" top="0.984251968503937" bottom="0.984251968503937" header="0.5118110236220472" footer="0.5118110236220472"/>
  <pageSetup horizontalDpi="600" verticalDpi="600" orientation="portrait" paperSize="9" r:id="rId1"/>
  <headerFooter alignWithMargins="0">
    <oddFooter>&amp;R名古屋国税局　消費税（H27）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7"/>
  <sheetViews>
    <sheetView showGridLines="0" zoomScaleSheetLayoutView="100" zoomScalePageLayoutView="0" workbookViewId="0" topLeftCell="A1">
      <selection activeCell="A1" sqref="A1"/>
    </sheetView>
  </sheetViews>
  <sheetFormatPr defaultColWidth="9.00390625" defaultRowHeight="13.5"/>
  <cols>
    <col min="1" max="2" width="18.625" style="57" customWidth="1"/>
    <col min="3" max="3" width="23.625" style="57" customWidth="1"/>
    <col min="4" max="4" width="18.625" style="57" customWidth="1"/>
    <col min="5" max="16384" width="9.00390625" style="57" customWidth="1"/>
  </cols>
  <sheetData>
    <row r="1" s="1" customFormat="1" ht="20.25" customHeight="1" thickBot="1">
      <c r="A1" s="1" t="s">
        <v>28</v>
      </c>
    </row>
    <row r="2" spans="1:4" s="4" customFormat="1" ht="19.5" customHeight="1">
      <c r="A2" s="11" t="s">
        <v>8</v>
      </c>
      <c r="B2" s="12" t="s">
        <v>9</v>
      </c>
      <c r="C2" s="13" t="s">
        <v>10</v>
      </c>
      <c r="D2" s="59" t="s">
        <v>35</v>
      </c>
    </row>
    <row r="3" spans="1:4" s="10" customFormat="1" ht="15" customHeight="1">
      <c r="A3" s="49" t="s">
        <v>4</v>
      </c>
      <c r="B3" s="50" t="s">
        <v>4</v>
      </c>
      <c r="C3" s="51" t="s">
        <v>4</v>
      </c>
      <c r="D3" s="52" t="s">
        <v>4</v>
      </c>
    </row>
    <row r="4" spans="1:9" s="4" customFormat="1" ht="30" customHeight="1" thickBot="1">
      <c r="A4" s="195">
        <v>377438</v>
      </c>
      <c r="B4" s="196">
        <v>8958</v>
      </c>
      <c r="C4" s="197">
        <v>1102</v>
      </c>
      <c r="D4" s="198">
        <v>387498</v>
      </c>
      <c r="E4" s="5"/>
      <c r="G4" s="5"/>
      <c r="I4" s="5"/>
    </row>
    <row r="5" spans="1:9" s="117" customFormat="1" ht="3" customHeight="1">
      <c r="A5" s="115"/>
      <c r="B5" s="115"/>
      <c r="C5" s="115"/>
      <c r="D5" s="115"/>
      <c r="E5" s="116"/>
      <c r="G5" s="116"/>
      <c r="I5" s="116"/>
    </row>
    <row r="6" spans="1:4" s="4" customFormat="1" ht="15" customHeight="1">
      <c r="A6" s="236" t="s">
        <v>233</v>
      </c>
      <c r="B6" s="236"/>
      <c r="C6" s="236"/>
      <c r="D6" s="236"/>
    </row>
    <row r="7" spans="1:4" s="4" customFormat="1" ht="15" customHeight="1">
      <c r="A7" s="237" t="s">
        <v>11</v>
      </c>
      <c r="B7" s="237"/>
      <c r="C7" s="237"/>
      <c r="D7" s="237"/>
    </row>
  </sheetData>
  <sheetProtection/>
  <mergeCells count="2">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&amp;R名古屋国税局　消費税（H27）</oddFooter>
  </headerFooter>
</worksheet>
</file>

<file path=xl/worksheets/sheet4.xml><?xml version="1.0" encoding="utf-8"?>
<worksheet xmlns="http://schemas.openxmlformats.org/spreadsheetml/2006/main" xmlns:r="http://schemas.openxmlformats.org/officeDocument/2006/relationships">
  <dimension ref="A1:N65"/>
  <sheetViews>
    <sheetView zoomScale="85" zoomScaleNormal="85" zoomScaleSheetLayoutView="100" zoomScalePageLayoutView="115" workbookViewId="0" topLeftCell="A1">
      <selection activeCell="A1" sqref="A1"/>
    </sheetView>
  </sheetViews>
  <sheetFormatPr defaultColWidth="9.00390625" defaultRowHeight="13.5"/>
  <cols>
    <col min="1" max="1" width="11.375" style="173" customWidth="1"/>
    <col min="2" max="2" width="11.25390625" style="173" customWidth="1"/>
    <col min="3" max="3" width="12.625" style="173" customWidth="1"/>
    <col min="4" max="4" width="11.25390625" style="173" customWidth="1"/>
    <col min="5" max="5" width="12.625" style="173" customWidth="1"/>
    <col min="6" max="6" width="11.25390625" style="173" customWidth="1"/>
    <col min="7" max="7" width="12.625" style="173" customWidth="1"/>
    <col min="8" max="8" width="11.25390625" style="173" customWidth="1"/>
    <col min="9" max="9" width="12.625" style="173" customWidth="1"/>
    <col min="10" max="10" width="11.25390625" style="173" customWidth="1"/>
    <col min="11" max="11" width="12.625" style="173" customWidth="1"/>
    <col min="12" max="12" width="11.25390625" style="173" customWidth="1"/>
    <col min="13" max="13" width="12.625" style="173" customWidth="1"/>
    <col min="14" max="14" width="11.375" style="173" customWidth="1"/>
    <col min="15" max="16384" width="9.00390625" style="173" customWidth="1"/>
  </cols>
  <sheetData>
    <row r="1" spans="1:14" ht="13.5">
      <c r="A1" s="60" t="s">
        <v>154</v>
      </c>
      <c r="B1" s="60"/>
      <c r="C1" s="60"/>
      <c r="D1" s="60"/>
      <c r="E1" s="60"/>
      <c r="F1" s="60"/>
      <c r="G1" s="60"/>
      <c r="H1" s="61"/>
      <c r="I1" s="61"/>
      <c r="J1" s="61"/>
      <c r="K1" s="61"/>
      <c r="L1" s="61"/>
      <c r="M1" s="61"/>
      <c r="N1" s="61"/>
    </row>
    <row r="2" spans="1:14" ht="14.25" thickBot="1">
      <c r="A2" s="244" t="s">
        <v>36</v>
      </c>
      <c r="B2" s="244"/>
      <c r="C2" s="244"/>
      <c r="D2" s="244"/>
      <c r="E2" s="244"/>
      <c r="F2" s="244"/>
      <c r="G2" s="244"/>
      <c r="H2" s="61"/>
      <c r="I2" s="61"/>
      <c r="J2" s="61"/>
      <c r="K2" s="61"/>
      <c r="L2" s="61"/>
      <c r="M2" s="61"/>
      <c r="N2" s="61"/>
    </row>
    <row r="3" spans="1:14" ht="22.5" customHeight="1">
      <c r="A3" s="245" t="s">
        <v>155</v>
      </c>
      <c r="B3" s="248" t="s">
        <v>156</v>
      </c>
      <c r="C3" s="248"/>
      <c r="D3" s="248"/>
      <c r="E3" s="248"/>
      <c r="F3" s="248"/>
      <c r="G3" s="248"/>
      <c r="H3" s="249" t="s">
        <v>13</v>
      </c>
      <c r="I3" s="250"/>
      <c r="J3" s="252" t="s">
        <v>37</v>
      </c>
      <c r="K3" s="250"/>
      <c r="L3" s="249" t="s">
        <v>38</v>
      </c>
      <c r="M3" s="250"/>
      <c r="N3" s="238" t="s">
        <v>39</v>
      </c>
    </row>
    <row r="4" spans="1:14" ht="18.75" customHeight="1">
      <c r="A4" s="246"/>
      <c r="B4" s="241" t="s">
        <v>18</v>
      </c>
      <c r="C4" s="241"/>
      <c r="D4" s="242" t="s">
        <v>40</v>
      </c>
      <c r="E4" s="243"/>
      <c r="F4" s="242" t="s">
        <v>41</v>
      </c>
      <c r="G4" s="243"/>
      <c r="H4" s="242"/>
      <c r="I4" s="251"/>
      <c r="J4" s="242"/>
      <c r="K4" s="251"/>
      <c r="L4" s="242"/>
      <c r="M4" s="251"/>
      <c r="N4" s="239"/>
    </row>
    <row r="5" spans="1:14" s="194" customFormat="1" ht="33.75" customHeight="1">
      <c r="A5" s="247"/>
      <c r="B5" s="204" t="s">
        <v>228</v>
      </c>
      <c r="C5" s="62" t="s">
        <v>157</v>
      </c>
      <c r="D5" s="204" t="s">
        <v>228</v>
      </c>
      <c r="E5" s="62" t="s">
        <v>157</v>
      </c>
      <c r="F5" s="204" t="s">
        <v>228</v>
      </c>
      <c r="G5" s="63" t="s">
        <v>225</v>
      </c>
      <c r="H5" s="204" t="s">
        <v>228</v>
      </c>
      <c r="I5" s="63" t="s">
        <v>226</v>
      </c>
      <c r="J5" s="204" t="s">
        <v>228</v>
      </c>
      <c r="K5" s="63" t="s">
        <v>227</v>
      </c>
      <c r="L5" s="204" t="s">
        <v>228</v>
      </c>
      <c r="M5" s="63" t="s">
        <v>158</v>
      </c>
      <c r="N5" s="240"/>
    </row>
    <row r="6" spans="1:14" s="69" customFormat="1" ht="10.5">
      <c r="A6" s="64"/>
      <c r="B6" s="65" t="s">
        <v>4</v>
      </c>
      <c r="C6" s="66" t="s">
        <v>5</v>
      </c>
      <c r="D6" s="65" t="s">
        <v>4</v>
      </c>
      <c r="E6" s="66" t="s">
        <v>5</v>
      </c>
      <c r="F6" s="65" t="s">
        <v>4</v>
      </c>
      <c r="G6" s="66" t="s">
        <v>5</v>
      </c>
      <c r="H6" s="65" t="s">
        <v>4</v>
      </c>
      <c r="I6" s="67" t="s">
        <v>5</v>
      </c>
      <c r="J6" s="65" t="s">
        <v>4</v>
      </c>
      <c r="K6" s="67" t="s">
        <v>5</v>
      </c>
      <c r="L6" s="65" t="s">
        <v>4</v>
      </c>
      <c r="M6" s="67" t="s">
        <v>5</v>
      </c>
      <c r="N6" s="68"/>
    </row>
    <row r="7" spans="1:14" s="72" customFormat="1" ht="22.5" customHeight="1">
      <c r="A7" s="70" t="s">
        <v>45</v>
      </c>
      <c r="B7" s="174">
        <f>_xlfn.COMPOUNDVALUE(1)</f>
        <v>2023</v>
      </c>
      <c r="C7" s="175">
        <v>1181652</v>
      </c>
      <c r="D7" s="174">
        <f>_xlfn.COMPOUNDVALUE(2)</f>
        <v>2530</v>
      </c>
      <c r="E7" s="175">
        <v>1077610</v>
      </c>
      <c r="F7" s="174">
        <f>_xlfn.COMPOUNDVALUE(3)</f>
        <v>4553</v>
      </c>
      <c r="G7" s="175">
        <v>2259262</v>
      </c>
      <c r="H7" s="174">
        <f>_xlfn.COMPOUNDVALUE(4)</f>
        <v>159</v>
      </c>
      <c r="I7" s="176">
        <v>85050</v>
      </c>
      <c r="J7" s="174">
        <v>240</v>
      </c>
      <c r="K7" s="176">
        <v>26031</v>
      </c>
      <c r="L7" s="174">
        <v>4804</v>
      </c>
      <c r="M7" s="176">
        <v>2200242</v>
      </c>
      <c r="N7" s="71" t="s">
        <v>46</v>
      </c>
    </row>
    <row r="8" spans="1:14" s="72" customFormat="1" ht="22.5" customHeight="1">
      <c r="A8" s="73" t="s">
        <v>47</v>
      </c>
      <c r="B8" s="177">
        <f>_xlfn.COMPOUNDVALUE(5)</f>
        <v>1608</v>
      </c>
      <c r="C8" s="178">
        <v>999193</v>
      </c>
      <c r="D8" s="177">
        <f>_xlfn.COMPOUNDVALUE(6)</f>
        <v>1994</v>
      </c>
      <c r="E8" s="178">
        <v>850651</v>
      </c>
      <c r="F8" s="177">
        <f>_xlfn.COMPOUNDVALUE(7)</f>
        <v>3602</v>
      </c>
      <c r="G8" s="178">
        <v>1849845</v>
      </c>
      <c r="H8" s="177">
        <f>_xlfn.COMPOUNDVALUE(8)</f>
        <v>119</v>
      </c>
      <c r="I8" s="179">
        <v>103340</v>
      </c>
      <c r="J8" s="177">
        <v>212</v>
      </c>
      <c r="K8" s="179">
        <v>37992</v>
      </c>
      <c r="L8" s="177">
        <v>3813</v>
      </c>
      <c r="M8" s="179">
        <v>1784497</v>
      </c>
      <c r="N8" s="74" t="s">
        <v>48</v>
      </c>
    </row>
    <row r="9" spans="1:14" s="72" customFormat="1" ht="22.5" customHeight="1">
      <c r="A9" s="73" t="s">
        <v>49</v>
      </c>
      <c r="B9" s="177">
        <f>_xlfn.COMPOUNDVALUE(9)</f>
        <v>1643</v>
      </c>
      <c r="C9" s="178">
        <v>1081239</v>
      </c>
      <c r="D9" s="177">
        <f>_xlfn.COMPOUNDVALUE(10)</f>
        <v>2332</v>
      </c>
      <c r="E9" s="178">
        <v>920619</v>
      </c>
      <c r="F9" s="177">
        <f>_xlfn.COMPOUNDVALUE(11)</f>
        <v>3975</v>
      </c>
      <c r="G9" s="178">
        <v>2001859</v>
      </c>
      <c r="H9" s="177">
        <f>_xlfn.COMPOUNDVALUE(12)</f>
        <v>132</v>
      </c>
      <c r="I9" s="179">
        <v>86783</v>
      </c>
      <c r="J9" s="177">
        <v>279</v>
      </c>
      <c r="K9" s="179">
        <v>39180</v>
      </c>
      <c r="L9" s="177">
        <v>4173</v>
      </c>
      <c r="M9" s="179">
        <v>1954256</v>
      </c>
      <c r="N9" s="74" t="s">
        <v>50</v>
      </c>
    </row>
    <row r="10" spans="1:14" s="72" customFormat="1" ht="22.5" customHeight="1">
      <c r="A10" s="73" t="s">
        <v>51</v>
      </c>
      <c r="B10" s="177">
        <f>_xlfn.COMPOUNDVALUE(13)</f>
        <v>705</v>
      </c>
      <c r="C10" s="178">
        <v>424699</v>
      </c>
      <c r="D10" s="177">
        <f>_xlfn.COMPOUNDVALUE(14)</f>
        <v>1426</v>
      </c>
      <c r="E10" s="178">
        <v>558825</v>
      </c>
      <c r="F10" s="177">
        <f>_xlfn.COMPOUNDVALUE(15)</f>
        <v>2131</v>
      </c>
      <c r="G10" s="178">
        <v>983524</v>
      </c>
      <c r="H10" s="177">
        <f>_xlfn.COMPOUNDVALUE(16)</f>
        <v>46</v>
      </c>
      <c r="I10" s="179">
        <v>26411</v>
      </c>
      <c r="J10" s="177">
        <v>150</v>
      </c>
      <c r="K10" s="179">
        <v>11913</v>
      </c>
      <c r="L10" s="177">
        <v>2216</v>
      </c>
      <c r="M10" s="179">
        <v>969026</v>
      </c>
      <c r="N10" s="74" t="s">
        <v>52</v>
      </c>
    </row>
    <row r="11" spans="1:14" s="72" customFormat="1" ht="22.5" customHeight="1">
      <c r="A11" s="73" t="s">
        <v>53</v>
      </c>
      <c r="B11" s="177">
        <f>_xlfn.COMPOUNDVALUE(17)</f>
        <v>1075</v>
      </c>
      <c r="C11" s="178">
        <v>692289</v>
      </c>
      <c r="D11" s="177">
        <f>_xlfn.COMPOUNDVALUE(18)</f>
        <v>1867</v>
      </c>
      <c r="E11" s="178">
        <v>739569</v>
      </c>
      <c r="F11" s="177">
        <f>_xlfn.COMPOUNDVALUE(19)</f>
        <v>2942</v>
      </c>
      <c r="G11" s="178">
        <v>1431857</v>
      </c>
      <c r="H11" s="177">
        <f>_xlfn.COMPOUNDVALUE(20)</f>
        <v>75</v>
      </c>
      <c r="I11" s="179">
        <v>43597</v>
      </c>
      <c r="J11" s="177">
        <v>194</v>
      </c>
      <c r="K11" s="179">
        <v>20044</v>
      </c>
      <c r="L11" s="177">
        <v>3069</v>
      </c>
      <c r="M11" s="179">
        <v>1408304</v>
      </c>
      <c r="N11" s="74" t="s">
        <v>54</v>
      </c>
    </row>
    <row r="12" spans="1:14" s="72" customFormat="1" ht="22.5" customHeight="1">
      <c r="A12" s="73" t="s">
        <v>55</v>
      </c>
      <c r="B12" s="177">
        <f>_xlfn.COMPOUNDVALUE(21)</f>
        <v>1353</v>
      </c>
      <c r="C12" s="178">
        <v>738188</v>
      </c>
      <c r="D12" s="177">
        <f>_xlfn.COMPOUNDVALUE(22)</f>
        <v>1857</v>
      </c>
      <c r="E12" s="178">
        <v>726558</v>
      </c>
      <c r="F12" s="177">
        <f>_xlfn.COMPOUNDVALUE(23)</f>
        <v>3210</v>
      </c>
      <c r="G12" s="178">
        <v>1464746</v>
      </c>
      <c r="H12" s="177">
        <f>_xlfn.COMPOUNDVALUE(24)</f>
        <v>95</v>
      </c>
      <c r="I12" s="179">
        <v>42620</v>
      </c>
      <c r="J12" s="177">
        <v>126</v>
      </c>
      <c r="K12" s="179">
        <v>8515</v>
      </c>
      <c r="L12" s="177">
        <v>3337</v>
      </c>
      <c r="M12" s="179">
        <v>1430641</v>
      </c>
      <c r="N12" s="74" t="s">
        <v>56</v>
      </c>
    </row>
    <row r="13" spans="1:14" s="72" customFormat="1" ht="22.5" customHeight="1">
      <c r="A13" s="73" t="s">
        <v>57</v>
      </c>
      <c r="B13" s="177">
        <f>_xlfn.COMPOUNDVALUE(25)</f>
        <v>512</v>
      </c>
      <c r="C13" s="178">
        <v>328242</v>
      </c>
      <c r="D13" s="177">
        <f>_xlfn.COMPOUNDVALUE(26)</f>
        <v>850</v>
      </c>
      <c r="E13" s="178">
        <v>333221</v>
      </c>
      <c r="F13" s="177">
        <f>_xlfn.COMPOUNDVALUE(27)</f>
        <v>1362</v>
      </c>
      <c r="G13" s="178">
        <v>661463</v>
      </c>
      <c r="H13" s="177">
        <f>_xlfn.COMPOUNDVALUE(28)</f>
        <v>47</v>
      </c>
      <c r="I13" s="179">
        <v>31417</v>
      </c>
      <c r="J13" s="177">
        <v>128</v>
      </c>
      <c r="K13" s="179">
        <v>11204</v>
      </c>
      <c r="L13" s="177">
        <v>1440</v>
      </c>
      <c r="M13" s="179">
        <v>641249</v>
      </c>
      <c r="N13" s="74" t="s">
        <v>58</v>
      </c>
    </row>
    <row r="14" spans="1:14" s="72" customFormat="1" ht="22.5" customHeight="1">
      <c r="A14" s="75" t="s">
        <v>59</v>
      </c>
      <c r="B14" s="180">
        <v>8919</v>
      </c>
      <c r="C14" s="181">
        <v>5445501</v>
      </c>
      <c r="D14" s="180">
        <v>12856</v>
      </c>
      <c r="E14" s="181">
        <v>5207054</v>
      </c>
      <c r="F14" s="180">
        <v>21775</v>
      </c>
      <c r="G14" s="181">
        <v>10652555</v>
      </c>
      <c r="H14" s="180">
        <v>673</v>
      </c>
      <c r="I14" s="182">
        <v>419218</v>
      </c>
      <c r="J14" s="180">
        <v>1329</v>
      </c>
      <c r="K14" s="182">
        <v>154878</v>
      </c>
      <c r="L14" s="180">
        <v>22852</v>
      </c>
      <c r="M14" s="182">
        <v>10388215</v>
      </c>
      <c r="N14" s="76" t="s">
        <v>60</v>
      </c>
    </row>
    <row r="15" spans="1:14" s="72" customFormat="1" ht="22.5" customHeight="1">
      <c r="A15" s="77"/>
      <c r="B15" s="183"/>
      <c r="C15" s="184"/>
      <c r="D15" s="183"/>
      <c r="E15" s="184"/>
      <c r="F15" s="185"/>
      <c r="G15" s="184"/>
      <c r="H15" s="185"/>
      <c r="I15" s="184"/>
      <c r="J15" s="185"/>
      <c r="K15" s="184"/>
      <c r="L15" s="185"/>
      <c r="M15" s="184"/>
      <c r="N15" s="78"/>
    </row>
    <row r="16" spans="1:14" s="72" customFormat="1" ht="22.5" customHeight="1">
      <c r="A16" s="70" t="s">
        <v>61</v>
      </c>
      <c r="B16" s="174">
        <f>_xlfn.COMPOUNDVALUE(29)</f>
        <v>1855</v>
      </c>
      <c r="C16" s="175">
        <v>1146435</v>
      </c>
      <c r="D16" s="174">
        <f>_xlfn.COMPOUNDVALUE(30)</f>
        <v>3576</v>
      </c>
      <c r="E16" s="175">
        <v>1520337</v>
      </c>
      <c r="F16" s="174">
        <f>_xlfn.COMPOUNDVALUE(31)</f>
        <v>5431</v>
      </c>
      <c r="G16" s="175">
        <v>2666771</v>
      </c>
      <c r="H16" s="174">
        <f>_xlfn.COMPOUNDVALUE(32)</f>
        <v>107</v>
      </c>
      <c r="I16" s="176">
        <v>143262</v>
      </c>
      <c r="J16" s="174">
        <v>338</v>
      </c>
      <c r="K16" s="176">
        <v>50506</v>
      </c>
      <c r="L16" s="174">
        <v>5687</v>
      </c>
      <c r="M16" s="176">
        <v>2574016</v>
      </c>
      <c r="N16" s="79" t="s">
        <v>62</v>
      </c>
    </row>
    <row r="17" spans="1:14" s="72" customFormat="1" ht="22.5" customHeight="1">
      <c r="A17" s="70" t="s">
        <v>63</v>
      </c>
      <c r="B17" s="174">
        <f>_xlfn.COMPOUNDVALUE(33)</f>
        <v>886</v>
      </c>
      <c r="C17" s="175">
        <v>583070</v>
      </c>
      <c r="D17" s="174">
        <f>_xlfn.COMPOUNDVALUE(34)</f>
        <v>1800</v>
      </c>
      <c r="E17" s="175">
        <v>722586</v>
      </c>
      <c r="F17" s="174">
        <f>_xlfn.COMPOUNDVALUE(35)</f>
        <v>2686</v>
      </c>
      <c r="G17" s="175">
        <v>1305656</v>
      </c>
      <c r="H17" s="174">
        <f>_xlfn.COMPOUNDVALUE(36)</f>
        <v>56</v>
      </c>
      <c r="I17" s="176">
        <v>37532</v>
      </c>
      <c r="J17" s="174">
        <v>139</v>
      </c>
      <c r="K17" s="176">
        <v>14164</v>
      </c>
      <c r="L17" s="174">
        <v>2810</v>
      </c>
      <c r="M17" s="176">
        <v>1282288</v>
      </c>
      <c r="N17" s="71" t="s">
        <v>64</v>
      </c>
    </row>
    <row r="18" spans="1:14" s="72" customFormat="1" ht="22.5" customHeight="1">
      <c r="A18" s="70" t="s">
        <v>65</v>
      </c>
      <c r="B18" s="174">
        <f>_xlfn.COMPOUNDVALUE(37)</f>
        <v>1823</v>
      </c>
      <c r="C18" s="175">
        <v>1226935</v>
      </c>
      <c r="D18" s="174">
        <f>_xlfn.COMPOUNDVALUE(38)</f>
        <v>3604</v>
      </c>
      <c r="E18" s="175">
        <v>1486605</v>
      </c>
      <c r="F18" s="174">
        <f>_xlfn.COMPOUNDVALUE(39)</f>
        <v>5427</v>
      </c>
      <c r="G18" s="175">
        <v>2713540</v>
      </c>
      <c r="H18" s="174">
        <f>_xlfn.COMPOUNDVALUE(40)</f>
        <v>173</v>
      </c>
      <c r="I18" s="176">
        <v>168073</v>
      </c>
      <c r="J18" s="174">
        <v>298</v>
      </c>
      <c r="K18" s="176">
        <v>50437</v>
      </c>
      <c r="L18" s="174">
        <v>5696</v>
      </c>
      <c r="M18" s="176">
        <v>2595904</v>
      </c>
      <c r="N18" s="71" t="s">
        <v>66</v>
      </c>
    </row>
    <row r="19" spans="1:14" s="72" customFormat="1" ht="22.5" customHeight="1">
      <c r="A19" s="70" t="s">
        <v>67</v>
      </c>
      <c r="B19" s="174">
        <f>_xlfn.COMPOUNDVALUE(41)</f>
        <v>1226</v>
      </c>
      <c r="C19" s="175">
        <v>708286</v>
      </c>
      <c r="D19" s="174">
        <f>_xlfn.COMPOUNDVALUE(42)</f>
        <v>1946</v>
      </c>
      <c r="E19" s="175">
        <v>726814</v>
      </c>
      <c r="F19" s="174">
        <f>_xlfn.COMPOUNDVALUE(43)</f>
        <v>3172</v>
      </c>
      <c r="G19" s="175">
        <v>1435100</v>
      </c>
      <c r="H19" s="174">
        <f>_xlfn.COMPOUNDVALUE(44)</f>
        <v>87</v>
      </c>
      <c r="I19" s="176">
        <v>123256</v>
      </c>
      <c r="J19" s="174">
        <v>209</v>
      </c>
      <c r="K19" s="176">
        <v>21100</v>
      </c>
      <c r="L19" s="174">
        <v>3342</v>
      </c>
      <c r="M19" s="176">
        <v>1332944</v>
      </c>
      <c r="N19" s="71" t="s">
        <v>68</v>
      </c>
    </row>
    <row r="20" spans="1:14" s="72" customFormat="1" ht="22.5" customHeight="1">
      <c r="A20" s="70" t="s">
        <v>69</v>
      </c>
      <c r="B20" s="174">
        <f>_xlfn.COMPOUNDVALUE(45)</f>
        <v>1348</v>
      </c>
      <c r="C20" s="175">
        <v>951647</v>
      </c>
      <c r="D20" s="174">
        <f>_xlfn.COMPOUNDVALUE(46)</f>
        <v>2492</v>
      </c>
      <c r="E20" s="175">
        <v>1032905</v>
      </c>
      <c r="F20" s="174">
        <f>_xlfn.COMPOUNDVALUE(47)</f>
        <v>3840</v>
      </c>
      <c r="G20" s="175">
        <v>1984552</v>
      </c>
      <c r="H20" s="174">
        <f>_xlfn.COMPOUNDVALUE(48)</f>
        <v>83</v>
      </c>
      <c r="I20" s="176">
        <v>80011</v>
      </c>
      <c r="J20" s="174">
        <v>349</v>
      </c>
      <c r="K20" s="176">
        <v>37357</v>
      </c>
      <c r="L20" s="174">
        <v>4064</v>
      </c>
      <c r="M20" s="176">
        <v>1941898</v>
      </c>
      <c r="N20" s="71" t="s">
        <v>70</v>
      </c>
    </row>
    <row r="21" spans="1:14" s="72" customFormat="1" ht="22.5" customHeight="1">
      <c r="A21" s="70" t="s">
        <v>71</v>
      </c>
      <c r="B21" s="174">
        <f>_xlfn.COMPOUNDVALUE(49)</f>
        <v>456</v>
      </c>
      <c r="C21" s="175">
        <v>256915</v>
      </c>
      <c r="D21" s="174">
        <f>_xlfn.COMPOUNDVALUE(50)</f>
        <v>851</v>
      </c>
      <c r="E21" s="175">
        <v>355862</v>
      </c>
      <c r="F21" s="174">
        <f>_xlfn.COMPOUNDVALUE(51)</f>
        <v>1307</v>
      </c>
      <c r="G21" s="175">
        <v>612777</v>
      </c>
      <c r="H21" s="174">
        <f>_xlfn.COMPOUNDVALUE(52)</f>
        <v>23</v>
      </c>
      <c r="I21" s="176">
        <v>25586</v>
      </c>
      <c r="J21" s="174">
        <v>108</v>
      </c>
      <c r="K21" s="176">
        <v>8971</v>
      </c>
      <c r="L21" s="174">
        <v>1358</v>
      </c>
      <c r="M21" s="176">
        <v>596162</v>
      </c>
      <c r="N21" s="71" t="s">
        <v>72</v>
      </c>
    </row>
    <row r="22" spans="1:14" s="72" customFormat="1" ht="22.5" customHeight="1">
      <c r="A22" s="73" t="s">
        <v>73</v>
      </c>
      <c r="B22" s="177">
        <f>_xlfn.COMPOUNDVALUE(53)</f>
        <v>730</v>
      </c>
      <c r="C22" s="178">
        <v>485779</v>
      </c>
      <c r="D22" s="177">
        <f>_xlfn.COMPOUNDVALUE(54)</f>
        <v>1691</v>
      </c>
      <c r="E22" s="178">
        <v>657987</v>
      </c>
      <c r="F22" s="177">
        <f>_xlfn.COMPOUNDVALUE(55)</f>
        <v>2421</v>
      </c>
      <c r="G22" s="178">
        <v>1143766</v>
      </c>
      <c r="H22" s="177">
        <f>_xlfn.COMPOUNDVALUE(56)</f>
        <v>40</v>
      </c>
      <c r="I22" s="179">
        <v>43313</v>
      </c>
      <c r="J22" s="177">
        <v>177</v>
      </c>
      <c r="K22" s="179">
        <v>20000</v>
      </c>
      <c r="L22" s="177">
        <v>2531</v>
      </c>
      <c r="M22" s="179">
        <v>1120453</v>
      </c>
      <c r="N22" s="74" t="s">
        <v>74</v>
      </c>
    </row>
    <row r="23" spans="1:14" s="72" customFormat="1" ht="22.5" customHeight="1">
      <c r="A23" s="73" t="s">
        <v>75</v>
      </c>
      <c r="B23" s="177">
        <f>_xlfn.COMPOUNDVALUE(57)</f>
        <v>754</v>
      </c>
      <c r="C23" s="178">
        <v>492978</v>
      </c>
      <c r="D23" s="177">
        <f>_xlfn.COMPOUNDVALUE(58)</f>
        <v>1751</v>
      </c>
      <c r="E23" s="178">
        <v>624816</v>
      </c>
      <c r="F23" s="177">
        <f>_xlfn.COMPOUNDVALUE(59)</f>
        <v>2505</v>
      </c>
      <c r="G23" s="178">
        <v>1117794</v>
      </c>
      <c r="H23" s="177">
        <f>_xlfn.COMPOUNDVALUE(60)</f>
        <v>48</v>
      </c>
      <c r="I23" s="179">
        <v>26055</v>
      </c>
      <c r="J23" s="177">
        <v>127</v>
      </c>
      <c r="K23" s="179">
        <v>8829</v>
      </c>
      <c r="L23" s="177">
        <v>2582</v>
      </c>
      <c r="M23" s="179">
        <v>1100569</v>
      </c>
      <c r="N23" s="74" t="s">
        <v>76</v>
      </c>
    </row>
    <row r="24" spans="1:14" s="72" customFormat="1" ht="22.5" customHeight="1">
      <c r="A24" s="73" t="s">
        <v>77</v>
      </c>
      <c r="B24" s="177">
        <f>_xlfn.COMPOUNDVALUE(61)</f>
        <v>1459</v>
      </c>
      <c r="C24" s="178">
        <v>1061603</v>
      </c>
      <c r="D24" s="177">
        <f>_xlfn.COMPOUNDVALUE(62)</f>
        <v>2795</v>
      </c>
      <c r="E24" s="178">
        <v>1162408</v>
      </c>
      <c r="F24" s="177">
        <f>_xlfn.COMPOUNDVALUE(63)</f>
        <v>4254</v>
      </c>
      <c r="G24" s="178">
        <v>2224011</v>
      </c>
      <c r="H24" s="177">
        <f>_xlfn.COMPOUNDVALUE(64)</f>
        <v>80</v>
      </c>
      <c r="I24" s="179">
        <v>55718</v>
      </c>
      <c r="J24" s="177">
        <v>207</v>
      </c>
      <c r="K24" s="179">
        <v>34163</v>
      </c>
      <c r="L24" s="177">
        <v>4416</v>
      </c>
      <c r="M24" s="179">
        <v>2202456</v>
      </c>
      <c r="N24" s="74" t="s">
        <v>78</v>
      </c>
    </row>
    <row r="25" spans="1:14" s="72" customFormat="1" ht="22.5" customHeight="1">
      <c r="A25" s="73" t="s">
        <v>79</v>
      </c>
      <c r="B25" s="177">
        <f>_xlfn.COMPOUNDVALUE(65)</f>
        <v>909</v>
      </c>
      <c r="C25" s="178">
        <v>544168</v>
      </c>
      <c r="D25" s="177">
        <f>_xlfn.COMPOUNDVALUE(66)</f>
        <v>1785</v>
      </c>
      <c r="E25" s="178">
        <v>684774</v>
      </c>
      <c r="F25" s="177">
        <f>_xlfn.COMPOUNDVALUE(67)</f>
        <v>2694</v>
      </c>
      <c r="G25" s="178">
        <v>1228943</v>
      </c>
      <c r="H25" s="177">
        <f>_xlfn.COMPOUNDVALUE(68)</f>
        <v>71</v>
      </c>
      <c r="I25" s="179">
        <v>37214</v>
      </c>
      <c r="J25" s="177">
        <v>93</v>
      </c>
      <c r="K25" s="179">
        <v>9873</v>
      </c>
      <c r="L25" s="177">
        <v>2805</v>
      </c>
      <c r="M25" s="179">
        <v>1201602</v>
      </c>
      <c r="N25" s="74" t="s">
        <v>80</v>
      </c>
    </row>
    <row r="26" spans="1:14" s="72" customFormat="1" ht="22.5" customHeight="1">
      <c r="A26" s="73" t="s">
        <v>81</v>
      </c>
      <c r="B26" s="177">
        <f>_xlfn.COMPOUNDVALUE(69)</f>
        <v>787</v>
      </c>
      <c r="C26" s="178">
        <v>502537</v>
      </c>
      <c r="D26" s="177">
        <f>_xlfn.COMPOUNDVALUE(70)</f>
        <v>1649</v>
      </c>
      <c r="E26" s="178">
        <v>608237</v>
      </c>
      <c r="F26" s="177">
        <f>_xlfn.COMPOUNDVALUE(71)</f>
        <v>2436</v>
      </c>
      <c r="G26" s="178">
        <v>1110774</v>
      </c>
      <c r="H26" s="177">
        <f>_xlfn.COMPOUNDVALUE(72)</f>
        <v>83</v>
      </c>
      <c r="I26" s="179">
        <v>56496</v>
      </c>
      <c r="J26" s="177">
        <v>102</v>
      </c>
      <c r="K26" s="179">
        <v>7601</v>
      </c>
      <c r="L26" s="177">
        <v>2538</v>
      </c>
      <c r="M26" s="179">
        <v>1061879</v>
      </c>
      <c r="N26" s="74" t="s">
        <v>82</v>
      </c>
    </row>
    <row r="27" spans="1:14" s="72" customFormat="1" ht="22.5" customHeight="1">
      <c r="A27" s="73" t="s">
        <v>83</v>
      </c>
      <c r="B27" s="177">
        <f>_xlfn.COMPOUNDVALUE(73)</f>
        <v>1064</v>
      </c>
      <c r="C27" s="178">
        <v>692862</v>
      </c>
      <c r="D27" s="177">
        <f>_xlfn.COMPOUNDVALUE(74)</f>
        <v>1883</v>
      </c>
      <c r="E27" s="178">
        <v>742956</v>
      </c>
      <c r="F27" s="177">
        <f>_xlfn.COMPOUNDVALUE(75)</f>
        <v>2947</v>
      </c>
      <c r="G27" s="178">
        <v>1435818</v>
      </c>
      <c r="H27" s="177">
        <f>_xlfn.COMPOUNDVALUE(76)</f>
        <v>56</v>
      </c>
      <c r="I27" s="179">
        <v>37173</v>
      </c>
      <c r="J27" s="177">
        <v>200</v>
      </c>
      <c r="K27" s="179">
        <v>39157</v>
      </c>
      <c r="L27" s="177">
        <v>3084</v>
      </c>
      <c r="M27" s="179">
        <v>1437802</v>
      </c>
      <c r="N27" s="74" t="s">
        <v>84</v>
      </c>
    </row>
    <row r="28" spans="1:14" s="72" customFormat="1" ht="22.5" customHeight="1">
      <c r="A28" s="73" t="s">
        <v>85</v>
      </c>
      <c r="B28" s="177">
        <f>_xlfn.COMPOUNDVALUE(77)</f>
        <v>335</v>
      </c>
      <c r="C28" s="178">
        <v>213971</v>
      </c>
      <c r="D28" s="177">
        <f>_xlfn.COMPOUNDVALUE(78)</f>
        <v>669</v>
      </c>
      <c r="E28" s="178">
        <v>242865</v>
      </c>
      <c r="F28" s="177">
        <f>_xlfn.COMPOUNDVALUE(79)</f>
        <v>1004</v>
      </c>
      <c r="G28" s="178">
        <v>456836</v>
      </c>
      <c r="H28" s="177">
        <f>_xlfn.COMPOUNDVALUE(80)</f>
        <v>24</v>
      </c>
      <c r="I28" s="179">
        <v>14560</v>
      </c>
      <c r="J28" s="177">
        <v>73</v>
      </c>
      <c r="K28" s="179">
        <v>2964</v>
      </c>
      <c r="L28" s="177">
        <v>1035</v>
      </c>
      <c r="M28" s="179">
        <v>445240</v>
      </c>
      <c r="N28" s="74" t="s">
        <v>86</v>
      </c>
    </row>
    <row r="29" spans="1:14" s="72" customFormat="1" ht="22.5" customHeight="1">
      <c r="A29" s="75" t="s">
        <v>87</v>
      </c>
      <c r="B29" s="180">
        <v>13632</v>
      </c>
      <c r="C29" s="181">
        <v>8867186</v>
      </c>
      <c r="D29" s="180">
        <v>26492</v>
      </c>
      <c r="E29" s="181">
        <v>10569150</v>
      </c>
      <c r="F29" s="180">
        <v>40124</v>
      </c>
      <c r="G29" s="181">
        <v>19436336</v>
      </c>
      <c r="H29" s="180">
        <v>931</v>
      </c>
      <c r="I29" s="182">
        <v>848248</v>
      </c>
      <c r="J29" s="180">
        <v>2420</v>
      </c>
      <c r="K29" s="182">
        <v>305123</v>
      </c>
      <c r="L29" s="180">
        <v>41948</v>
      </c>
      <c r="M29" s="182">
        <v>18893211</v>
      </c>
      <c r="N29" s="76" t="s">
        <v>88</v>
      </c>
    </row>
    <row r="30" spans="1:14" s="72" customFormat="1" ht="22.5" customHeight="1">
      <c r="A30" s="77"/>
      <c r="B30" s="183"/>
      <c r="C30" s="184"/>
      <c r="D30" s="183"/>
      <c r="E30" s="184"/>
      <c r="F30" s="185"/>
      <c r="G30" s="184"/>
      <c r="H30" s="185"/>
      <c r="I30" s="184"/>
      <c r="J30" s="185"/>
      <c r="K30" s="184"/>
      <c r="L30" s="185"/>
      <c r="M30" s="184"/>
      <c r="N30" s="78"/>
    </row>
    <row r="31" spans="1:14" s="72" customFormat="1" ht="22.5" customHeight="1">
      <c r="A31" s="70" t="s">
        <v>89</v>
      </c>
      <c r="B31" s="174">
        <f>_xlfn.COMPOUNDVALUE(81)</f>
        <v>1205</v>
      </c>
      <c r="C31" s="175">
        <v>1018342</v>
      </c>
      <c r="D31" s="174">
        <f>_xlfn.COMPOUNDVALUE(82)</f>
        <v>1732</v>
      </c>
      <c r="E31" s="175">
        <v>896679</v>
      </c>
      <c r="F31" s="174">
        <f>_xlfn.COMPOUNDVALUE(83)</f>
        <v>2937</v>
      </c>
      <c r="G31" s="175">
        <v>1915022</v>
      </c>
      <c r="H31" s="174">
        <f>_xlfn.COMPOUNDVALUE(84)</f>
        <v>110</v>
      </c>
      <c r="I31" s="176">
        <v>125352</v>
      </c>
      <c r="J31" s="174">
        <v>220</v>
      </c>
      <c r="K31" s="176">
        <v>34262</v>
      </c>
      <c r="L31" s="174">
        <v>3133</v>
      </c>
      <c r="M31" s="176">
        <v>1823932</v>
      </c>
      <c r="N31" s="79" t="s">
        <v>90</v>
      </c>
    </row>
    <row r="32" spans="1:14" s="72" customFormat="1" ht="22.5" customHeight="1">
      <c r="A32" s="70" t="s">
        <v>91</v>
      </c>
      <c r="B32" s="174">
        <f>_xlfn.COMPOUNDVALUE(85)</f>
        <v>455</v>
      </c>
      <c r="C32" s="175">
        <v>396477</v>
      </c>
      <c r="D32" s="174">
        <f>_xlfn.COMPOUNDVALUE(86)</f>
        <v>543</v>
      </c>
      <c r="E32" s="175">
        <v>294029</v>
      </c>
      <c r="F32" s="174">
        <f>_xlfn.COMPOUNDVALUE(87)</f>
        <v>998</v>
      </c>
      <c r="G32" s="175">
        <v>690506</v>
      </c>
      <c r="H32" s="174">
        <f>_xlfn.COMPOUNDVALUE(88)</f>
        <v>46</v>
      </c>
      <c r="I32" s="176">
        <v>17308</v>
      </c>
      <c r="J32" s="174">
        <v>68</v>
      </c>
      <c r="K32" s="176">
        <v>9018</v>
      </c>
      <c r="L32" s="174">
        <v>1072</v>
      </c>
      <c r="M32" s="176">
        <v>682216</v>
      </c>
      <c r="N32" s="71" t="s">
        <v>92</v>
      </c>
    </row>
    <row r="33" spans="1:14" s="72" customFormat="1" ht="22.5" customHeight="1">
      <c r="A33" s="70" t="s">
        <v>93</v>
      </c>
      <c r="B33" s="174">
        <f>_xlfn.COMPOUNDVALUE(89)</f>
        <v>1174</v>
      </c>
      <c r="C33" s="175">
        <v>701005</v>
      </c>
      <c r="D33" s="174">
        <f>_xlfn.COMPOUNDVALUE(90)</f>
        <v>1549</v>
      </c>
      <c r="E33" s="175">
        <v>652094</v>
      </c>
      <c r="F33" s="174">
        <f>_xlfn.COMPOUNDVALUE(91)</f>
        <v>2723</v>
      </c>
      <c r="G33" s="175">
        <v>1353099</v>
      </c>
      <c r="H33" s="174">
        <f>_xlfn.COMPOUNDVALUE(92)</f>
        <v>90</v>
      </c>
      <c r="I33" s="176">
        <v>91156</v>
      </c>
      <c r="J33" s="174">
        <v>217</v>
      </c>
      <c r="K33" s="176">
        <v>36367</v>
      </c>
      <c r="L33" s="174">
        <v>2942</v>
      </c>
      <c r="M33" s="176">
        <v>1298310</v>
      </c>
      <c r="N33" s="71" t="s">
        <v>94</v>
      </c>
    </row>
    <row r="34" spans="1:14" s="72" customFormat="1" ht="22.5" customHeight="1">
      <c r="A34" s="70" t="s">
        <v>95</v>
      </c>
      <c r="B34" s="174">
        <f>_xlfn.COMPOUNDVALUE(93)</f>
        <v>1262</v>
      </c>
      <c r="C34" s="175">
        <v>700191</v>
      </c>
      <c r="D34" s="174">
        <f>_xlfn.COMPOUNDVALUE(94)</f>
        <v>1615</v>
      </c>
      <c r="E34" s="175">
        <v>684913</v>
      </c>
      <c r="F34" s="174">
        <f>_xlfn.COMPOUNDVALUE(95)</f>
        <v>2877</v>
      </c>
      <c r="G34" s="175">
        <v>1385104</v>
      </c>
      <c r="H34" s="174">
        <f>_xlfn.COMPOUNDVALUE(96)</f>
        <v>77</v>
      </c>
      <c r="I34" s="176">
        <v>40063</v>
      </c>
      <c r="J34" s="174">
        <v>235</v>
      </c>
      <c r="K34" s="176">
        <v>42042</v>
      </c>
      <c r="L34" s="174">
        <v>3038</v>
      </c>
      <c r="M34" s="176">
        <v>1387083</v>
      </c>
      <c r="N34" s="71" t="s">
        <v>96</v>
      </c>
    </row>
    <row r="35" spans="1:14" s="72" customFormat="1" ht="22.5" customHeight="1">
      <c r="A35" s="70" t="s">
        <v>97</v>
      </c>
      <c r="B35" s="174">
        <f>_xlfn.COMPOUNDVALUE(97)</f>
        <v>641</v>
      </c>
      <c r="C35" s="175">
        <v>415186</v>
      </c>
      <c r="D35" s="174">
        <f>_xlfn.COMPOUNDVALUE(98)</f>
        <v>814</v>
      </c>
      <c r="E35" s="175">
        <v>368891</v>
      </c>
      <c r="F35" s="174">
        <f>_xlfn.COMPOUNDVALUE(99)</f>
        <v>1455</v>
      </c>
      <c r="G35" s="175">
        <v>784077</v>
      </c>
      <c r="H35" s="174">
        <f>_xlfn.COMPOUNDVALUE(100)</f>
        <v>48</v>
      </c>
      <c r="I35" s="176">
        <v>32103</v>
      </c>
      <c r="J35" s="174">
        <v>148</v>
      </c>
      <c r="K35" s="176">
        <v>16937</v>
      </c>
      <c r="L35" s="174">
        <v>1561</v>
      </c>
      <c r="M35" s="176">
        <v>768911</v>
      </c>
      <c r="N35" s="71" t="s">
        <v>98</v>
      </c>
    </row>
    <row r="36" spans="1:14" s="72" customFormat="1" ht="22.5" customHeight="1">
      <c r="A36" s="70" t="s">
        <v>99</v>
      </c>
      <c r="B36" s="174">
        <f>_xlfn.COMPOUNDVALUE(101)</f>
        <v>954</v>
      </c>
      <c r="C36" s="175">
        <v>1068288</v>
      </c>
      <c r="D36" s="174">
        <f>_xlfn.COMPOUNDVALUE(102)</f>
        <v>989</v>
      </c>
      <c r="E36" s="175">
        <v>573203</v>
      </c>
      <c r="F36" s="174">
        <f>_xlfn.COMPOUNDVALUE(103)</f>
        <v>1943</v>
      </c>
      <c r="G36" s="175">
        <v>1641491</v>
      </c>
      <c r="H36" s="174">
        <f>_xlfn.COMPOUNDVALUE(104)</f>
        <v>75</v>
      </c>
      <c r="I36" s="176">
        <v>59111</v>
      </c>
      <c r="J36" s="174">
        <v>169</v>
      </c>
      <c r="K36" s="176">
        <v>31845</v>
      </c>
      <c r="L36" s="174">
        <v>2085</v>
      </c>
      <c r="M36" s="176">
        <v>1614225</v>
      </c>
      <c r="N36" s="71" t="s">
        <v>100</v>
      </c>
    </row>
    <row r="37" spans="1:14" s="72" customFormat="1" ht="22.5" customHeight="1">
      <c r="A37" s="70" t="s">
        <v>101</v>
      </c>
      <c r="B37" s="174">
        <f>_xlfn.COMPOUNDVALUE(105)</f>
        <v>1938</v>
      </c>
      <c r="C37" s="175">
        <v>1503224</v>
      </c>
      <c r="D37" s="174">
        <f>_xlfn.COMPOUNDVALUE(106)</f>
        <v>2774</v>
      </c>
      <c r="E37" s="175">
        <v>1286280</v>
      </c>
      <c r="F37" s="174">
        <f>_xlfn.COMPOUNDVALUE(107)</f>
        <v>4712</v>
      </c>
      <c r="G37" s="175">
        <v>2789505</v>
      </c>
      <c r="H37" s="174">
        <f>_xlfn.COMPOUNDVALUE(108)</f>
        <v>154</v>
      </c>
      <c r="I37" s="176">
        <v>170954</v>
      </c>
      <c r="J37" s="174">
        <v>340</v>
      </c>
      <c r="K37" s="176">
        <v>57503</v>
      </c>
      <c r="L37" s="174">
        <v>4993</v>
      </c>
      <c r="M37" s="176">
        <v>2676054</v>
      </c>
      <c r="N37" s="71" t="s">
        <v>102</v>
      </c>
    </row>
    <row r="38" spans="1:14" s="72" customFormat="1" ht="22.5" customHeight="1">
      <c r="A38" s="70" t="s">
        <v>103</v>
      </c>
      <c r="B38" s="174">
        <f>_xlfn.COMPOUNDVALUE(109)</f>
        <v>1652</v>
      </c>
      <c r="C38" s="175">
        <v>1051171</v>
      </c>
      <c r="D38" s="174">
        <f>_xlfn.COMPOUNDVALUE(110)</f>
        <v>2320</v>
      </c>
      <c r="E38" s="175">
        <v>1007197</v>
      </c>
      <c r="F38" s="174">
        <f>_xlfn.COMPOUNDVALUE(111)</f>
        <v>3972</v>
      </c>
      <c r="G38" s="175">
        <v>2058368</v>
      </c>
      <c r="H38" s="174">
        <f>_xlfn.COMPOUNDVALUE(112)</f>
        <v>121</v>
      </c>
      <c r="I38" s="176">
        <v>107281</v>
      </c>
      <c r="J38" s="174">
        <v>242</v>
      </c>
      <c r="K38" s="176">
        <v>25249</v>
      </c>
      <c r="L38" s="174">
        <v>4179</v>
      </c>
      <c r="M38" s="176">
        <v>1976336</v>
      </c>
      <c r="N38" s="71" t="s">
        <v>104</v>
      </c>
    </row>
    <row r="39" spans="1:14" s="72" customFormat="1" ht="22.5" customHeight="1">
      <c r="A39" s="70" t="s">
        <v>105</v>
      </c>
      <c r="B39" s="174">
        <f>_xlfn.COMPOUNDVALUE(113)</f>
        <v>1274</v>
      </c>
      <c r="C39" s="175">
        <v>762668</v>
      </c>
      <c r="D39" s="174">
        <f>_xlfn.COMPOUNDVALUE(114)</f>
        <v>1824</v>
      </c>
      <c r="E39" s="175">
        <v>752252</v>
      </c>
      <c r="F39" s="174">
        <f>_xlfn.COMPOUNDVALUE(115)</f>
        <v>3098</v>
      </c>
      <c r="G39" s="175">
        <v>1514920</v>
      </c>
      <c r="H39" s="174">
        <f>_xlfn.COMPOUNDVALUE(116)</f>
        <v>144</v>
      </c>
      <c r="I39" s="176">
        <v>143377</v>
      </c>
      <c r="J39" s="174">
        <v>239</v>
      </c>
      <c r="K39" s="176">
        <v>55324</v>
      </c>
      <c r="L39" s="174">
        <v>3371</v>
      </c>
      <c r="M39" s="176">
        <v>1426868</v>
      </c>
      <c r="N39" s="71" t="s">
        <v>106</v>
      </c>
    </row>
    <row r="40" spans="1:14" s="72" customFormat="1" ht="22.5" customHeight="1">
      <c r="A40" s="70" t="s">
        <v>107</v>
      </c>
      <c r="B40" s="174">
        <f>_xlfn.COMPOUNDVALUE(117)</f>
        <v>3068</v>
      </c>
      <c r="C40" s="175">
        <v>2378920</v>
      </c>
      <c r="D40" s="174">
        <f>_xlfn.COMPOUNDVALUE(118)</f>
        <v>7245</v>
      </c>
      <c r="E40" s="175">
        <v>2840786</v>
      </c>
      <c r="F40" s="174">
        <f>_xlfn.COMPOUNDVALUE(119)</f>
        <v>10313</v>
      </c>
      <c r="G40" s="175">
        <v>5219706</v>
      </c>
      <c r="H40" s="174">
        <f>_xlfn.COMPOUNDVALUE(120)</f>
        <v>220</v>
      </c>
      <c r="I40" s="176">
        <v>215899</v>
      </c>
      <c r="J40" s="174">
        <v>468</v>
      </c>
      <c r="K40" s="176">
        <v>75849</v>
      </c>
      <c r="L40" s="174">
        <v>10703</v>
      </c>
      <c r="M40" s="176">
        <v>5079655</v>
      </c>
      <c r="N40" s="71" t="s">
        <v>108</v>
      </c>
    </row>
    <row r="41" spans="1:14" s="72" customFormat="1" ht="22.5" customHeight="1">
      <c r="A41" s="70" t="s">
        <v>109</v>
      </c>
      <c r="B41" s="174">
        <f>_xlfn.COMPOUNDVALUE(121)</f>
        <v>1433</v>
      </c>
      <c r="C41" s="175">
        <v>998920</v>
      </c>
      <c r="D41" s="174">
        <f>_xlfn.COMPOUNDVALUE(122)</f>
        <v>2174</v>
      </c>
      <c r="E41" s="175">
        <v>937084</v>
      </c>
      <c r="F41" s="174">
        <f>_xlfn.COMPOUNDVALUE(123)</f>
        <v>3607</v>
      </c>
      <c r="G41" s="175">
        <v>1936004</v>
      </c>
      <c r="H41" s="174">
        <f>_xlfn.COMPOUNDVALUE(124)</f>
        <v>88</v>
      </c>
      <c r="I41" s="176">
        <v>91189</v>
      </c>
      <c r="J41" s="174">
        <v>250</v>
      </c>
      <c r="K41" s="176">
        <v>27881</v>
      </c>
      <c r="L41" s="174">
        <v>3764</v>
      </c>
      <c r="M41" s="176">
        <v>1872695</v>
      </c>
      <c r="N41" s="71" t="s">
        <v>110</v>
      </c>
    </row>
    <row r="42" spans="1:14" s="72" customFormat="1" ht="22.5" customHeight="1">
      <c r="A42" s="70" t="s">
        <v>111</v>
      </c>
      <c r="B42" s="174">
        <f>_xlfn.COMPOUNDVALUE(125)</f>
        <v>1818</v>
      </c>
      <c r="C42" s="175">
        <v>1050497</v>
      </c>
      <c r="D42" s="174">
        <f>_xlfn.COMPOUNDVALUE(126)</f>
        <v>2577</v>
      </c>
      <c r="E42" s="175">
        <v>1074025</v>
      </c>
      <c r="F42" s="174">
        <f>_xlfn.COMPOUNDVALUE(127)</f>
        <v>4395</v>
      </c>
      <c r="G42" s="175">
        <v>2124522</v>
      </c>
      <c r="H42" s="174">
        <f>_xlfn.COMPOUNDVALUE(128)</f>
        <v>127</v>
      </c>
      <c r="I42" s="176">
        <v>91423</v>
      </c>
      <c r="J42" s="174">
        <v>300</v>
      </c>
      <c r="K42" s="176">
        <v>42801</v>
      </c>
      <c r="L42" s="174">
        <v>4668</v>
      </c>
      <c r="M42" s="176">
        <v>2075900</v>
      </c>
      <c r="N42" s="71" t="s">
        <v>112</v>
      </c>
    </row>
    <row r="43" spans="1:14" s="72" customFormat="1" ht="22.5" customHeight="1">
      <c r="A43" s="70" t="s">
        <v>113</v>
      </c>
      <c r="B43" s="174">
        <f>_xlfn.COMPOUNDVALUE(129)</f>
        <v>732</v>
      </c>
      <c r="C43" s="175">
        <v>443070</v>
      </c>
      <c r="D43" s="174">
        <f>_xlfn.COMPOUNDVALUE(130)</f>
        <v>1067</v>
      </c>
      <c r="E43" s="175">
        <v>421852</v>
      </c>
      <c r="F43" s="174">
        <f>_xlfn.COMPOUNDVALUE(131)</f>
        <v>1799</v>
      </c>
      <c r="G43" s="175">
        <v>864923</v>
      </c>
      <c r="H43" s="174">
        <f>_xlfn.COMPOUNDVALUE(132)</f>
        <v>38</v>
      </c>
      <c r="I43" s="176">
        <v>22180</v>
      </c>
      <c r="J43" s="174">
        <v>141</v>
      </c>
      <c r="K43" s="176">
        <v>16271</v>
      </c>
      <c r="L43" s="174">
        <v>1885</v>
      </c>
      <c r="M43" s="176">
        <v>859014</v>
      </c>
      <c r="N43" s="71" t="s">
        <v>114</v>
      </c>
    </row>
    <row r="44" spans="1:14" s="72" customFormat="1" ht="22.5" customHeight="1">
      <c r="A44" s="73" t="s">
        <v>115</v>
      </c>
      <c r="B44" s="177">
        <f>_xlfn.COMPOUNDVALUE(133)</f>
        <v>2313</v>
      </c>
      <c r="C44" s="178">
        <v>1737781</v>
      </c>
      <c r="D44" s="177">
        <f>_xlfn.COMPOUNDVALUE(134)</f>
        <v>3522</v>
      </c>
      <c r="E44" s="178">
        <v>1480865</v>
      </c>
      <c r="F44" s="177">
        <f>_xlfn.COMPOUNDVALUE(135)</f>
        <v>5835</v>
      </c>
      <c r="G44" s="178">
        <v>3218646</v>
      </c>
      <c r="H44" s="177">
        <f>_xlfn.COMPOUNDVALUE(136)</f>
        <v>136</v>
      </c>
      <c r="I44" s="179">
        <v>92280</v>
      </c>
      <c r="J44" s="177">
        <v>291</v>
      </c>
      <c r="K44" s="179">
        <v>41812</v>
      </c>
      <c r="L44" s="177">
        <v>6093</v>
      </c>
      <c r="M44" s="179">
        <v>3168178</v>
      </c>
      <c r="N44" s="74" t="s">
        <v>116</v>
      </c>
    </row>
    <row r="45" spans="1:14" s="72" customFormat="1" ht="22.5" customHeight="1">
      <c r="A45" s="73" t="s">
        <v>117</v>
      </c>
      <c r="B45" s="177">
        <f>_xlfn.COMPOUNDVALUE(137)</f>
        <v>1356</v>
      </c>
      <c r="C45" s="178">
        <v>827687</v>
      </c>
      <c r="D45" s="177">
        <f>_xlfn.COMPOUNDVALUE(138)</f>
        <v>2119</v>
      </c>
      <c r="E45" s="178">
        <v>841887</v>
      </c>
      <c r="F45" s="177">
        <f>_xlfn.COMPOUNDVALUE(139)</f>
        <v>3475</v>
      </c>
      <c r="G45" s="178">
        <v>1669574</v>
      </c>
      <c r="H45" s="177">
        <f>_xlfn.COMPOUNDVALUE(140)</f>
        <v>104</v>
      </c>
      <c r="I45" s="179">
        <v>75615</v>
      </c>
      <c r="J45" s="177">
        <v>199</v>
      </c>
      <c r="K45" s="179">
        <v>30064</v>
      </c>
      <c r="L45" s="177">
        <v>3698</v>
      </c>
      <c r="M45" s="179">
        <v>1624023</v>
      </c>
      <c r="N45" s="74" t="s">
        <v>118</v>
      </c>
    </row>
    <row r="46" spans="1:14" s="72" customFormat="1" ht="22.5" customHeight="1">
      <c r="A46" s="73" t="s">
        <v>119</v>
      </c>
      <c r="B46" s="177">
        <f>_xlfn.COMPOUNDVALUE(141)</f>
        <v>1734</v>
      </c>
      <c r="C46" s="178">
        <v>1294407</v>
      </c>
      <c r="D46" s="177">
        <f>_xlfn.COMPOUNDVALUE(142)</f>
        <v>2757</v>
      </c>
      <c r="E46" s="178">
        <v>1163768</v>
      </c>
      <c r="F46" s="177">
        <f>_xlfn.COMPOUNDVALUE(143)</f>
        <v>4491</v>
      </c>
      <c r="G46" s="178">
        <v>2458175</v>
      </c>
      <c r="H46" s="177">
        <f>_xlfn.COMPOUNDVALUE(144)</f>
        <v>131</v>
      </c>
      <c r="I46" s="179">
        <v>94681</v>
      </c>
      <c r="J46" s="177">
        <v>228</v>
      </c>
      <c r="K46" s="179">
        <v>22066</v>
      </c>
      <c r="L46" s="177">
        <v>4690</v>
      </c>
      <c r="M46" s="179">
        <v>2385560</v>
      </c>
      <c r="N46" s="74" t="s">
        <v>120</v>
      </c>
    </row>
    <row r="47" spans="1:14" s="72" customFormat="1" ht="22.5" customHeight="1">
      <c r="A47" s="73" t="s">
        <v>121</v>
      </c>
      <c r="B47" s="177">
        <f>_xlfn.COMPOUNDVALUE(145)</f>
        <v>1322</v>
      </c>
      <c r="C47" s="178">
        <v>832445</v>
      </c>
      <c r="D47" s="177">
        <f>_xlfn.COMPOUNDVALUE(146)</f>
        <v>1829</v>
      </c>
      <c r="E47" s="178">
        <v>785567</v>
      </c>
      <c r="F47" s="177">
        <f>_xlfn.COMPOUNDVALUE(147)</f>
        <v>3151</v>
      </c>
      <c r="G47" s="178">
        <v>1618013</v>
      </c>
      <c r="H47" s="177">
        <f>_xlfn.COMPOUNDVALUE(148)</f>
        <v>86</v>
      </c>
      <c r="I47" s="179">
        <v>56653</v>
      </c>
      <c r="J47" s="177">
        <v>240</v>
      </c>
      <c r="K47" s="179">
        <v>31062</v>
      </c>
      <c r="L47" s="177">
        <v>3319</v>
      </c>
      <c r="M47" s="179">
        <v>1592422</v>
      </c>
      <c r="N47" s="74" t="s">
        <v>122</v>
      </c>
    </row>
    <row r="48" spans="1:14" s="72" customFormat="1" ht="22.5" customHeight="1">
      <c r="A48" s="73" t="s">
        <v>123</v>
      </c>
      <c r="B48" s="177">
        <f>_xlfn.COMPOUNDVALUE(149)</f>
        <v>897</v>
      </c>
      <c r="C48" s="178">
        <v>890343</v>
      </c>
      <c r="D48" s="177">
        <f>_xlfn.COMPOUNDVALUE(150)</f>
        <v>1680</v>
      </c>
      <c r="E48" s="178">
        <v>674271</v>
      </c>
      <c r="F48" s="177">
        <f>_xlfn.COMPOUNDVALUE(151)</f>
        <v>2577</v>
      </c>
      <c r="G48" s="178">
        <v>1564613</v>
      </c>
      <c r="H48" s="177">
        <f>_xlfn.COMPOUNDVALUE(152)</f>
        <v>54</v>
      </c>
      <c r="I48" s="179">
        <v>23961</v>
      </c>
      <c r="J48" s="177">
        <v>135</v>
      </c>
      <c r="K48" s="179">
        <v>19436</v>
      </c>
      <c r="L48" s="177">
        <v>2670</v>
      </c>
      <c r="M48" s="179">
        <v>1560089</v>
      </c>
      <c r="N48" s="74" t="s">
        <v>124</v>
      </c>
    </row>
    <row r="49" spans="1:14" s="72" customFormat="1" ht="22.5" customHeight="1">
      <c r="A49" s="73" t="s">
        <v>125</v>
      </c>
      <c r="B49" s="177">
        <f>_xlfn.COMPOUNDVALUE(153)</f>
        <v>2069</v>
      </c>
      <c r="C49" s="178">
        <v>1161224</v>
      </c>
      <c r="D49" s="177">
        <f>_xlfn.COMPOUNDVALUE(154)</f>
        <v>3083</v>
      </c>
      <c r="E49" s="178">
        <v>1324685</v>
      </c>
      <c r="F49" s="177">
        <f>_xlfn.COMPOUNDVALUE(155)</f>
        <v>5152</v>
      </c>
      <c r="G49" s="178">
        <v>2485909</v>
      </c>
      <c r="H49" s="177">
        <f>_xlfn.COMPOUNDVALUE(156)</f>
        <v>145</v>
      </c>
      <c r="I49" s="179">
        <v>113302</v>
      </c>
      <c r="J49" s="177">
        <v>463</v>
      </c>
      <c r="K49" s="179">
        <v>76645</v>
      </c>
      <c r="L49" s="177">
        <v>5469</v>
      </c>
      <c r="M49" s="179">
        <v>2449252</v>
      </c>
      <c r="N49" s="74" t="s">
        <v>126</v>
      </c>
    </row>
    <row r="50" spans="1:14" s="72" customFormat="1" ht="22.5" customHeight="1">
      <c r="A50" s="73" t="s">
        <v>127</v>
      </c>
      <c r="B50" s="177">
        <f>_xlfn.COMPOUNDVALUE(157)</f>
        <v>218</v>
      </c>
      <c r="C50" s="178">
        <v>135130</v>
      </c>
      <c r="D50" s="177">
        <f>_xlfn.COMPOUNDVALUE(158)</f>
        <v>408</v>
      </c>
      <c r="E50" s="178">
        <v>148591</v>
      </c>
      <c r="F50" s="177">
        <f>_xlfn.COMPOUNDVALUE(159)</f>
        <v>626</v>
      </c>
      <c r="G50" s="178">
        <v>283720</v>
      </c>
      <c r="H50" s="177">
        <f>_xlfn.COMPOUNDVALUE(160)</f>
        <v>18</v>
      </c>
      <c r="I50" s="179">
        <v>10821</v>
      </c>
      <c r="J50" s="177">
        <v>32</v>
      </c>
      <c r="K50" s="179">
        <v>7689</v>
      </c>
      <c r="L50" s="177">
        <v>657</v>
      </c>
      <c r="M50" s="179">
        <v>280588</v>
      </c>
      <c r="N50" s="74" t="s">
        <v>128</v>
      </c>
    </row>
    <row r="51" spans="1:14" s="72" customFormat="1" ht="22.5" customHeight="1">
      <c r="A51" s="75" t="s">
        <v>129</v>
      </c>
      <c r="B51" s="180">
        <v>27515</v>
      </c>
      <c r="C51" s="181">
        <v>19366977</v>
      </c>
      <c r="D51" s="180">
        <v>42621</v>
      </c>
      <c r="E51" s="181">
        <v>18208919</v>
      </c>
      <c r="F51" s="180">
        <v>70136</v>
      </c>
      <c r="G51" s="181">
        <v>37575896</v>
      </c>
      <c r="H51" s="180">
        <v>2012</v>
      </c>
      <c r="I51" s="182">
        <v>1674706</v>
      </c>
      <c r="J51" s="180">
        <v>4625</v>
      </c>
      <c r="K51" s="182">
        <v>700121</v>
      </c>
      <c r="L51" s="180">
        <v>73990</v>
      </c>
      <c r="M51" s="182">
        <v>36601311</v>
      </c>
      <c r="N51" s="76" t="s">
        <v>130</v>
      </c>
    </row>
    <row r="52" spans="1:14" s="72" customFormat="1" ht="22.5" customHeight="1">
      <c r="A52" s="77"/>
      <c r="B52" s="183"/>
      <c r="C52" s="184"/>
      <c r="D52" s="183"/>
      <c r="E52" s="184"/>
      <c r="F52" s="185"/>
      <c r="G52" s="184"/>
      <c r="H52" s="185"/>
      <c r="I52" s="184"/>
      <c r="J52" s="185"/>
      <c r="K52" s="184"/>
      <c r="L52" s="185"/>
      <c r="M52" s="184"/>
      <c r="N52" s="78"/>
    </row>
    <row r="53" spans="1:14" s="72" customFormat="1" ht="22.5" customHeight="1">
      <c r="A53" s="70" t="s">
        <v>131</v>
      </c>
      <c r="B53" s="174">
        <f>_xlfn.COMPOUNDVALUE(161)</f>
        <v>1050</v>
      </c>
      <c r="C53" s="175">
        <v>755975</v>
      </c>
      <c r="D53" s="174">
        <f>_xlfn.COMPOUNDVALUE(162)</f>
        <v>1459</v>
      </c>
      <c r="E53" s="175">
        <v>605480</v>
      </c>
      <c r="F53" s="174">
        <f>_xlfn.COMPOUNDVALUE(163)</f>
        <v>2509</v>
      </c>
      <c r="G53" s="175">
        <v>1361455</v>
      </c>
      <c r="H53" s="174">
        <f>_xlfn.COMPOUNDVALUE(164)</f>
        <v>77</v>
      </c>
      <c r="I53" s="176">
        <v>63471</v>
      </c>
      <c r="J53" s="174">
        <v>188</v>
      </c>
      <c r="K53" s="176">
        <v>19861</v>
      </c>
      <c r="L53" s="174">
        <v>2650</v>
      </c>
      <c r="M53" s="176">
        <v>1317845</v>
      </c>
      <c r="N53" s="79" t="s">
        <v>132</v>
      </c>
    </row>
    <row r="54" spans="1:14" s="72" customFormat="1" ht="22.5" customHeight="1">
      <c r="A54" s="73" t="s">
        <v>133</v>
      </c>
      <c r="B54" s="177">
        <f>_xlfn.COMPOUNDVALUE(165)</f>
        <v>1461</v>
      </c>
      <c r="C54" s="178">
        <v>1045639</v>
      </c>
      <c r="D54" s="177">
        <f>_xlfn.COMPOUNDVALUE(166)</f>
        <v>2053</v>
      </c>
      <c r="E54" s="178">
        <v>905731</v>
      </c>
      <c r="F54" s="177">
        <f>_xlfn.COMPOUNDVALUE(167)</f>
        <v>3514</v>
      </c>
      <c r="G54" s="178">
        <v>1951370</v>
      </c>
      <c r="H54" s="177">
        <f>_xlfn.COMPOUNDVALUE(168)</f>
        <v>121</v>
      </c>
      <c r="I54" s="179">
        <v>136661</v>
      </c>
      <c r="J54" s="177">
        <v>237</v>
      </c>
      <c r="K54" s="179">
        <v>32232</v>
      </c>
      <c r="L54" s="177">
        <v>3706</v>
      </c>
      <c r="M54" s="179">
        <v>1846942</v>
      </c>
      <c r="N54" s="74" t="s">
        <v>134</v>
      </c>
    </row>
    <row r="55" spans="1:14" s="72" customFormat="1" ht="22.5" customHeight="1">
      <c r="A55" s="73" t="s">
        <v>135</v>
      </c>
      <c r="B55" s="177">
        <f>_xlfn.COMPOUNDVALUE(169)</f>
        <v>1304</v>
      </c>
      <c r="C55" s="178">
        <v>860544</v>
      </c>
      <c r="D55" s="177">
        <f>_xlfn.COMPOUNDVALUE(170)</f>
        <v>1705</v>
      </c>
      <c r="E55" s="178">
        <v>653865</v>
      </c>
      <c r="F55" s="177">
        <f>_xlfn.COMPOUNDVALUE(171)</f>
        <v>3009</v>
      </c>
      <c r="G55" s="178">
        <v>1514409</v>
      </c>
      <c r="H55" s="177">
        <f>_xlfn.COMPOUNDVALUE(172)</f>
        <v>97</v>
      </c>
      <c r="I55" s="179">
        <v>47827</v>
      </c>
      <c r="J55" s="177">
        <v>201</v>
      </c>
      <c r="K55" s="179">
        <v>17434</v>
      </c>
      <c r="L55" s="177">
        <v>3164</v>
      </c>
      <c r="M55" s="179">
        <v>1484016</v>
      </c>
      <c r="N55" s="74" t="s">
        <v>136</v>
      </c>
    </row>
    <row r="56" spans="1:14" s="72" customFormat="1" ht="22.5" customHeight="1">
      <c r="A56" s="73" t="s">
        <v>137</v>
      </c>
      <c r="B56" s="177">
        <f>_xlfn.COMPOUNDVALUE(173)</f>
        <v>936</v>
      </c>
      <c r="C56" s="178">
        <v>611922</v>
      </c>
      <c r="D56" s="177">
        <f>_xlfn.COMPOUNDVALUE(174)</f>
        <v>1195</v>
      </c>
      <c r="E56" s="178">
        <v>457926</v>
      </c>
      <c r="F56" s="177">
        <f>_xlfn.COMPOUNDVALUE(175)</f>
        <v>2131</v>
      </c>
      <c r="G56" s="178">
        <v>1069848</v>
      </c>
      <c r="H56" s="177">
        <f>_xlfn.COMPOUNDVALUE(176)</f>
        <v>81</v>
      </c>
      <c r="I56" s="179">
        <v>109592</v>
      </c>
      <c r="J56" s="177">
        <v>160</v>
      </c>
      <c r="K56" s="179">
        <v>35369</v>
      </c>
      <c r="L56" s="177">
        <v>2284</v>
      </c>
      <c r="M56" s="179">
        <v>995625</v>
      </c>
      <c r="N56" s="74" t="s">
        <v>138</v>
      </c>
    </row>
    <row r="57" spans="1:14" s="72" customFormat="1" ht="22.5" customHeight="1">
      <c r="A57" s="73" t="s">
        <v>139</v>
      </c>
      <c r="B57" s="177">
        <f>_xlfn.COMPOUNDVALUE(177)</f>
        <v>786</v>
      </c>
      <c r="C57" s="178">
        <v>491146</v>
      </c>
      <c r="D57" s="177">
        <f>_xlfn.COMPOUNDVALUE(178)</f>
        <v>1143</v>
      </c>
      <c r="E57" s="178">
        <v>460460</v>
      </c>
      <c r="F57" s="177">
        <f>_xlfn.COMPOUNDVALUE(179)</f>
        <v>1929</v>
      </c>
      <c r="G57" s="178">
        <v>951606</v>
      </c>
      <c r="H57" s="177">
        <f>_xlfn.COMPOUNDVALUE(180)</f>
        <v>60</v>
      </c>
      <c r="I57" s="179">
        <v>27516</v>
      </c>
      <c r="J57" s="177">
        <v>86</v>
      </c>
      <c r="K57" s="179">
        <v>16612</v>
      </c>
      <c r="L57" s="177">
        <v>2018</v>
      </c>
      <c r="M57" s="179">
        <v>940701</v>
      </c>
      <c r="N57" s="74" t="s">
        <v>140</v>
      </c>
    </row>
    <row r="58" spans="1:14" s="72" customFormat="1" ht="22.5" customHeight="1">
      <c r="A58" s="73" t="s">
        <v>141</v>
      </c>
      <c r="B58" s="177">
        <f>_xlfn.COMPOUNDVALUE(181)</f>
        <v>635</v>
      </c>
      <c r="C58" s="178">
        <v>364960</v>
      </c>
      <c r="D58" s="177">
        <f>_xlfn.COMPOUNDVALUE(182)</f>
        <v>764</v>
      </c>
      <c r="E58" s="178">
        <v>301879</v>
      </c>
      <c r="F58" s="177">
        <f>_xlfn.COMPOUNDVALUE(183)</f>
        <v>1399</v>
      </c>
      <c r="G58" s="178">
        <v>666840</v>
      </c>
      <c r="H58" s="177">
        <f>_xlfn.COMPOUNDVALUE(184)</f>
        <v>47</v>
      </c>
      <c r="I58" s="179">
        <v>35879</v>
      </c>
      <c r="J58" s="177">
        <v>87</v>
      </c>
      <c r="K58" s="179">
        <v>7155</v>
      </c>
      <c r="L58" s="177">
        <v>1458</v>
      </c>
      <c r="M58" s="179">
        <v>638116</v>
      </c>
      <c r="N58" s="74" t="s">
        <v>142</v>
      </c>
    </row>
    <row r="59" spans="1:14" s="72" customFormat="1" ht="22.5" customHeight="1">
      <c r="A59" s="73" t="s">
        <v>143</v>
      </c>
      <c r="B59" s="177">
        <f>_xlfn.COMPOUNDVALUE(185)</f>
        <v>912</v>
      </c>
      <c r="C59" s="178">
        <v>743849</v>
      </c>
      <c r="D59" s="177">
        <f>_xlfn.COMPOUNDVALUE(186)</f>
        <v>1365</v>
      </c>
      <c r="E59" s="178">
        <v>592150</v>
      </c>
      <c r="F59" s="177">
        <f>_xlfn.COMPOUNDVALUE(187)</f>
        <v>2277</v>
      </c>
      <c r="G59" s="178">
        <v>1335998</v>
      </c>
      <c r="H59" s="177">
        <f>_xlfn.COMPOUNDVALUE(188)</f>
        <v>72</v>
      </c>
      <c r="I59" s="179">
        <v>50461</v>
      </c>
      <c r="J59" s="177">
        <v>137</v>
      </c>
      <c r="K59" s="179">
        <v>23255</v>
      </c>
      <c r="L59" s="177">
        <v>2398</v>
      </c>
      <c r="M59" s="179">
        <v>1308793</v>
      </c>
      <c r="N59" s="74" t="s">
        <v>144</v>
      </c>
    </row>
    <row r="60" spans="1:14" s="72" customFormat="1" ht="22.5" customHeight="1">
      <c r="A60" s="73" t="s">
        <v>145</v>
      </c>
      <c r="B60" s="177">
        <f>_xlfn.COMPOUNDVALUE(189)</f>
        <v>493</v>
      </c>
      <c r="C60" s="178">
        <v>399796</v>
      </c>
      <c r="D60" s="177">
        <f>_xlfn.COMPOUNDVALUE(190)</f>
        <v>700</v>
      </c>
      <c r="E60" s="178">
        <v>246788</v>
      </c>
      <c r="F60" s="177">
        <f>_xlfn.COMPOUNDVALUE(191)</f>
        <v>1193</v>
      </c>
      <c r="G60" s="178">
        <v>646584</v>
      </c>
      <c r="H60" s="177">
        <f>_xlfn.COMPOUNDVALUE(192)</f>
        <v>30</v>
      </c>
      <c r="I60" s="179">
        <v>28987</v>
      </c>
      <c r="J60" s="177">
        <v>44</v>
      </c>
      <c r="K60" s="179">
        <v>2278</v>
      </c>
      <c r="L60" s="177">
        <v>1233</v>
      </c>
      <c r="M60" s="179">
        <v>619876</v>
      </c>
      <c r="N60" s="74" t="s">
        <v>146</v>
      </c>
    </row>
    <row r="61" spans="1:14" s="72" customFormat="1" ht="22.5" customHeight="1">
      <c r="A61" s="75" t="s">
        <v>147</v>
      </c>
      <c r="B61" s="180">
        <v>7577</v>
      </c>
      <c r="C61" s="181">
        <v>5273831</v>
      </c>
      <c r="D61" s="180">
        <v>10384</v>
      </c>
      <c r="E61" s="181">
        <v>4224279</v>
      </c>
      <c r="F61" s="180">
        <v>17961</v>
      </c>
      <c r="G61" s="181">
        <v>9498110</v>
      </c>
      <c r="H61" s="180">
        <v>585</v>
      </c>
      <c r="I61" s="182">
        <v>500393</v>
      </c>
      <c r="J61" s="180">
        <v>1140</v>
      </c>
      <c r="K61" s="182">
        <v>154197</v>
      </c>
      <c r="L61" s="180">
        <v>18911</v>
      </c>
      <c r="M61" s="182">
        <v>9151914</v>
      </c>
      <c r="N61" s="76" t="s">
        <v>148</v>
      </c>
    </row>
    <row r="62" spans="1:14" s="72" customFormat="1" ht="22.5" customHeight="1" thickBot="1">
      <c r="A62" s="80"/>
      <c r="B62" s="187"/>
      <c r="C62" s="188"/>
      <c r="D62" s="187"/>
      <c r="E62" s="188"/>
      <c r="F62" s="189"/>
      <c r="G62" s="188"/>
      <c r="H62" s="189"/>
      <c r="I62" s="188"/>
      <c r="J62" s="189"/>
      <c r="K62" s="188"/>
      <c r="L62" s="189"/>
      <c r="M62" s="188"/>
      <c r="N62" s="81"/>
    </row>
    <row r="63" spans="1:14" s="72" customFormat="1" ht="22.5" customHeight="1" thickBot="1" thickTop="1">
      <c r="A63" s="82" t="s">
        <v>42</v>
      </c>
      <c r="B63" s="190">
        <v>57643</v>
      </c>
      <c r="C63" s="191">
        <v>38953496</v>
      </c>
      <c r="D63" s="190">
        <v>92353</v>
      </c>
      <c r="E63" s="191">
        <v>38209401</v>
      </c>
      <c r="F63" s="190">
        <v>149996</v>
      </c>
      <c r="G63" s="191">
        <v>77162897</v>
      </c>
      <c r="H63" s="190">
        <v>4201</v>
      </c>
      <c r="I63" s="192">
        <v>3442565</v>
      </c>
      <c r="J63" s="190">
        <v>9514</v>
      </c>
      <c r="K63" s="192">
        <v>1314319</v>
      </c>
      <c r="L63" s="190">
        <v>157701</v>
      </c>
      <c r="M63" s="192">
        <v>75034651</v>
      </c>
      <c r="N63" s="83" t="s">
        <v>43</v>
      </c>
    </row>
    <row r="64" spans="1:14" s="120" customFormat="1" ht="3" customHeight="1">
      <c r="A64" s="118"/>
      <c r="B64" s="119"/>
      <c r="C64" s="119"/>
      <c r="D64" s="119"/>
      <c r="E64" s="119"/>
      <c r="F64" s="119"/>
      <c r="G64" s="119"/>
      <c r="H64" s="119"/>
      <c r="I64" s="119"/>
      <c r="J64" s="119"/>
      <c r="K64" s="119"/>
      <c r="L64" s="119"/>
      <c r="M64" s="119"/>
      <c r="N64" s="118"/>
    </row>
    <row r="65" spans="1:14" ht="22.5" customHeight="1">
      <c r="A65" s="244" t="s">
        <v>234</v>
      </c>
      <c r="B65" s="244"/>
      <c r="C65" s="244"/>
      <c r="D65" s="244"/>
      <c r="E65" s="244"/>
      <c r="F65" s="244"/>
      <c r="G65" s="244"/>
      <c r="H65" s="244"/>
      <c r="I65" s="244"/>
      <c r="J65" s="60"/>
      <c r="K65" s="60"/>
      <c r="L65" s="61"/>
      <c r="M65" s="61"/>
      <c r="N65" s="61"/>
    </row>
  </sheetData>
  <sheetProtection/>
  <mergeCells count="11">
    <mergeCell ref="L3:M4"/>
    <mergeCell ref="N3:N5"/>
    <mergeCell ref="B4:C4"/>
    <mergeCell ref="D4:E4"/>
    <mergeCell ref="F4:G4"/>
    <mergeCell ref="A65:I65"/>
    <mergeCell ref="A2:G2"/>
    <mergeCell ref="A3:A5"/>
    <mergeCell ref="B3:G3"/>
    <mergeCell ref="H3:I4"/>
    <mergeCell ref="J3:K4"/>
  </mergeCells>
  <printOptions horizontalCentered="1"/>
  <pageMargins left="0.5118110236220472" right="0.5118110236220472" top="0.7480314960629921" bottom="0.7480314960629921" header="0.31496062992125984" footer="0.31496062992125984"/>
  <pageSetup horizontalDpi="600" verticalDpi="600" orientation="portrait" paperSize="9" scale="55" r:id="rId1"/>
  <headerFooter alignWithMargins="0">
    <oddFooter>&amp;R名古屋国税局　消費税（H27）</oddFooter>
  </headerFooter>
</worksheet>
</file>

<file path=xl/worksheets/sheet5.xml><?xml version="1.0" encoding="utf-8"?>
<worksheet xmlns="http://schemas.openxmlformats.org/spreadsheetml/2006/main" xmlns:r="http://schemas.openxmlformats.org/officeDocument/2006/relationships">
  <dimension ref="A1:N65"/>
  <sheetViews>
    <sheetView zoomScale="85" zoomScaleNormal="85" zoomScaleSheetLayoutView="100" zoomScalePageLayoutView="0" workbookViewId="0" topLeftCell="A1">
      <selection activeCell="A1" sqref="A1"/>
    </sheetView>
  </sheetViews>
  <sheetFormatPr defaultColWidth="9.00390625" defaultRowHeight="13.5"/>
  <cols>
    <col min="1" max="1" width="11.375" style="173" customWidth="1"/>
    <col min="2" max="2" width="11.25390625" style="173" customWidth="1"/>
    <col min="3" max="3" width="12.625" style="173" customWidth="1"/>
    <col min="4" max="4" width="11.25390625" style="173" customWidth="1"/>
    <col min="5" max="5" width="12.625" style="173" customWidth="1"/>
    <col min="6" max="6" width="11.25390625" style="173" customWidth="1"/>
    <col min="7" max="7" width="12.625" style="173" customWidth="1"/>
    <col min="8" max="8" width="11.25390625" style="173" customWidth="1"/>
    <col min="9" max="9" width="12.625" style="173" customWidth="1"/>
    <col min="10" max="10" width="11.25390625" style="173" customWidth="1"/>
    <col min="11" max="11" width="12.625" style="173" customWidth="1"/>
    <col min="12" max="12" width="11.25390625" style="173" customWidth="1"/>
    <col min="13" max="13" width="12.625" style="173" customWidth="1"/>
    <col min="14" max="14" width="11.375" style="173" customWidth="1"/>
    <col min="15" max="16384" width="9.00390625" style="173" customWidth="1"/>
  </cols>
  <sheetData>
    <row r="1" spans="1:14" ht="13.5">
      <c r="A1" s="60" t="s">
        <v>159</v>
      </c>
      <c r="B1" s="60"/>
      <c r="C1" s="60"/>
      <c r="D1" s="60"/>
      <c r="E1" s="60"/>
      <c r="F1" s="60"/>
      <c r="G1" s="60"/>
      <c r="H1" s="60"/>
      <c r="I1" s="60"/>
      <c r="J1" s="60"/>
      <c r="K1" s="60"/>
      <c r="L1" s="61"/>
      <c r="M1" s="61"/>
      <c r="N1" s="84"/>
    </row>
    <row r="2" spans="1:14" ht="14.25" thickBot="1">
      <c r="A2" s="253" t="s">
        <v>149</v>
      </c>
      <c r="B2" s="253"/>
      <c r="C2" s="253"/>
      <c r="D2" s="253"/>
      <c r="E2" s="253"/>
      <c r="F2" s="253"/>
      <c r="G2" s="253"/>
      <c r="H2" s="253"/>
      <c r="I2" s="253"/>
      <c r="J2" s="60"/>
      <c r="K2" s="60"/>
      <c r="L2" s="61"/>
      <c r="M2" s="61"/>
      <c r="N2" s="84"/>
    </row>
    <row r="3" spans="1:14" ht="22.5" customHeight="1">
      <c r="A3" s="245" t="s">
        <v>155</v>
      </c>
      <c r="B3" s="248" t="s">
        <v>156</v>
      </c>
      <c r="C3" s="248"/>
      <c r="D3" s="248"/>
      <c r="E3" s="248"/>
      <c r="F3" s="248"/>
      <c r="G3" s="248"/>
      <c r="H3" s="249" t="s">
        <v>13</v>
      </c>
      <c r="I3" s="250"/>
      <c r="J3" s="252" t="s">
        <v>37</v>
      </c>
      <c r="K3" s="250"/>
      <c r="L3" s="249" t="s">
        <v>38</v>
      </c>
      <c r="M3" s="250"/>
      <c r="N3" s="238" t="s">
        <v>150</v>
      </c>
    </row>
    <row r="4" spans="1:14" ht="18.75" customHeight="1">
      <c r="A4" s="246"/>
      <c r="B4" s="242" t="s">
        <v>18</v>
      </c>
      <c r="C4" s="243"/>
      <c r="D4" s="242" t="s">
        <v>40</v>
      </c>
      <c r="E4" s="243"/>
      <c r="F4" s="242" t="s">
        <v>41</v>
      </c>
      <c r="G4" s="243"/>
      <c r="H4" s="242"/>
      <c r="I4" s="251"/>
      <c r="J4" s="242"/>
      <c r="K4" s="251"/>
      <c r="L4" s="242"/>
      <c r="M4" s="251"/>
      <c r="N4" s="239"/>
    </row>
    <row r="5" spans="1:14" ht="33.75" customHeight="1">
      <c r="A5" s="247"/>
      <c r="B5" s="204" t="s">
        <v>228</v>
      </c>
      <c r="C5" s="62" t="s">
        <v>157</v>
      </c>
      <c r="D5" s="204" t="s">
        <v>228</v>
      </c>
      <c r="E5" s="62" t="s">
        <v>157</v>
      </c>
      <c r="F5" s="204" t="s">
        <v>228</v>
      </c>
      <c r="G5" s="63" t="s">
        <v>225</v>
      </c>
      <c r="H5" s="204" t="s">
        <v>228</v>
      </c>
      <c r="I5" s="63" t="s">
        <v>226</v>
      </c>
      <c r="J5" s="204" t="s">
        <v>228</v>
      </c>
      <c r="K5" s="63" t="s">
        <v>227</v>
      </c>
      <c r="L5" s="204" t="s">
        <v>228</v>
      </c>
      <c r="M5" s="63" t="s">
        <v>158</v>
      </c>
      <c r="N5" s="240"/>
    </row>
    <row r="6" spans="1:14" s="85" customFormat="1" ht="10.5">
      <c r="A6" s="64"/>
      <c r="B6" s="65" t="s">
        <v>4</v>
      </c>
      <c r="C6" s="66" t="s">
        <v>5</v>
      </c>
      <c r="D6" s="65" t="s">
        <v>4</v>
      </c>
      <c r="E6" s="66" t="s">
        <v>5</v>
      </c>
      <c r="F6" s="65" t="s">
        <v>4</v>
      </c>
      <c r="G6" s="66" t="s">
        <v>5</v>
      </c>
      <c r="H6" s="65" t="s">
        <v>4</v>
      </c>
      <c r="I6" s="67" t="s">
        <v>5</v>
      </c>
      <c r="J6" s="65" t="s">
        <v>4</v>
      </c>
      <c r="K6" s="67" t="s">
        <v>5</v>
      </c>
      <c r="L6" s="65" t="s">
        <v>4</v>
      </c>
      <c r="M6" s="67" t="s">
        <v>5</v>
      </c>
      <c r="N6" s="68"/>
    </row>
    <row r="7" spans="1:14" ht="22.5" customHeight="1">
      <c r="A7" s="70" t="s">
        <v>160</v>
      </c>
      <c r="B7" s="174">
        <f>_xlfn.COMPOUNDVALUE(193)</f>
        <v>4589</v>
      </c>
      <c r="C7" s="175">
        <v>28685381</v>
      </c>
      <c r="D7" s="174">
        <f>_xlfn.COMPOUNDVALUE(194)</f>
        <v>1769</v>
      </c>
      <c r="E7" s="175">
        <v>994479</v>
      </c>
      <c r="F7" s="174">
        <f>_xlfn.COMPOUNDVALUE(195)</f>
        <v>6358</v>
      </c>
      <c r="G7" s="175">
        <v>29679860</v>
      </c>
      <c r="H7" s="174">
        <f>_xlfn.COMPOUNDVALUE(196)</f>
        <v>329</v>
      </c>
      <c r="I7" s="176">
        <v>1445738</v>
      </c>
      <c r="J7" s="174">
        <v>427</v>
      </c>
      <c r="K7" s="176">
        <v>-1633</v>
      </c>
      <c r="L7" s="174">
        <v>6718</v>
      </c>
      <c r="M7" s="176">
        <v>28232490</v>
      </c>
      <c r="N7" s="71" t="s">
        <v>46</v>
      </c>
    </row>
    <row r="8" spans="1:14" ht="22.5" customHeight="1">
      <c r="A8" s="73" t="s">
        <v>173</v>
      </c>
      <c r="B8" s="177">
        <f>_xlfn.COMPOUNDVALUE(197)</f>
        <v>4289</v>
      </c>
      <c r="C8" s="178">
        <v>33476315</v>
      </c>
      <c r="D8" s="177">
        <f>_xlfn.COMPOUNDVALUE(198)</f>
        <v>1529</v>
      </c>
      <c r="E8" s="178">
        <v>925542</v>
      </c>
      <c r="F8" s="177">
        <f>_xlfn.COMPOUNDVALUE(199)</f>
        <v>5818</v>
      </c>
      <c r="G8" s="178">
        <v>34401857</v>
      </c>
      <c r="H8" s="177">
        <f>_xlfn.COMPOUNDVALUE(200)</f>
        <v>288</v>
      </c>
      <c r="I8" s="179">
        <v>1028608</v>
      </c>
      <c r="J8" s="177">
        <v>365</v>
      </c>
      <c r="K8" s="179">
        <v>616</v>
      </c>
      <c r="L8" s="177">
        <v>6141</v>
      </c>
      <c r="M8" s="179">
        <v>33373865</v>
      </c>
      <c r="N8" s="74" t="s">
        <v>48</v>
      </c>
    </row>
    <row r="9" spans="1:14" ht="22.5" customHeight="1">
      <c r="A9" s="73" t="s">
        <v>174</v>
      </c>
      <c r="B9" s="177">
        <f>_xlfn.COMPOUNDVALUE(201)</f>
        <v>3447</v>
      </c>
      <c r="C9" s="178">
        <v>32526167</v>
      </c>
      <c r="D9" s="177">
        <f>_xlfn.COMPOUNDVALUE(202)</f>
        <v>1220</v>
      </c>
      <c r="E9" s="178">
        <v>715880</v>
      </c>
      <c r="F9" s="177">
        <f>_xlfn.COMPOUNDVALUE(203)</f>
        <v>4667</v>
      </c>
      <c r="G9" s="178">
        <v>33242047</v>
      </c>
      <c r="H9" s="177">
        <f>_xlfn.COMPOUNDVALUE(204)</f>
        <v>267</v>
      </c>
      <c r="I9" s="179">
        <v>6463944</v>
      </c>
      <c r="J9" s="177">
        <v>300</v>
      </c>
      <c r="K9" s="179">
        <v>35236</v>
      </c>
      <c r="L9" s="177">
        <v>4965</v>
      </c>
      <c r="M9" s="179">
        <v>26813338</v>
      </c>
      <c r="N9" s="74" t="s">
        <v>50</v>
      </c>
    </row>
    <row r="10" spans="1:14" ht="22.5" customHeight="1">
      <c r="A10" s="73" t="s">
        <v>175</v>
      </c>
      <c r="B10" s="177">
        <f>_xlfn.COMPOUNDVALUE(205)</f>
        <v>1919</v>
      </c>
      <c r="C10" s="178">
        <v>9931083</v>
      </c>
      <c r="D10" s="177">
        <f>_xlfn.COMPOUNDVALUE(206)</f>
        <v>826</v>
      </c>
      <c r="E10" s="178">
        <v>479706</v>
      </c>
      <c r="F10" s="177">
        <f>_xlfn.COMPOUNDVALUE(207)</f>
        <v>2745</v>
      </c>
      <c r="G10" s="178">
        <v>10410788</v>
      </c>
      <c r="H10" s="177">
        <f>_xlfn.COMPOUNDVALUE(208)</f>
        <v>139</v>
      </c>
      <c r="I10" s="179">
        <v>288857</v>
      </c>
      <c r="J10" s="177">
        <v>187</v>
      </c>
      <c r="K10" s="179">
        <v>15164</v>
      </c>
      <c r="L10" s="177">
        <v>2893</v>
      </c>
      <c r="M10" s="179">
        <v>10137095</v>
      </c>
      <c r="N10" s="74" t="s">
        <v>52</v>
      </c>
    </row>
    <row r="11" spans="1:14" ht="22.5" customHeight="1">
      <c r="A11" s="73" t="s">
        <v>176</v>
      </c>
      <c r="B11" s="177">
        <f>_xlfn.COMPOUNDVALUE(209)</f>
        <v>2867</v>
      </c>
      <c r="C11" s="178">
        <v>18965427</v>
      </c>
      <c r="D11" s="177">
        <f>_xlfn.COMPOUNDVALUE(210)</f>
        <v>1402</v>
      </c>
      <c r="E11" s="178">
        <v>763210</v>
      </c>
      <c r="F11" s="177">
        <f>_xlfn.COMPOUNDVALUE(211)</f>
        <v>4269</v>
      </c>
      <c r="G11" s="178">
        <v>19728637</v>
      </c>
      <c r="H11" s="177">
        <f>_xlfn.COMPOUNDVALUE(212)</f>
        <v>214</v>
      </c>
      <c r="I11" s="179">
        <v>504969</v>
      </c>
      <c r="J11" s="177">
        <v>216</v>
      </c>
      <c r="K11" s="179">
        <v>-8673</v>
      </c>
      <c r="L11" s="177">
        <v>4497</v>
      </c>
      <c r="M11" s="179">
        <v>19214995</v>
      </c>
      <c r="N11" s="74" t="s">
        <v>54</v>
      </c>
    </row>
    <row r="12" spans="1:14" ht="22.5" customHeight="1">
      <c r="A12" s="73" t="s">
        <v>177</v>
      </c>
      <c r="B12" s="177">
        <f>_xlfn.COMPOUNDVALUE(213)</f>
        <v>2734</v>
      </c>
      <c r="C12" s="178">
        <v>16482083</v>
      </c>
      <c r="D12" s="177">
        <f>_xlfn.COMPOUNDVALUE(214)</f>
        <v>1057</v>
      </c>
      <c r="E12" s="178">
        <v>616213</v>
      </c>
      <c r="F12" s="177">
        <f>_xlfn.COMPOUNDVALUE(215)</f>
        <v>3791</v>
      </c>
      <c r="G12" s="178">
        <v>17098296</v>
      </c>
      <c r="H12" s="177">
        <f>_xlfn.COMPOUNDVALUE(216)</f>
        <v>202</v>
      </c>
      <c r="I12" s="179">
        <v>1031909</v>
      </c>
      <c r="J12" s="177">
        <v>218</v>
      </c>
      <c r="K12" s="179">
        <v>16775</v>
      </c>
      <c r="L12" s="177">
        <v>4006</v>
      </c>
      <c r="M12" s="179">
        <v>16083162</v>
      </c>
      <c r="N12" s="74" t="s">
        <v>56</v>
      </c>
    </row>
    <row r="13" spans="1:14" ht="22.5" customHeight="1">
      <c r="A13" s="73" t="s">
        <v>178</v>
      </c>
      <c r="B13" s="177">
        <f>_xlfn.COMPOUNDVALUE(217)</f>
        <v>1221</v>
      </c>
      <c r="C13" s="178">
        <v>10631007</v>
      </c>
      <c r="D13" s="177">
        <f>_xlfn.COMPOUNDVALUE(218)</f>
        <v>499</v>
      </c>
      <c r="E13" s="178">
        <v>266168</v>
      </c>
      <c r="F13" s="177">
        <f>_xlfn.COMPOUNDVALUE(219)</f>
        <v>1720</v>
      </c>
      <c r="G13" s="178">
        <v>10897175</v>
      </c>
      <c r="H13" s="177">
        <f>_xlfn.COMPOUNDVALUE(220)</f>
        <v>52</v>
      </c>
      <c r="I13" s="179">
        <v>276964</v>
      </c>
      <c r="J13" s="177">
        <v>110</v>
      </c>
      <c r="K13" s="179">
        <v>-16740</v>
      </c>
      <c r="L13" s="177">
        <v>1783</v>
      </c>
      <c r="M13" s="179">
        <v>10603471</v>
      </c>
      <c r="N13" s="74" t="s">
        <v>58</v>
      </c>
    </row>
    <row r="14" spans="1:14" ht="22.5" customHeight="1">
      <c r="A14" s="75" t="s">
        <v>179</v>
      </c>
      <c r="B14" s="180">
        <v>21066</v>
      </c>
      <c r="C14" s="181">
        <v>150697461</v>
      </c>
      <c r="D14" s="180">
        <v>8302</v>
      </c>
      <c r="E14" s="181">
        <v>4761198</v>
      </c>
      <c r="F14" s="180">
        <v>29368</v>
      </c>
      <c r="G14" s="181">
        <v>155458659</v>
      </c>
      <c r="H14" s="180">
        <v>1491</v>
      </c>
      <c r="I14" s="182">
        <v>11040989</v>
      </c>
      <c r="J14" s="180">
        <v>1823</v>
      </c>
      <c r="K14" s="182">
        <v>40746</v>
      </c>
      <c r="L14" s="180">
        <v>31003</v>
      </c>
      <c r="M14" s="182">
        <v>144458415</v>
      </c>
      <c r="N14" s="76" t="s">
        <v>60</v>
      </c>
    </row>
    <row r="15" spans="1:14" ht="22.5" customHeight="1">
      <c r="A15" s="77"/>
      <c r="B15" s="183"/>
      <c r="C15" s="184"/>
      <c r="D15" s="183"/>
      <c r="E15" s="184"/>
      <c r="F15" s="185"/>
      <c r="G15" s="184"/>
      <c r="H15" s="185"/>
      <c r="I15" s="184"/>
      <c r="J15" s="185"/>
      <c r="K15" s="184"/>
      <c r="L15" s="185"/>
      <c r="M15" s="184"/>
      <c r="N15" s="78"/>
    </row>
    <row r="16" spans="1:14" ht="22.5" customHeight="1">
      <c r="A16" s="70" t="s">
        <v>180</v>
      </c>
      <c r="B16" s="174">
        <f>_xlfn.COMPOUNDVALUE(221)</f>
        <v>5368</v>
      </c>
      <c r="C16" s="175">
        <v>50359416</v>
      </c>
      <c r="D16" s="174">
        <f>_xlfn.COMPOUNDVALUE(222)</f>
        <v>2257</v>
      </c>
      <c r="E16" s="175">
        <v>1362493</v>
      </c>
      <c r="F16" s="174">
        <f>_xlfn.COMPOUNDVALUE(223)</f>
        <v>7625</v>
      </c>
      <c r="G16" s="175">
        <v>51721909</v>
      </c>
      <c r="H16" s="174">
        <f>_xlfn.COMPOUNDVALUE(224)</f>
        <v>330</v>
      </c>
      <c r="I16" s="176">
        <v>2804276</v>
      </c>
      <c r="J16" s="174">
        <v>533</v>
      </c>
      <c r="K16" s="176">
        <v>11803</v>
      </c>
      <c r="L16" s="174">
        <v>8002</v>
      </c>
      <c r="M16" s="176">
        <v>48929436</v>
      </c>
      <c r="N16" s="79" t="s">
        <v>62</v>
      </c>
    </row>
    <row r="17" spans="1:14" ht="22.5" customHeight="1">
      <c r="A17" s="70" t="s">
        <v>181</v>
      </c>
      <c r="B17" s="174">
        <f>_xlfn.COMPOUNDVALUE(225)</f>
        <v>2410</v>
      </c>
      <c r="C17" s="175">
        <v>20024036</v>
      </c>
      <c r="D17" s="174">
        <f>_xlfn.COMPOUNDVALUE(226)</f>
        <v>999</v>
      </c>
      <c r="E17" s="175">
        <v>561389</v>
      </c>
      <c r="F17" s="174">
        <f>_xlfn.COMPOUNDVALUE(227)</f>
        <v>3409</v>
      </c>
      <c r="G17" s="175">
        <v>20585424</v>
      </c>
      <c r="H17" s="174">
        <f>_xlfn.COMPOUNDVALUE(228)</f>
        <v>185</v>
      </c>
      <c r="I17" s="176">
        <v>1767241</v>
      </c>
      <c r="J17" s="174">
        <v>206</v>
      </c>
      <c r="K17" s="176">
        <v>-2756</v>
      </c>
      <c r="L17" s="174">
        <v>3607</v>
      </c>
      <c r="M17" s="176">
        <v>18815428</v>
      </c>
      <c r="N17" s="71" t="s">
        <v>64</v>
      </c>
    </row>
    <row r="18" spans="1:14" ht="22.5" customHeight="1">
      <c r="A18" s="70" t="s">
        <v>182</v>
      </c>
      <c r="B18" s="174">
        <f>_xlfn.COMPOUNDVALUE(229)</f>
        <v>5143</v>
      </c>
      <c r="C18" s="175">
        <v>37474916</v>
      </c>
      <c r="D18" s="174">
        <f>_xlfn.COMPOUNDVALUE(230)</f>
        <v>2463</v>
      </c>
      <c r="E18" s="175">
        <v>1474859</v>
      </c>
      <c r="F18" s="174">
        <f>_xlfn.COMPOUNDVALUE(231)</f>
        <v>7606</v>
      </c>
      <c r="G18" s="175">
        <v>38949775</v>
      </c>
      <c r="H18" s="174">
        <f>_xlfn.COMPOUNDVALUE(232)</f>
        <v>399</v>
      </c>
      <c r="I18" s="176">
        <v>6393908</v>
      </c>
      <c r="J18" s="174">
        <v>577</v>
      </c>
      <c r="K18" s="176">
        <v>53324</v>
      </c>
      <c r="L18" s="174">
        <v>8039</v>
      </c>
      <c r="M18" s="176">
        <v>32609190</v>
      </c>
      <c r="N18" s="71" t="s">
        <v>66</v>
      </c>
    </row>
    <row r="19" spans="1:14" ht="22.5" customHeight="1">
      <c r="A19" s="70" t="s">
        <v>183</v>
      </c>
      <c r="B19" s="174">
        <f>_xlfn.COMPOUNDVALUE(233)</f>
        <v>3816</v>
      </c>
      <c r="C19" s="175">
        <v>24471149</v>
      </c>
      <c r="D19" s="174">
        <f>_xlfn.COMPOUNDVALUE(234)</f>
        <v>1648</v>
      </c>
      <c r="E19" s="175">
        <v>942999</v>
      </c>
      <c r="F19" s="174">
        <f>_xlfn.COMPOUNDVALUE(235)</f>
        <v>5464</v>
      </c>
      <c r="G19" s="175">
        <v>25414147</v>
      </c>
      <c r="H19" s="174">
        <f>_xlfn.COMPOUNDVALUE(236)</f>
        <v>270</v>
      </c>
      <c r="I19" s="176">
        <v>14646406</v>
      </c>
      <c r="J19" s="174">
        <v>352</v>
      </c>
      <c r="K19" s="176">
        <v>43812</v>
      </c>
      <c r="L19" s="174">
        <v>5763</v>
      </c>
      <c r="M19" s="176">
        <v>10811554</v>
      </c>
      <c r="N19" s="71" t="s">
        <v>68</v>
      </c>
    </row>
    <row r="20" spans="1:14" ht="22.5" customHeight="1">
      <c r="A20" s="70" t="s">
        <v>184</v>
      </c>
      <c r="B20" s="174">
        <f>_xlfn.COMPOUNDVALUE(237)</f>
        <v>4267</v>
      </c>
      <c r="C20" s="175">
        <v>33138045</v>
      </c>
      <c r="D20" s="174">
        <f>_xlfn.COMPOUNDVALUE(238)</f>
        <v>2102</v>
      </c>
      <c r="E20" s="175">
        <v>1258795</v>
      </c>
      <c r="F20" s="174">
        <f>_xlfn.COMPOUNDVALUE(239)</f>
        <v>6369</v>
      </c>
      <c r="G20" s="175">
        <v>34396840</v>
      </c>
      <c r="H20" s="174">
        <f>_xlfn.COMPOUNDVALUE(240)</f>
        <v>213</v>
      </c>
      <c r="I20" s="176">
        <v>1759215</v>
      </c>
      <c r="J20" s="174">
        <v>447</v>
      </c>
      <c r="K20" s="176">
        <v>34535</v>
      </c>
      <c r="L20" s="174">
        <v>6623</v>
      </c>
      <c r="M20" s="176">
        <v>32672160</v>
      </c>
      <c r="N20" s="71" t="s">
        <v>70</v>
      </c>
    </row>
    <row r="21" spans="1:14" ht="22.5" customHeight="1">
      <c r="A21" s="70" t="s">
        <v>185</v>
      </c>
      <c r="B21" s="174">
        <f>_xlfn.COMPOUNDVALUE(241)</f>
        <v>1228</v>
      </c>
      <c r="C21" s="175">
        <v>5191830</v>
      </c>
      <c r="D21" s="174">
        <f>_xlfn.COMPOUNDVALUE(242)</f>
        <v>729</v>
      </c>
      <c r="E21" s="175">
        <v>402644</v>
      </c>
      <c r="F21" s="174">
        <f>_xlfn.COMPOUNDVALUE(243)</f>
        <v>1957</v>
      </c>
      <c r="G21" s="175">
        <v>5594474</v>
      </c>
      <c r="H21" s="174">
        <f>_xlfn.COMPOUNDVALUE(244)</f>
        <v>65</v>
      </c>
      <c r="I21" s="176">
        <v>73578</v>
      </c>
      <c r="J21" s="174">
        <v>132</v>
      </c>
      <c r="K21" s="176">
        <v>13859</v>
      </c>
      <c r="L21" s="174">
        <v>2037</v>
      </c>
      <c r="M21" s="176">
        <v>5534755</v>
      </c>
      <c r="N21" s="71" t="s">
        <v>72</v>
      </c>
    </row>
    <row r="22" spans="1:14" ht="22.5" customHeight="1">
      <c r="A22" s="73" t="s">
        <v>186</v>
      </c>
      <c r="B22" s="177">
        <f>_xlfn.COMPOUNDVALUE(245)</f>
        <v>2000</v>
      </c>
      <c r="C22" s="178">
        <v>10719261</v>
      </c>
      <c r="D22" s="177">
        <f>_xlfn.COMPOUNDVALUE(246)</f>
        <v>1086</v>
      </c>
      <c r="E22" s="178">
        <v>611627</v>
      </c>
      <c r="F22" s="177">
        <f>_xlfn.COMPOUNDVALUE(247)</f>
        <v>3086</v>
      </c>
      <c r="G22" s="178">
        <v>11330888</v>
      </c>
      <c r="H22" s="177">
        <f>_xlfn.COMPOUNDVALUE(248)</f>
        <v>97</v>
      </c>
      <c r="I22" s="179">
        <v>338247</v>
      </c>
      <c r="J22" s="177">
        <v>197</v>
      </c>
      <c r="K22" s="179">
        <v>22064</v>
      </c>
      <c r="L22" s="177">
        <v>3203</v>
      </c>
      <c r="M22" s="179">
        <v>11014705</v>
      </c>
      <c r="N22" s="74" t="s">
        <v>74</v>
      </c>
    </row>
    <row r="23" spans="1:14" ht="22.5" customHeight="1">
      <c r="A23" s="73" t="s">
        <v>187</v>
      </c>
      <c r="B23" s="177">
        <f>_xlfn.COMPOUNDVALUE(249)</f>
        <v>1744</v>
      </c>
      <c r="C23" s="178">
        <v>11613615</v>
      </c>
      <c r="D23" s="177">
        <f>_xlfn.COMPOUNDVALUE(250)</f>
        <v>645</v>
      </c>
      <c r="E23" s="178">
        <v>385768</v>
      </c>
      <c r="F23" s="177">
        <f>_xlfn.COMPOUNDVALUE(251)</f>
        <v>2389</v>
      </c>
      <c r="G23" s="178">
        <v>11999383</v>
      </c>
      <c r="H23" s="177">
        <f>_xlfn.COMPOUNDVALUE(252)</f>
        <v>89</v>
      </c>
      <c r="I23" s="179">
        <v>783739</v>
      </c>
      <c r="J23" s="177">
        <v>100</v>
      </c>
      <c r="K23" s="179">
        <v>14467</v>
      </c>
      <c r="L23" s="177">
        <v>2494</v>
      </c>
      <c r="M23" s="179">
        <v>11230111</v>
      </c>
      <c r="N23" s="74" t="s">
        <v>76</v>
      </c>
    </row>
    <row r="24" spans="1:14" ht="22.5" customHeight="1">
      <c r="A24" s="73" t="s">
        <v>188</v>
      </c>
      <c r="B24" s="177">
        <f>_xlfn.COMPOUNDVALUE(253)</f>
        <v>3710</v>
      </c>
      <c r="C24" s="178">
        <v>25613541</v>
      </c>
      <c r="D24" s="177">
        <f>_xlfn.COMPOUNDVALUE(254)</f>
        <v>1535</v>
      </c>
      <c r="E24" s="178">
        <v>898147</v>
      </c>
      <c r="F24" s="177">
        <f>_xlfn.COMPOUNDVALUE(255)</f>
        <v>5245</v>
      </c>
      <c r="G24" s="178">
        <v>26511688</v>
      </c>
      <c r="H24" s="177">
        <f>_xlfn.COMPOUNDVALUE(256)</f>
        <v>199</v>
      </c>
      <c r="I24" s="179">
        <v>4911342</v>
      </c>
      <c r="J24" s="177">
        <v>405</v>
      </c>
      <c r="K24" s="179">
        <v>38471</v>
      </c>
      <c r="L24" s="177">
        <v>5480</v>
      </c>
      <c r="M24" s="179">
        <v>21638817</v>
      </c>
      <c r="N24" s="74" t="s">
        <v>78</v>
      </c>
    </row>
    <row r="25" spans="1:14" ht="22.5" customHeight="1">
      <c r="A25" s="73" t="s">
        <v>189</v>
      </c>
      <c r="B25" s="177">
        <f>_xlfn.COMPOUNDVALUE(257)</f>
        <v>2145</v>
      </c>
      <c r="C25" s="178">
        <v>15844996</v>
      </c>
      <c r="D25" s="177">
        <f>_xlfn.COMPOUNDVALUE(258)</f>
        <v>898</v>
      </c>
      <c r="E25" s="178">
        <v>541256</v>
      </c>
      <c r="F25" s="177">
        <f>_xlfn.COMPOUNDVALUE(259)</f>
        <v>3043</v>
      </c>
      <c r="G25" s="178">
        <v>16386252</v>
      </c>
      <c r="H25" s="177">
        <f>_xlfn.COMPOUNDVALUE(260)</f>
        <v>183</v>
      </c>
      <c r="I25" s="179">
        <v>18203398</v>
      </c>
      <c r="J25" s="177">
        <v>176</v>
      </c>
      <c r="K25" s="179">
        <v>18189</v>
      </c>
      <c r="L25" s="177">
        <v>3240</v>
      </c>
      <c r="M25" s="179">
        <v>-1798957</v>
      </c>
      <c r="N25" s="74" t="s">
        <v>80</v>
      </c>
    </row>
    <row r="26" spans="1:14" ht="22.5" customHeight="1">
      <c r="A26" s="73" t="s">
        <v>190</v>
      </c>
      <c r="B26" s="177">
        <f>_xlfn.COMPOUNDVALUE(261)</f>
        <v>1631</v>
      </c>
      <c r="C26" s="178">
        <v>9712582</v>
      </c>
      <c r="D26" s="177">
        <f>_xlfn.COMPOUNDVALUE(262)</f>
        <v>650</v>
      </c>
      <c r="E26" s="178">
        <v>381792</v>
      </c>
      <c r="F26" s="177">
        <f>_xlfn.COMPOUNDVALUE(263)</f>
        <v>2281</v>
      </c>
      <c r="G26" s="178">
        <v>10094374</v>
      </c>
      <c r="H26" s="177">
        <f>_xlfn.COMPOUNDVALUE(264)</f>
        <v>103</v>
      </c>
      <c r="I26" s="179">
        <v>1344412</v>
      </c>
      <c r="J26" s="177">
        <v>87</v>
      </c>
      <c r="K26" s="179">
        <v>15341</v>
      </c>
      <c r="L26" s="177">
        <v>2399</v>
      </c>
      <c r="M26" s="179">
        <v>8765303</v>
      </c>
      <c r="N26" s="74" t="s">
        <v>82</v>
      </c>
    </row>
    <row r="27" spans="1:14" ht="22.5" customHeight="1">
      <c r="A27" s="73" t="s">
        <v>191</v>
      </c>
      <c r="B27" s="177">
        <f>_xlfn.COMPOUNDVALUE(265)</f>
        <v>2529</v>
      </c>
      <c r="C27" s="178">
        <v>16029608</v>
      </c>
      <c r="D27" s="177">
        <f>_xlfn.COMPOUNDVALUE(266)</f>
        <v>926</v>
      </c>
      <c r="E27" s="178">
        <v>548031</v>
      </c>
      <c r="F27" s="177">
        <f>_xlfn.COMPOUNDVALUE(267)</f>
        <v>3455</v>
      </c>
      <c r="G27" s="178">
        <v>16577638</v>
      </c>
      <c r="H27" s="177">
        <f>_xlfn.COMPOUNDVALUE(268)</f>
        <v>158</v>
      </c>
      <c r="I27" s="179">
        <v>517997</v>
      </c>
      <c r="J27" s="177">
        <v>158</v>
      </c>
      <c r="K27" s="179">
        <v>44065</v>
      </c>
      <c r="L27" s="177">
        <v>3633</v>
      </c>
      <c r="M27" s="179">
        <v>16103706</v>
      </c>
      <c r="N27" s="74" t="s">
        <v>84</v>
      </c>
    </row>
    <row r="28" spans="1:14" ht="22.5" customHeight="1">
      <c r="A28" s="73" t="s">
        <v>192</v>
      </c>
      <c r="B28" s="177">
        <f>_xlfn.COMPOUNDVALUE(269)</f>
        <v>705</v>
      </c>
      <c r="C28" s="178">
        <v>2569746</v>
      </c>
      <c r="D28" s="177">
        <f>_xlfn.COMPOUNDVALUE(270)</f>
        <v>319</v>
      </c>
      <c r="E28" s="178">
        <v>168747</v>
      </c>
      <c r="F28" s="177">
        <f>_xlfn.COMPOUNDVALUE(271)</f>
        <v>1024</v>
      </c>
      <c r="G28" s="178">
        <v>2738493</v>
      </c>
      <c r="H28" s="177">
        <f>_xlfn.COMPOUNDVALUE(272)</f>
        <v>34</v>
      </c>
      <c r="I28" s="179">
        <v>104373</v>
      </c>
      <c r="J28" s="177">
        <v>114</v>
      </c>
      <c r="K28" s="179">
        <v>14756</v>
      </c>
      <c r="L28" s="177">
        <v>1070</v>
      </c>
      <c r="M28" s="179">
        <v>2648876</v>
      </c>
      <c r="N28" s="74" t="s">
        <v>86</v>
      </c>
    </row>
    <row r="29" spans="1:14" ht="22.5" customHeight="1">
      <c r="A29" s="75" t="s">
        <v>193</v>
      </c>
      <c r="B29" s="180">
        <v>36696</v>
      </c>
      <c r="C29" s="181">
        <v>262762738</v>
      </c>
      <c r="D29" s="180">
        <v>16257</v>
      </c>
      <c r="E29" s="181">
        <v>9538546</v>
      </c>
      <c r="F29" s="180">
        <v>52953</v>
      </c>
      <c r="G29" s="181">
        <v>272301285</v>
      </c>
      <c r="H29" s="180">
        <v>2325</v>
      </c>
      <c r="I29" s="182">
        <v>53648133</v>
      </c>
      <c r="J29" s="180">
        <v>3484</v>
      </c>
      <c r="K29" s="182">
        <v>321931</v>
      </c>
      <c r="L29" s="180">
        <v>55590</v>
      </c>
      <c r="M29" s="182">
        <v>218975082</v>
      </c>
      <c r="N29" s="76" t="s">
        <v>88</v>
      </c>
    </row>
    <row r="30" spans="1:14" ht="22.5" customHeight="1">
      <c r="A30" s="77"/>
      <c r="B30" s="183"/>
      <c r="C30" s="184"/>
      <c r="D30" s="183"/>
      <c r="E30" s="184"/>
      <c r="F30" s="185"/>
      <c r="G30" s="184"/>
      <c r="H30" s="185"/>
      <c r="I30" s="184"/>
      <c r="J30" s="185"/>
      <c r="K30" s="184"/>
      <c r="L30" s="185"/>
      <c r="M30" s="184"/>
      <c r="N30" s="78"/>
    </row>
    <row r="31" spans="1:14" ht="22.5" customHeight="1">
      <c r="A31" s="70" t="s">
        <v>194</v>
      </c>
      <c r="B31" s="174">
        <f>_xlfn.COMPOUNDVALUE(273)</f>
        <v>3372</v>
      </c>
      <c r="C31" s="175">
        <v>25145184</v>
      </c>
      <c r="D31" s="174">
        <f>_xlfn.COMPOUNDVALUE(274)</f>
        <v>1467</v>
      </c>
      <c r="E31" s="175">
        <v>905163</v>
      </c>
      <c r="F31" s="174">
        <f>_xlfn.COMPOUNDVALUE(275)</f>
        <v>4839</v>
      </c>
      <c r="G31" s="175">
        <v>26050347</v>
      </c>
      <c r="H31" s="174">
        <f>_xlfn.COMPOUNDVALUE(276)</f>
        <v>314</v>
      </c>
      <c r="I31" s="176">
        <v>1767465</v>
      </c>
      <c r="J31" s="174">
        <v>326</v>
      </c>
      <c r="K31" s="176">
        <v>17181</v>
      </c>
      <c r="L31" s="174">
        <v>5176</v>
      </c>
      <c r="M31" s="176">
        <v>24300063</v>
      </c>
      <c r="N31" s="79" t="s">
        <v>90</v>
      </c>
    </row>
    <row r="32" spans="1:14" ht="22.5" customHeight="1">
      <c r="A32" s="70" t="s">
        <v>195</v>
      </c>
      <c r="B32" s="174">
        <f>_xlfn.COMPOUNDVALUE(277)</f>
        <v>1975</v>
      </c>
      <c r="C32" s="175">
        <v>87408083</v>
      </c>
      <c r="D32" s="174">
        <f>_xlfn.COMPOUNDVALUE(278)</f>
        <v>666</v>
      </c>
      <c r="E32" s="175">
        <v>430079</v>
      </c>
      <c r="F32" s="174">
        <f>_xlfn.COMPOUNDVALUE(279)</f>
        <v>2641</v>
      </c>
      <c r="G32" s="175">
        <v>87838162</v>
      </c>
      <c r="H32" s="174">
        <f>_xlfn.COMPOUNDVALUE(280)</f>
        <v>272</v>
      </c>
      <c r="I32" s="176">
        <v>4345787</v>
      </c>
      <c r="J32" s="174">
        <v>178</v>
      </c>
      <c r="K32" s="176">
        <v>26476</v>
      </c>
      <c r="L32" s="174">
        <v>2941</v>
      </c>
      <c r="M32" s="176">
        <v>83518851</v>
      </c>
      <c r="N32" s="71" t="s">
        <v>92</v>
      </c>
    </row>
    <row r="33" spans="1:14" ht="22.5" customHeight="1">
      <c r="A33" s="70" t="s">
        <v>196</v>
      </c>
      <c r="B33" s="174">
        <f>_xlfn.COMPOUNDVALUE(281)</f>
        <v>3748</v>
      </c>
      <c r="C33" s="175">
        <v>26126552</v>
      </c>
      <c r="D33" s="174">
        <f>_xlfn.COMPOUNDVALUE(282)</f>
        <v>1513</v>
      </c>
      <c r="E33" s="175">
        <v>871996</v>
      </c>
      <c r="F33" s="174">
        <f>_xlfn.COMPOUNDVALUE(283)</f>
        <v>5261</v>
      </c>
      <c r="G33" s="175">
        <v>26998548</v>
      </c>
      <c r="H33" s="174">
        <f>_xlfn.COMPOUNDVALUE(284)</f>
        <v>279</v>
      </c>
      <c r="I33" s="176">
        <v>1060887</v>
      </c>
      <c r="J33" s="174">
        <v>235</v>
      </c>
      <c r="K33" s="176">
        <v>18280</v>
      </c>
      <c r="L33" s="174">
        <v>5557</v>
      </c>
      <c r="M33" s="176">
        <v>25955941</v>
      </c>
      <c r="N33" s="71" t="s">
        <v>94</v>
      </c>
    </row>
    <row r="34" spans="1:14" ht="22.5" customHeight="1">
      <c r="A34" s="70" t="s">
        <v>197</v>
      </c>
      <c r="B34" s="174">
        <f>_xlfn.COMPOUNDVALUE(285)</f>
        <v>4455</v>
      </c>
      <c r="C34" s="175">
        <v>41259721</v>
      </c>
      <c r="D34" s="174">
        <f>_xlfn.COMPOUNDVALUE(286)</f>
        <v>1506</v>
      </c>
      <c r="E34" s="175">
        <v>843251</v>
      </c>
      <c r="F34" s="174">
        <f>_xlfn.COMPOUNDVALUE(287)</f>
        <v>5961</v>
      </c>
      <c r="G34" s="175">
        <v>42102972</v>
      </c>
      <c r="H34" s="174">
        <f>_xlfn.COMPOUNDVALUE(288)</f>
        <v>317</v>
      </c>
      <c r="I34" s="176">
        <v>3380451</v>
      </c>
      <c r="J34" s="174">
        <v>328</v>
      </c>
      <c r="K34" s="176">
        <v>76228</v>
      </c>
      <c r="L34" s="174">
        <v>6318</v>
      </c>
      <c r="M34" s="176">
        <v>38798749</v>
      </c>
      <c r="N34" s="71" t="s">
        <v>96</v>
      </c>
    </row>
    <row r="35" spans="1:14" ht="22.5" customHeight="1">
      <c r="A35" s="70" t="s">
        <v>198</v>
      </c>
      <c r="B35" s="174">
        <f>_xlfn.COMPOUNDVALUE(289)</f>
        <v>2965</v>
      </c>
      <c r="C35" s="175">
        <v>104106873</v>
      </c>
      <c r="D35" s="174">
        <f>_xlfn.COMPOUNDVALUE(290)</f>
        <v>904</v>
      </c>
      <c r="E35" s="175">
        <v>574814</v>
      </c>
      <c r="F35" s="174">
        <f>_xlfn.COMPOUNDVALUE(291)</f>
        <v>3869</v>
      </c>
      <c r="G35" s="175">
        <v>104681687</v>
      </c>
      <c r="H35" s="174">
        <f>_xlfn.COMPOUNDVALUE(292)</f>
        <v>376</v>
      </c>
      <c r="I35" s="176">
        <v>67692412</v>
      </c>
      <c r="J35" s="174">
        <v>325</v>
      </c>
      <c r="K35" s="176">
        <v>108271</v>
      </c>
      <c r="L35" s="174">
        <v>4268</v>
      </c>
      <c r="M35" s="176">
        <v>37097546</v>
      </c>
      <c r="N35" s="71" t="s">
        <v>98</v>
      </c>
    </row>
    <row r="36" spans="1:14" ht="22.5" customHeight="1">
      <c r="A36" s="70" t="s">
        <v>199</v>
      </c>
      <c r="B36" s="174">
        <f>_xlfn.COMPOUNDVALUE(293)</f>
        <v>6033</v>
      </c>
      <c r="C36" s="175">
        <v>138329917</v>
      </c>
      <c r="D36" s="174">
        <f>_xlfn.COMPOUNDVALUE(294)</f>
        <v>1779</v>
      </c>
      <c r="E36" s="175">
        <v>1214766</v>
      </c>
      <c r="F36" s="174">
        <f>_xlfn.COMPOUNDVALUE(295)</f>
        <v>7812</v>
      </c>
      <c r="G36" s="175">
        <v>139544683</v>
      </c>
      <c r="H36" s="174">
        <f>_xlfn.COMPOUNDVALUE(296)</f>
        <v>681</v>
      </c>
      <c r="I36" s="176">
        <v>9261011</v>
      </c>
      <c r="J36" s="174">
        <v>532</v>
      </c>
      <c r="K36" s="176">
        <v>262343</v>
      </c>
      <c r="L36" s="174">
        <v>8566</v>
      </c>
      <c r="M36" s="176">
        <v>130546015</v>
      </c>
      <c r="N36" s="71" t="s">
        <v>100</v>
      </c>
    </row>
    <row r="37" spans="1:14" ht="22.5" customHeight="1">
      <c r="A37" s="70" t="s">
        <v>200</v>
      </c>
      <c r="B37" s="174">
        <f>_xlfn.COMPOUNDVALUE(297)</f>
        <v>5577</v>
      </c>
      <c r="C37" s="175">
        <v>50131437</v>
      </c>
      <c r="D37" s="174">
        <f>_xlfn.COMPOUNDVALUE(298)</f>
        <v>2268</v>
      </c>
      <c r="E37" s="175">
        <v>1317354</v>
      </c>
      <c r="F37" s="174">
        <f>_xlfn.COMPOUNDVALUE(299)</f>
        <v>7845</v>
      </c>
      <c r="G37" s="175">
        <v>51448791</v>
      </c>
      <c r="H37" s="174">
        <f>_xlfn.COMPOUNDVALUE(300)</f>
        <v>556</v>
      </c>
      <c r="I37" s="176">
        <v>17020138</v>
      </c>
      <c r="J37" s="174">
        <v>459</v>
      </c>
      <c r="K37" s="176">
        <v>-2714</v>
      </c>
      <c r="L37" s="174">
        <v>8446</v>
      </c>
      <c r="M37" s="176">
        <v>34425939</v>
      </c>
      <c r="N37" s="71" t="s">
        <v>102</v>
      </c>
    </row>
    <row r="38" spans="1:14" ht="22.5" customHeight="1">
      <c r="A38" s="70" t="s">
        <v>201</v>
      </c>
      <c r="B38" s="174">
        <f>_xlfn.COMPOUNDVALUE(301)</f>
        <v>5628</v>
      </c>
      <c r="C38" s="175">
        <v>58632936</v>
      </c>
      <c r="D38" s="174">
        <f>_xlfn.COMPOUNDVALUE(302)</f>
        <v>2139</v>
      </c>
      <c r="E38" s="175">
        <v>1342126</v>
      </c>
      <c r="F38" s="174">
        <f>_xlfn.COMPOUNDVALUE(303)</f>
        <v>7767</v>
      </c>
      <c r="G38" s="175">
        <v>59975061</v>
      </c>
      <c r="H38" s="174">
        <f>_xlfn.COMPOUNDVALUE(304)</f>
        <v>331</v>
      </c>
      <c r="I38" s="176">
        <v>2902750</v>
      </c>
      <c r="J38" s="174">
        <v>387</v>
      </c>
      <c r="K38" s="176">
        <v>41925</v>
      </c>
      <c r="L38" s="174">
        <v>8121</v>
      </c>
      <c r="M38" s="176">
        <v>57114236</v>
      </c>
      <c r="N38" s="71" t="s">
        <v>104</v>
      </c>
    </row>
    <row r="39" spans="1:14" ht="22.5" customHeight="1">
      <c r="A39" s="70" t="s">
        <v>202</v>
      </c>
      <c r="B39" s="174">
        <f>_xlfn.COMPOUNDVALUE(305)</f>
        <v>4836</v>
      </c>
      <c r="C39" s="175">
        <v>41077155</v>
      </c>
      <c r="D39" s="174">
        <f>_xlfn.COMPOUNDVALUE(306)</f>
        <v>1603</v>
      </c>
      <c r="E39" s="175">
        <v>945778</v>
      </c>
      <c r="F39" s="174">
        <f>_xlfn.COMPOUNDVALUE(307)</f>
        <v>6439</v>
      </c>
      <c r="G39" s="175">
        <v>42022933</v>
      </c>
      <c r="H39" s="174">
        <f>_xlfn.COMPOUNDVALUE(308)</f>
        <v>637</v>
      </c>
      <c r="I39" s="176">
        <v>7237305</v>
      </c>
      <c r="J39" s="174">
        <v>433</v>
      </c>
      <c r="K39" s="176">
        <v>-87750</v>
      </c>
      <c r="L39" s="174">
        <v>7127</v>
      </c>
      <c r="M39" s="176">
        <v>34697877</v>
      </c>
      <c r="N39" s="71" t="s">
        <v>106</v>
      </c>
    </row>
    <row r="40" spans="1:14" ht="22.5" customHeight="1">
      <c r="A40" s="70" t="s">
        <v>203</v>
      </c>
      <c r="B40" s="174">
        <f>_xlfn.COMPOUNDVALUE(309)</f>
        <v>6783</v>
      </c>
      <c r="C40" s="175">
        <v>46199357</v>
      </c>
      <c r="D40" s="174">
        <f>_xlfn.COMPOUNDVALUE(310)</f>
        <v>2971</v>
      </c>
      <c r="E40" s="175">
        <v>1704196</v>
      </c>
      <c r="F40" s="174">
        <f>_xlfn.COMPOUNDVALUE(311)</f>
        <v>9754</v>
      </c>
      <c r="G40" s="175">
        <v>47903553</v>
      </c>
      <c r="H40" s="174">
        <f>_xlfn.COMPOUNDVALUE(312)</f>
        <v>427</v>
      </c>
      <c r="I40" s="176">
        <v>4173622</v>
      </c>
      <c r="J40" s="174">
        <v>461</v>
      </c>
      <c r="K40" s="176">
        <v>47145</v>
      </c>
      <c r="L40" s="174">
        <v>10206</v>
      </c>
      <c r="M40" s="176">
        <v>43777076</v>
      </c>
      <c r="N40" s="71" t="s">
        <v>108</v>
      </c>
    </row>
    <row r="41" spans="1:14" ht="22.5" customHeight="1">
      <c r="A41" s="70" t="s">
        <v>204</v>
      </c>
      <c r="B41" s="174">
        <f>_xlfn.COMPOUNDVALUE(313)</f>
        <v>3638</v>
      </c>
      <c r="C41" s="175">
        <v>25599813</v>
      </c>
      <c r="D41" s="174">
        <f>_xlfn.COMPOUNDVALUE(314)</f>
        <v>1473</v>
      </c>
      <c r="E41" s="175">
        <v>892583</v>
      </c>
      <c r="F41" s="174">
        <f>_xlfn.COMPOUNDVALUE(315)</f>
        <v>5111</v>
      </c>
      <c r="G41" s="175">
        <v>26492396</v>
      </c>
      <c r="H41" s="174">
        <f>_xlfn.COMPOUNDVALUE(316)</f>
        <v>174</v>
      </c>
      <c r="I41" s="176">
        <v>405826</v>
      </c>
      <c r="J41" s="174">
        <v>251</v>
      </c>
      <c r="K41" s="176">
        <v>1619</v>
      </c>
      <c r="L41" s="174">
        <v>5317</v>
      </c>
      <c r="M41" s="176">
        <v>26088189</v>
      </c>
      <c r="N41" s="71" t="s">
        <v>110</v>
      </c>
    </row>
    <row r="42" spans="1:14" ht="22.5" customHeight="1">
      <c r="A42" s="70" t="s">
        <v>205</v>
      </c>
      <c r="B42" s="174">
        <f>_xlfn.COMPOUNDVALUE(317)</f>
        <v>4198</v>
      </c>
      <c r="C42" s="175">
        <v>37720453</v>
      </c>
      <c r="D42" s="174">
        <f>_xlfn.COMPOUNDVALUE(318)</f>
        <v>1773</v>
      </c>
      <c r="E42" s="175">
        <v>1072821</v>
      </c>
      <c r="F42" s="174">
        <f>_xlfn.COMPOUNDVALUE(319)</f>
        <v>5971</v>
      </c>
      <c r="G42" s="175">
        <v>38793274</v>
      </c>
      <c r="H42" s="174">
        <f>_xlfn.COMPOUNDVALUE(320)</f>
        <v>294</v>
      </c>
      <c r="I42" s="176">
        <v>1596375</v>
      </c>
      <c r="J42" s="174">
        <v>335</v>
      </c>
      <c r="K42" s="176">
        <v>40607</v>
      </c>
      <c r="L42" s="174">
        <v>6295</v>
      </c>
      <c r="M42" s="176">
        <v>37237506</v>
      </c>
      <c r="N42" s="71" t="s">
        <v>112</v>
      </c>
    </row>
    <row r="43" spans="1:14" ht="22.5" customHeight="1">
      <c r="A43" s="70" t="s">
        <v>206</v>
      </c>
      <c r="B43" s="174">
        <f>_xlfn.COMPOUNDVALUE(321)</f>
        <v>1807</v>
      </c>
      <c r="C43" s="175">
        <v>11939980</v>
      </c>
      <c r="D43" s="174">
        <f>_xlfn.COMPOUNDVALUE(322)</f>
        <v>903</v>
      </c>
      <c r="E43" s="175">
        <v>496806</v>
      </c>
      <c r="F43" s="174">
        <f>_xlfn.COMPOUNDVALUE(323)</f>
        <v>2710</v>
      </c>
      <c r="G43" s="175">
        <v>12436786</v>
      </c>
      <c r="H43" s="174">
        <f>_xlfn.COMPOUNDVALUE(324)</f>
        <v>124</v>
      </c>
      <c r="I43" s="176">
        <v>945335</v>
      </c>
      <c r="J43" s="174">
        <v>120</v>
      </c>
      <c r="K43" s="176">
        <v>27015</v>
      </c>
      <c r="L43" s="174">
        <v>2858</v>
      </c>
      <c r="M43" s="176">
        <v>11518466</v>
      </c>
      <c r="N43" s="71" t="s">
        <v>114</v>
      </c>
    </row>
    <row r="44" spans="1:14" ht="22.5" customHeight="1">
      <c r="A44" s="73" t="s">
        <v>207</v>
      </c>
      <c r="B44" s="177">
        <f>_xlfn.COMPOUNDVALUE(325)</f>
        <v>4859</v>
      </c>
      <c r="C44" s="178">
        <v>42324665</v>
      </c>
      <c r="D44" s="177">
        <f>_xlfn.COMPOUNDVALUE(326)</f>
        <v>1779</v>
      </c>
      <c r="E44" s="178">
        <v>1180429</v>
      </c>
      <c r="F44" s="177">
        <f>_xlfn.COMPOUNDVALUE(327)</f>
        <v>6638</v>
      </c>
      <c r="G44" s="178">
        <v>43505094</v>
      </c>
      <c r="H44" s="177">
        <f>_xlfn.COMPOUNDVALUE(328)</f>
        <v>307</v>
      </c>
      <c r="I44" s="179">
        <v>2682976</v>
      </c>
      <c r="J44" s="177">
        <v>437</v>
      </c>
      <c r="K44" s="179">
        <v>95430</v>
      </c>
      <c r="L44" s="177">
        <v>7005</v>
      </c>
      <c r="M44" s="179">
        <v>40917548</v>
      </c>
      <c r="N44" s="74" t="s">
        <v>116</v>
      </c>
    </row>
    <row r="45" spans="1:14" ht="22.5" customHeight="1">
      <c r="A45" s="73" t="s">
        <v>208</v>
      </c>
      <c r="B45" s="177">
        <f>_xlfn.COMPOUNDVALUE(329)</f>
        <v>3160</v>
      </c>
      <c r="C45" s="178">
        <v>21954603</v>
      </c>
      <c r="D45" s="177">
        <f>_xlfn.COMPOUNDVALUE(330)</f>
        <v>1133</v>
      </c>
      <c r="E45" s="178">
        <v>677835</v>
      </c>
      <c r="F45" s="177">
        <f>_xlfn.COMPOUNDVALUE(331)</f>
        <v>4293</v>
      </c>
      <c r="G45" s="178">
        <v>22632438</v>
      </c>
      <c r="H45" s="177">
        <f>_xlfn.COMPOUNDVALUE(332)</f>
        <v>373</v>
      </c>
      <c r="I45" s="179">
        <v>4521070</v>
      </c>
      <c r="J45" s="177">
        <v>224</v>
      </c>
      <c r="K45" s="179">
        <v>24004</v>
      </c>
      <c r="L45" s="177">
        <v>4682</v>
      </c>
      <c r="M45" s="179">
        <v>18135372</v>
      </c>
      <c r="N45" s="74" t="s">
        <v>118</v>
      </c>
    </row>
    <row r="46" spans="1:14" ht="22.5" customHeight="1">
      <c r="A46" s="73" t="s">
        <v>209</v>
      </c>
      <c r="B46" s="177">
        <f>_xlfn.COMPOUNDVALUE(333)</f>
        <v>4595</v>
      </c>
      <c r="C46" s="178">
        <v>68668477</v>
      </c>
      <c r="D46" s="177">
        <f>_xlfn.COMPOUNDVALUE(334)</f>
        <v>1530</v>
      </c>
      <c r="E46" s="178">
        <v>984628</v>
      </c>
      <c r="F46" s="177">
        <f>_xlfn.COMPOUNDVALUE(335)</f>
        <v>6125</v>
      </c>
      <c r="G46" s="178">
        <v>69653106</v>
      </c>
      <c r="H46" s="177">
        <f>_xlfn.COMPOUNDVALUE(336)</f>
        <v>270</v>
      </c>
      <c r="I46" s="179">
        <v>41548273</v>
      </c>
      <c r="J46" s="177">
        <v>284</v>
      </c>
      <c r="K46" s="179">
        <v>221831</v>
      </c>
      <c r="L46" s="177">
        <v>6423</v>
      </c>
      <c r="M46" s="179">
        <v>28326663</v>
      </c>
      <c r="N46" s="74" t="s">
        <v>120</v>
      </c>
    </row>
    <row r="47" spans="1:14" ht="22.5" customHeight="1">
      <c r="A47" s="73" t="s">
        <v>210</v>
      </c>
      <c r="B47" s="177">
        <f>_xlfn.COMPOUNDVALUE(337)</f>
        <v>3667</v>
      </c>
      <c r="C47" s="178">
        <v>41740900</v>
      </c>
      <c r="D47" s="177">
        <f>_xlfn.COMPOUNDVALUE(338)</f>
        <v>1401</v>
      </c>
      <c r="E47" s="178">
        <v>872950</v>
      </c>
      <c r="F47" s="177">
        <f>_xlfn.COMPOUNDVALUE(339)</f>
        <v>5068</v>
      </c>
      <c r="G47" s="178">
        <v>42613850</v>
      </c>
      <c r="H47" s="177">
        <f>_xlfn.COMPOUNDVALUE(340)</f>
        <v>241</v>
      </c>
      <c r="I47" s="179">
        <v>283817668</v>
      </c>
      <c r="J47" s="177">
        <v>273</v>
      </c>
      <c r="K47" s="179">
        <v>-107109</v>
      </c>
      <c r="L47" s="177">
        <v>5338</v>
      </c>
      <c r="M47" s="186">
        <v>-241310928</v>
      </c>
      <c r="N47" s="74" t="s">
        <v>122</v>
      </c>
    </row>
    <row r="48" spans="1:14" ht="22.5" customHeight="1">
      <c r="A48" s="73" t="s">
        <v>211</v>
      </c>
      <c r="B48" s="177">
        <f>_xlfn.COMPOUNDVALUE(341)</f>
        <v>1578</v>
      </c>
      <c r="C48" s="178">
        <v>11371450</v>
      </c>
      <c r="D48" s="177">
        <f>_xlfn.COMPOUNDVALUE(342)</f>
        <v>511</v>
      </c>
      <c r="E48" s="178">
        <v>307314</v>
      </c>
      <c r="F48" s="177">
        <f>_xlfn.COMPOUNDVALUE(343)</f>
        <v>2089</v>
      </c>
      <c r="G48" s="178">
        <v>11678764</v>
      </c>
      <c r="H48" s="177">
        <f>_xlfn.COMPOUNDVALUE(344)</f>
        <v>89</v>
      </c>
      <c r="I48" s="179">
        <v>1208014</v>
      </c>
      <c r="J48" s="177">
        <v>102</v>
      </c>
      <c r="K48" s="179">
        <v>16442</v>
      </c>
      <c r="L48" s="177">
        <v>2180</v>
      </c>
      <c r="M48" s="179">
        <v>10487192</v>
      </c>
      <c r="N48" s="74" t="s">
        <v>124</v>
      </c>
    </row>
    <row r="49" spans="1:14" ht="22.5" customHeight="1">
      <c r="A49" s="73" t="s">
        <v>212</v>
      </c>
      <c r="B49" s="177">
        <f>_xlfn.COMPOUNDVALUE(345)</f>
        <v>6447</v>
      </c>
      <c r="C49" s="178">
        <v>51625094</v>
      </c>
      <c r="D49" s="177">
        <f>_xlfn.COMPOUNDVALUE(346)</f>
        <v>2663</v>
      </c>
      <c r="E49" s="178">
        <v>1616566</v>
      </c>
      <c r="F49" s="177">
        <f>_xlfn.COMPOUNDVALUE(347)</f>
        <v>9110</v>
      </c>
      <c r="G49" s="178">
        <v>53241660</v>
      </c>
      <c r="H49" s="177">
        <f>_xlfn.COMPOUNDVALUE(348)</f>
        <v>456</v>
      </c>
      <c r="I49" s="179">
        <v>13589030</v>
      </c>
      <c r="J49" s="177">
        <v>566</v>
      </c>
      <c r="K49" s="179">
        <v>-382741</v>
      </c>
      <c r="L49" s="177">
        <v>9607</v>
      </c>
      <c r="M49" s="179">
        <v>39269888</v>
      </c>
      <c r="N49" s="74" t="s">
        <v>126</v>
      </c>
    </row>
    <row r="50" spans="1:14" ht="22.5" customHeight="1">
      <c r="A50" s="73" t="s">
        <v>213</v>
      </c>
      <c r="B50" s="177">
        <f>_xlfn.COMPOUNDVALUE(349)</f>
        <v>511</v>
      </c>
      <c r="C50" s="178">
        <v>2357077</v>
      </c>
      <c r="D50" s="177">
        <f>_xlfn.COMPOUNDVALUE(350)</f>
        <v>182</v>
      </c>
      <c r="E50" s="178">
        <v>110811</v>
      </c>
      <c r="F50" s="177">
        <f>_xlfn.COMPOUNDVALUE(351)</f>
        <v>693</v>
      </c>
      <c r="G50" s="178">
        <v>2467889</v>
      </c>
      <c r="H50" s="177">
        <f>_xlfn.COMPOUNDVALUE(352)</f>
        <v>29</v>
      </c>
      <c r="I50" s="179">
        <v>79377</v>
      </c>
      <c r="J50" s="177">
        <v>52</v>
      </c>
      <c r="K50" s="179">
        <v>3672</v>
      </c>
      <c r="L50" s="177">
        <v>723</v>
      </c>
      <c r="M50" s="179">
        <v>2392184</v>
      </c>
      <c r="N50" s="74" t="s">
        <v>128</v>
      </c>
    </row>
    <row r="51" spans="1:14" ht="22.5" customHeight="1">
      <c r="A51" s="75" t="s">
        <v>214</v>
      </c>
      <c r="B51" s="180">
        <v>79832</v>
      </c>
      <c r="C51" s="181">
        <v>933719725</v>
      </c>
      <c r="D51" s="180">
        <v>30164</v>
      </c>
      <c r="E51" s="181">
        <v>18362268</v>
      </c>
      <c r="F51" s="180">
        <v>109996</v>
      </c>
      <c r="G51" s="181">
        <v>952081993</v>
      </c>
      <c r="H51" s="180">
        <v>6547</v>
      </c>
      <c r="I51" s="182">
        <v>469235774</v>
      </c>
      <c r="J51" s="180">
        <v>6308</v>
      </c>
      <c r="K51" s="182">
        <v>448154</v>
      </c>
      <c r="L51" s="180">
        <v>117154</v>
      </c>
      <c r="M51" s="182">
        <v>483294373</v>
      </c>
      <c r="N51" s="76" t="s">
        <v>130</v>
      </c>
    </row>
    <row r="52" spans="1:14" ht="22.5" customHeight="1">
      <c r="A52" s="77"/>
      <c r="B52" s="183"/>
      <c r="C52" s="184"/>
      <c r="D52" s="183"/>
      <c r="E52" s="184"/>
      <c r="F52" s="185"/>
      <c r="G52" s="184"/>
      <c r="H52" s="185"/>
      <c r="I52" s="184"/>
      <c r="J52" s="185"/>
      <c r="K52" s="184"/>
      <c r="L52" s="185"/>
      <c r="M52" s="184"/>
      <c r="N52" s="78"/>
    </row>
    <row r="53" spans="1:14" ht="22.5" customHeight="1">
      <c r="A53" s="70" t="s">
        <v>215</v>
      </c>
      <c r="B53" s="174">
        <f>_xlfn.COMPOUNDVALUE(353)</f>
        <v>2206</v>
      </c>
      <c r="C53" s="175">
        <v>17018296</v>
      </c>
      <c r="D53" s="174">
        <f>_xlfn.COMPOUNDVALUE(354)</f>
        <v>862</v>
      </c>
      <c r="E53" s="175">
        <v>506058</v>
      </c>
      <c r="F53" s="174">
        <f>_xlfn.COMPOUNDVALUE(355)</f>
        <v>3068</v>
      </c>
      <c r="G53" s="175">
        <v>17524355</v>
      </c>
      <c r="H53" s="174">
        <f>_xlfn.COMPOUNDVALUE(356)</f>
        <v>119</v>
      </c>
      <c r="I53" s="176">
        <v>1579497</v>
      </c>
      <c r="J53" s="174">
        <v>197</v>
      </c>
      <c r="K53" s="176">
        <v>38642</v>
      </c>
      <c r="L53" s="174">
        <v>3221</v>
      </c>
      <c r="M53" s="176">
        <v>15983500</v>
      </c>
      <c r="N53" s="79" t="s">
        <v>132</v>
      </c>
    </row>
    <row r="54" spans="1:14" ht="22.5" customHeight="1">
      <c r="A54" s="73" t="s">
        <v>216</v>
      </c>
      <c r="B54" s="177">
        <f>_xlfn.COMPOUNDVALUE(357)</f>
        <v>3850</v>
      </c>
      <c r="C54" s="178">
        <v>33231148</v>
      </c>
      <c r="D54" s="177">
        <f>_xlfn.COMPOUNDVALUE(358)</f>
        <v>1468</v>
      </c>
      <c r="E54" s="178">
        <v>880317</v>
      </c>
      <c r="F54" s="177">
        <f>_xlfn.COMPOUNDVALUE(359)</f>
        <v>5318</v>
      </c>
      <c r="G54" s="178">
        <v>34111465</v>
      </c>
      <c r="H54" s="177">
        <f>_xlfn.COMPOUNDVALUE(360)</f>
        <v>239</v>
      </c>
      <c r="I54" s="179">
        <v>17177013</v>
      </c>
      <c r="J54" s="177">
        <v>421</v>
      </c>
      <c r="K54" s="179">
        <v>19271</v>
      </c>
      <c r="L54" s="177">
        <v>5593</v>
      </c>
      <c r="M54" s="179">
        <v>16953723</v>
      </c>
      <c r="N54" s="74" t="s">
        <v>134</v>
      </c>
    </row>
    <row r="55" spans="1:14" ht="22.5" customHeight="1">
      <c r="A55" s="73" t="s">
        <v>217</v>
      </c>
      <c r="B55" s="177">
        <f>_xlfn.COMPOUNDVALUE(361)</f>
        <v>2290</v>
      </c>
      <c r="C55" s="178">
        <v>11732441</v>
      </c>
      <c r="D55" s="177">
        <f>_xlfn.COMPOUNDVALUE(362)</f>
        <v>805</v>
      </c>
      <c r="E55" s="178">
        <v>442801</v>
      </c>
      <c r="F55" s="177">
        <f>_xlfn.COMPOUNDVALUE(363)</f>
        <v>3095</v>
      </c>
      <c r="G55" s="178">
        <v>12175242</v>
      </c>
      <c r="H55" s="177">
        <f>_xlfn.COMPOUNDVALUE(364)</f>
        <v>181</v>
      </c>
      <c r="I55" s="179">
        <v>1836683</v>
      </c>
      <c r="J55" s="177">
        <v>103</v>
      </c>
      <c r="K55" s="179">
        <v>57534</v>
      </c>
      <c r="L55" s="177">
        <v>3288</v>
      </c>
      <c r="M55" s="179">
        <v>10396092</v>
      </c>
      <c r="N55" s="74" t="s">
        <v>136</v>
      </c>
    </row>
    <row r="56" spans="1:14" ht="22.5" customHeight="1">
      <c r="A56" s="73" t="s">
        <v>218</v>
      </c>
      <c r="B56" s="177">
        <f>_xlfn.COMPOUNDVALUE(365)</f>
        <v>1767</v>
      </c>
      <c r="C56" s="178">
        <v>10703507</v>
      </c>
      <c r="D56" s="177">
        <f>_xlfn.COMPOUNDVALUE(366)</f>
        <v>622</v>
      </c>
      <c r="E56" s="178">
        <v>354255</v>
      </c>
      <c r="F56" s="177">
        <f>_xlfn.COMPOUNDVALUE(367)</f>
        <v>2389</v>
      </c>
      <c r="G56" s="178">
        <v>11057761</v>
      </c>
      <c r="H56" s="177">
        <f>_xlfn.COMPOUNDVALUE(368)</f>
        <v>160</v>
      </c>
      <c r="I56" s="179">
        <v>1591480</v>
      </c>
      <c r="J56" s="177">
        <v>139</v>
      </c>
      <c r="K56" s="179">
        <v>22640</v>
      </c>
      <c r="L56" s="177">
        <v>2573</v>
      </c>
      <c r="M56" s="179">
        <v>9488921</v>
      </c>
      <c r="N56" s="74" t="s">
        <v>138</v>
      </c>
    </row>
    <row r="57" spans="1:14" ht="22.5" customHeight="1">
      <c r="A57" s="73" t="s">
        <v>219</v>
      </c>
      <c r="B57" s="177">
        <f>_xlfn.COMPOUNDVALUE(369)</f>
        <v>1908</v>
      </c>
      <c r="C57" s="178">
        <v>13719850</v>
      </c>
      <c r="D57" s="177">
        <f>_xlfn.COMPOUNDVALUE(370)</f>
        <v>771</v>
      </c>
      <c r="E57" s="178">
        <v>462167</v>
      </c>
      <c r="F57" s="177">
        <f>_xlfn.COMPOUNDVALUE(371)</f>
        <v>2679</v>
      </c>
      <c r="G57" s="178">
        <v>14182017</v>
      </c>
      <c r="H57" s="177">
        <f>_xlfn.COMPOUNDVALUE(372)</f>
        <v>142</v>
      </c>
      <c r="I57" s="179">
        <v>539496</v>
      </c>
      <c r="J57" s="177">
        <v>188</v>
      </c>
      <c r="K57" s="179">
        <v>6711</v>
      </c>
      <c r="L57" s="177">
        <v>2839</v>
      </c>
      <c r="M57" s="179">
        <v>13649233</v>
      </c>
      <c r="N57" s="74" t="s">
        <v>140</v>
      </c>
    </row>
    <row r="58" spans="1:14" ht="22.5" customHeight="1">
      <c r="A58" s="73" t="s">
        <v>220</v>
      </c>
      <c r="B58" s="177">
        <f>_xlfn.COMPOUNDVALUE(373)</f>
        <v>1223</v>
      </c>
      <c r="C58" s="178">
        <v>7873890</v>
      </c>
      <c r="D58" s="177">
        <f>_xlfn.COMPOUNDVALUE(374)</f>
        <v>396</v>
      </c>
      <c r="E58" s="178">
        <v>239157</v>
      </c>
      <c r="F58" s="177">
        <f>_xlfn.COMPOUNDVALUE(375)</f>
        <v>1619</v>
      </c>
      <c r="G58" s="178">
        <v>8113047</v>
      </c>
      <c r="H58" s="177">
        <f>_xlfn.COMPOUNDVALUE(376)</f>
        <v>69</v>
      </c>
      <c r="I58" s="179">
        <v>505236</v>
      </c>
      <c r="J58" s="177">
        <v>113</v>
      </c>
      <c r="K58" s="179">
        <v>-6424</v>
      </c>
      <c r="L58" s="177">
        <v>1699</v>
      </c>
      <c r="M58" s="179">
        <v>7601387</v>
      </c>
      <c r="N58" s="74" t="s">
        <v>142</v>
      </c>
    </row>
    <row r="59" spans="1:14" ht="22.5" customHeight="1">
      <c r="A59" s="73" t="s">
        <v>221</v>
      </c>
      <c r="B59" s="177">
        <f>_xlfn.COMPOUNDVALUE(377)</f>
        <v>1893</v>
      </c>
      <c r="C59" s="178">
        <v>12484114</v>
      </c>
      <c r="D59" s="177">
        <f>_xlfn.COMPOUNDVALUE(378)</f>
        <v>623</v>
      </c>
      <c r="E59" s="178">
        <v>389036</v>
      </c>
      <c r="F59" s="177">
        <f>_xlfn.COMPOUNDVALUE(379)</f>
        <v>2516</v>
      </c>
      <c r="G59" s="178">
        <v>12873150</v>
      </c>
      <c r="H59" s="177">
        <f>_xlfn.COMPOUNDVALUE(380)</f>
        <v>112</v>
      </c>
      <c r="I59" s="179">
        <v>454845</v>
      </c>
      <c r="J59" s="177">
        <v>176</v>
      </c>
      <c r="K59" s="179">
        <v>36698</v>
      </c>
      <c r="L59" s="177">
        <v>2647</v>
      </c>
      <c r="M59" s="179">
        <v>12455004</v>
      </c>
      <c r="N59" s="74" t="s">
        <v>144</v>
      </c>
    </row>
    <row r="60" spans="1:14" ht="22.5" customHeight="1">
      <c r="A60" s="73" t="s">
        <v>222</v>
      </c>
      <c r="B60" s="177">
        <f>_xlfn.COMPOUNDVALUE(381)</f>
        <v>603</v>
      </c>
      <c r="C60" s="178">
        <v>2911161</v>
      </c>
      <c r="D60" s="177">
        <f>_xlfn.COMPOUNDVALUE(382)</f>
        <v>177</v>
      </c>
      <c r="E60" s="178">
        <v>96814</v>
      </c>
      <c r="F60" s="177">
        <f>_xlfn.COMPOUNDVALUE(383)</f>
        <v>780</v>
      </c>
      <c r="G60" s="178">
        <v>3007976</v>
      </c>
      <c r="H60" s="177">
        <f>_xlfn.COMPOUNDVALUE(384)</f>
        <v>34</v>
      </c>
      <c r="I60" s="179">
        <v>147743</v>
      </c>
      <c r="J60" s="177">
        <v>65</v>
      </c>
      <c r="K60" s="179">
        <v>6716</v>
      </c>
      <c r="L60" s="177">
        <v>818</v>
      </c>
      <c r="M60" s="179">
        <v>2866949</v>
      </c>
      <c r="N60" s="74" t="s">
        <v>146</v>
      </c>
    </row>
    <row r="61" spans="1:14" ht="22.5" customHeight="1">
      <c r="A61" s="75" t="s">
        <v>223</v>
      </c>
      <c r="B61" s="180">
        <v>15740</v>
      </c>
      <c r="C61" s="181">
        <v>109674406</v>
      </c>
      <c r="D61" s="180">
        <v>5724</v>
      </c>
      <c r="E61" s="181">
        <v>3370605</v>
      </c>
      <c r="F61" s="180">
        <v>21464</v>
      </c>
      <c r="G61" s="181">
        <v>113045011</v>
      </c>
      <c r="H61" s="180">
        <v>1056</v>
      </c>
      <c r="I61" s="182">
        <v>23831993</v>
      </c>
      <c r="J61" s="180">
        <v>1402</v>
      </c>
      <c r="K61" s="182">
        <v>181789</v>
      </c>
      <c r="L61" s="180">
        <v>22678</v>
      </c>
      <c r="M61" s="182">
        <v>89394808</v>
      </c>
      <c r="N61" s="76" t="s">
        <v>148</v>
      </c>
    </row>
    <row r="62" spans="1:14" ht="22.5" customHeight="1" thickBot="1">
      <c r="A62" s="80"/>
      <c r="B62" s="187"/>
      <c r="C62" s="188"/>
      <c r="D62" s="187"/>
      <c r="E62" s="188"/>
      <c r="F62" s="189"/>
      <c r="G62" s="188"/>
      <c r="H62" s="189"/>
      <c r="I62" s="188"/>
      <c r="J62" s="189"/>
      <c r="K62" s="188"/>
      <c r="L62" s="189"/>
      <c r="M62" s="188"/>
      <c r="N62" s="81"/>
    </row>
    <row r="63" spans="1:14" ht="22.5" customHeight="1" thickBot="1" thickTop="1">
      <c r="A63" s="82" t="s">
        <v>224</v>
      </c>
      <c r="B63" s="190">
        <v>153334</v>
      </c>
      <c r="C63" s="191">
        <v>1456854331</v>
      </c>
      <c r="D63" s="190">
        <v>60447</v>
      </c>
      <c r="E63" s="191">
        <v>36032617</v>
      </c>
      <c r="F63" s="190">
        <v>213781</v>
      </c>
      <c r="G63" s="191">
        <v>1492886948</v>
      </c>
      <c r="H63" s="190">
        <v>11419</v>
      </c>
      <c r="I63" s="192">
        <v>557756889</v>
      </c>
      <c r="J63" s="190">
        <v>13017</v>
      </c>
      <c r="K63" s="192">
        <v>992619</v>
      </c>
      <c r="L63" s="190">
        <v>226425</v>
      </c>
      <c r="M63" s="192">
        <v>936122678</v>
      </c>
      <c r="N63" s="83" t="s">
        <v>43</v>
      </c>
    </row>
    <row r="64" spans="1:14" s="193" customFormat="1" ht="3" customHeight="1">
      <c r="A64" s="118"/>
      <c r="B64" s="119"/>
      <c r="C64" s="119"/>
      <c r="D64" s="119"/>
      <c r="E64" s="119"/>
      <c r="F64" s="119"/>
      <c r="G64" s="119"/>
      <c r="H64" s="119"/>
      <c r="I64" s="119"/>
      <c r="J64" s="119"/>
      <c r="K64" s="119"/>
      <c r="L64" s="119"/>
      <c r="M64" s="119"/>
      <c r="N64" s="118"/>
    </row>
    <row r="65" spans="1:14" ht="22.5" customHeight="1">
      <c r="A65" s="244" t="s">
        <v>234</v>
      </c>
      <c r="B65" s="244"/>
      <c r="C65" s="244"/>
      <c r="D65" s="244"/>
      <c r="E65" s="244"/>
      <c r="F65" s="244"/>
      <c r="G65" s="244"/>
      <c r="H65" s="244"/>
      <c r="I65" s="244"/>
      <c r="J65" s="60"/>
      <c r="K65" s="60"/>
      <c r="L65" s="61"/>
      <c r="M65" s="61"/>
      <c r="N65" s="61"/>
    </row>
  </sheetData>
  <sheetProtection/>
  <mergeCells count="11">
    <mergeCell ref="L3:M4"/>
    <mergeCell ref="N3:N5"/>
    <mergeCell ref="B4:C4"/>
    <mergeCell ref="D4:E4"/>
    <mergeCell ref="F4:G4"/>
    <mergeCell ref="A65:I65"/>
    <mergeCell ref="A2:I2"/>
    <mergeCell ref="A3:A5"/>
    <mergeCell ref="B3:G3"/>
    <mergeCell ref="H3:I4"/>
    <mergeCell ref="J3:K4"/>
  </mergeCells>
  <printOptions horizontalCentered="1"/>
  <pageMargins left="0.5118110236220472" right="0.5118110236220472" top="0.7480314960629921" bottom="0.7480314960629921" header="0.31496062992125984" footer="0.31496062992125984"/>
  <pageSetup horizontalDpi="600" verticalDpi="600" orientation="portrait" paperSize="9" scale="55" r:id="rId1"/>
  <headerFooter alignWithMargins="0">
    <oddFooter>&amp;R名古屋国税局　消費税（H27）</oddFooter>
  </headerFooter>
</worksheet>
</file>

<file path=xl/worksheets/sheet6.xml><?xml version="1.0" encoding="utf-8"?>
<worksheet xmlns="http://schemas.openxmlformats.org/spreadsheetml/2006/main" xmlns:r="http://schemas.openxmlformats.org/officeDocument/2006/relationships">
  <dimension ref="A1:R64"/>
  <sheetViews>
    <sheetView zoomScale="70" zoomScaleNormal="70" zoomScaleSheetLayoutView="100" workbookViewId="0" topLeftCell="A1">
      <selection activeCell="A1" sqref="A1"/>
    </sheetView>
  </sheetViews>
  <sheetFormatPr defaultColWidth="9.00390625" defaultRowHeight="13.5"/>
  <cols>
    <col min="1" max="1" width="10.00390625" style="84" customWidth="1"/>
    <col min="2" max="2" width="10.625" style="84" customWidth="1"/>
    <col min="3" max="3" width="12.625" style="84" customWidth="1"/>
    <col min="4" max="4" width="10.625" style="84" customWidth="1"/>
    <col min="5" max="5" width="12.625" style="84" customWidth="1"/>
    <col min="6" max="6" width="10.625" style="84" customWidth="1"/>
    <col min="7" max="7" width="12.625" style="84" customWidth="1"/>
    <col min="8" max="8" width="10.625" style="84" customWidth="1"/>
    <col min="9" max="9" width="12.625" style="84" customWidth="1"/>
    <col min="10" max="10" width="10.625" style="84" customWidth="1"/>
    <col min="11" max="11" width="12.625" style="84" customWidth="1"/>
    <col min="12" max="12" width="10.625" style="84" customWidth="1"/>
    <col min="13" max="13" width="12.625" style="84" customWidth="1"/>
    <col min="14" max="17" width="10.625" style="84" customWidth="1"/>
    <col min="18" max="18" width="10.00390625" style="84" customWidth="1"/>
    <col min="19" max="16384" width="9.00390625" style="84" customWidth="1"/>
  </cols>
  <sheetData>
    <row r="1" spans="1:16" ht="12">
      <c r="A1" s="60" t="s">
        <v>159</v>
      </c>
      <c r="B1" s="60"/>
      <c r="C1" s="60"/>
      <c r="D1" s="60"/>
      <c r="E1" s="60"/>
      <c r="F1" s="60"/>
      <c r="G1" s="60"/>
      <c r="H1" s="60"/>
      <c r="I1" s="60"/>
      <c r="J1" s="60"/>
      <c r="K1" s="60"/>
      <c r="L1" s="61"/>
      <c r="M1" s="61"/>
      <c r="N1" s="61"/>
      <c r="O1" s="61"/>
      <c r="P1" s="61"/>
    </row>
    <row r="2" spans="1:16" ht="12.75" thickBot="1">
      <c r="A2" s="253" t="s">
        <v>151</v>
      </c>
      <c r="B2" s="253"/>
      <c r="C2" s="253"/>
      <c r="D2" s="253"/>
      <c r="E2" s="253"/>
      <c r="F2" s="253"/>
      <c r="G2" s="253"/>
      <c r="H2" s="253"/>
      <c r="I2" s="253"/>
      <c r="J2" s="60"/>
      <c r="K2" s="60"/>
      <c r="L2" s="61"/>
      <c r="M2" s="61"/>
      <c r="N2" s="61"/>
      <c r="O2" s="61"/>
      <c r="P2" s="61"/>
    </row>
    <row r="3" spans="1:18" ht="23.25" customHeight="1">
      <c r="A3" s="245" t="s">
        <v>155</v>
      </c>
      <c r="B3" s="248" t="s">
        <v>156</v>
      </c>
      <c r="C3" s="248"/>
      <c r="D3" s="248"/>
      <c r="E3" s="248"/>
      <c r="F3" s="248"/>
      <c r="G3" s="248"/>
      <c r="H3" s="248" t="s">
        <v>13</v>
      </c>
      <c r="I3" s="248"/>
      <c r="J3" s="263" t="s">
        <v>37</v>
      </c>
      <c r="K3" s="248"/>
      <c r="L3" s="248" t="s">
        <v>38</v>
      </c>
      <c r="M3" s="248"/>
      <c r="N3" s="254" t="s">
        <v>161</v>
      </c>
      <c r="O3" s="255"/>
      <c r="P3" s="255"/>
      <c r="Q3" s="255"/>
      <c r="R3" s="238" t="s">
        <v>150</v>
      </c>
    </row>
    <row r="4" spans="1:18" ht="23.25" customHeight="1">
      <c r="A4" s="246"/>
      <c r="B4" s="241" t="s">
        <v>18</v>
      </c>
      <c r="C4" s="241"/>
      <c r="D4" s="241" t="s">
        <v>40</v>
      </c>
      <c r="E4" s="241"/>
      <c r="F4" s="241" t="s">
        <v>41</v>
      </c>
      <c r="G4" s="241"/>
      <c r="H4" s="241"/>
      <c r="I4" s="241"/>
      <c r="J4" s="241"/>
      <c r="K4" s="241"/>
      <c r="L4" s="241"/>
      <c r="M4" s="241"/>
      <c r="N4" s="256" t="s">
        <v>152</v>
      </c>
      <c r="O4" s="258" t="s">
        <v>162</v>
      </c>
      <c r="P4" s="260" t="s">
        <v>163</v>
      </c>
      <c r="Q4" s="251" t="s">
        <v>153</v>
      </c>
      <c r="R4" s="239"/>
    </row>
    <row r="5" spans="1:18" ht="30" customHeight="1">
      <c r="A5" s="247"/>
      <c r="B5" s="203" t="s">
        <v>228</v>
      </c>
      <c r="C5" s="108" t="s">
        <v>157</v>
      </c>
      <c r="D5" s="63" t="s">
        <v>228</v>
      </c>
      <c r="E5" s="108" t="s">
        <v>157</v>
      </c>
      <c r="F5" s="63" t="s">
        <v>228</v>
      </c>
      <c r="G5" s="109" t="s">
        <v>225</v>
      </c>
      <c r="H5" s="202" t="s">
        <v>228</v>
      </c>
      <c r="I5" s="63" t="s">
        <v>226</v>
      </c>
      <c r="J5" s="203" t="s">
        <v>228</v>
      </c>
      <c r="K5" s="109" t="s">
        <v>227</v>
      </c>
      <c r="L5" s="202" t="s">
        <v>228</v>
      </c>
      <c r="M5" s="109" t="s">
        <v>164</v>
      </c>
      <c r="N5" s="257"/>
      <c r="O5" s="259"/>
      <c r="P5" s="261"/>
      <c r="Q5" s="262"/>
      <c r="R5" s="240"/>
    </row>
    <row r="6" spans="1:18" s="92" customFormat="1" ht="12">
      <c r="A6" s="86"/>
      <c r="B6" s="87" t="s">
        <v>4</v>
      </c>
      <c r="C6" s="88" t="s">
        <v>5</v>
      </c>
      <c r="D6" s="87" t="s">
        <v>4</v>
      </c>
      <c r="E6" s="88" t="s">
        <v>5</v>
      </c>
      <c r="F6" s="87" t="s">
        <v>4</v>
      </c>
      <c r="G6" s="88" t="s">
        <v>5</v>
      </c>
      <c r="H6" s="87" t="s">
        <v>4</v>
      </c>
      <c r="I6" s="88" t="s">
        <v>5</v>
      </c>
      <c r="J6" s="87" t="s">
        <v>4</v>
      </c>
      <c r="K6" s="88" t="s">
        <v>5</v>
      </c>
      <c r="L6" s="87" t="s">
        <v>4</v>
      </c>
      <c r="M6" s="88" t="s">
        <v>5</v>
      </c>
      <c r="N6" s="87" t="s">
        <v>4</v>
      </c>
      <c r="O6" s="89" t="s">
        <v>4</v>
      </c>
      <c r="P6" s="89" t="s">
        <v>4</v>
      </c>
      <c r="Q6" s="90" t="s">
        <v>4</v>
      </c>
      <c r="R6" s="91"/>
    </row>
    <row r="7" spans="1:18" ht="25.5" customHeight="1">
      <c r="A7" s="93" t="s">
        <v>45</v>
      </c>
      <c r="B7" s="140">
        <f>_xlfn.COMPOUNDVALUE(385)</f>
        <v>6612</v>
      </c>
      <c r="C7" s="141">
        <v>29867033</v>
      </c>
      <c r="D7" s="140">
        <f>_xlfn.COMPOUNDVALUE(386)</f>
        <v>4299</v>
      </c>
      <c r="E7" s="141">
        <v>2072090</v>
      </c>
      <c r="F7" s="140">
        <f>_xlfn.COMPOUNDVALUE(387)</f>
        <v>10911</v>
      </c>
      <c r="G7" s="141">
        <v>31939122</v>
      </c>
      <c r="H7" s="140">
        <f>_xlfn.COMPOUNDVALUE(388)</f>
        <v>488</v>
      </c>
      <c r="I7" s="142">
        <v>1530788</v>
      </c>
      <c r="J7" s="140">
        <v>667</v>
      </c>
      <c r="K7" s="142">
        <v>24398</v>
      </c>
      <c r="L7" s="140">
        <v>11522</v>
      </c>
      <c r="M7" s="142">
        <v>30432732</v>
      </c>
      <c r="N7" s="140">
        <v>11389</v>
      </c>
      <c r="O7" s="143">
        <v>238</v>
      </c>
      <c r="P7" s="143">
        <v>30</v>
      </c>
      <c r="Q7" s="144">
        <v>11657</v>
      </c>
      <c r="R7" s="94" t="s">
        <v>46</v>
      </c>
    </row>
    <row r="8" spans="1:18" ht="25.5" customHeight="1">
      <c r="A8" s="95" t="s">
        <v>47</v>
      </c>
      <c r="B8" s="145">
        <f>_xlfn.COMPOUNDVALUE(389)</f>
        <v>5897</v>
      </c>
      <c r="C8" s="146">
        <v>34475508</v>
      </c>
      <c r="D8" s="145">
        <f>_xlfn.COMPOUNDVALUE(390)</f>
        <v>3523</v>
      </c>
      <c r="E8" s="146">
        <v>1776193</v>
      </c>
      <c r="F8" s="145">
        <f>_xlfn.COMPOUNDVALUE(391)</f>
        <v>9420</v>
      </c>
      <c r="G8" s="146">
        <v>36251701</v>
      </c>
      <c r="H8" s="145">
        <f>_xlfn.COMPOUNDVALUE(392)</f>
        <v>407</v>
      </c>
      <c r="I8" s="147">
        <v>1131948</v>
      </c>
      <c r="J8" s="145">
        <v>577</v>
      </c>
      <c r="K8" s="147">
        <v>38608</v>
      </c>
      <c r="L8" s="145">
        <v>9954</v>
      </c>
      <c r="M8" s="147">
        <v>35158362</v>
      </c>
      <c r="N8" s="140">
        <v>9845</v>
      </c>
      <c r="O8" s="143">
        <v>210</v>
      </c>
      <c r="P8" s="143">
        <v>29</v>
      </c>
      <c r="Q8" s="144">
        <v>10084</v>
      </c>
      <c r="R8" s="96" t="s">
        <v>48</v>
      </c>
    </row>
    <row r="9" spans="1:18" ht="25.5" customHeight="1">
      <c r="A9" s="95" t="s">
        <v>49</v>
      </c>
      <c r="B9" s="145">
        <f>_xlfn.COMPOUNDVALUE(393)</f>
        <v>5090</v>
      </c>
      <c r="C9" s="146">
        <v>33607406</v>
      </c>
      <c r="D9" s="145">
        <f>_xlfn.COMPOUNDVALUE(394)</f>
        <v>3552</v>
      </c>
      <c r="E9" s="146">
        <v>1636499</v>
      </c>
      <c r="F9" s="145">
        <f>_xlfn.COMPOUNDVALUE(395)</f>
        <v>8642</v>
      </c>
      <c r="G9" s="146">
        <v>35243905</v>
      </c>
      <c r="H9" s="145">
        <f>_xlfn.COMPOUNDVALUE(396)</f>
        <v>399</v>
      </c>
      <c r="I9" s="147">
        <v>6550727</v>
      </c>
      <c r="J9" s="145">
        <v>579</v>
      </c>
      <c r="K9" s="147">
        <v>74415</v>
      </c>
      <c r="L9" s="145">
        <v>9138</v>
      </c>
      <c r="M9" s="147">
        <v>28767594</v>
      </c>
      <c r="N9" s="140">
        <v>8829</v>
      </c>
      <c r="O9" s="143">
        <v>237</v>
      </c>
      <c r="P9" s="143">
        <v>22</v>
      </c>
      <c r="Q9" s="144">
        <v>9088</v>
      </c>
      <c r="R9" s="96" t="s">
        <v>50</v>
      </c>
    </row>
    <row r="10" spans="1:18" ht="25.5" customHeight="1">
      <c r="A10" s="95" t="s">
        <v>51</v>
      </c>
      <c r="B10" s="145">
        <f>_xlfn.COMPOUNDVALUE(397)</f>
        <v>2624</v>
      </c>
      <c r="C10" s="146">
        <v>10355781</v>
      </c>
      <c r="D10" s="145">
        <f>_xlfn.COMPOUNDVALUE(398)</f>
        <v>2252</v>
      </c>
      <c r="E10" s="146">
        <v>1038531</v>
      </c>
      <c r="F10" s="145">
        <f>_xlfn.COMPOUNDVALUE(399)</f>
        <v>4876</v>
      </c>
      <c r="G10" s="146">
        <v>11394312</v>
      </c>
      <c r="H10" s="145">
        <f>_xlfn.COMPOUNDVALUE(400)</f>
        <v>185</v>
      </c>
      <c r="I10" s="147">
        <v>315267</v>
      </c>
      <c r="J10" s="145">
        <v>337</v>
      </c>
      <c r="K10" s="147">
        <v>27077</v>
      </c>
      <c r="L10" s="145">
        <v>5109</v>
      </c>
      <c r="M10" s="147">
        <v>11106122</v>
      </c>
      <c r="N10" s="140">
        <v>4980</v>
      </c>
      <c r="O10" s="143">
        <v>118</v>
      </c>
      <c r="P10" s="143">
        <v>17</v>
      </c>
      <c r="Q10" s="144">
        <v>5115</v>
      </c>
      <c r="R10" s="96" t="s">
        <v>52</v>
      </c>
    </row>
    <row r="11" spans="1:18" ht="25.5" customHeight="1">
      <c r="A11" s="95" t="s">
        <v>53</v>
      </c>
      <c r="B11" s="145">
        <f>_xlfn.COMPOUNDVALUE(401)</f>
        <v>3942</v>
      </c>
      <c r="C11" s="146">
        <v>19657715</v>
      </c>
      <c r="D11" s="145">
        <f>_xlfn.COMPOUNDVALUE(402)</f>
        <v>3269</v>
      </c>
      <c r="E11" s="146">
        <v>1502779</v>
      </c>
      <c r="F11" s="145">
        <f>_xlfn.COMPOUNDVALUE(403)</f>
        <v>7211</v>
      </c>
      <c r="G11" s="146">
        <v>21160494</v>
      </c>
      <c r="H11" s="145">
        <f>_xlfn.COMPOUNDVALUE(404)</f>
        <v>289</v>
      </c>
      <c r="I11" s="147">
        <v>548567</v>
      </c>
      <c r="J11" s="145">
        <v>410</v>
      </c>
      <c r="K11" s="147">
        <v>11371</v>
      </c>
      <c r="L11" s="145">
        <v>7566</v>
      </c>
      <c r="M11" s="147">
        <v>20623299</v>
      </c>
      <c r="N11" s="140">
        <v>7464</v>
      </c>
      <c r="O11" s="143">
        <v>165</v>
      </c>
      <c r="P11" s="143">
        <v>26</v>
      </c>
      <c r="Q11" s="144">
        <v>7655</v>
      </c>
      <c r="R11" s="96" t="s">
        <v>54</v>
      </c>
    </row>
    <row r="12" spans="1:18" ht="25.5" customHeight="1">
      <c r="A12" s="95" t="s">
        <v>55</v>
      </c>
      <c r="B12" s="145">
        <f>_xlfn.COMPOUNDVALUE(405)</f>
        <v>4087</v>
      </c>
      <c r="C12" s="146">
        <v>17220271</v>
      </c>
      <c r="D12" s="145">
        <f>_xlfn.COMPOUNDVALUE(406)</f>
        <v>2914</v>
      </c>
      <c r="E12" s="146">
        <v>1342771</v>
      </c>
      <c r="F12" s="145">
        <f>_xlfn.COMPOUNDVALUE(407)</f>
        <v>7001</v>
      </c>
      <c r="G12" s="146">
        <v>18563042</v>
      </c>
      <c r="H12" s="145">
        <f>_xlfn.COMPOUNDVALUE(408)</f>
        <v>297</v>
      </c>
      <c r="I12" s="147">
        <v>1074530</v>
      </c>
      <c r="J12" s="145">
        <v>344</v>
      </c>
      <c r="K12" s="147">
        <v>25290</v>
      </c>
      <c r="L12" s="145">
        <v>7343</v>
      </c>
      <c r="M12" s="147">
        <v>17513802</v>
      </c>
      <c r="N12" s="140">
        <v>7146</v>
      </c>
      <c r="O12" s="143">
        <v>156</v>
      </c>
      <c r="P12" s="143">
        <v>16</v>
      </c>
      <c r="Q12" s="144">
        <v>7318</v>
      </c>
      <c r="R12" s="96" t="s">
        <v>56</v>
      </c>
    </row>
    <row r="13" spans="1:18" ht="25.5" customHeight="1">
      <c r="A13" s="95" t="s">
        <v>57</v>
      </c>
      <c r="B13" s="145">
        <f>_xlfn.COMPOUNDVALUE(409)</f>
        <v>1733</v>
      </c>
      <c r="C13" s="146">
        <v>10959249</v>
      </c>
      <c r="D13" s="145">
        <f>_xlfn.COMPOUNDVALUE(410)</f>
        <v>1349</v>
      </c>
      <c r="E13" s="146">
        <v>599389</v>
      </c>
      <c r="F13" s="145">
        <f>_xlfn.COMPOUNDVALUE(411)</f>
        <v>3082</v>
      </c>
      <c r="G13" s="146">
        <v>11558637</v>
      </c>
      <c r="H13" s="145">
        <f>_xlfn.COMPOUNDVALUE(412)</f>
        <v>99</v>
      </c>
      <c r="I13" s="147">
        <v>308381</v>
      </c>
      <c r="J13" s="145">
        <v>238</v>
      </c>
      <c r="K13" s="147">
        <v>-5536</v>
      </c>
      <c r="L13" s="145">
        <v>3223</v>
      </c>
      <c r="M13" s="147">
        <v>11244720</v>
      </c>
      <c r="N13" s="140">
        <v>3128</v>
      </c>
      <c r="O13" s="143">
        <v>76</v>
      </c>
      <c r="P13" s="143">
        <v>10</v>
      </c>
      <c r="Q13" s="144">
        <v>3214</v>
      </c>
      <c r="R13" s="96" t="s">
        <v>58</v>
      </c>
    </row>
    <row r="14" spans="1:18" ht="25.5" customHeight="1">
      <c r="A14" s="97" t="s">
        <v>59</v>
      </c>
      <c r="B14" s="148">
        <v>29985</v>
      </c>
      <c r="C14" s="149">
        <v>156142963</v>
      </c>
      <c r="D14" s="148">
        <v>21158</v>
      </c>
      <c r="E14" s="149">
        <v>9968251</v>
      </c>
      <c r="F14" s="148">
        <v>51143</v>
      </c>
      <c r="G14" s="149">
        <v>166111214</v>
      </c>
      <c r="H14" s="148">
        <v>2164</v>
      </c>
      <c r="I14" s="150">
        <v>11460207</v>
      </c>
      <c r="J14" s="148">
        <v>3152</v>
      </c>
      <c r="K14" s="150">
        <v>195624</v>
      </c>
      <c r="L14" s="148">
        <v>53855</v>
      </c>
      <c r="M14" s="150">
        <v>154846631</v>
      </c>
      <c r="N14" s="148">
        <v>52781</v>
      </c>
      <c r="O14" s="151">
        <v>1200</v>
      </c>
      <c r="P14" s="151">
        <v>150</v>
      </c>
      <c r="Q14" s="152">
        <v>54131</v>
      </c>
      <c r="R14" s="98" t="s">
        <v>60</v>
      </c>
    </row>
    <row r="15" spans="1:18" ht="25.5" customHeight="1">
      <c r="A15" s="99"/>
      <c r="B15" s="153"/>
      <c r="C15" s="154"/>
      <c r="D15" s="153"/>
      <c r="E15" s="154"/>
      <c r="F15" s="155"/>
      <c r="G15" s="154"/>
      <c r="H15" s="155"/>
      <c r="I15" s="154"/>
      <c r="J15" s="155"/>
      <c r="K15" s="154"/>
      <c r="L15" s="155"/>
      <c r="M15" s="154"/>
      <c r="N15" s="156"/>
      <c r="O15" s="157"/>
      <c r="P15" s="157"/>
      <c r="Q15" s="158"/>
      <c r="R15" s="100" t="s">
        <v>44</v>
      </c>
    </row>
    <row r="16" spans="1:18" ht="25.5" customHeight="1">
      <c r="A16" s="93" t="s">
        <v>61</v>
      </c>
      <c r="B16" s="140">
        <f>_xlfn.COMPOUNDVALUE(413)</f>
        <v>7223</v>
      </c>
      <c r="C16" s="141">
        <v>51505850</v>
      </c>
      <c r="D16" s="140">
        <f>_xlfn.COMPOUNDVALUE(414)</f>
        <v>5833</v>
      </c>
      <c r="E16" s="141">
        <v>2882830</v>
      </c>
      <c r="F16" s="140">
        <f>_xlfn.COMPOUNDVALUE(415)</f>
        <v>13056</v>
      </c>
      <c r="G16" s="141">
        <v>54388680</v>
      </c>
      <c r="H16" s="140">
        <f>_xlfn.COMPOUNDVALUE(416)</f>
        <v>437</v>
      </c>
      <c r="I16" s="142">
        <v>2947539</v>
      </c>
      <c r="J16" s="140">
        <v>871</v>
      </c>
      <c r="K16" s="142">
        <v>62309</v>
      </c>
      <c r="L16" s="140">
        <v>13689</v>
      </c>
      <c r="M16" s="142">
        <v>51503451</v>
      </c>
      <c r="N16" s="140">
        <v>13224</v>
      </c>
      <c r="O16" s="143">
        <v>285</v>
      </c>
      <c r="P16" s="143">
        <v>37</v>
      </c>
      <c r="Q16" s="144">
        <v>13546</v>
      </c>
      <c r="R16" s="96" t="s">
        <v>62</v>
      </c>
    </row>
    <row r="17" spans="1:18" ht="25.5" customHeight="1">
      <c r="A17" s="93" t="s">
        <v>63</v>
      </c>
      <c r="B17" s="140">
        <f>_xlfn.COMPOUNDVALUE(417)</f>
        <v>3296</v>
      </c>
      <c r="C17" s="141">
        <v>20607105</v>
      </c>
      <c r="D17" s="140">
        <f>_xlfn.COMPOUNDVALUE(418)</f>
        <v>2799</v>
      </c>
      <c r="E17" s="141">
        <v>1283975</v>
      </c>
      <c r="F17" s="140">
        <f>_xlfn.COMPOUNDVALUE(419)</f>
        <v>6095</v>
      </c>
      <c r="G17" s="141">
        <v>21891080</v>
      </c>
      <c r="H17" s="140">
        <f>_xlfn.COMPOUNDVALUE(420)</f>
        <v>241</v>
      </c>
      <c r="I17" s="142">
        <v>1804772</v>
      </c>
      <c r="J17" s="140">
        <v>345</v>
      </c>
      <c r="K17" s="142">
        <v>11408</v>
      </c>
      <c r="L17" s="140">
        <v>6417</v>
      </c>
      <c r="M17" s="142">
        <v>20097716</v>
      </c>
      <c r="N17" s="140">
        <v>6253</v>
      </c>
      <c r="O17" s="143">
        <v>120</v>
      </c>
      <c r="P17" s="143">
        <v>11</v>
      </c>
      <c r="Q17" s="144">
        <v>6384</v>
      </c>
      <c r="R17" s="96" t="s">
        <v>64</v>
      </c>
    </row>
    <row r="18" spans="1:18" ht="25.5" customHeight="1">
      <c r="A18" s="93" t="s">
        <v>65</v>
      </c>
      <c r="B18" s="140">
        <f>_xlfn.COMPOUNDVALUE(421)</f>
        <v>6966</v>
      </c>
      <c r="C18" s="141">
        <v>38701850</v>
      </c>
      <c r="D18" s="140">
        <f>_xlfn.COMPOUNDVALUE(422)</f>
        <v>6067</v>
      </c>
      <c r="E18" s="141">
        <v>2961465</v>
      </c>
      <c r="F18" s="140">
        <f>_xlfn.COMPOUNDVALUE(423)</f>
        <v>13033</v>
      </c>
      <c r="G18" s="141">
        <v>41663315</v>
      </c>
      <c r="H18" s="140">
        <f>_xlfn.COMPOUNDVALUE(424)</f>
        <v>572</v>
      </c>
      <c r="I18" s="142">
        <v>6561981</v>
      </c>
      <c r="J18" s="140">
        <v>875</v>
      </c>
      <c r="K18" s="142">
        <v>103760</v>
      </c>
      <c r="L18" s="140">
        <v>13735</v>
      </c>
      <c r="M18" s="142">
        <v>35205094</v>
      </c>
      <c r="N18" s="140">
        <v>13455</v>
      </c>
      <c r="O18" s="143">
        <v>368</v>
      </c>
      <c r="P18" s="143">
        <v>45</v>
      </c>
      <c r="Q18" s="144">
        <v>13868</v>
      </c>
      <c r="R18" s="96" t="s">
        <v>66</v>
      </c>
    </row>
    <row r="19" spans="1:18" ht="25.5" customHeight="1">
      <c r="A19" s="93" t="s">
        <v>67</v>
      </c>
      <c r="B19" s="140">
        <f>_xlfn.COMPOUNDVALUE(425)</f>
        <v>5042</v>
      </c>
      <c r="C19" s="141">
        <v>25179435</v>
      </c>
      <c r="D19" s="140">
        <f>_xlfn.COMPOUNDVALUE(426)</f>
        <v>3594</v>
      </c>
      <c r="E19" s="141">
        <v>1669812</v>
      </c>
      <c r="F19" s="140">
        <f>_xlfn.COMPOUNDVALUE(427)</f>
        <v>8636</v>
      </c>
      <c r="G19" s="141">
        <v>26849247</v>
      </c>
      <c r="H19" s="140">
        <f>_xlfn.COMPOUNDVALUE(428)</f>
        <v>357</v>
      </c>
      <c r="I19" s="142">
        <v>14769662</v>
      </c>
      <c r="J19" s="140">
        <v>561</v>
      </c>
      <c r="K19" s="142">
        <v>64913</v>
      </c>
      <c r="L19" s="140">
        <v>9105</v>
      </c>
      <c r="M19" s="142">
        <v>12144498</v>
      </c>
      <c r="N19" s="140">
        <v>8924</v>
      </c>
      <c r="O19" s="143">
        <v>216</v>
      </c>
      <c r="P19" s="143">
        <v>17</v>
      </c>
      <c r="Q19" s="144">
        <v>9157</v>
      </c>
      <c r="R19" s="96" t="s">
        <v>68</v>
      </c>
    </row>
    <row r="20" spans="1:18" ht="25.5" customHeight="1">
      <c r="A20" s="93" t="s">
        <v>69</v>
      </c>
      <c r="B20" s="140">
        <f>_xlfn.COMPOUNDVALUE(429)</f>
        <v>5615</v>
      </c>
      <c r="C20" s="141">
        <v>34089692</v>
      </c>
      <c r="D20" s="140">
        <f>_xlfn.COMPOUNDVALUE(430)</f>
        <v>4594</v>
      </c>
      <c r="E20" s="141">
        <v>2291700</v>
      </c>
      <c r="F20" s="140">
        <f>_xlfn.COMPOUNDVALUE(431)</f>
        <v>10209</v>
      </c>
      <c r="G20" s="141">
        <v>36381392</v>
      </c>
      <c r="H20" s="140">
        <f>_xlfn.COMPOUNDVALUE(432)</f>
        <v>296</v>
      </c>
      <c r="I20" s="142">
        <v>1839226</v>
      </c>
      <c r="J20" s="140">
        <v>796</v>
      </c>
      <c r="K20" s="142">
        <v>71892</v>
      </c>
      <c r="L20" s="140">
        <v>10687</v>
      </c>
      <c r="M20" s="142">
        <v>34614058</v>
      </c>
      <c r="N20" s="140">
        <v>10448</v>
      </c>
      <c r="O20" s="143">
        <v>230</v>
      </c>
      <c r="P20" s="143">
        <v>22</v>
      </c>
      <c r="Q20" s="144">
        <v>10700</v>
      </c>
      <c r="R20" s="96" t="s">
        <v>70</v>
      </c>
    </row>
    <row r="21" spans="1:18" ht="25.5" customHeight="1">
      <c r="A21" s="93" t="s">
        <v>71</v>
      </c>
      <c r="B21" s="140">
        <f>_xlfn.COMPOUNDVALUE(433)</f>
        <v>1684</v>
      </c>
      <c r="C21" s="141">
        <v>5448745</v>
      </c>
      <c r="D21" s="140">
        <f>_xlfn.COMPOUNDVALUE(434)</f>
        <v>1580</v>
      </c>
      <c r="E21" s="141">
        <v>758505</v>
      </c>
      <c r="F21" s="140">
        <f>_xlfn.COMPOUNDVALUE(435)</f>
        <v>3264</v>
      </c>
      <c r="G21" s="141">
        <v>6207251</v>
      </c>
      <c r="H21" s="140">
        <f>_xlfn.COMPOUNDVALUE(436)</f>
        <v>88</v>
      </c>
      <c r="I21" s="142">
        <v>99164</v>
      </c>
      <c r="J21" s="140">
        <v>240</v>
      </c>
      <c r="K21" s="142">
        <v>22830</v>
      </c>
      <c r="L21" s="140">
        <v>3395</v>
      </c>
      <c r="M21" s="142">
        <v>6130916</v>
      </c>
      <c r="N21" s="140">
        <v>3438</v>
      </c>
      <c r="O21" s="143">
        <v>80</v>
      </c>
      <c r="P21" s="143">
        <v>3</v>
      </c>
      <c r="Q21" s="144">
        <v>3521</v>
      </c>
      <c r="R21" s="96" t="s">
        <v>72</v>
      </c>
    </row>
    <row r="22" spans="1:18" ht="25.5" customHeight="1">
      <c r="A22" s="95" t="s">
        <v>73</v>
      </c>
      <c r="B22" s="145">
        <f>_xlfn.COMPOUNDVALUE(437)</f>
        <v>2730</v>
      </c>
      <c r="C22" s="146">
        <v>11205040</v>
      </c>
      <c r="D22" s="145">
        <f>_xlfn.COMPOUNDVALUE(438)</f>
        <v>2777</v>
      </c>
      <c r="E22" s="146">
        <v>1269614</v>
      </c>
      <c r="F22" s="145">
        <f>_xlfn.COMPOUNDVALUE(439)</f>
        <v>5507</v>
      </c>
      <c r="G22" s="146">
        <v>12474653</v>
      </c>
      <c r="H22" s="145">
        <f>_xlfn.COMPOUNDVALUE(440)</f>
        <v>137</v>
      </c>
      <c r="I22" s="147">
        <v>381560</v>
      </c>
      <c r="J22" s="145">
        <v>374</v>
      </c>
      <c r="K22" s="147">
        <v>42065</v>
      </c>
      <c r="L22" s="145">
        <v>5734</v>
      </c>
      <c r="M22" s="147">
        <v>12135158</v>
      </c>
      <c r="N22" s="140">
        <v>5769</v>
      </c>
      <c r="O22" s="143">
        <v>121</v>
      </c>
      <c r="P22" s="143">
        <v>10</v>
      </c>
      <c r="Q22" s="144">
        <v>5900</v>
      </c>
      <c r="R22" s="96" t="s">
        <v>74</v>
      </c>
    </row>
    <row r="23" spans="1:18" ht="25.5" customHeight="1">
      <c r="A23" s="95" t="s">
        <v>75</v>
      </c>
      <c r="B23" s="145">
        <f>_xlfn.COMPOUNDVALUE(441)</f>
        <v>2498</v>
      </c>
      <c r="C23" s="146">
        <v>12106593</v>
      </c>
      <c r="D23" s="145">
        <f>_xlfn.COMPOUNDVALUE(442)</f>
        <v>2396</v>
      </c>
      <c r="E23" s="146">
        <v>1010584</v>
      </c>
      <c r="F23" s="145">
        <f>_xlfn.COMPOUNDVALUE(443)</f>
        <v>4894</v>
      </c>
      <c r="G23" s="146">
        <v>13117177</v>
      </c>
      <c r="H23" s="145">
        <f>_xlfn.COMPOUNDVALUE(444)</f>
        <v>137</v>
      </c>
      <c r="I23" s="147">
        <v>809794</v>
      </c>
      <c r="J23" s="145">
        <v>227</v>
      </c>
      <c r="K23" s="147">
        <v>23297</v>
      </c>
      <c r="L23" s="145">
        <v>5076</v>
      </c>
      <c r="M23" s="147">
        <v>12330679</v>
      </c>
      <c r="N23" s="140">
        <v>5029</v>
      </c>
      <c r="O23" s="143">
        <v>107</v>
      </c>
      <c r="P23" s="143">
        <v>11</v>
      </c>
      <c r="Q23" s="144">
        <v>5147</v>
      </c>
      <c r="R23" s="96" t="s">
        <v>76</v>
      </c>
    </row>
    <row r="24" spans="1:18" ht="25.5" customHeight="1">
      <c r="A24" s="95" t="s">
        <v>77</v>
      </c>
      <c r="B24" s="145">
        <f>_xlfn.COMPOUNDVALUE(445)</f>
        <v>5169</v>
      </c>
      <c r="C24" s="146">
        <v>26675144</v>
      </c>
      <c r="D24" s="145">
        <f>_xlfn.COMPOUNDVALUE(446)</f>
        <v>4330</v>
      </c>
      <c r="E24" s="146">
        <v>2060555</v>
      </c>
      <c r="F24" s="145">
        <f>_xlfn.COMPOUNDVALUE(447)</f>
        <v>9499</v>
      </c>
      <c r="G24" s="146">
        <v>28735699</v>
      </c>
      <c r="H24" s="145">
        <f>_xlfn.COMPOUNDVALUE(448)</f>
        <v>279</v>
      </c>
      <c r="I24" s="147">
        <v>4967060</v>
      </c>
      <c r="J24" s="145">
        <v>612</v>
      </c>
      <c r="K24" s="147">
        <v>72634</v>
      </c>
      <c r="L24" s="145">
        <v>9896</v>
      </c>
      <c r="M24" s="147">
        <v>23841273</v>
      </c>
      <c r="N24" s="140">
        <v>9817</v>
      </c>
      <c r="O24" s="143">
        <v>207</v>
      </c>
      <c r="P24" s="143">
        <v>20</v>
      </c>
      <c r="Q24" s="144">
        <v>10044</v>
      </c>
      <c r="R24" s="96" t="s">
        <v>78</v>
      </c>
    </row>
    <row r="25" spans="1:18" ht="25.5" customHeight="1">
      <c r="A25" s="95" t="s">
        <v>79</v>
      </c>
      <c r="B25" s="145">
        <f>_xlfn.COMPOUNDVALUE(449)</f>
        <v>3054</v>
      </c>
      <c r="C25" s="146">
        <v>16389165</v>
      </c>
      <c r="D25" s="145">
        <f>_xlfn.COMPOUNDVALUE(450)</f>
        <v>2683</v>
      </c>
      <c r="E25" s="146">
        <v>1226030</v>
      </c>
      <c r="F25" s="145">
        <f>_xlfn.COMPOUNDVALUE(451)</f>
        <v>5737</v>
      </c>
      <c r="G25" s="146">
        <v>17615195</v>
      </c>
      <c r="H25" s="145">
        <f>_xlfn.COMPOUNDVALUE(452)</f>
        <v>254</v>
      </c>
      <c r="I25" s="147">
        <v>18240612</v>
      </c>
      <c r="J25" s="145">
        <v>269</v>
      </c>
      <c r="K25" s="147">
        <v>28062</v>
      </c>
      <c r="L25" s="145">
        <v>6045</v>
      </c>
      <c r="M25" s="147">
        <v>-597355</v>
      </c>
      <c r="N25" s="140">
        <v>5899</v>
      </c>
      <c r="O25" s="143">
        <v>148</v>
      </c>
      <c r="P25" s="143">
        <v>8</v>
      </c>
      <c r="Q25" s="144">
        <v>6055</v>
      </c>
      <c r="R25" s="96" t="s">
        <v>80</v>
      </c>
    </row>
    <row r="26" spans="1:18" ht="25.5" customHeight="1">
      <c r="A26" s="95" t="s">
        <v>81</v>
      </c>
      <c r="B26" s="145">
        <f>_xlfn.COMPOUNDVALUE(453)</f>
        <v>2418</v>
      </c>
      <c r="C26" s="146">
        <v>10215119</v>
      </c>
      <c r="D26" s="145">
        <f>_xlfn.COMPOUNDVALUE(454)</f>
        <v>2299</v>
      </c>
      <c r="E26" s="146">
        <v>990028</v>
      </c>
      <c r="F26" s="145">
        <f>_xlfn.COMPOUNDVALUE(455)</f>
        <v>4717</v>
      </c>
      <c r="G26" s="146">
        <v>11205148</v>
      </c>
      <c r="H26" s="145">
        <f>_xlfn.COMPOUNDVALUE(456)</f>
        <v>186</v>
      </c>
      <c r="I26" s="147">
        <v>1400908</v>
      </c>
      <c r="J26" s="145">
        <v>189</v>
      </c>
      <c r="K26" s="147">
        <v>22941</v>
      </c>
      <c r="L26" s="145">
        <v>4937</v>
      </c>
      <c r="M26" s="147">
        <v>9827181</v>
      </c>
      <c r="N26" s="140">
        <v>4624</v>
      </c>
      <c r="O26" s="143">
        <v>147</v>
      </c>
      <c r="P26" s="143">
        <v>8</v>
      </c>
      <c r="Q26" s="144">
        <v>4779</v>
      </c>
      <c r="R26" s="96" t="s">
        <v>82</v>
      </c>
    </row>
    <row r="27" spans="1:18" ht="25.5" customHeight="1">
      <c r="A27" s="95" t="s">
        <v>83</v>
      </c>
      <c r="B27" s="145">
        <f>_xlfn.COMPOUNDVALUE(457)</f>
        <v>3593</v>
      </c>
      <c r="C27" s="146">
        <v>16722469</v>
      </c>
      <c r="D27" s="145">
        <f>_xlfn.COMPOUNDVALUE(458)</f>
        <v>2809</v>
      </c>
      <c r="E27" s="146">
        <v>1290987</v>
      </c>
      <c r="F27" s="145">
        <f>_xlfn.COMPOUNDVALUE(459)</f>
        <v>6402</v>
      </c>
      <c r="G27" s="146">
        <v>18013456</v>
      </c>
      <c r="H27" s="145">
        <f>_xlfn.COMPOUNDVALUE(460)</f>
        <v>214</v>
      </c>
      <c r="I27" s="147">
        <v>555169</v>
      </c>
      <c r="J27" s="145">
        <v>358</v>
      </c>
      <c r="K27" s="147">
        <v>83222</v>
      </c>
      <c r="L27" s="145">
        <v>6717</v>
      </c>
      <c r="M27" s="147">
        <v>17541509</v>
      </c>
      <c r="N27" s="140">
        <v>6417</v>
      </c>
      <c r="O27" s="143">
        <v>113</v>
      </c>
      <c r="P27" s="143">
        <v>12</v>
      </c>
      <c r="Q27" s="144">
        <v>6542</v>
      </c>
      <c r="R27" s="96" t="s">
        <v>84</v>
      </c>
    </row>
    <row r="28" spans="1:18" ht="25.5" customHeight="1">
      <c r="A28" s="95" t="s">
        <v>85</v>
      </c>
      <c r="B28" s="145">
        <f>_xlfn.COMPOUNDVALUE(461)</f>
        <v>1040</v>
      </c>
      <c r="C28" s="146">
        <v>2783717</v>
      </c>
      <c r="D28" s="145">
        <f>_xlfn.COMPOUNDVALUE(462)</f>
        <v>988</v>
      </c>
      <c r="E28" s="146">
        <v>411612</v>
      </c>
      <c r="F28" s="145">
        <f>_xlfn.COMPOUNDVALUE(463)</f>
        <v>2028</v>
      </c>
      <c r="G28" s="146">
        <v>3195329</v>
      </c>
      <c r="H28" s="145">
        <f>_xlfn.COMPOUNDVALUE(464)</f>
        <v>58</v>
      </c>
      <c r="I28" s="147">
        <v>118933</v>
      </c>
      <c r="J28" s="145">
        <v>187</v>
      </c>
      <c r="K28" s="147">
        <v>17720</v>
      </c>
      <c r="L28" s="145">
        <v>2105</v>
      </c>
      <c r="M28" s="147">
        <v>3094116</v>
      </c>
      <c r="N28" s="145">
        <v>2032</v>
      </c>
      <c r="O28" s="159">
        <v>40</v>
      </c>
      <c r="P28" s="159">
        <v>2</v>
      </c>
      <c r="Q28" s="160">
        <v>2074</v>
      </c>
      <c r="R28" s="96" t="s">
        <v>86</v>
      </c>
    </row>
    <row r="29" spans="1:18" ht="25.5" customHeight="1">
      <c r="A29" s="97" t="s">
        <v>87</v>
      </c>
      <c r="B29" s="148">
        <v>50328</v>
      </c>
      <c r="C29" s="149">
        <v>271629924</v>
      </c>
      <c r="D29" s="148">
        <v>42749</v>
      </c>
      <c r="E29" s="149">
        <v>20107696</v>
      </c>
      <c r="F29" s="148">
        <v>93077</v>
      </c>
      <c r="G29" s="149">
        <v>291737621</v>
      </c>
      <c r="H29" s="148">
        <v>3256</v>
      </c>
      <c r="I29" s="150">
        <v>54496381</v>
      </c>
      <c r="J29" s="148">
        <v>5904</v>
      </c>
      <c r="K29" s="150">
        <v>627053</v>
      </c>
      <c r="L29" s="148">
        <v>97538</v>
      </c>
      <c r="M29" s="150">
        <v>237868293</v>
      </c>
      <c r="N29" s="148">
        <v>95329</v>
      </c>
      <c r="O29" s="151">
        <v>2182</v>
      </c>
      <c r="P29" s="151">
        <v>206</v>
      </c>
      <c r="Q29" s="152">
        <v>97717</v>
      </c>
      <c r="R29" s="98" t="s">
        <v>88</v>
      </c>
    </row>
    <row r="30" spans="1:18" ht="25.5" customHeight="1">
      <c r="A30" s="99"/>
      <c r="B30" s="153"/>
      <c r="C30" s="154"/>
      <c r="D30" s="153"/>
      <c r="E30" s="154"/>
      <c r="F30" s="155"/>
      <c r="G30" s="154"/>
      <c r="H30" s="155"/>
      <c r="I30" s="154"/>
      <c r="J30" s="155"/>
      <c r="K30" s="154"/>
      <c r="L30" s="155"/>
      <c r="M30" s="154"/>
      <c r="N30" s="156"/>
      <c r="O30" s="157"/>
      <c r="P30" s="157"/>
      <c r="Q30" s="158"/>
      <c r="R30" s="100" t="s">
        <v>44</v>
      </c>
    </row>
    <row r="31" spans="1:18" ht="25.5" customHeight="1">
      <c r="A31" s="93" t="s">
        <v>89</v>
      </c>
      <c r="B31" s="140">
        <f>_xlfn.COMPOUNDVALUE(465)</f>
        <v>4577</v>
      </c>
      <c r="C31" s="141">
        <v>26163526</v>
      </c>
      <c r="D31" s="140">
        <f>_xlfn.COMPOUNDVALUE(466)</f>
        <v>3199</v>
      </c>
      <c r="E31" s="141">
        <v>1801842</v>
      </c>
      <c r="F31" s="140">
        <f>_xlfn.COMPOUNDVALUE(467)</f>
        <v>7776</v>
      </c>
      <c r="G31" s="141">
        <v>27965369</v>
      </c>
      <c r="H31" s="140">
        <f>_xlfn.COMPOUNDVALUE(468)</f>
        <v>424</v>
      </c>
      <c r="I31" s="142">
        <v>1892817</v>
      </c>
      <c r="J31" s="140">
        <v>546</v>
      </c>
      <c r="K31" s="142">
        <v>51443</v>
      </c>
      <c r="L31" s="140">
        <v>8309</v>
      </c>
      <c r="M31" s="142">
        <v>26123995</v>
      </c>
      <c r="N31" s="140">
        <v>8341</v>
      </c>
      <c r="O31" s="143">
        <v>268</v>
      </c>
      <c r="P31" s="143">
        <v>49</v>
      </c>
      <c r="Q31" s="144">
        <v>8658</v>
      </c>
      <c r="R31" s="96" t="s">
        <v>90</v>
      </c>
    </row>
    <row r="32" spans="1:18" ht="25.5" customHeight="1">
      <c r="A32" s="93" t="s">
        <v>91</v>
      </c>
      <c r="B32" s="140">
        <f>_xlfn.COMPOUNDVALUE(469)</f>
        <v>2430</v>
      </c>
      <c r="C32" s="141">
        <v>87804560</v>
      </c>
      <c r="D32" s="140">
        <f>_xlfn.COMPOUNDVALUE(470)</f>
        <v>1209</v>
      </c>
      <c r="E32" s="141">
        <v>724108</v>
      </c>
      <c r="F32" s="140">
        <f>_xlfn.COMPOUNDVALUE(471)</f>
        <v>3639</v>
      </c>
      <c r="G32" s="141">
        <v>88528668</v>
      </c>
      <c r="H32" s="140">
        <f>_xlfn.COMPOUNDVALUE(472)</f>
        <v>318</v>
      </c>
      <c r="I32" s="142">
        <v>4363096</v>
      </c>
      <c r="J32" s="140">
        <v>246</v>
      </c>
      <c r="K32" s="142">
        <v>35494</v>
      </c>
      <c r="L32" s="140">
        <v>4013</v>
      </c>
      <c r="M32" s="142">
        <v>84201067</v>
      </c>
      <c r="N32" s="145">
        <v>3964</v>
      </c>
      <c r="O32" s="159">
        <v>127</v>
      </c>
      <c r="P32" s="159">
        <v>33</v>
      </c>
      <c r="Q32" s="160">
        <v>4124</v>
      </c>
      <c r="R32" s="96" t="s">
        <v>92</v>
      </c>
    </row>
    <row r="33" spans="1:18" ht="25.5" customHeight="1">
      <c r="A33" s="93" t="s">
        <v>93</v>
      </c>
      <c r="B33" s="140">
        <f>_xlfn.COMPOUNDVALUE(473)</f>
        <v>4922</v>
      </c>
      <c r="C33" s="141">
        <v>26827557</v>
      </c>
      <c r="D33" s="140">
        <f>_xlfn.COMPOUNDVALUE(474)</f>
        <v>3062</v>
      </c>
      <c r="E33" s="141">
        <v>1524090</v>
      </c>
      <c r="F33" s="140">
        <f>_xlfn.COMPOUNDVALUE(475)</f>
        <v>7984</v>
      </c>
      <c r="G33" s="141">
        <v>28351647</v>
      </c>
      <c r="H33" s="140">
        <f>_xlfn.COMPOUNDVALUE(476)</f>
        <v>369</v>
      </c>
      <c r="I33" s="142">
        <v>1152043</v>
      </c>
      <c r="J33" s="140">
        <v>452</v>
      </c>
      <c r="K33" s="142">
        <v>54647</v>
      </c>
      <c r="L33" s="140">
        <v>8499</v>
      </c>
      <c r="M33" s="142">
        <v>27254251</v>
      </c>
      <c r="N33" s="145">
        <v>8533</v>
      </c>
      <c r="O33" s="159">
        <v>204</v>
      </c>
      <c r="P33" s="159">
        <v>27</v>
      </c>
      <c r="Q33" s="160">
        <v>8764</v>
      </c>
      <c r="R33" s="96" t="s">
        <v>94</v>
      </c>
    </row>
    <row r="34" spans="1:18" ht="25.5" customHeight="1">
      <c r="A34" s="93" t="s">
        <v>95</v>
      </c>
      <c r="B34" s="140">
        <f>_xlfn.COMPOUNDVALUE(477)</f>
        <v>5717</v>
      </c>
      <c r="C34" s="141">
        <v>41959912</v>
      </c>
      <c r="D34" s="140">
        <f>_xlfn.COMPOUNDVALUE(478)</f>
        <v>3121</v>
      </c>
      <c r="E34" s="141">
        <v>1528165</v>
      </c>
      <c r="F34" s="140">
        <f>_xlfn.COMPOUNDVALUE(479)</f>
        <v>8838</v>
      </c>
      <c r="G34" s="141">
        <v>43488076</v>
      </c>
      <c r="H34" s="140">
        <f>_xlfn.COMPOUNDVALUE(480)</f>
        <v>394</v>
      </c>
      <c r="I34" s="142">
        <v>3420513</v>
      </c>
      <c r="J34" s="140">
        <v>563</v>
      </c>
      <c r="K34" s="142">
        <v>118270</v>
      </c>
      <c r="L34" s="140">
        <v>9356</v>
      </c>
      <c r="M34" s="142">
        <v>40185832</v>
      </c>
      <c r="N34" s="145">
        <v>9437</v>
      </c>
      <c r="O34" s="159">
        <v>184</v>
      </c>
      <c r="P34" s="159">
        <v>35</v>
      </c>
      <c r="Q34" s="160">
        <v>9656</v>
      </c>
      <c r="R34" s="96" t="s">
        <v>96</v>
      </c>
    </row>
    <row r="35" spans="1:18" ht="25.5" customHeight="1">
      <c r="A35" s="101" t="s">
        <v>97</v>
      </c>
      <c r="B35" s="140">
        <f>_xlfn.COMPOUNDVALUE(481)</f>
        <v>3606</v>
      </c>
      <c r="C35" s="141">
        <v>104522059</v>
      </c>
      <c r="D35" s="140">
        <f>_xlfn.COMPOUNDVALUE(482)</f>
        <v>1718</v>
      </c>
      <c r="E35" s="141">
        <v>943705</v>
      </c>
      <c r="F35" s="140">
        <f>_xlfn.COMPOUNDVALUE(483)</f>
        <v>5324</v>
      </c>
      <c r="G35" s="141">
        <v>105465764</v>
      </c>
      <c r="H35" s="140">
        <f>_xlfn.COMPOUNDVALUE(484)</f>
        <v>424</v>
      </c>
      <c r="I35" s="142">
        <v>67724516</v>
      </c>
      <c r="J35" s="140">
        <v>473</v>
      </c>
      <c r="K35" s="142">
        <v>125208</v>
      </c>
      <c r="L35" s="140">
        <v>5829</v>
      </c>
      <c r="M35" s="142">
        <v>37866457</v>
      </c>
      <c r="N35" s="145">
        <v>5683</v>
      </c>
      <c r="O35" s="159">
        <v>166</v>
      </c>
      <c r="P35" s="159">
        <v>34</v>
      </c>
      <c r="Q35" s="160">
        <v>5883</v>
      </c>
      <c r="R35" s="102" t="s">
        <v>98</v>
      </c>
    </row>
    <row r="36" spans="1:18" ht="25.5" customHeight="1">
      <c r="A36" s="93" t="s">
        <v>99</v>
      </c>
      <c r="B36" s="140">
        <f>_xlfn.COMPOUNDVALUE(485)</f>
        <v>6987</v>
      </c>
      <c r="C36" s="141">
        <v>139398205</v>
      </c>
      <c r="D36" s="140">
        <f>_xlfn.COMPOUNDVALUE(486)</f>
        <v>2768</v>
      </c>
      <c r="E36" s="141">
        <v>1787969</v>
      </c>
      <c r="F36" s="140">
        <f>_xlfn.COMPOUNDVALUE(487)</f>
        <v>9755</v>
      </c>
      <c r="G36" s="141">
        <v>141186174</v>
      </c>
      <c r="H36" s="140">
        <f>_xlfn.COMPOUNDVALUE(488)</f>
        <v>756</v>
      </c>
      <c r="I36" s="142">
        <v>9320121</v>
      </c>
      <c r="J36" s="140">
        <v>701</v>
      </c>
      <c r="K36" s="142">
        <v>294187</v>
      </c>
      <c r="L36" s="140">
        <v>10651</v>
      </c>
      <c r="M36" s="142">
        <v>132160240</v>
      </c>
      <c r="N36" s="145">
        <v>10696</v>
      </c>
      <c r="O36" s="159">
        <v>384</v>
      </c>
      <c r="P36" s="159">
        <v>97</v>
      </c>
      <c r="Q36" s="160">
        <v>11177</v>
      </c>
      <c r="R36" s="96" t="s">
        <v>100</v>
      </c>
    </row>
    <row r="37" spans="1:18" ht="25.5" customHeight="1">
      <c r="A37" s="93" t="s">
        <v>101</v>
      </c>
      <c r="B37" s="140">
        <f>_xlfn.COMPOUNDVALUE(489)</f>
        <v>7515</v>
      </c>
      <c r="C37" s="141">
        <v>51634661</v>
      </c>
      <c r="D37" s="140">
        <f>_xlfn.COMPOUNDVALUE(490)</f>
        <v>5042</v>
      </c>
      <c r="E37" s="141">
        <v>2603635</v>
      </c>
      <c r="F37" s="140">
        <f>_xlfn.COMPOUNDVALUE(491)</f>
        <v>12557</v>
      </c>
      <c r="G37" s="141">
        <v>54238296</v>
      </c>
      <c r="H37" s="140">
        <f>_xlfn.COMPOUNDVALUE(492)</f>
        <v>710</v>
      </c>
      <c r="I37" s="142">
        <v>17191092</v>
      </c>
      <c r="J37" s="140">
        <v>799</v>
      </c>
      <c r="K37" s="142">
        <v>54789</v>
      </c>
      <c r="L37" s="140">
        <v>13439</v>
      </c>
      <c r="M37" s="142">
        <v>37101993</v>
      </c>
      <c r="N37" s="145">
        <v>13356</v>
      </c>
      <c r="O37" s="159">
        <v>389</v>
      </c>
      <c r="P37" s="159">
        <v>61</v>
      </c>
      <c r="Q37" s="160">
        <v>13806</v>
      </c>
      <c r="R37" s="96" t="s">
        <v>102</v>
      </c>
    </row>
    <row r="38" spans="1:18" ht="25.5" customHeight="1">
      <c r="A38" s="93" t="s">
        <v>103</v>
      </c>
      <c r="B38" s="140">
        <f>_xlfn.COMPOUNDVALUE(493)</f>
        <v>7280</v>
      </c>
      <c r="C38" s="141">
        <v>59684107</v>
      </c>
      <c r="D38" s="140">
        <f>_xlfn.COMPOUNDVALUE(494)</f>
        <v>4459</v>
      </c>
      <c r="E38" s="141">
        <v>2349322</v>
      </c>
      <c r="F38" s="140">
        <f>_xlfn.COMPOUNDVALUE(495)</f>
        <v>11739</v>
      </c>
      <c r="G38" s="141">
        <v>62033429</v>
      </c>
      <c r="H38" s="140">
        <f>_xlfn.COMPOUNDVALUE(496)</f>
        <v>452</v>
      </c>
      <c r="I38" s="142">
        <v>3010031</v>
      </c>
      <c r="J38" s="140">
        <v>629</v>
      </c>
      <c r="K38" s="142">
        <v>67174</v>
      </c>
      <c r="L38" s="140">
        <v>12300</v>
      </c>
      <c r="M38" s="142">
        <v>59090572</v>
      </c>
      <c r="N38" s="145">
        <v>12219</v>
      </c>
      <c r="O38" s="159">
        <v>222</v>
      </c>
      <c r="P38" s="159">
        <v>41</v>
      </c>
      <c r="Q38" s="160">
        <v>12482</v>
      </c>
      <c r="R38" s="96" t="s">
        <v>104</v>
      </c>
    </row>
    <row r="39" spans="1:18" ht="25.5" customHeight="1">
      <c r="A39" s="93" t="s">
        <v>105</v>
      </c>
      <c r="B39" s="140">
        <f>_xlfn.COMPOUNDVALUE(497)</f>
        <v>6110</v>
      </c>
      <c r="C39" s="141">
        <v>41839823</v>
      </c>
      <c r="D39" s="140">
        <f>_xlfn.COMPOUNDVALUE(498)</f>
        <v>3427</v>
      </c>
      <c r="E39" s="141">
        <v>1698030</v>
      </c>
      <c r="F39" s="140">
        <f>_xlfn.COMPOUNDVALUE(499)</f>
        <v>9537</v>
      </c>
      <c r="G39" s="141">
        <v>43537853</v>
      </c>
      <c r="H39" s="140">
        <f>_xlfn.COMPOUNDVALUE(500)</f>
        <v>781</v>
      </c>
      <c r="I39" s="142">
        <v>7380682</v>
      </c>
      <c r="J39" s="140">
        <v>672</v>
      </c>
      <c r="K39" s="142">
        <v>-32426</v>
      </c>
      <c r="L39" s="140">
        <v>10498</v>
      </c>
      <c r="M39" s="142">
        <v>36124745</v>
      </c>
      <c r="N39" s="145">
        <v>10185</v>
      </c>
      <c r="O39" s="159">
        <v>305</v>
      </c>
      <c r="P39" s="159">
        <v>35</v>
      </c>
      <c r="Q39" s="160">
        <v>10525</v>
      </c>
      <c r="R39" s="96" t="s">
        <v>106</v>
      </c>
    </row>
    <row r="40" spans="1:18" ht="25.5" customHeight="1">
      <c r="A40" s="93" t="s">
        <v>107</v>
      </c>
      <c r="B40" s="140">
        <f>_xlfn.COMPOUNDVALUE(501)</f>
        <v>9851</v>
      </c>
      <c r="C40" s="141">
        <v>48578277</v>
      </c>
      <c r="D40" s="140">
        <f>_xlfn.COMPOUNDVALUE(502)</f>
        <v>10216</v>
      </c>
      <c r="E40" s="141">
        <v>4544982</v>
      </c>
      <c r="F40" s="140">
        <f>_xlfn.COMPOUNDVALUE(503)</f>
        <v>20067</v>
      </c>
      <c r="G40" s="141">
        <v>53123259</v>
      </c>
      <c r="H40" s="140">
        <f>_xlfn.COMPOUNDVALUE(504)</f>
        <v>647</v>
      </c>
      <c r="I40" s="142">
        <v>4389522</v>
      </c>
      <c r="J40" s="140">
        <v>929</v>
      </c>
      <c r="K40" s="142">
        <v>122993</v>
      </c>
      <c r="L40" s="140">
        <v>20909</v>
      </c>
      <c r="M40" s="142">
        <v>48856731</v>
      </c>
      <c r="N40" s="145">
        <v>19958</v>
      </c>
      <c r="O40" s="159">
        <v>397</v>
      </c>
      <c r="P40" s="159">
        <v>40</v>
      </c>
      <c r="Q40" s="160">
        <v>20395</v>
      </c>
      <c r="R40" s="96" t="s">
        <v>108</v>
      </c>
    </row>
    <row r="41" spans="1:18" ht="25.5" customHeight="1">
      <c r="A41" s="93" t="s">
        <v>109</v>
      </c>
      <c r="B41" s="140">
        <f>_xlfn.COMPOUNDVALUE(505)</f>
        <v>5071</v>
      </c>
      <c r="C41" s="141">
        <v>26598733</v>
      </c>
      <c r="D41" s="140">
        <f>_xlfn.COMPOUNDVALUE(506)</f>
        <v>3647</v>
      </c>
      <c r="E41" s="141">
        <v>1829668</v>
      </c>
      <c r="F41" s="140">
        <f>_xlfn.COMPOUNDVALUE(507)</f>
        <v>8718</v>
      </c>
      <c r="G41" s="141">
        <v>28428400</v>
      </c>
      <c r="H41" s="140">
        <f>_xlfn.COMPOUNDVALUE(508)</f>
        <v>262</v>
      </c>
      <c r="I41" s="142">
        <v>497015</v>
      </c>
      <c r="J41" s="140">
        <v>501</v>
      </c>
      <c r="K41" s="142">
        <v>29499</v>
      </c>
      <c r="L41" s="140">
        <v>9081</v>
      </c>
      <c r="M41" s="142">
        <v>27960884</v>
      </c>
      <c r="N41" s="145">
        <v>8898</v>
      </c>
      <c r="O41" s="159">
        <v>177</v>
      </c>
      <c r="P41" s="159">
        <v>24</v>
      </c>
      <c r="Q41" s="160">
        <v>9099</v>
      </c>
      <c r="R41" s="96" t="s">
        <v>110</v>
      </c>
    </row>
    <row r="42" spans="1:18" ht="25.5" customHeight="1">
      <c r="A42" s="93" t="s">
        <v>111</v>
      </c>
      <c r="B42" s="140">
        <f>_xlfn.COMPOUNDVALUE(509)</f>
        <v>6016</v>
      </c>
      <c r="C42" s="141">
        <v>38770950</v>
      </c>
      <c r="D42" s="140">
        <f>_xlfn.COMPOUNDVALUE(510)</f>
        <v>4350</v>
      </c>
      <c r="E42" s="141">
        <v>2146846</v>
      </c>
      <c r="F42" s="140">
        <f>_xlfn.COMPOUNDVALUE(511)</f>
        <v>10366</v>
      </c>
      <c r="G42" s="141">
        <v>40917796</v>
      </c>
      <c r="H42" s="140">
        <f>_xlfn.COMPOUNDVALUE(512)</f>
        <v>421</v>
      </c>
      <c r="I42" s="142">
        <v>1687797</v>
      </c>
      <c r="J42" s="140">
        <v>635</v>
      </c>
      <c r="K42" s="142">
        <v>83407</v>
      </c>
      <c r="L42" s="140">
        <v>10963</v>
      </c>
      <c r="M42" s="142">
        <v>39313406</v>
      </c>
      <c r="N42" s="145">
        <v>10880</v>
      </c>
      <c r="O42" s="159">
        <v>237</v>
      </c>
      <c r="P42" s="159">
        <v>24</v>
      </c>
      <c r="Q42" s="160">
        <v>11141</v>
      </c>
      <c r="R42" s="96" t="s">
        <v>112</v>
      </c>
    </row>
    <row r="43" spans="1:18" ht="25.5" customHeight="1">
      <c r="A43" s="93" t="s">
        <v>113</v>
      </c>
      <c r="B43" s="140">
        <f>_xlfn.COMPOUNDVALUE(513)</f>
        <v>2539</v>
      </c>
      <c r="C43" s="141">
        <v>12383051</v>
      </c>
      <c r="D43" s="140">
        <f>_xlfn.COMPOUNDVALUE(514)</f>
        <v>1970</v>
      </c>
      <c r="E43" s="141">
        <v>918658</v>
      </c>
      <c r="F43" s="140">
        <f>_xlfn.COMPOUNDVALUE(515)</f>
        <v>4509</v>
      </c>
      <c r="G43" s="141">
        <v>13301709</v>
      </c>
      <c r="H43" s="140">
        <f>_xlfn.COMPOUNDVALUE(516)</f>
        <v>162</v>
      </c>
      <c r="I43" s="142">
        <v>967514</v>
      </c>
      <c r="J43" s="140">
        <v>261</v>
      </c>
      <c r="K43" s="142">
        <v>43286</v>
      </c>
      <c r="L43" s="140">
        <v>4743</v>
      </c>
      <c r="M43" s="142">
        <v>12377480</v>
      </c>
      <c r="N43" s="145">
        <v>4701</v>
      </c>
      <c r="O43" s="159">
        <v>80</v>
      </c>
      <c r="P43" s="159">
        <v>9</v>
      </c>
      <c r="Q43" s="160">
        <v>4790</v>
      </c>
      <c r="R43" s="96" t="s">
        <v>114</v>
      </c>
    </row>
    <row r="44" spans="1:18" ht="25.5" customHeight="1">
      <c r="A44" s="95" t="s">
        <v>115</v>
      </c>
      <c r="B44" s="145">
        <f>_xlfn.COMPOUNDVALUE(517)</f>
        <v>7172</v>
      </c>
      <c r="C44" s="146">
        <v>44062446</v>
      </c>
      <c r="D44" s="145">
        <f>_xlfn.COMPOUNDVALUE(518)</f>
        <v>5301</v>
      </c>
      <c r="E44" s="146">
        <v>2661294</v>
      </c>
      <c r="F44" s="145">
        <f>_xlfn.COMPOUNDVALUE(519)</f>
        <v>12473</v>
      </c>
      <c r="G44" s="146">
        <v>46723740</v>
      </c>
      <c r="H44" s="145">
        <f>_xlfn.COMPOUNDVALUE(520)</f>
        <v>443</v>
      </c>
      <c r="I44" s="147">
        <v>2775256</v>
      </c>
      <c r="J44" s="145">
        <v>728</v>
      </c>
      <c r="K44" s="147">
        <v>137242</v>
      </c>
      <c r="L44" s="145">
        <v>13098</v>
      </c>
      <c r="M44" s="147">
        <v>44085726</v>
      </c>
      <c r="N44" s="145">
        <v>12789</v>
      </c>
      <c r="O44" s="159">
        <v>326</v>
      </c>
      <c r="P44" s="159">
        <v>27</v>
      </c>
      <c r="Q44" s="160">
        <v>13142</v>
      </c>
      <c r="R44" s="96" t="s">
        <v>116</v>
      </c>
    </row>
    <row r="45" spans="1:18" ht="25.5" customHeight="1">
      <c r="A45" s="95" t="s">
        <v>117</v>
      </c>
      <c r="B45" s="145">
        <f>_xlfn.COMPOUNDVALUE(521)</f>
        <v>4516</v>
      </c>
      <c r="C45" s="146">
        <v>22782290</v>
      </c>
      <c r="D45" s="145">
        <f>_xlfn.COMPOUNDVALUE(522)</f>
        <v>3252</v>
      </c>
      <c r="E45" s="146">
        <v>1519722</v>
      </c>
      <c r="F45" s="145">
        <f>_xlfn.COMPOUNDVALUE(523)</f>
        <v>7768</v>
      </c>
      <c r="G45" s="146">
        <v>24302012</v>
      </c>
      <c r="H45" s="145">
        <f>_xlfn.COMPOUNDVALUE(524)</f>
        <v>477</v>
      </c>
      <c r="I45" s="147">
        <v>4596685</v>
      </c>
      <c r="J45" s="145">
        <v>423</v>
      </c>
      <c r="K45" s="147">
        <v>54068</v>
      </c>
      <c r="L45" s="145">
        <v>8380</v>
      </c>
      <c r="M45" s="147">
        <v>19759395</v>
      </c>
      <c r="N45" s="145">
        <v>8247</v>
      </c>
      <c r="O45" s="159">
        <v>207</v>
      </c>
      <c r="P45" s="159">
        <v>27</v>
      </c>
      <c r="Q45" s="160">
        <v>8481</v>
      </c>
      <c r="R45" s="96" t="s">
        <v>118</v>
      </c>
    </row>
    <row r="46" spans="1:18" ht="25.5" customHeight="1">
      <c r="A46" s="95" t="s">
        <v>119</v>
      </c>
      <c r="B46" s="145">
        <f>_xlfn.COMPOUNDVALUE(525)</f>
        <v>6329</v>
      </c>
      <c r="C46" s="146">
        <v>69962884</v>
      </c>
      <c r="D46" s="145">
        <f>_xlfn.COMPOUNDVALUE(526)</f>
        <v>4287</v>
      </c>
      <c r="E46" s="146">
        <v>2148397</v>
      </c>
      <c r="F46" s="145">
        <f>_xlfn.COMPOUNDVALUE(527)</f>
        <v>10616</v>
      </c>
      <c r="G46" s="146">
        <v>72111280</v>
      </c>
      <c r="H46" s="145">
        <f>_xlfn.COMPOUNDVALUE(528)</f>
        <v>401</v>
      </c>
      <c r="I46" s="147">
        <v>41642954</v>
      </c>
      <c r="J46" s="145">
        <v>512</v>
      </c>
      <c r="K46" s="147">
        <v>243897</v>
      </c>
      <c r="L46" s="145">
        <v>11113</v>
      </c>
      <c r="M46" s="147">
        <v>30712223</v>
      </c>
      <c r="N46" s="145">
        <v>10867</v>
      </c>
      <c r="O46" s="159">
        <v>240</v>
      </c>
      <c r="P46" s="159">
        <v>20</v>
      </c>
      <c r="Q46" s="160">
        <v>11127</v>
      </c>
      <c r="R46" s="96" t="s">
        <v>120</v>
      </c>
    </row>
    <row r="47" spans="1:18" ht="25.5" customHeight="1">
      <c r="A47" s="95" t="s">
        <v>121</v>
      </c>
      <c r="B47" s="145">
        <f>_xlfn.COMPOUNDVALUE(529)</f>
        <v>4989</v>
      </c>
      <c r="C47" s="146">
        <v>42573346</v>
      </c>
      <c r="D47" s="145">
        <f>_xlfn.COMPOUNDVALUE(530)</f>
        <v>3230</v>
      </c>
      <c r="E47" s="146">
        <v>1658517</v>
      </c>
      <c r="F47" s="145">
        <f>_xlfn.COMPOUNDVALUE(531)</f>
        <v>8219</v>
      </c>
      <c r="G47" s="146">
        <v>44231863</v>
      </c>
      <c r="H47" s="145">
        <f>_xlfn.COMPOUNDVALUE(532)</f>
        <v>327</v>
      </c>
      <c r="I47" s="147">
        <v>283874322</v>
      </c>
      <c r="J47" s="145">
        <v>513</v>
      </c>
      <c r="K47" s="147">
        <v>-76047</v>
      </c>
      <c r="L47" s="145">
        <v>8657</v>
      </c>
      <c r="M47" s="147">
        <v>-239718506</v>
      </c>
      <c r="N47" s="145">
        <v>8405</v>
      </c>
      <c r="O47" s="159">
        <v>215</v>
      </c>
      <c r="P47" s="159">
        <v>19</v>
      </c>
      <c r="Q47" s="160">
        <v>8639</v>
      </c>
      <c r="R47" s="96" t="s">
        <v>122</v>
      </c>
    </row>
    <row r="48" spans="1:18" ht="25.5" customHeight="1">
      <c r="A48" s="95" t="s">
        <v>123</v>
      </c>
      <c r="B48" s="145">
        <f>_xlfn.COMPOUNDVALUE(533)</f>
        <v>2475</v>
      </c>
      <c r="C48" s="146">
        <v>12261793</v>
      </c>
      <c r="D48" s="145">
        <f>_xlfn.COMPOUNDVALUE(534)</f>
        <v>2191</v>
      </c>
      <c r="E48" s="146">
        <v>981585</v>
      </c>
      <c r="F48" s="145">
        <f>_xlfn.COMPOUNDVALUE(535)</f>
        <v>4666</v>
      </c>
      <c r="G48" s="146">
        <v>13243377</v>
      </c>
      <c r="H48" s="145">
        <f>_xlfn.COMPOUNDVALUE(536)</f>
        <v>143</v>
      </c>
      <c r="I48" s="147">
        <v>1231974</v>
      </c>
      <c r="J48" s="145">
        <v>237</v>
      </c>
      <c r="K48" s="147">
        <v>35878</v>
      </c>
      <c r="L48" s="145">
        <v>4850</v>
      </c>
      <c r="M48" s="147">
        <v>12047281</v>
      </c>
      <c r="N48" s="145">
        <v>4730</v>
      </c>
      <c r="O48" s="159">
        <v>83</v>
      </c>
      <c r="P48" s="159">
        <v>10</v>
      </c>
      <c r="Q48" s="160">
        <v>4823</v>
      </c>
      <c r="R48" s="96" t="s">
        <v>124</v>
      </c>
    </row>
    <row r="49" spans="1:18" ht="25.5" customHeight="1">
      <c r="A49" s="95" t="s">
        <v>125</v>
      </c>
      <c r="B49" s="145">
        <f>_xlfn.COMPOUNDVALUE(537)</f>
        <v>8516</v>
      </c>
      <c r="C49" s="146">
        <v>52786317</v>
      </c>
      <c r="D49" s="145">
        <f>_xlfn.COMPOUNDVALUE(538)</f>
        <v>5746</v>
      </c>
      <c r="E49" s="146">
        <v>2941251</v>
      </c>
      <c r="F49" s="145">
        <f>_xlfn.COMPOUNDVALUE(539)</f>
        <v>14262</v>
      </c>
      <c r="G49" s="146">
        <v>55727569</v>
      </c>
      <c r="H49" s="145">
        <f>_xlfn.COMPOUNDVALUE(540)</f>
        <v>601</v>
      </c>
      <c r="I49" s="147">
        <v>13702332</v>
      </c>
      <c r="J49" s="145">
        <v>1029</v>
      </c>
      <c r="K49" s="147">
        <v>-306097</v>
      </c>
      <c r="L49" s="145">
        <v>15076</v>
      </c>
      <c r="M49" s="147">
        <v>41719140</v>
      </c>
      <c r="N49" s="145">
        <v>14977</v>
      </c>
      <c r="O49" s="159">
        <v>329</v>
      </c>
      <c r="P49" s="159">
        <v>39</v>
      </c>
      <c r="Q49" s="160">
        <v>15345</v>
      </c>
      <c r="R49" s="96" t="s">
        <v>126</v>
      </c>
    </row>
    <row r="50" spans="1:18" ht="25.5" customHeight="1">
      <c r="A50" s="95" t="s">
        <v>127</v>
      </c>
      <c r="B50" s="145">
        <f>_xlfn.COMPOUNDVALUE(541)</f>
        <v>729</v>
      </c>
      <c r="C50" s="146">
        <v>2492207</v>
      </c>
      <c r="D50" s="145">
        <f>_xlfn.COMPOUNDVALUE(542)</f>
        <v>590</v>
      </c>
      <c r="E50" s="146">
        <v>259402</v>
      </c>
      <c r="F50" s="145">
        <f>_xlfn.COMPOUNDVALUE(543)</f>
        <v>1319</v>
      </c>
      <c r="G50" s="146">
        <v>2751609</v>
      </c>
      <c r="H50" s="145">
        <f>_xlfn.COMPOUNDVALUE(544)</f>
        <v>47</v>
      </c>
      <c r="I50" s="147">
        <v>90198</v>
      </c>
      <c r="J50" s="145">
        <v>84</v>
      </c>
      <c r="K50" s="147">
        <v>11361</v>
      </c>
      <c r="L50" s="145">
        <v>1380</v>
      </c>
      <c r="M50" s="147">
        <v>2672772</v>
      </c>
      <c r="N50" s="145">
        <v>1328</v>
      </c>
      <c r="O50" s="159">
        <v>26</v>
      </c>
      <c r="P50" s="159">
        <v>4</v>
      </c>
      <c r="Q50" s="160">
        <v>1358</v>
      </c>
      <c r="R50" s="96" t="s">
        <v>128</v>
      </c>
    </row>
    <row r="51" spans="1:18" ht="25.5" customHeight="1">
      <c r="A51" s="97" t="s">
        <v>129</v>
      </c>
      <c r="B51" s="148">
        <v>107347</v>
      </c>
      <c r="C51" s="149">
        <v>953086702</v>
      </c>
      <c r="D51" s="148">
        <v>72785</v>
      </c>
      <c r="E51" s="149">
        <v>36571187</v>
      </c>
      <c r="F51" s="148">
        <v>180132</v>
      </c>
      <c r="G51" s="149">
        <v>989657889</v>
      </c>
      <c r="H51" s="148">
        <v>8559</v>
      </c>
      <c r="I51" s="150">
        <v>470910480</v>
      </c>
      <c r="J51" s="148">
        <v>10933</v>
      </c>
      <c r="K51" s="150">
        <v>1148275</v>
      </c>
      <c r="L51" s="148">
        <v>191144</v>
      </c>
      <c r="M51" s="150">
        <v>519895684</v>
      </c>
      <c r="N51" s="148">
        <v>188194</v>
      </c>
      <c r="O51" s="151">
        <v>4566</v>
      </c>
      <c r="P51" s="151">
        <v>655</v>
      </c>
      <c r="Q51" s="152">
        <v>193415</v>
      </c>
      <c r="R51" s="98" t="s">
        <v>130</v>
      </c>
    </row>
    <row r="52" spans="1:18" ht="25.5" customHeight="1">
      <c r="A52" s="99"/>
      <c r="B52" s="153"/>
      <c r="C52" s="154"/>
      <c r="D52" s="153"/>
      <c r="E52" s="154"/>
      <c r="F52" s="155"/>
      <c r="G52" s="154"/>
      <c r="H52" s="155"/>
      <c r="I52" s="154"/>
      <c r="J52" s="155"/>
      <c r="K52" s="154"/>
      <c r="L52" s="155"/>
      <c r="M52" s="154"/>
      <c r="N52" s="156"/>
      <c r="O52" s="157"/>
      <c r="P52" s="157"/>
      <c r="Q52" s="158"/>
      <c r="R52" s="100" t="s">
        <v>44</v>
      </c>
    </row>
    <row r="53" spans="1:18" ht="25.5" customHeight="1">
      <c r="A53" s="93" t="s">
        <v>131</v>
      </c>
      <c r="B53" s="140">
        <f>_xlfn.COMPOUNDVALUE(545)</f>
        <v>3256</v>
      </c>
      <c r="C53" s="141">
        <v>17774271</v>
      </c>
      <c r="D53" s="140">
        <f>_xlfn.COMPOUNDVALUE(546)</f>
        <v>2321</v>
      </c>
      <c r="E53" s="141">
        <v>1111539</v>
      </c>
      <c r="F53" s="140">
        <f>_xlfn.COMPOUNDVALUE(547)</f>
        <v>5577</v>
      </c>
      <c r="G53" s="141">
        <v>18885810</v>
      </c>
      <c r="H53" s="140">
        <f>_xlfn.COMPOUNDVALUE(548)</f>
        <v>196</v>
      </c>
      <c r="I53" s="142">
        <v>1642967</v>
      </c>
      <c r="J53" s="140">
        <v>385</v>
      </c>
      <c r="K53" s="142">
        <v>58503</v>
      </c>
      <c r="L53" s="140">
        <v>5871</v>
      </c>
      <c r="M53" s="142">
        <v>17301345</v>
      </c>
      <c r="N53" s="140">
        <v>6092</v>
      </c>
      <c r="O53" s="143">
        <v>142</v>
      </c>
      <c r="P53" s="143">
        <v>10</v>
      </c>
      <c r="Q53" s="144">
        <v>6244</v>
      </c>
      <c r="R53" s="96" t="s">
        <v>132</v>
      </c>
    </row>
    <row r="54" spans="1:18" ht="25.5" customHeight="1">
      <c r="A54" s="95" t="s">
        <v>133</v>
      </c>
      <c r="B54" s="145">
        <f>_xlfn.COMPOUNDVALUE(549)</f>
        <v>5311</v>
      </c>
      <c r="C54" s="146">
        <v>34276787</v>
      </c>
      <c r="D54" s="145">
        <f>_xlfn.COMPOUNDVALUE(550)</f>
        <v>3521</v>
      </c>
      <c r="E54" s="146">
        <v>1786048</v>
      </c>
      <c r="F54" s="145">
        <f>_xlfn.COMPOUNDVALUE(551)</f>
        <v>8832</v>
      </c>
      <c r="G54" s="146">
        <v>36062835</v>
      </c>
      <c r="H54" s="145">
        <f>_xlfn.COMPOUNDVALUE(552)</f>
        <v>360</v>
      </c>
      <c r="I54" s="147">
        <v>17313674</v>
      </c>
      <c r="J54" s="145">
        <v>658</v>
      </c>
      <c r="K54" s="147">
        <v>51504</v>
      </c>
      <c r="L54" s="145">
        <v>9299</v>
      </c>
      <c r="M54" s="147">
        <v>18800664</v>
      </c>
      <c r="N54" s="145">
        <v>9188</v>
      </c>
      <c r="O54" s="159">
        <v>224</v>
      </c>
      <c r="P54" s="159">
        <v>28</v>
      </c>
      <c r="Q54" s="160">
        <v>9440</v>
      </c>
      <c r="R54" s="96" t="s">
        <v>134</v>
      </c>
    </row>
    <row r="55" spans="1:18" ht="25.5" customHeight="1">
      <c r="A55" s="95" t="s">
        <v>135</v>
      </c>
      <c r="B55" s="145">
        <f>_xlfn.COMPOUNDVALUE(553)</f>
        <v>3594</v>
      </c>
      <c r="C55" s="146">
        <v>12592985</v>
      </c>
      <c r="D55" s="145">
        <f>_xlfn.COMPOUNDVALUE(554)</f>
        <v>2510</v>
      </c>
      <c r="E55" s="146">
        <v>1096666</v>
      </c>
      <c r="F55" s="145">
        <f>_xlfn.COMPOUNDVALUE(555)</f>
        <v>6104</v>
      </c>
      <c r="G55" s="146">
        <v>13689650</v>
      </c>
      <c r="H55" s="145">
        <f>_xlfn.COMPOUNDVALUE(556)</f>
        <v>278</v>
      </c>
      <c r="I55" s="147">
        <v>1884511</v>
      </c>
      <c r="J55" s="145">
        <v>304</v>
      </c>
      <c r="K55" s="147">
        <v>74968</v>
      </c>
      <c r="L55" s="145">
        <v>6452</v>
      </c>
      <c r="M55" s="147">
        <v>11880107</v>
      </c>
      <c r="N55" s="145">
        <v>6309</v>
      </c>
      <c r="O55" s="159">
        <v>156</v>
      </c>
      <c r="P55" s="159">
        <v>14</v>
      </c>
      <c r="Q55" s="160">
        <v>6479</v>
      </c>
      <c r="R55" s="96" t="s">
        <v>136</v>
      </c>
    </row>
    <row r="56" spans="1:18" ht="25.5" customHeight="1">
      <c r="A56" s="95" t="s">
        <v>137</v>
      </c>
      <c r="B56" s="145">
        <f>_xlfn.COMPOUNDVALUE(557)</f>
        <v>2703</v>
      </c>
      <c r="C56" s="146">
        <v>11315429</v>
      </c>
      <c r="D56" s="145">
        <f>_xlfn.COMPOUNDVALUE(558)</f>
        <v>1817</v>
      </c>
      <c r="E56" s="146">
        <v>812180</v>
      </c>
      <c r="F56" s="145">
        <f>_xlfn.COMPOUNDVALUE(559)</f>
        <v>4520</v>
      </c>
      <c r="G56" s="146">
        <v>12127609</v>
      </c>
      <c r="H56" s="145">
        <f>_xlfn.COMPOUNDVALUE(560)</f>
        <v>241</v>
      </c>
      <c r="I56" s="147">
        <v>1701072</v>
      </c>
      <c r="J56" s="145">
        <v>299</v>
      </c>
      <c r="K56" s="147">
        <v>58009</v>
      </c>
      <c r="L56" s="145">
        <v>4857</v>
      </c>
      <c r="M56" s="147">
        <v>10484546</v>
      </c>
      <c r="N56" s="145">
        <v>4708</v>
      </c>
      <c r="O56" s="159">
        <v>124</v>
      </c>
      <c r="P56" s="159">
        <v>8</v>
      </c>
      <c r="Q56" s="160">
        <v>4840</v>
      </c>
      <c r="R56" s="96" t="s">
        <v>138</v>
      </c>
    </row>
    <row r="57" spans="1:18" ht="25.5" customHeight="1">
      <c r="A57" s="95" t="s">
        <v>139</v>
      </c>
      <c r="B57" s="145">
        <f>_xlfn.COMPOUNDVALUE(561)</f>
        <v>2694</v>
      </c>
      <c r="C57" s="146">
        <v>14210996</v>
      </c>
      <c r="D57" s="145">
        <f>_xlfn.COMPOUNDVALUE(562)</f>
        <v>1914</v>
      </c>
      <c r="E57" s="146">
        <v>922627</v>
      </c>
      <c r="F57" s="145">
        <f>_xlfn.COMPOUNDVALUE(563)</f>
        <v>4608</v>
      </c>
      <c r="G57" s="146">
        <v>15133623</v>
      </c>
      <c r="H57" s="145">
        <f>_xlfn.COMPOUNDVALUE(564)</f>
        <v>202</v>
      </c>
      <c r="I57" s="147">
        <v>567012</v>
      </c>
      <c r="J57" s="145">
        <v>274</v>
      </c>
      <c r="K57" s="147">
        <v>23323</v>
      </c>
      <c r="L57" s="145">
        <v>4857</v>
      </c>
      <c r="M57" s="147">
        <v>14589934</v>
      </c>
      <c r="N57" s="145">
        <v>4680</v>
      </c>
      <c r="O57" s="159">
        <v>116</v>
      </c>
      <c r="P57" s="159">
        <v>11</v>
      </c>
      <c r="Q57" s="160">
        <v>4807</v>
      </c>
      <c r="R57" s="96" t="s">
        <v>140</v>
      </c>
    </row>
    <row r="58" spans="1:18" ht="25.5" customHeight="1">
      <c r="A58" s="95" t="s">
        <v>141</v>
      </c>
      <c r="B58" s="145">
        <f>_xlfn.COMPOUNDVALUE(565)</f>
        <v>1858</v>
      </c>
      <c r="C58" s="146">
        <v>8238850</v>
      </c>
      <c r="D58" s="145">
        <f>_xlfn.COMPOUNDVALUE(566)</f>
        <v>1160</v>
      </c>
      <c r="E58" s="146">
        <v>541036</v>
      </c>
      <c r="F58" s="145">
        <f>_xlfn.COMPOUNDVALUE(567)</f>
        <v>3018</v>
      </c>
      <c r="G58" s="146">
        <v>8779886</v>
      </c>
      <c r="H58" s="145">
        <f>_xlfn.COMPOUNDVALUE(568)</f>
        <v>116</v>
      </c>
      <c r="I58" s="147">
        <v>541115</v>
      </c>
      <c r="J58" s="145">
        <v>200</v>
      </c>
      <c r="K58" s="147">
        <v>732</v>
      </c>
      <c r="L58" s="145">
        <v>3157</v>
      </c>
      <c r="M58" s="147">
        <v>8239503</v>
      </c>
      <c r="N58" s="145">
        <v>3137</v>
      </c>
      <c r="O58" s="159">
        <v>91</v>
      </c>
      <c r="P58" s="159">
        <v>6</v>
      </c>
      <c r="Q58" s="160">
        <v>3234</v>
      </c>
      <c r="R58" s="96" t="s">
        <v>142</v>
      </c>
    </row>
    <row r="59" spans="1:18" ht="25.5" customHeight="1">
      <c r="A59" s="95" t="s">
        <v>143</v>
      </c>
      <c r="B59" s="145">
        <f>_xlfn.COMPOUNDVALUE(569)</f>
        <v>2805</v>
      </c>
      <c r="C59" s="146">
        <v>13227963</v>
      </c>
      <c r="D59" s="145">
        <f>_xlfn.COMPOUNDVALUE(570)</f>
        <v>1988</v>
      </c>
      <c r="E59" s="146">
        <v>981186</v>
      </c>
      <c r="F59" s="145">
        <f>_xlfn.COMPOUNDVALUE(571)</f>
        <v>4793</v>
      </c>
      <c r="G59" s="146">
        <v>14209148</v>
      </c>
      <c r="H59" s="145">
        <f>_xlfn.COMPOUNDVALUE(572)</f>
        <v>184</v>
      </c>
      <c r="I59" s="147">
        <v>505305</v>
      </c>
      <c r="J59" s="145">
        <v>313</v>
      </c>
      <c r="K59" s="147">
        <v>59953</v>
      </c>
      <c r="L59" s="145">
        <v>5045</v>
      </c>
      <c r="M59" s="147">
        <v>13763796</v>
      </c>
      <c r="N59" s="145">
        <v>5059</v>
      </c>
      <c r="O59" s="159">
        <v>128</v>
      </c>
      <c r="P59" s="159">
        <v>11</v>
      </c>
      <c r="Q59" s="160">
        <v>5198</v>
      </c>
      <c r="R59" s="96" t="s">
        <v>144</v>
      </c>
    </row>
    <row r="60" spans="1:18" ht="25.5" customHeight="1">
      <c r="A60" s="95" t="s">
        <v>145</v>
      </c>
      <c r="B60" s="145">
        <f>_xlfn.COMPOUNDVALUE(573)</f>
        <v>1096</v>
      </c>
      <c r="C60" s="146">
        <v>3310957</v>
      </c>
      <c r="D60" s="145">
        <f>_xlfn.COMPOUNDVALUE(574)</f>
        <v>877</v>
      </c>
      <c r="E60" s="146">
        <v>343603</v>
      </c>
      <c r="F60" s="145">
        <f>_xlfn.COMPOUNDVALUE(575)</f>
        <v>1973</v>
      </c>
      <c r="G60" s="146">
        <v>3654560</v>
      </c>
      <c r="H60" s="145">
        <f>_xlfn.COMPOUNDVALUE(576)</f>
        <v>64</v>
      </c>
      <c r="I60" s="147">
        <v>176729</v>
      </c>
      <c r="J60" s="145">
        <v>109</v>
      </c>
      <c r="K60" s="147">
        <v>8995</v>
      </c>
      <c r="L60" s="145">
        <v>2051</v>
      </c>
      <c r="M60" s="147">
        <v>3486825</v>
      </c>
      <c r="N60" s="145">
        <v>1961</v>
      </c>
      <c r="O60" s="159">
        <v>29</v>
      </c>
      <c r="P60" s="159">
        <v>3</v>
      </c>
      <c r="Q60" s="160">
        <v>1993</v>
      </c>
      <c r="R60" s="96" t="s">
        <v>146</v>
      </c>
    </row>
    <row r="61" spans="1:18" ht="25.5" customHeight="1">
      <c r="A61" s="97" t="s">
        <v>147</v>
      </c>
      <c r="B61" s="148">
        <v>23317</v>
      </c>
      <c r="C61" s="149">
        <v>114948237</v>
      </c>
      <c r="D61" s="148">
        <v>16108</v>
      </c>
      <c r="E61" s="149">
        <v>7594884</v>
      </c>
      <c r="F61" s="148">
        <v>39425</v>
      </c>
      <c r="G61" s="149">
        <v>122543121</v>
      </c>
      <c r="H61" s="148">
        <v>1641</v>
      </c>
      <c r="I61" s="150">
        <v>24332385</v>
      </c>
      <c r="J61" s="148">
        <v>2542</v>
      </c>
      <c r="K61" s="150">
        <v>335986</v>
      </c>
      <c r="L61" s="148">
        <v>41589</v>
      </c>
      <c r="M61" s="150">
        <v>98546721</v>
      </c>
      <c r="N61" s="148">
        <v>41134</v>
      </c>
      <c r="O61" s="151">
        <v>1010</v>
      </c>
      <c r="P61" s="151">
        <v>91</v>
      </c>
      <c r="Q61" s="152">
        <v>42235</v>
      </c>
      <c r="R61" s="98" t="s">
        <v>148</v>
      </c>
    </row>
    <row r="62" spans="1:18" ht="25.5" customHeight="1" thickBot="1">
      <c r="A62" s="103"/>
      <c r="B62" s="161"/>
      <c r="C62" s="162"/>
      <c r="D62" s="161"/>
      <c r="E62" s="162"/>
      <c r="F62" s="163"/>
      <c r="G62" s="162"/>
      <c r="H62" s="163"/>
      <c r="I62" s="162"/>
      <c r="J62" s="163"/>
      <c r="K62" s="162"/>
      <c r="L62" s="163"/>
      <c r="M62" s="162"/>
      <c r="N62" s="164"/>
      <c r="O62" s="165"/>
      <c r="P62" s="165"/>
      <c r="Q62" s="166"/>
      <c r="R62" s="104" t="s">
        <v>44</v>
      </c>
    </row>
    <row r="63" spans="1:18" ht="25.5" customHeight="1" thickBot="1" thickTop="1">
      <c r="A63" s="105" t="s">
        <v>43</v>
      </c>
      <c r="B63" s="167">
        <v>210977</v>
      </c>
      <c r="C63" s="168">
        <v>1495807826</v>
      </c>
      <c r="D63" s="167">
        <v>152800</v>
      </c>
      <c r="E63" s="168">
        <v>74242018</v>
      </c>
      <c r="F63" s="167">
        <v>363777</v>
      </c>
      <c r="G63" s="168">
        <v>1570049845</v>
      </c>
      <c r="H63" s="167">
        <v>15620</v>
      </c>
      <c r="I63" s="169">
        <v>561199454</v>
      </c>
      <c r="J63" s="167">
        <v>22531</v>
      </c>
      <c r="K63" s="169">
        <v>2306938</v>
      </c>
      <c r="L63" s="167">
        <v>384126</v>
      </c>
      <c r="M63" s="169">
        <v>1011157330</v>
      </c>
      <c r="N63" s="170">
        <v>377438</v>
      </c>
      <c r="O63" s="171">
        <v>8958</v>
      </c>
      <c r="P63" s="171">
        <v>1102</v>
      </c>
      <c r="Q63" s="172">
        <v>387498</v>
      </c>
      <c r="R63" s="106" t="s">
        <v>43</v>
      </c>
    </row>
    <row r="64" spans="1:9" ht="25.5" customHeight="1">
      <c r="A64" s="107" t="s">
        <v>235</v>
      </c>
      <c r="B64" s="107"/>
      <c r="C64" s="107"/>
      <c r="D64" s="107"/>
      <c r="E64" s="107"/>
      <c r="F64" s="107"/>
      <c r="G64" s="107"/>
      <c r="H64" s="107"/>
      <c r="I64" s="107"/>
    </row>
  </sheetData>
  <sheetProtection/>
  <mergeCells count="15">
    <mergeCell ref="A2:I2"/>
    <mergeCell ref="A3:A5"/>
    <mergeCell ref="B3:G3"/>
    <mergeCell ref="H3:I4"/>
    <mergeCell ref="J3:K4"/>
    <mergeCell ref="L3:M4"/>
    <mergeCell ref="N3:Q3"/>
    <mergeCell ref="R3:R5"/>
    <mergeCell ref="B4:C4"/>
    <mergeCell ref="D4:E4"/>
    <mergeCell ref="F4:G4"/>
    <mergeCell ref="N4:N5"/>
    <mergeCell ref="O4:O5"/>
    <mergeCell ref="P4:P5"/>
    <mergeCell ref="Q4:Q5"/>
  </mergeCells>
  <printOptions horizontalCentered="1"/>
  <pageMargins left="0.11811023622047245" right="0.11811023622047245" top="0.7480314960629921" bottom="0.7480314960629921" header="0.31496062992125984" footer="0.31496062992125984"/>
  <pageSetup horizontalDpi="600" verticalDpi="600" orientation="portrait" paperSize="9" scale="48" r:id="rId1"/>
  <headerFooter alignWithMargins="0">
    <oddFooter>&amp;R名古屋国税局　消費税（H27）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
  <cp:lastPrinted>2017-05-17T05:21:52Z</cp:lastPrinted>
  <dcterms:created xsi:type="dcterms:W3CDTF">2003-07-09T01:05:10Z</dcterms:created>
  <dcterms:modified xsi:type="dcterms:W3CDTF">2017-05-25T00:47:50Z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