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340" tabRatio="767" activeTab="0"/>
  </bookViews>
  <sheets>
    <sheet name="(1)　課税状況" sheetId="1" r:id="rId1"/>
    <sheet name="(2)　課税状況の累年比較" sheetId="2" r:id="rId2"/>
    <sheet name="(3)　課税事業者等届出件数" sheetId="3" r:id="rId3"/>
    <sheet name="(4)　税務署別（個人事業者）" sheetId="4" r:id="rId4"/>
    <sheet name="(4)　税務署別（法人）" sheetId="5" r:id="rId5"/>
    <sheet name="(4)　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<sst xmlns="http://schemas.openxmlformats.org/spreadsheetml/2006/main" count="520" uniqueCount="236">
  <si>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</si>
  <si>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</si>
  <si>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</si>
  <si>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</si>
  <si>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</si>
  <si>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</si>
  <si>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</si>
  <si>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</si>
  <si>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</si>
  <si>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</si>
  <si>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</si>
  <si>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</si>
  <si>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</si>
  <si>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</si>
  <si>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</si>
  <si>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</si>
  <si>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</si>
  <si>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</si>
  <si>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</si>
  <si>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</si>
  <si>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</si>
  <si>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</si>
  <si>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</si>
  <si>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</si>
  <si>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法　　　　　　　人</t>
  </si>
  <si>
    <t>合　　　　　　　計</t>
  </si>
  <si>
    <t>件　　数</t>
  </si>
  <si>
    <t>税　　額</t>
  </si>
  <si>
    <t>(3)　課税事業者等届出件数</t>
  </si>
  <si>
    <t>(1)　課税状況</t>
  </si>
  <si>
    <t>千円</t>
  </si>
  <si>
    <t>件</t>
  </si>
  <si>
    <t>現年分</t>
  </si>
  <si>
    <t>既往年分</t>
  </si>
  <si>
    <t>(2)　課税状況の累年比較</t>
  </si>
  <si>
    <t>合計</t>
  </si>
  <si>
    <t>　イ　個人事業者</t>
  </si>
  <si>
    <t>既往年分の
申告及び処理</t>
  </si>
  <si>
    <t>合　　　　　　計</t>
  </si>
  <si>
    <t>税務署名</t>
  </si>
  <si>
    <t>簡易申告及び処理</t>
  </si>
  <si>
    <t>小　　　　　　計</t>
  </si>
  <si>
    <t>総　計</t>
  </si>
  <si>
    <t>総　計</t>
  </si>
  <si>
    <t/>
  </si>
  <si>
    <t>岐阜北</t>
  </si>
  <si>
    <t>岐阜北</t>
  </si>
  <si>
    <t>岐阜南</t>
  </si>
  <si>
    <t>岐阜南</t>
  </si>
  <si>
    <t>大垣</t>
  </si>
  <si>
    <t>大垣</t>
  </si>
  <si>
    <t>高山</t>
  </si>
  <si>
    <t>高山</t>
  </si>
  <si>
    <t>多治見</t>
  </si>
  <si>
    <t>多治見</t>
  </si>
  <si>
    <t>関</t>
  </si>
  <si>
    <t>関</t>
  </si>
  <si>
    <t>中津川</t>
  </si>
  <si>
    <t>中津川</t>
  </si>
  <si>
    <t>岐阜県計</t>
  </si>
  <si>
    <t>岐阜県計</t>
  </si>
  <si>
    <t>静岡</t>
  </si>
  <si>
    <t>静岡</t>
  </si>
  <si>
    <t>清水</t>
  </si>
  <si>
    <t>清水</t>
  </si>
  <si>
    <t>浜松西</t>
  </si>
  <si>
    <t>浜松西</t>
  </si>
  <si>
    <t>浜松東</t>
  </si>
  <si>
    <t>浜松東</t>
  </si>
  <si>
    <t>沼津</t>
  </si>
  <si>
    <t>沼津</t>
  </si>
  <si>
    <t>熱海</t>
  </si>
  <si>
    <t>熱海</t>
  </si>
  <si>
    <t>三島</t>
  </si>
  <si>
    <t>三島</t>
  </si>
  <si>
    <t>島田</t>
  </si>
  <si>
    <t>島田</t>
  </si>
  <si>
    <t>富士</t>
  </si>
  <si>
    <t>富士</t>
  </si>
  <si>
    <t>磐田</t>
  </si>
  <si>
    <t>磐田</t>
  </si>
  <si>
    <t>掛川</t>
  </si>
  <si>
    <t>掛川</t>
  </si>
  <si>
    <t>藤枝</t>
  </si>
  <si>
    <t>藤枝</t>
  </si>
  <si>
    <t>下田</t>
  </si>
  <si>
    <t>下田</t>
  </si>
  <si>
    <t>静岡県計</t>
  </si>
  <si>
    <t>静岡県計</t>
  </si>
  <si>
    <t>千種</t>
  </si>
  <si>
    <t>千種</t>
  </si>
  <si>
    <t>名古屋東</t>
  </si>
  <si>
    <t>名古屋東</t>
  </si>
  <si>
    <t>名古屋北</t>
  </si>
  <si>
    <t>名古屋北</t>
  </si>
  <si>
    <t>名古屋西</t>
  </si>
  <si>
    <t>名古屋西</t>
  </si>
  <si>
    <t>名古屋中村</t>
  </si>
  <si>
    <t>名古屋中村</t>
  </si>
  <si>
    <t>名古屋中</t>
  </si>
  <si>
    <t>名古屋中</t>
  </si>
  <si>
    <t>昭和</t>
  </si>
  <si>
    <t>昭和</t>
  </si>
  <si>
    <t>熱田</t>
  </si>
  <si>
    <t>熱田</t>
  </si>
  <si>
    <t>中川</t>
  </si>
  <si>
    <t>中川</t>
  </si>
  <si>
    <t>豊橋</t>
  </si>
  <si>
    <t>豊橋</t>
  </si>
  <si>
    <t>岡崎</t>
  </si>
  <si>
    <t>岡崎</t>
  </si>
  <si>
    <t>一宮</t>
  </si>
  <si>
    <t>一宮</t>
  </si>
  <si>
    <t>尾張瀬戸</t>
  </si>
  <si>
    <t>尾張瀬戸</t>
  </si>
  <si>
    <t>半田</t>
  </si>
  <si>
    <t>半田</t>
  </si>
  <si>
    <t>津島</t>
  </si>
  <si>
    <t>津島</t>
  </si>
  <si>
    <t>刈谷</t>
  </si>
  <si>
    <t>刈谷</t>
  </si>
  <si>
    <t>豊田</t>
  </si>
  <si>
    <t>豊田</t>
  </si>
  <si>
    <t>西尾</t>
  </si>
  <si>
    <t>西尾</t>
  </si>
  <si>
    <t>小牧</t>
  </si>
  <si>
    <t>小牧</t>
  </si>
  <si>
    <t>新城</t>
  </si>
  <si>
    <t>新城</t>
  </si>
  <si>
    <t>愛知県計</t>
  </si>
  <si>
    <t>愛知県計</t>
  </si>
  <si>
    <t>津</t>
  </si>
  <si>
    <t>津</t>
  </si>
  <si>
    <t>四日市</t>
  </si>
  <si>
    <t>四日市</t>
  </si>
  <si>
    <t>伊勢</t>
  </si>
  <si>
    <t>伊勢</t>
  </si>
  <si>
    <t>松阪</t>
  </si>
  <si>
    <t>松阪</t>
  </si>
  <si>
    <t>桑名</t>
  </si>
  <si>
    <t>桑名</t>
  </si>
  <si>
    <t>上野</t>
  </si>
  <si>
    <t>上野</t>
  </si>
  <si>
    <t>鈴鹿</t>
  </si>
  <si>
    <t>鈴鹿</t>
  </si>
  <si>
    <t>尾鷲</t>
  </si>
  <si>
    <t>尾鷲</t>
  </si>
  <si>
    <t>三重県計</t>
  </si>
  <si>
    <t>三重県計</t>
  </si>
  <si>
    <t>（注）この表は「(1)　課税状況」の現年分を税務署別に示したものである（加算税を除く。）。</t>
  </si>
  <si>
    <t>　ロ　法　　　人</t>
  </si>
  <si>
    <t>税務署名</t>
  </si>
  <si>
    <t>　ハ　個人事業者と法人の合計</t>
  </si>
  <si>
    <t>課税事業者
届出</t>
  </si>
  <si>
    <t>合　　　計</t>
  </si>
  <si>
    <t>（注）この表は「(1)　課税状況」の現年分及び「(3)　課税事業者等届出件数」を税務署別に示したものである（加算税を除く。）。</t>
  </si>
  <si>
    <t>(4)　税務署別課税状況</t>
  </si>
  <si>
    <t>税務署名</t>
  </si>
  <si>
    <t>納　　　税　　　申　　　告　　　及　　　び　　　処　　　理</t>
  </si>
  <si>
    <t>税額</t>
  </si>
  <si>
    <t>税　　　額
(①－②＋③)</t>
  </si>
  <si>
    <t>(4)　税務署別課税状況（続）</t>
  </si>
  <si>
    <t>岐阜北</t>
  </si>
  <si>
    <t>課　税　事　業　者　等　届　出　件　数</t>
  </si>
  <si>
    <t>課税事業者
選択届出</t>
  </si>
  <si>
    <t>新設法人に
該当する旨
の届出</t>
  </si>
  <si>
    <t>税　　額
(①－②＋③)</t>
  </si>
  <si>
    <t>平成23年度</t>
  </si>
  <si>
    <t>平成24年度</t>
  </si>
  <si>
    <t>平成25年度</t>
  </si>
  <si>
    <t>調査対象等：</t>
  </si>
  <si>
    <t>　（注）１</t>
  </si>
  <si>
    <t>税関分は含まない。</t>
  </si>
  <si>
    <t>　　　　２</t>
  </si>
  <si>
    <t>「件数欄」の「実」は、実件数を示す。</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</si>
  <si>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</si>
  <si>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</si>
  <si>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</si>
  <si>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</si>
  <si>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</si>
  <si>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</si>
  <si>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</si>
  <si>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</si>
  <si>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</si>
  <si>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</si>
  <si>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</si>
  <si>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</si>
  <si>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</si>
  <si>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</si>
  <si>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</si>
  <si>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</si>
  <si>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</si>
  <si>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</si>
  <si>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</si>
  <si>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</si>
  <si>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</si>
  <si>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</si>
  <si>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</si>
  <si>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</si>
  <si>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</si>
  <si>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</si>
  <si>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</si>
  <si>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</si>
  <si>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</si>
  <si>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</si>
  <si>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</si>
  <si>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</si>
  <si>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</si>
  <si>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</si>
  <si>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</si>
  <si>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</si>
  <si>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</si>
  <si>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</si>
  <si>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</si>
  <si>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</si>
  <si>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</si>
  <si>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</si>
  <si>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</si>
  <si>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</si>
  <si>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</si>
  <si>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</si>
  <si>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</si>
  <si>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</si>
  <si>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</si>
  <si>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</si>
  <si>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</si>
  <si>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総　計</t>
  </si>
  <si>
    <t>税　額
①</t>
  </si>
  <si>
    <t>税　額
②</t>
  </si>
  <si>
    <t>税　額
③</t>
  </si>
  <si>
    <t>件　数</t>
  </si>
  <si>
    <t>　「現年分」は、平成26年４月１日から平成27年３月31日までに終了した課税期間について、平成27年６月30日現在の申告（国・地方公共団体等については平成27年９月30日までの申告を含む。）及び処理（更正、決定等）による課税事績を「申告書及び決議書」に基づいて作成した。</t>
  </si>
  <si>
    <t>　「既往年分」は、平成26年３月31日以前に終了した課税期間について、平成26年７月１日から平成27年６月30日までの間の申告（平成26年７月１日から同年９月30日までの間の国・地方公共団体等に係る申告を除く。）及び処理（更正、決定等）による課税事績を「申告書及び決議書」に基づいて作成した。</t>
  </si>
  <si>
    <t>平成22年度</t>
  </si>
  <si>
    <t>平成26年度</t>
  </si>
  <si>
    <t>調査対象等：　平成26年度末（平成27年３月31日現在）の届出件数を示している。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</si>
</sst>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50">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sz val="10"/>
      <name val="ＭＳ 明朝"/>
      <family val="1"/>
    </font>
    <font>
      <sz val="10"/>
      <name val="ＭＳ ゴシック"/>
      <family val="3"/>
    </font>
    <font>
      <b/>
      <sz val="10"/>
      <name val="ＭＳ 明朝"/>
      <family val="1"/>
    </font>
    <font>
      <sz val="10"/>
      <name val="ＭＳ Ｐゴシック"/>
      <family val="3"/>
    </font>
    <font>
      <sz val="11"/>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CCFFFF"/>
        <bgColor indexed="64"/>
      </patternFill>
    </fill>
    <fill>
      <patternFill patternType="solid">
        <fgColor rgb="FFFFFFCC"/>
        <bgColor indexed="64"/>
      </patternFill>
    </fill>
    <fill>
      <patternFill patternType="solid">
        <fgColor rgb="FFFFFF99"/>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medium"/>
      <bottom>
        <color indexed="63"/>
      </bottom>
    </border>
    <border>
      <left style="hair"/>
      <right style="thin"/>
      <top style="hair"/>
      <bottom style="thin"/>
    </border>
    <border>
      <left style="hair"/>
      <right/>
      <top style="hair"/>
      <bottom style="thin"/>
    </border>
    <border>
      <left style="hair"/>
      <right/>
      <top style="thin"/>
      <bottom/>
    </border>
    <border>
      <left style="medium"/>
      <right/>
      <top/>
      <bottom style="hair">
        <color rgb="FF969696"/>
      </bottom>
    </border>
    <border>
      <left style="thin"/>
      <right style="medium"/>
      <top/>
      <bottom style="hair">
        <color rgb="FF969696"/>
      </bottom>
    </border>
    <border>
      <left style="medium"/>
      <right/>
      <top style="hair">
        <color rgb="FF969696"/>
      </top>
      <bottom style="hair">
        <color rgb="FF969696"/>
      </bottom>
    </border>
    <border>
      <left style="thin"/>
      <right style="medium"/>
      <top style="hair">
        <color rgb="FF969696"/>
      </top>
      <bottom style="hair">
        <color rgb="FF969696"/>
      </bottom>
    </border>
    <border>
      <left style="medium"/>
      <right/>
      <top style="hair">
        <color rgb="FF969696"/>
      </top>
      <bottom style="thin">
        <color rgb="FF969696"/>
      </bottom>
    </border>
    <border>
      <left style="thin"/>
      <right style="medium"/>
      <top style="hair">
        <color rgb="FF969696"/>
      </top>
      <bottom style="thin">
        <color rgb="FF969696"/>
      </bottom>
    </border>
    <border>
      <left style="medium"/>
      <right/>
      <top style="thin">
        <color rgb="FF969696"/>
      </top>
      <bottom style="thin">
        <color rgb="FF969696"/>
      </bottom>
    </border>
    <border>
      <left style="thin"/>
      <right style="medium"/>
      <top style="thin">
        <color rgb="FF969696"/>
      </top>
      <bottom style="thin">
        <color rgb="FF969696"/>
      </bottom>
    </border>
    <border>
      <left style="thin"/>
      <right style="medium"/>
      <top style="thin">
        <color rgb="FF969696"/>
      </top>
      <bottom style="hair">
        <color rgb="FF969696"/>
      </bottom>
    </border>
    <border>
      <left style="medium"/>
      <right/>
      <top/>
      <bottom style="double"/>
    </border>
    <border>
      <left style="thin"/>
      <right style="medium"/>
      <top/>
      <bottom style="double"/>
    </border>
    <border>
      <left style="medium"/>
      <right>
        <color indexed="63"/>
      </right>
      <top>
        <color indexed="63"/>
      </top>
      <bottom style="medium"/>
    </border>
    <border>
      <left style="thin"/>
      <right style="medium"/>
      <top>
        <color indexed="63"/>
      </top>
      <bottom style="medium"/>
    </border>
    <border>
      <left style="thin"/>
      <right style="medium"/>
      <top style="thin">
        <color rgb="FF808080"/>
      </top>
      <bottom style="thin">
        <color rgb="FF808080"/>
      </bottom>
    </border>
    <border>
      <left style="thin"/>
      <right style="medium"/>
      <top style="thin">
        <color rgb="FF808080"/>
      </top>
      <bottom/>
    </border>
    <border>
      <left style="thin"/>
      <right style="medium"/>
      <top style="double"/>
      <bottom style="medium"/>
    </border>
    <border>
      <left>
        <color indexed="63"/>
      </left>
      <right>
        <color indexed="63"/>
      </right>
      <top style="medium"/>
      <bottom>
        <color indexed="63"/>
      </botto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color indexed="63"/>
      </top>
      <bottom style="hair">
        <color rgb="FF969696"/>
      </bottom>
    </border>
    <border>
      <left style="hair"/>
      <right style="thin"/>
      <top>
        <color indexed="63"/>
      </top>
      <bottom style="hair">
        <color rgb="FF969696"/>
      </bottom>
    </border>
    <border>
      <left style="hair"/>
      <right/>
      <top/>
      <bottom style="hair">
        <color rgb="FF969696"/>
      </bottom>
    </border>
    <border>
      <left style="hair"/>
      <right style="hair"/>
      <top>
        <color indexed="63"/>
      </top>
      <bottom style="hair">
        <color rgb="FF969696"/>
      </bottom>
    </border>
    <border>
      <left style="thin"/>
      <right style="hair"/>
      <top style="hair">
        <color rgb="FF969696"/>
      </top>
      <bottom style="hair">
        <color rgb="FF969696"/>
      </bottom>
    </border>
    <border>
      <left style="hair"/>
      <right style="thin"/>
      <top style="hair">
        <color rgb="FF969696"/>
      </top>
      <bottom style="hair">
        <color rgb="FF969696"/>
      </bottom>
    </border>
    <border>
      <left style="hair"/>
      <right/>
      <top style="hair">
        <color rgb="FF969696"/>
      </top>
      <bottom style="hair">
        <color rgb="FF969696"/>
      </bottom>
    </border>
    <border>
      <left style="thin"/>
      <right style="hair"/>
      <top style="hair">
        <color rgb="FF969696"/>
      </top>
      <bottom style="thin">
        <color rgb="FF969696"/>
      </bottom>
    </border>
    <border>
      <left style="hair"/>
      <right style="thin"/>
      <top style="hair">
        <color rgb="FF969696"/>
      </top>
      <bottom style="thin">
        <color rgb="FF969696"/>
      </bottom>
    </border>
    <border>
      <left style="hair"/>
      <right/>
      <top style="hair">
        <color rgb="FF969696"/>
      </top>
      <bottom style="thin">
        <color rgb="FF969696"/>
      </bottom>
    </border>
    <border>
      <left style="hair"/>
      <right style="hair"/>
      <top style="hair">
        <color rgb="FF969696"/>
      </top>
      <bottom style="thin">
        <color rgb="FF969696"/>
      </bottom>
    </border>
    <border>
      <left style="thin"/>
      <right/>
      <top style="thin">
        <color rgb="FF969696"/>
      </top>
      <bottom style="hair"/>
    </border>
    <border>
      <left style="hair"/>
      <right style="thin"/>
      <top style="thin">
        <color rgb="FF969696"/>
      </top>
      <bottom style="hair"/>
    </border>
    <border>
      <left style="thin"/>
      <right style="hair"/>
      <top style="thin">
        <color rgb="FF969696"/>
      </top>
      <bottom style="hair"/>
    </border>
    <border>
      <left style="thin"/>
      <right style="hair"/>
      <top style="thin">
        <color rgb="FF969696"/>
      </top>
      <bottom style="thin">
        <color rgb="FF969696"/>
      </bottom>
    </border>
    <border>
      <left style="hair"/>
      <right style="hair"/>
      <top style="thin">
        <color rgb="FF969696"/>
      </top>
      <bottom style="thin">
        <color rgb="FF969696"/>
      </bottom>
    </border>
    <border>
      <left style="hair"/>
      <right/>
      <top style="thin">
        <color rgb="FF969696"/>
      </top>
      <bottom style="thin">
        <color rgb="FF969696"/>
      </bottom>
    </border>
    <border>
      <left style="hair"/>
      <right style="hair"/>
      <top style="hair">
        <color rgb="FF969696"/>
      </top>
      <bottom style="hair">
        <color rgb="FF969696"/>
      </bottom>
    </border>
    <border>
      <left style="thin"/>
      <right/>
      <top style="thin">
        <color rgb="FF969696"/>
      </top>
      <bottom style="double"/>
    </border>
    <border>
      <left style="hair"/>
      <right style="thin"/>
      <top style="thin">
        <color rgb="FF969696"/>
      </top>
      <bottom style="double"/>
    </border>
    <border>
      <left style="thin"/>
      <right style="hair"/>
      <top style="thin">
        <color rgb="FF969696"/>
      </top>
      <bottom style="double"/>
    </border>
    <border>
      <left style="thin"/>
      <right style="hair"/>
      <top style="thin">
        <color rgb="FF969696"/>
      </top>
      <bottom/>
    </border>
    <border>
      <left style="hair"/>
      <right style="hair"/>
      <top style="thin">
        <color rgb="FF969696"/>
      </top>
      <bottom/>
    </border>
    <border>
      <left style="hair"/>
      <right/>
      <top style="thin">
        <color rgb="FF969696"/>
      </top>
      <bottom/>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hair"/>
      <top style="hair">
        <color indexed="55"/>
      </top>
      <bottom style="medium"/>
    </border>
    <border>
      <left style="hair"/>
      <right style="medium"/>
      <top style="hair">
        <color indexed="55"/>
      </top>
      <bottom style="medium"/>
    </border>
    <border>
      <left>
        <color indexed="63"/>
      </left>
      <right/>
      <top style="hair"/>
      <bottom style="thin"/>
    </border>
    <border>
      <left style="thin"/>
      <right/>
      <top style="hair"/>
      <bottom style="thin"/>
    </border>
    <border>
      <left style="thin"/>
      <right style="hair"/>
      <top style="hair"/>
      <bottom style="thin"/>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medium"/>
      <right style="hair"/>
      <top style="thin"/>
      <bottom>
        <color indexed="63"/>
      </bottom>
    </border>
    <border>
      <left style="thin"/>
      <right style="medium"/>
      <top/>
      <botto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hair"/>
      <right/>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 fillId="0" borderId="0" applyNumberFormat="0" applyFill="0" applyBorder="0" applyAlignment="0" applyProtection="0"/>
    <xf numFmtId="0" fontId="49" fillId="32" borderId="0" applyNumberFormat="0" applyBorder="0" applyAlignment="0" applyProtection="0"/>
  </cellStyleXfs>
  <cellXfs count="265">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right" vertical="center"/>
    </xf>
    <xf numFmtId="0" fontId="6" fillId="0" borderId="18" xfId="0" applyFont="1" applyBorder="1" applyAlignment="1">
      <alignment horizontal="right" vertical="center"/>
    </xf>
    <xf numFmtId="0" fontId="2" fillId="0" borderId="19" xfId="0" applyFont="1" applyBorder="1" applyAlignment="1">
      <alignment horizontal="right" vertical="center"/>
    </xf>
    <xf numFmtId="3" fontId="2" fillId="0" borderId="18"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33" borderId="20"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6" fillId="0" borderId="22" xfId="0" applyFont="1" applyBorder="1" applyAlignment="1">
      <alignment horizontal="distributed" vertical="center"/>
    </xf>
    <xf numFmtId="0" fontId="2" fillId="0" borderId="23" xfId="0" applyFont="1" applyBorder="1" applyAlignment="1">
      <alignment horizontal="distributed" vertical="center"/>
    </xf>
    <xf numFmtId="0" fontId="6" fillId="0" borderId="24" xfId="0" applyFont="1" applyBorder="1" applyAlignment="1">
      <alignment horizontal="right"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0" fontId="7" fillId="33" borderId="10" xfId="0" applyFont="1" applyFill="1" applyBorder="1" applyAlignment="1">
      <alignment horizontal="right" vertical="top"/>
    </xf>
    <xf numFmtId="0" fontId="7" fillId="34" borderId="29"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18" xfId="0" applyFont="1" applyBorder="1" applyAlignment="1">
      <alignment horizontal="center" vertical="center"/>
    </xf>
    <xf numFmtId="3" fontId="2" fillId="0" borderId="18" xfId="0" applyNumberFormat="1" applyFont="1" applyBorder="1" applyAlignment="1">
      <alignment horizontal="center" vertical="center"/>
    </xf>
    <xf numFmtId="0" fontId="2" fillId="0" borderId="30" xfId="0" applyFont="1" applyBorder="1" applyAlignment="1">
      <alignment horizontal="distributed"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7" fillId="0" borderId="32"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3" xfId="0" applyNumberFormat="1" applyFont="1" applyFill="1" applyBorder="1" applyAlignment="1">
      <alignment horizontal="right" vertical="center"/>
    </xf>
    <xf numFmtId="0" fontId="2" fillId="0" borderId="32"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4" xfId="0" applyFont="1" applyFill="1" applyBorder="1" applyAlignment="1">
      <alignment horizontal="right"/>
    </xf>
    <xf numFmtId="0" fontId="7" fillId="34" borderId="35" xfId="0" applyFont="1" applyFill="1" applyBorder="1" applyAlignment="1">
      <alignment horizontal="right"/>
    </xf>
    <xf numFmtId="0" fontId="7" fillId="34" borderId="36" xfId="0" applyFont="1" applyFill="1" applyBorder="1" applyAlignment="1">
      <alignment horizontal="right"/>
    </xf>
    <xf numFmtId="0" fontId="7" fillId="34" borderId="37" xfId="0" applyFont="1" applyFill="1" applyBorder="1" applyAlignment="1">
      <alignment horizontal="right"/>
    </xf>
    <xf numFmtId="0" fontId="5" fillId="0" borderId="0" xfId="0" applyFont="1" applyAlignment="1">
      <alignment horizontal="center" vertical="top"/>
    </xf>
    <xf numFmtId="0" fontId="2" fillId="0" borderId="20"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38" xfId="0" applyFont="1" applyBorder="1" applyAlignment="1">
      <alignment horizontal="distributed" vertical="center" indent="1"/>
    </xf>
    <xf numFmtId="0" fontId="10" fillId="0" borderId="0" xfId="61" applyFont="1" applyBorder="1" applyAlignment="1">
      <alignment horizontal="left" vertical="center"/>
      <protection/>
    </xf>
    <xf numFmtId="0" fontId="10" fillId="0" borderId="0" xfId="61" applyFont="1" applyBorder="1" applyAlignment="1">
      <alignment horizontal="left" vertical="top"/>
      <protection/>
    </xf>
    <xf numFmtId="0" fontId="10" fillId="0" borderId="39" xfId="61" applyFont="1" applyBorder="1" applyAlignment="1">
      <alignment horizontal="distributed" vertical="center" indent="1"/>
      <protection/>
    </xf>
    <xf numFmtId="0" fontId="10" fillId="0" borderId="40" xfId="61" applyFont="1" applyBorder="1" applyAlignment="1">
      <alignment horizontal="centerContinuous" vertical="center" wrapText="1"/>
      <protection/>
    </xf>
    <xf numFmtId="0" fontId="7" fillId="35" borderId="32" xfId="61" applyFont="1" applyFill="1" applyBorder="1" applyAlignment="1">
      <alignment horizontal="distributed" vertical="top"/>
      <protection/>
    </xf>
    <xf numFmtId="0" fontId="7" fillId="36" borderId="13" xfId="61" applyFont="1" applyFill="1" applyBorder="1" applyAlignment="1">
      <alignment horizontal="right" vertical="top"/>
      <protection/>
    </xf>
    <xf numFmtId="0" fontId="7" fillId="37" borderId="10" xfId="61" applyFont="1" applyFill="1" applyBorder="1" applyAlignment="1">
      <alignment horizontal="right" vertical="top"/>
      <protection/>
    </xf>
    <xf numFmtId="0" fontId="7" fillId="37" borderId="41" xfId="61" applyFont="1" applyFill="1" applyBorder="1" applyAlignment="1">
      <alignment horizontal="right" vertical="top"/>
      <protection/>
    </xf>
    <xf numFmtId="0" fontId="7" fillId="35" borderId="37" xfId="61" applyFont="1" applyFill="1" applyBorder="1" applyAlignment="1">
      <alignment horizontal="distributed" vertical="top"/>
      <protection/>
    </xf>
    <xf numFmtId="0" fontId="8" fillId="0" borderId="0" xfId="61" applyFont="1" applyBorder="1" applyAlignment="1">
      <alignment horizontal="right" vertical="top"/>
      <protection/>
    </xf>
    <xf numFmtId="0" fontId="10" fillId="35" borderId="42" xfId="61" applyFont="1" applyFill="1" applyBorder="1" applyAlignment="1">
      <alignment horizontal="distributed" vertical="center"/>
      <protection/>
    </xf>
    <xf numFmtId="0" fontId="10" fillId="35" borderId="43" xfId="61" applyFont="1" applyFill="1" applyBorder="1" applyAlignment="1">
      <alignment horizontal="distributed" vertical="center"/>
      <protection/>
    </xf>
    <xf numFmtId="0" fontId="9" fillId="0" borderId="0" xfId="61" applyFont="1" applyBorder="1">
      <alignment/>
      <protection/>
    </xf>
    <xf numFmtId="0" fontId="10" fillId="35" borderId="44" xfId="61" applyFont="1" applyFill="1" applyBorder="1" applyAlignment="1">
      <alignment horizontal="distributed" vertical="center"/>
      <protection/>
    </xf>
    <xf numFmtId="0" fontId="10" fillId="35" borderId="45" xfId="61" applyFont="1" applyFill="1" applyBorder="1" applyAlignment="1">
      <alignment horizontal="distributed" vertical="center"/>
      <protection/>
    </xf>
    <xf numFmtId="0" fontId="11" fillId="35" borderId="46" xfId="61" applyFont="1" applyFill="1" applyBorder="1" applyAlignment="1">
      <alignment horizontal="distributed" vertical="center"/>
      <protection/>
    </xf>
    <xf numFmtId="0" fontId="11" fillId="35" borderId="47" xfId="61" applyFont="1" applyFill="1" applyBorder="1" applyAlignment="1">
      <alignment horizontal="distributed" vertical="center"/>
      <protection/>
    </xf>
    <xf numFmtId="0" fontId="12" fillId="0" borderId="48" xfId="61" applyFont="1" applyFill="1" applyBorder="1" applyAlignment="1">
      <alignment horizontal="distributed" vertical="center"/>
      <protection/>
    </xf>
    <xf numFmtId="0" fontId="12" fillId="0" borderId="49" xfId="61" applyFont="1" applyFill="1" applyBorder="1" applyAlignment="1">
      <alignment horizontal="center" vertical="center"/>
      <protection/>
    </xf>
    <xf numFmtId="0" fontId="10" fillId="35" borderId="50" xfId="61" applyFont="1" applyFill="1" applyBorder="1" applyAlignment="1">
      <alignment horizontal="distributed" vertical="center"/>
      <protection/>
    </xf>
    <xf numFmtId="0" fontId="12" fillId="0" borderId="51" xfId="61" applyFont="1" applyFill="1" applyBorder="1" applyAlignment="1">
      <alignment horizontal="distributed" vertical="center"/>
      <protection/>
    </xf>
    <xf numFmtId="0" fontId="12" fillId="0" borderId="52" xfId="61" applyFont="1" applyFill="1" applyBorder="1" applyAlignment="1">
      <alignment horizontal="center" vertical="center"/>
      <protection/>
    </xf>
    <xf numFmtId="0" fontId="11" fillId="0" borderId="53" xfId="61" applyFont="1" applyBorder="1" applyAlignment="1">
      <alignment horizontal="center" vertical="center"/>
      <protection/>
    </xf>
    <xf numFmtId="0" fontId="11" fillId="0" borderId="54" xfId="61" applyFont="1" applyBorder="1" applyAlignment="1">
      <alignment horizontal="center" vertical="center"/>
      <protection/>
    </xf>
    <xf numFmtId="0" fontId="13" fillId="0" borderId="0" xfId="61" applyFont="1" applyBorder="1">
      <alignment/>
      <protection/>
    </xf>
    <xf numFmtId="0" fontId="8" fillId="0" borderId="0" xfId="61" applyFont="1" applyBorder="1" applyAlignment="1">
      <alignment vertical="top"/>
      <protection/>
    </xf>
    <xf numFmtId="0" fontId="10" fillId="35" borderId="32" xfId="61" applyFont="1" applyFill="1" applyBorder="1" applyAlignment="1">
      <alignment horizontal="distributed" vertical="top"/>
      <protection/>
    </xf>
    <xf numFmtId="0" fontId="10" fillId="36" borderId="13" xfId="61" applyFont="1" applyFill="1" applyBorder="1" applyAlignment="1">
      <alignment horizontal="right" vertical="top"/>
      <protection/>
    </xf>
    <xf numFmtId="0" fontId="10" fillId="37" borderId="10" xfId="61" applyFont="1" applyFill="1" applyBorder="1" applyAlignment="1">
      <alignment horizontal="right" vertical="top"/>
      <protection/>
    </xf>
    <xf numFmtId="0" fontId="10" fillId="36" borderId="29" xfId="61" applyFont="1" applyFill="1" applyBorder="1" applyAlignment="1">
      <alignment horizontal="right" vertical="top"/>
      <protection/>
    </xf>
    <xf numFmtId="0" fontId="10" fillId="36" borderId="41" xfId="61" applyFont="1" applyFill="1" applyBorder="1" applyAlignment="1">
      <alignment horizontal="right" vertical="top"/>
      <protection/>
    </xf>
    <xf numFmtId="0" fontId="10" fillId="35" borderId="37" xfId="61" applyFont="1" applyFill="1" applyBorder="1" applyAlignment="1">
      <alignment horizontal="distributed" vertical="top"/>
      <protection/>
    </xf>
    <xf numFmtId="0" fontId="13" fillId="0" borderId="0" xfId="61" applyFont="1" applyBorder="1" applyAlignment="1">
      <alignment vertical="top"/>
      <protection/>
    </xf>
    <xf numFmtId="0" fontId="14" fillId="35" borderId="42" xfId="61" applyFont="1" applyFill="1" applyBorder="1" applyAlignment="1">
      <alignment horizontal="distributed" vertical="center" shrinkToFit="1"/>
      <protection/>
    </xf>
    <xf numFmtId="0" fontId="14" fillId="35" borderId="43" xfId="61" applyFont="1" applyFill="1" applyBorder="1" applyAlignment="1">
      <alignment horizontal="distributed" vertical="center" shrinkToFit="1"/>
      <protection/>
    </xf>
    <xf numFmtId="0" fontId="14" fillId="35" borderId="44" xfId="61" applyFont="1" applyFill="1" applyBorder="1" applyAlignment="1">
      <alignment horizontal="distributed" vertical="center" shrinkToFit="1"/>
      <protection/>
    </xf>
    <xf numFmtId="0" fontId="14" fillId="35" borderId="45" xfId="61" applyFont="1" applyFill="1" applyBorder="1" applyAlignment="1">
      <alignment horizontal="distributed" vertical="center" shrinkToFit="1"/>
      <protection/>
    </xf>
    <xf numFmtId="0" fontId="9" fillId="35" borderId="46" xfId="61" applyFont="1" applyFill="1" applyBorder="1" applyAlignment="1">
      <alignment horizontal="distributed" vertical="center" shrinkToFit="1"/>
      <protection/>
    </xf>
    <xf numFmtId="0" fontId="9" fillId="35" borderId="47" xfId="61" applyFont="1" applyFill="1" applyBorder="1" applyAlignment="1">
      <alignment horizontal="distributed" vertical="center" shrinkToFit="1"/>
      <protection/>
    </xf>
    <xf numFmtId="0" fontId="15" fillId="0" borderId="48" xfId="61" applyFont="1" applyFill="1" applyBorder="1" applyAlignment="1">
      <alignment horizontal="distributed" vertical="center" shrinkToFit="1"/>
      <protection/>
    </xf>
    <xf numFmtId="0" fontId="15" fillId="0" borderId="55" xfId="61" applyFont="1" applyFill="1" applyBorder="1" applyAlignment="1">
      <alignment horizontal="center" vertical="center" shrinkToFit="1"/>
      <protection/>
    </xf>
    <xf numFmtId="0" fontId="10" fillId="35" borderId="42" xfId="61" applyFont="1" applyFill="1" applyBorder="1" applyAlignment="1">
      <alignment horizontal="distributed" vertical="center" shrinkToFit="1"/>
      <protection/>
    </xf>
    <xf numFmtId="0" fontId="10" fillId="35" borderId="45" xfId="61" applyFont="1" applyFill="1" applyBorder="1" applyAlignment="1">
      <alignment horizontal="distributed" vertical="center" shrinkToFit="1"/>
      <protection/>
    </xf>
    <xf numFmtId="0" fontId="15" fillId="0" borderId="51" xfId="61" applyFont="1" applyFill="1" applyBorder="1" applyAlignment="1">
      <alignment horizontal="distributed" vertical="center" shrinkToFit="1"/>
      <protection/>
    </xf>
    <xf numFmtId="0" fontId="15" fillId="0" borderId="56" xfId="61" applyFont="1" applyFill="1" applyBorder="1" applyAlignment="1">
      <alignment horizontal="center" vertical="center" shrinkToFit="1"/>
      <protection/>
    </xf>
    <xf numFmtId="0" fontId="11" fillId="0" borderId="53" xfId="61" applyFont="1" applyBorder="1" applyAlignment="1">
      <alignment horizontal="center" vertical="center" shrinkToFit="1"/>
      <protection/>
    </xf>
    <xf numFmtId="0" fontId="11" fillId="0" borderId="57" xfId="61" applyFont="1" applyBorder="1" applyAlignment="1">
      <alignment horizontal="center" vertical="center" shrinkToFit="1"/>
      <protection/>
    </xf>
    <xf numFmtId="0" fontId="10" fillId="0" borderId="58" xfId="61" applyFont="1" applyBorder="1" applyAlignment="1">
      <alignment vertical="center"/>
      <protection/>
    </xf>
    <xf numFmtId="0" fontId="10" fillId="0" borderId="39" xfId="61" applyFont="1" applyBorder="1" applyAlignment="1">
      <alignment horizontal="distributed" vertical="center" wrapText="1" indent="1"/>
      <protection/>
    </xf>
    <xf numFmtId="0" fontId="10" fillId="0" borderId="39" xfId="61" applyFont="1" applyBorder="1" applyAlignment="1">
      <alignment horizontal="centerContinuous" vertical="center" wrapText="1"/>
      <protection/>
    </xf>
    <xf numFmtId="0" fontId="2" fillId="0" borderId="0" xfId="0" applyFont="1" applyFill="1" applyBorder="1" applyAlignment="1">
      <alignment horizontal="distributed"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0" xfId="0" applyFont="1" applyFill="1" applyAlignment="1">
      <alignment horizontal="left" vertical="top"/>
    </xf>
    <xf numFmtId="0" fontId="2" fillId="0" borderId="0" xfId="0" applyFont="1" applyBorder="1" applyAlignment="1">
      <alignment horizontal="left" vertical="top" wrapText="1"/>
    </xf>
    <xf numFmtId="3" fontId="2" fillId="0" borderId="0" xfId="0" applyNumberFormat="1" applyFont="1" applyFill="1" applyBorder="1" applyAlignment="1">
      <alignment horizontal="right" vertical="center" indent="1"/>
    </xf>
    <xf numFmtId="3" fontId="2" fillId="0" borderId="0" xfId="0" applyNumberFormat="1" applyFont="1" applyFill="1" applyAlignment="1">
      <alignment horizontal="left" vertical="center"/>
    </xf>
    <xf numFmtId="0" fontId="2" fillId="0" borderId="0" xfId="0" applyFont="1" applyFill="1" applyAlignment="1">
      <alignment horizontal="left" vertical="center"/>
    </xf>
    <xf numFmtId="0" fontId="11" fillId="0" borderId="0" xfId="61" applyFont="1" applyFill="1" applyBorder="1" applyAlignment="1">
      <alignment horizontal="center" vertical="center"/>
      <protection/>
    </xf>
    <xf numFmtId="177" fontId="11" fillId="0" borderId="0" xfId="61" applyNumberFormat="1" applyFont="1" applyFill="1" applyBorder="1" applyAlignment="1">
      <alignment horizontal="right" vertical="center"/>
      <protection/>
    </xf>
    <xf numFmtId="0" fontId="9" fillId="0" borderId="0" xfId="61" applyFont="1" applyFill="1" applyBorder="1">
      <alignment/>
      <protection/>
    </xf>
    <xf numFmtId="3" fontId="2" fillId="34" borderId="59" xfId="0" applyNumberFormat="1" applyFont="1" applyFill="1" applyBorder="1" applyAlignment="1">
      <alignment horizontal="right" vertical="center"/>
    </xf>
    <xf numFmtId="3" fontId="2" fillId="34" borderId="60"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61" xfId="0" applyNumberFormat="1" applyFont="1" applyFill="1" applyBorder="1" applyAlignment="1">
      <alignment horizontal="right" vertical="center"/>
    </xf>
    <xf numFmtId="3" fontId="6" fillId="34" borderId="60"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3" fontId="6" fillId="33" borderId="61" xfId="0" applyNumberFormat="1" applyFont="1" applyFill="1" applyBorder="1" applyAlignment="1">
      <alignment horizontal="right" vertical="center"/>
    </xf>
    <xf numFmtId="3" fontId="2" fillId="34" borderId="62" xfId="0" applyNumberFormat="1" applyFont="1" applyFill="1" applyBorder="1" applyAlignment="1">
      <alignment horizontal="right" vertical="center"/>
    </xf>
    <xf numFmtId="3" fontId="2" fillId="33" borderId="63"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3" fontId="2" fillId="34" borderId="65" xfId="0" applyNumberFormat="1" applyFont="1" applyFill="1" applyBorder="1" applyAlignment="1">
      <alignment horizontal="right" vertical="center"/>
    </xf>
    <xf numFmtId="3" fontId="2" fillId="34" borderId="65" xfId="0" applyNumberFormat="1" applyFont="1" applyFill="1" applyBorder="1" applyAlignment="1">
      <alignment vertical="center"/>
    </xf>
    <xf numFmtId="3" fontId="2" fillId="34" borderId="60" xfId="0" applyNumberFormat="1" applyFont="1" applyFill="1" applyBorder="1" applyAlignment="1">
      <alignment vertical="center"/>
    </xf>
    <xf numFmtId="3" fontId="6" fillId="34" borderId="66" xfId="0" applyNumberFormat="1" applyFont="1" applyFill="1" applyBorder="1" applyAlignment="1">
      <alignment horizontal="right" vertical="center"/>
    </xf>
    <xf numFmtId="3" fontId="6" fillId="33" borderId="67" xfId="0" applyNumberFormat="1" applyFont="1" applyFill="1" applyBorder="1" applyAlignment="1">
      <alignment horizontal="right" vertical="center"/>
    </xf>
    <xf numFmtId="3" fontId="6" fillId="33" borderId="68" xfId="0" applyNumberFormat="1" applyFont="1" applyFill="1" applyBorder="1" applyAlignment="1">
      <alignment horizontal="right" vertical="center"/>
    </xf>
    <xf numFmtId="3" fontId="2" fillId="34" borderId="69" xfId="0" applyNumberFormat="1" applyFont="1" applyFill="1" applyBorder="1" applyAlignment="1">
      <alignment horizontal="right" vertical="center"/>
    </xf>
    <xf numFmtId="3" fontId="2" fillId="33"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177" fontId="14" fillId="36" borderId="72" xfId="61" applyNumberFormat="1" applyFont="1" applyFill="1" applyBorder="1" applyAlignment="1">
      <alignment horizontal="right" vertical="center" shrinkToFit="1"/>
      <protection/>
    </xf>
    <xf numFmtId="177" fontId="14" fillId="37" borderId="73" xfId="61" applyNumberFormat="1" applyFont="1" applyFill="1" applyBorder="1" applyAlignment="1">
      <alignment horizontal="right" vertical="center" shrinkToFit="1"/>
      <protection/>
    </xf>
    <xf numFmtId="177" fontId="14" fillId="37" borderId="74" xfId="61" applyNumberFormat="1" applyFont="1" applyFill="1" applyBorder="1" applyAlignment="1">
      <alignment horizontal="right" vertical="center" shrinkToFit="1"/>
      <protection/>
    </xf>
    <xf numFmtId="177" fontId="14" fillId="36" borderId="75" xfId="61" applyNumberFormat="1" applyFont="1" applyFill="1" applyBorder="1" applyAlignment="1">
      <alignment horizontal="right" vertical="center" shrinkToFit="1"/>
      <protection/>
    </xf>
    <xf numFmtId="177" fontId="14" fillId="36" borderId="74" xfId="61" applyNumberFormat="1" applyFont="1" applyFill="1" applyBorder="1" applyAlignment="1">
      <alignment horizontal="right" vertical="center" shrinkToFit="1"/>
      <protection/>
    </xf>
    <xf numFmtId="177" fontId="14" fillId="36" borderId="76" xfId="61" applyNumberFormat="1" applyFont="1" applyFill="1" applyBorder="1" applyAlignment="1">
      <alignment horizontal="right" vertical="center" shrinkToFit="1"/>
      <protection/>
    </xf>
    <xf numFmtId="177" fontId="14" fillId="37" borderId="77" xfId="61" applyNumberFormat="1" applyFont="1" applyFill="1" applyBorder="1" applyAlignment="1">
      <alignment horizontal="right" vertical="center" shrinkToFit="1"/>
      <protection/>
    </xf>
    <xf numFmtId="177" fontId="14" fillId="37" borderId="78" xfId="61" applyNumberFormat="1" applyFont="1" applyFill="1" applyBorder="1" applyAlignment="1">
      <alignment horizontal="right" vertical="center" shrinkToFit="1"/>
      <protection/>
    </xf>
    <xf numFmtId="177" fontId="9" fillId="36" borderId="79" xfId="61" applyNumberFormat="1" applyFont="1" applyFill="1" applyBorder="1" applyAlignment="1">
      <alignment horizontal="right" vertical="center" shrinkToFit="1"/>
      <protection/>
    </xf>
    <xf numFmtId="177" fontId="9" fillId="37" borderId="80" xfId="61" applyNumberFormat="1" applyFont="1" applyFill="1" applyBorder="1" applyAlignment="1">
      <alignment horizontal="right" vertical="center" shrinkToFit="1"/>
      <protection/>
    </xf>
    <xf numFmtId="177" fontId="9" fillId="37" borderId="81" xfId="61" applyNumberFormat="1" applyFont="1" applyFill="1" applyBorder="1" applyAlignment="1">
      <alignment horizontal="right" vertical="center" shrinkToFit="1"/>
      <protection/>
    </xf>
    <xf numFmtId="177" fontId="9" fillId="36" borderId="82" xfId="61" applyNumberFormat="1" applyFont="1" applyFill="1" applyBorder="1" applyAlignment="1">
      <alignment horizontal="right" vertical="center" shrinkToFit="1"/>
      <protection/>
    </xf>
    <xf numFmtId="177" fontId="9" fillId="36" borderId="81" xfId="61" applyNumberFormat="1" applyFont="1" applyFill="1" applyBorder="1" applyAlignment="1">
      <alignment horizontal="right" vertical="center" shrinkToFit="1"/>
      <protection/>
    </xf>
    <xf numFmtId="177" fontId="15" fillId="0" borderId="83" xfId="61" applyNumberFormat="1" applyFont="1" applyFill="1" applyBorder="1" applyAlignment="1">
      <alignment horizontal="right" vertical="center" shrinkToFit="1"/>
      <protection/>
    </xf>
    <xf numFmtId="177" fontId="15" fillId="0" borderId="84" xfId="61" applyNumberFormat="1" applyFont="1" applyFill="1" applyBorder="1" applyAlignment="1">
      <alignment horizontal="right" vertical="center" shrinkToFit="1"/>
      <protection/>
    </xf>
    <xf numFmtId="177" fontId="15" fillId="0" borderId="85" xfId="61" applyNumberFormat="1" applyFont="1" applyFill="1" applyBorder="1" applyAlignment="1">
      <alignment horizontal="right" vertical="center" shrinkToFit="1"/>
      <protection/>
    </xf>
    <xf numFmtId="177" fontId="14" fillId="0" borderId="86" xfId="61" applyNumberFormat="1" applyFont="1" applyFill="1" applyBorder="1" applyAlignment="1">
      <alignment horizontal="right" vertical="center" shrinkToFit="1"/>
      <protection/>
    </xf>
    <xf numFmtId="177" fontId="14" fillId="0" borderId="87" xfId="61" applyNumberFormat="1" applyFont="1" applyFill="1" applyBorder="1" applyAlignment="1">
      <alignment horizontal="right" vertical="center" shrinkToFit="1"/>
      <protection/>
    </xf>
    <xf numFmtId="177" fontId="14" fillId="0" borderId="88" xfId="61" applyNumberFormat="1" applyFont="1" applyFill="1" applyBorder="1" applyAlignment="1">
      <alignment horizontal="right" vertical="center" shrinkToFit="1"/>
      <protection/>
    </xf>
    <xf numFmtId="177" fontId="14" fillId="36" borderId="89" xfId="61" applyNumberFormat="1" applyFont="1" applyFill="1" applyBorder="1" applyAlignment="1">
      <alignment horizontal="right" vertical="center" shrinkToFit="1"/>
      <protection/>
    </xf>
    <xf numFmtId="177" fontId="14" fillId="36" borderId="78" xfId="61" applyNumberFormat="1" applyFont="1" applyFill="1" applyBorder="1" applyAlignment="1">
      <alignment horizontal="right" vertical="center" shrinkToFit="1"/>
      <protection/>
    </xf>
    <xf numFmtId="177" fontId="15" fillId="0" borderId="90" xfId="61" applyNumberFormat="1" applyFont="1" applyFill="1" applyBorder="1" applyAlignment="1">
      <alignment horizontal="right" vertical="center" shrinkToFit="1"/>
      <protection/>
    </xf>
    <xf numFmtId="177" fontId="15" fillId="0" borderId="91" xfId="61" applyNumberFormat="1" applyFont="1" applyFill="1" applyBorder="1" applyAlignment="1">
      <alignment horizontal="right" vertical="center" shrinkToFit="1"/>
      <protection/>
    </xf>
    <xf numFmtId="177" fontId="15" fillId="0" borderId="92" xfId="61" applyNumberFormat="1" applyFont="1" applyFill="1" applyBorder="1" applyAlignment="1">
      <alignment horizontal="right" vertical="center" shrinkToFit="1"/>
      <protection/>
    </xf>
    <xf numFmtId="177" fontId="14" fillId="0" borderId="93" xfId="61" applyNumberFormat="1" applyFont="1" applyFill="1" applyBorder="1" applyAlignment="1">
      <alignment horizontal="right" vertical="center" shrinkToFit="1"/>
      <protection/>
    </xf>
    <xf numFmtId="177" fontId="14" fillId="0" borderId="94" xfId="61" applyNumberFormat="1" applyFont="1" applyFill="1" applyBorder="1" applyAlignment="1">
      <alignment horizontal="right" vertical="center" shrinkToFit="1"/>
      <protection/>
    </xf>
    <xf numFmtId="177" fontId="14" fillId="0" borderId="95" xfId="61" applyNumberFormat="1" applyFont="1" applyFill="1" applyBorder="1" applyAlignment="1">
      <alignment horizontal="right" vertical="center" shrinkToFit="1"/>
      <protection/>
    </xf>
    <xf numFmtId="177" fontId="11" fillId="36" borderId="19" xfId="61" applyNumberFormat="1" applyFont="1" applyFill="1" applyBorder="1" applyAlignment="1">
      <alignment horizontal="right" vertical="center" shrinkToFit="1"/>
      <protection/>
    </xf>
    <xf numFmtId="177" fontId="11" fillId="37" borderId="70" xfId="61" applyNumberFormat="1" applyFont="1" applyFill="1" applyBorder="1" applyAlignment="1">
      <alignment horizontal="right" vertical="center" shrinkToFit="1"/>
      <protection/>
    </xf>
    <xf numFmtId="177" fontId="11" fillId="37" borderId="96" xfId="61" applyNumberFormat="1" applyFont="1" applyFill="1" applyBorder="1" applyAlignment="1">
      <alignment horizontal="right" vertical="center" shrinkToFit="1"/>
      <protection/>
    </xf>
    <xf numFmtId="177" fontId="11" fillId="36" borderId="97" xfId="61" applyNumberFormat="1" applyFont="1" applyFill="1" applyBorder="1" applyAlignment="1">
      <alignment horizontal="right" vertical="center" shrinkToFit="1"/>
      <protection/>
    </xf>
    <xf numFmtId="177" fontId="11" fillId="36" borderId="98" xfId="61" applyNumberFormat="1" applyFont="1" applyFill="1" applyBorder="1" applyAlignment="1">
      <alignment horizontal="right" vertical="center" shrinkToFit="1"/>
      <protection/>
    </xf>
    <xf numFmtId="177" fontId="11" fillId="36" borderId="99" xfId="61" applyNumberFormat="1" applyFont="1" applyFill="1" applyBorder="1" applyAlignment="1">
      <alignment horizontal="right" vertical="center" shrinkToFit="1"/>
      <protection/>
    </xf>
    <xf numFmtId="0" fontId="0" fillId="0" borderId="0" xfId="61" applyFont="1" applyBorder="1">
      <alignment/>
      <protection/>
    </xf>
    <xf numFmtId="177" fontId="10" fillId="36" borderId="72" xfId="61" applyNumberFormat="1" applyFont="1" applyFill="1" applyBorder="1" applyAlignment="1">
      <alignment horizontal="right" vertical="center"/>
      <protection/>
    </xf>
    <xf numFmtId="177" fontId="10" fillId="37" borderId="73" xfId="61" applyNumberFormat="1" applyFont="1" applyFill="1" applyBorder="1" applyAlignment="1">
      <alignment horizontal="right" vertical="center"/>
      <protection/>
    </xf>
    <xf numFmtId="177" fontId="10" fillId="37" borderId="74" xfId="61" applyNumberFormat="1" applyFont="1" applyFill="1" applyBorder="1" applyAlignment="1">
      <alignment horizontal="right" vertical="center"/>
      <protection/>
    </xf>
    <xf numFmtId="177" fontId="10" fillId="36" borderId="76" xfId="61" applyNumberFormat="1" applyFont="1" applyFill="1" applyBorder="1" applyAlignment="1">
      <alignment horizontal="right" vertical="center"/>
      <protection/>
    </xf>
    <xf numFmtId="177" fontId="10" fillId="37" borderId="77" xfId="61" applyNumberFormat="1" applyFont="1" applyFill="1" applyBorder="1" applyAlignment="1">
      <alignment horizontal="right" vertical="center"/>
      <protection/>
    </xf>
    <xf numFmtId="177" fontId="10" fillId="37" borderId="78" xfId="61" applyNumberFormat="1" applyFont="1" applyFill="1" applyBorder="1" applyAlignment="1">
      <alignment horizontal="right" vertical="center"/>
      <protection/>
    </xf>
    <xf numFmtId="177" fontId="11" fillId="36" borderId="79" xfId="61" applyNumberFormat="1" applyFont="1" applyFill="1" applyBorder="1" applyAlignment="1">
      <alignment horizontal="right" vertical="center"/>
      <protection/>
    </xf>
    <xf numFmtId="177" fontId="11" fillId="37" borderId="80" xfId="61" applyNumberFormat="1" applyFont="1" applyFill="1" applyBorder="1" applyAlignment="1">
      <alignment horizontal="right" vertical="center"/>
      <protection/>
    </xf>
    <xf numFmtId="177" fontId="11" fillId="37" borderId="81" xfId="61" applyNumberFormat="1" applyFont="1" applyFill="1" applyBorder="1" applyAlignment="1">
      <alignment horizontal="right" vertical="center"/>
      <protection/>
    </xf>
    <xf numFmtId="177" fontId="12" fillId="0" borderId="83" xfId="61" applyNumberFormat="1" applyFont="1" applyFill="1" applyBorder="1" applyAlignment="1">
      <alignment horizontal="right" vertical="center"/>
      <protection/>
    </xf>
    <xf numFmtId="177" fontId="12" fillId="0" borderId="84" xfId="61" applyNumberFormat="1" applyFont="1" applyFill="1" applyBorder="1" applyAlignment="1">
      <alignment horizontal="right" vertical="center"/>
      <protection/>
    </xf>
    <xf numFmtId="177" fontId="12" fillId="0" borderId="85" xfId="61" applyNumberFormat="1" applyFont="1" applyFill="1" applyBorder="1" applyAlignment="1">
      <alignment horizontal="right" vertical="center"/>
      <protection/>
    </xf>
    <xf numFmtId="177" fontId="10" fillId="37" borderId="78" xfId="61" applyNumberFormat="1" applyFont="1" applyFill="1" applyBorder="1" applyAlignment="1">
      <alignment horizontal="right" vertical="center" shrinkToFit="1"/>
      <protection/>
    </xf>
    <xf numFmtId="177" fontId="12" fillId="0" borderId="90" xfId="61" applyNumberFormat="1" applyFont="1" applyFill="1" applyBorder="1" applyAlignment="1">
      <alignment horizontal="right" vertical="center"/>
      <protection/>
    </xf>
    <xf numFmtId="177" fontId="12" fillId="0" borderId="91" xfId="61" applyNumberFormat="1" applyFont="1" applyFill="1" applyBorder="1" applyAlignment="1">
      <alignment horizontal="right" vertical="center"/>
      <protection/>
    </xf>
    <xf numFmtId="177" fontId="12" fillId="0" borderId="92" xfId="61" applyNumberFormat="1" applyFont="1" applyFill="1" applyBorder="1" applyAlignment="1">
      <alignment horizontal="right" vertical="center"/>
      <protection/>
    </xf>
    <xf numFmtId="177" fontId="11" fillId="36" borderId="19" xfId="61" applyNumberFormat="1" applyFont="1" applyFill="1" applyBorder="1" applyAlignment="1">
      <alignment horizontal="right" vertical="center"/>
      <protection/>
    </xf>
    <xf numFmtId="177" fontId="11" fillId="37" borderId="70" xfId="61" applyNumberFormat="1" applyFont="1" applyFill="1" applyBorder="1" applyAlignment="1">
      <alignment horizontal="right" vertical="center"/>
      <protection/>
    </xf>
    <xf numFmtId="177" fontId="11" fillId="37" borderId="96" xfId="61" applyNumberFormat="1" applyFont="1" applyFill="1" applyBorder="1" applyAlignment="1">
      <alignment horizontal="right" vertical="center"/>
      <protection/>
    </xf>
    <xf numFmtId="0" fontId="0" fillId="0" borderId="0" xfId="61" applyFont="1" applyFill="1" applyBorder="1">
      <alignment/>
      <protection/>
    </xf>
    <xf numFmtId="0" fontId="0" fillId="0" borderId="0" xfId="61" applyFont="1" applyBorder="1" applyAlignment="1">
      <alignment horizontal="center"/>
      <protection/>
    </xf>
    <xf numFmtId="3" fontId="2" fillId="34" borderId="100" xfId="0" applyNumberFormat="1" applyFont="1" applyFill="1" applyBorder="1" applyAlignment="1">
      <alignment horizontal="right" vertical="center" indent="1"/>
    </xf>
    <xf numFmtId="3" fontId="2" fillId="34" borderId="101" xfId="0" applyNumberFormat="1" applyFont="1" applyFill="1" applyBorder="1" applyAlignment="1">
      <alignment horizontal="right" vertical="center" indent="1"/>
    </xf>
    <xf numFmtId="3" fontId="2" fillId="34" borderId="102" xfId="0" applyNumberFormat="1" applyFont="1" applyFill="1" applyBorder="1" applyAlignment="1">
      <alignment horizontal="right" vertical="center" indent="1"/>
    </xf>
    <xf numFmtId="3" fontId="2" fillId="34" borderId="54" xfId="0" applyNumberFormat="1" applyFont="1" applyFill="1" applyBorder="1" applyAlignment="1">
      <alignment horizontal="right" vertical="center" indent="1"/>
    </xf>
    <xf numFmtId="3" fontId="2" fillId="34" borderId="103"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104" xfId="0" applyNumberFormat="1" applyFont="1" applyFill="1" applyBorder="1" applyAlignment="1">
      <alignment horizontal="right" vertical="center"/>
    </xf>
    <xf numFmtId="0" fontId="10" fillId="0" borderId="105" xfId="61" applyFont="1" applyBorder="1" applyAlignment="1">
      <alignment horizontal="centerContinuous" vertical="center" wrapText="1"/>
      <protection/>
    </xf>
    <xf numFmtId="0" fontId="10" fillId="0" borderId="106" xfId="61" applyFont="1" applyBorder="1" applyAlignment="1">
      <alignment horizontal="centerContinuous" vertical="center" wrapText="1"/>
      <protection/>
    </xf>
    <xf numFmtId="0" fontId="10" fillId="0" borderId="107" xfId="61" applyFont="1" applyBorder="1" applyAlignment="1">
      <alignment horizontal="centerContinuous" vertical="center" wrapText="1"/>
      <protection/>
    </xf>
    <xf numFmtId="0" fontId="2" fillId="0" borderId="108" xfId="0" applyFont="1" applyBorder="1" applyAlignment="1">
      <alignment horizontal="distributed" vertical="center" wrapText="1"/>
    </xf>
    <xf numFmtId="0" fontId="2" fillId="0" borderId="108" xfId="0" applyFont="1" applyBorder="1" applyAlignment="1">
      <alignment horizontal="distributed" vertical="center"/>
    </xf>
    <xf numFmtId="0" fontId="2" fillId="0" borderId="109" xfId="0" applyFont="1" applyBorder="1" applyAlignment="1">
      <alignment horizontal="distributed" vertical="center"/>
    </xf>
    <xf numFmtId="0" fontId="2" fillId="0" borderId="110" xfId="0" applyFont="1" applyBorder="1" applyAlignment="1">
      <alignment horizontal="distributed" vertical="center" wrapText="1"/>
    </xf>
    <xf numFmtId="0" fontId="2" fillId="0" borderId="111" xfId="0" applyFont="1" applyBorder="1" applyAlignment="1">
      <alignment horizontal="distributed" vertical="center"/>
    </xf>
    <xf numFmtId="0" fontId="6" fillId="0" borderId="112" xfId="0" applyFont="1" applyBorder="1" applyAlignment="1">
      <alignment horizontal="distributed" vertical="center"/>
    </xf>
    <xf numFmtId="0" fontId="6" fillId="0" borderId="113" xfId="0" applyFont="1" applyBorder="1" applyAlignment="1">
      <alignment horizontal="distributed" vertical="center"/>
    </xf>
    <xf numFmtId="0" fontId="2" fillId="0" borderId="53" xfId="0" applyFont="1" applyBorder="1" applyAlignment="1">
      <alignment horizontal="distributed" vertical="center"/>
    </xf>
    <xf numFmtId="0" fontId="2" fillId="0" borderId="114"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2" fillId="0" borderId="0" xfId="0" applyFont="1" applyAlignment="1">
      <alignment horizontal="left" vertical="top"/>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123" xfId="0" applyFont="1" applyBorder="1" applyAlignment="1">
      <alignment horizontal="center" vertical="center"/>
    </xf>
    <xf numFmtId="0" fontId="2" fillId="0" borderId="58" xfId="0" applyFont="1" applyBorder="1" applyAlignment="1">
      <alignment horizontal="center" vertical="center"/>
    </xf>
    <xf numFmtId="0" fontId="2" fillId="0" borderId="124" xfId="0" applyFont="1" applyBorder="1" applyAlignment="1">
      <alignment horizontal="center" vertical="center"/>
    </xf>
    <xf numFmtId="0" fontId="2" fillId="0" borderId="110"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09"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10" fillId="0" borderId="38" xfId="61" applyFont="1" applyBorder="1" applyAlignment="1">
      <alignment horizontal="distributed" vertical="center" wrapText="1"/>
      <protection/>
    </xf>
    <xf numFmtId="0" fontId="10" fillId="0" borderId="129" xfId="61" applyFont="1" applyBorder="1" applyAlignment="1">
      <alignment horizontal="distributed" vertical="center" wrapText="1"/>
      <protection/>
    </xf>
    <xf numFmtId="0" fontId="10" fillId="0" borderId="130" xfId="61" applyFont="1" applyBorder="1" applyAlignment="1">
      <alignment horizontal="distributed" vertical="center" wrapText="1"/>
      <protection/>
    </xf>
    <xf numFmtId="0" fontId="10" fillId="0" borderId="131" xfId="61" applyFont="1" applyBorder="1" applyAlignment="1">
      <alignment horizontal="center" vertical="center"/>
      <protection/>
    </xf>
    <xf numFmtId="0" fontId="10" fillId="0" borderId="132" xfId="61" applyFont="1" applyBorder="1" applyAlignment="1">
      <alignment horizontal="center" vertical="center"/>
      <protection/>
    </xf>
    <xf numFmtId="0" fontId="10" fillId="0" borderId="133" xfId="61" applyFont="1" applyBorder="1" applyAlignment="1">
      <alignment horizontal="center" vertical="center"/>
      <protection/>
    </xf>
    <xf numFmtId="0" fontId="10" fillId="0" borderId="0" xfId="61" applyFont="1" applyBorder="1" applyAlignment="1">
      <alignment horizontal="left" vertical="center"/>
      <protection/>
    </xf>
    <xf numFmtId="0" fontId="10" fillId="0" borderId="115" xfId="61" applyFont="1" applyBorder="1" applyAlignment="1">
      <alignment horizontal="distributed" vertical="center"/>
      <protection/>
    </xf>
    <xf numFmtId="0" fontId="10" fillId="0" borderId="117" xfId="61" applyFont="1" applyBorder="1" applyAlignment="1">
      <alignment horizontal="distributed" vertical="center"/>
      <protection/>
    </xf>
    <xf numFmtId="0" fontId="10" fillId="0" borderId="134" xfId="61" applyFont="1" applyBorder="1" applyAlignment="1">
      <alignment horizontal="distributed" vertical="center"/>
      <protection/>
    </xf>
    <xf numFmtId="0" fontId="10" fillId="0" borderId="135" xfId="61" applyFont="1" applyBorder="1" applyAlignment="1">
      <alignment horizontal="center" vertical="center"/>
      <protection/>
    </xf>
    <xf numFmtId="0" fontId="10" fillId="0" borderId="136" xfId="61" applyFont="1" applyBorder="1" applyAlignment="1">
      <alignment horizontal="center" vertical="center"/>
      <protection/>
    </xf>
    <xf numFmtId="0" fontId="10" fillId="0" borderId="137" xfId="61" applyFont="1" applyBorder="1" applyAlignment="1">
      <alignment horizontal="center" vertical="center"/>
      <protection/>
    </xf>
    <xf numFmtId="0" fontId="10" fillId="0" borderId="138" xfId="61" applyFont="1" applyBorder="1" applyAlignment="1">
      <alignment horizontal="center" vertical="center"/>
      <protection/>
    </xf>
    <xf numFmtId="0" fontId="10" fillId="0" borderId="136" xfId="61" applyFont="1" applyBorder="1" applyAlignment="1">
      <alignment horizontal="center" vertical="center" wrapText="1"/>
      <protection/>
    </xf>
    <xf numFmtId="0" fontId="10" fillId="0" borderId="139" xfId="61" applyFont="1" applyBorder="1" applyAlignment="1">
      <alignment horizontal="left" vertical="center"/>
      <protection/>
    </xf>
    <xf numFmtId="0" fontId="10" fillId="0" borderId="135" xfId="61" applyFont="1" applyBorder="1" applyAlignment="1">
      <alignment horizontal="center" vertical="center" wrapText="1"/>
      <protection/>
    </xf>
    <xf numFmtId="0" fontId="10" fillId="0" borderId="140" xfId="61" applyFont="1" applyBorder="1" applyAlignment="1">
      <alignment horizontal="center" vertical="center"/>
      <protection/>
    </xf>
    <xf numFmtId="0" fontId="10" fillId="0" borderId="141" xfId="61" applyFont="1" applyBorder="1" applyAlignment="1">
      <alignment horizontal="center" vertical="center"/>
      <protection/>
    </xf>
    <xf numFmtId="0" fontId="10" fillId="0" borderId="142" xfId="61" applyFont="1" applyBorder="1" applyAlignment="1">
      <alignment horizontal="distributed" vertical="center" wrapText="1"/>
      <protection/>
    </xf>
    <xf numFmtId="0" fontId="10" fillId="0" borderId="143" xfId="61" applyFont="1" applyBorder="1" applyAlignment="1">
      <alignment horizontal="distributed" vertical="center"/>
      <protection/>
    </xf>
    <xf numFmtId="0" fontId="10" fillId="0" borderId="144" xfId="61" applyFont="1" applyBorder="1" applyAlignment="1">
      <alignment horizontal="distributed" vertical="center" wrapText="1"/>
      <protection/>
    </xf>
    <xf numFmtId="0" fontId="10" fillId="0" borderId="145" xfId="61" applyFont="1" applyBorder="1" applyAlignment="1">
      <alignment horizontal="distributed" vertical="center"/>
      <protection/>
    </xf>
    <xf numFmtId="0" fontId="10" fillId="0" borderId="146" xfId="61" applyFont="1" applyBorder="1" applyAlignment="1">
      <alignment horizontal="distributed" vertical="center" wrapText="1"/>
      <protection/>
    </xf>
    <xf numFmtId="0" fontId="10" fillId="0" borderId="147" xfId="61" applyFont="1" applyBorder="1" applyAlignment="1">
      <alignment horizontal="distributed" vertical="center" wrapText="1"/>
      <protection/>
    </xf>
    <xf numFmtId="0" fontId="10" fillId="0" borderId="40"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9"/>
  <sheetViews>
    <sheetView showGridLines="0" tabSelected="1"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216" t="s">
        <v>0</v>
      </c>
      <c r="B1" s="216"/>
      <c r="C1" s="216"/>
      <c r="D1" s="216"/>
      <c r="E1" s="216"/>
      <c r="F1" s="216"/>
      <c r="G1" s="216"/>
      <c r="H1" s="216"/>
      <c r="I1" s="216"/>
      <c r="J1" s="216"/>
      <c r="K1" s="216"/>
    </row>
    <row r="2" spans="1:11" ht="15">
      <c r="A2" s="53"/>
      <c r="B2" s="53"/>
      <c r="C2" s="53"/>
      <c r="D2" s="53"/>
      <c r="E2" s="53"/>
      <c r="F2" s="53"/>
      <c r="G2" s="53"/>
      <c r="H2" s="53"/>
      <c r="I2" s="53"/>
      <c r="J2" s="53"/>
      <c r="K2" s="53"/>
    </row>
    <row r="3" spans="1:11" ht="12" thickBot="1">
      <c r="A3" s="217" t="s">
        <v>29</v>
      </c>
      <c r="B3" s="217"/>
      <c r="C3" s="217"/>
      <c r="D3" s="217"/>
      <c r="E3" s="217"/>
      <c r="F3" s="217"/>
      <c r="G3" s="217"/>
      <c r="H3" s="217"/>
      <c r="I3" s="217"/>
      <c r="J3" s="217"/>
      <c r="K3" s="217"/>
    </row>
    <row r="4" spans="1:11" ht="24" customHeight="1">
      <c r="A4" s="218" t="s">
        <v>1</v>
      </c>
      <c r="B4" s="219"/>
      <c r="C4" s="222" t="s">
        <v>15</v>
      </c>
      <c r="D4" s="223"/>
      <c r="E4" s="224"/>
      <c r="F4" s="222" t="s">
        <v>16</v>
      </c>
      <c r="G4" s="223"/>
      <c r="H4" s="224"/>
      <c r="I4" s="222" t="s">
        <v>17</v>
      </c>
      <c r="J4" s="223"/>
      <c r="K4" s="225"/>
    </row>
    <row r="5" spans="1:11" ht="24" customHeight="1">
      <c r="A5" s="220"/>
      <c r="B5" s="221"/>
      <c r="C5" s="226" t="s">
        <v>2</v>
      </c>
      <c r="D5" s="227"/>
      <c r="E5" s="6" t="s">
        <v>3</v>
      </c>
      <c r="F5" s="226" t="s">
        <v>2</v>
      </c>
      <c r="G5" s="227"/>
      <c r="H5" s="6" t="s">
        <v>3</v>
      </c>
      <c r="I5" s="226" t="s">
        <v>2</v>
      </c>
      <c r="J5" s="227"/>
      <c r="K5" s="14" t="s">
        <v>3</v>
      </c>
    </row>
    <row r="6" spans="1:11" ht="12" customHeight="1">
      <c r="A6" s="40"/>
      <c r="B6" s="43"/>
      <c r="C6" s="41"/>
      <c r="D6" s="33" t="s">
        <v>31</v>
      </c>
      <c r="E6" s="32" t="s">
        <v>30</v>
      </c>
      <c r="F6" s="41"/>
      <c r="G6" s="33" t="s">
        <v>31</v>
      </c>
      <c r="H6" s="32" t="s">
        <v>30</v>
      </c>
      <c r="I6" s="41"/>
      <c r="J6" s="33" t="s">
        <v>31</v>
      </c>
      <c r="K6" s="42" t="s">
        <v>30</v>
      </c>
    </row>
    <row r="7" spans="1:11" ht="30" customHeight="1">
      <c r="A7" s="205" t="s">
        <v>32</v>
      </c>
      <c r="B7" s="37" t="s">
        <v>18</v>
      </c>
      <c r="C7" s="15"/>
      <c r="D7" s="121">
        <v>56562</v>
      </c>
      <c r="E7" s="38">
        <v>34657817</v>
      </c>
      <c r="F7" s="18"/>
      <c r="G7" s="121">
        <v>152831</v>
      </c>
      <c r="H7" s="38">
        <v>1237760141</v>
      </c>
      <c r="I7" s="18"/>
      <c r="J7" s="121">
        <v>209393</v>
      </c>
      <c r="K7" s="39">
        <v>1272417959</v>
      </c>
    </row>
    <row r="8" spans="1:11" ht="30" customHeight="1">
      <c r="A8" s="206"/>
      <c r="B8" s="23" t="s">
        <v>19</v>
      </c>
      <c r="C8" s="15"/>
      <c r="D8" s="122">
        <v>93800</v>
      </c>
      <c r="E8" s="123">
        <v>35002688</v>
      </c>
      <c r="F8" s="18"/>
      <c r="G8" s="122">
        <v>61148</v>
      </c>
      <c r="H8" s="123">
        <v>30097374</v>
      </c>
      <c r="I8" s="18"/>
      <c r="J8" s="122">
        <v>154948</v>
      </c>
      <c r="K8" s="124">
        <v>65100062</v>
      </c>
    </row>
    <row r="9" spans="1:11" s="3" customFormat="1" ht="30" customHeight="1">
      <c r="A9" s="206"/>
      <c r="B9" s="24" t="s">
        <v>20</v>
      </c>
      <c r="C9" s="16"/>
      <c r="D9" s="125">
        <v>150362</v>
      </c>
      <c r="E9" s="126">
        <v>69660505</v>
      </c>
      <c r="F9" s="16"/>
      <c r="G9" s="125">
        <v>213979</v>
      </c>
      <c r="H9" s="126">
        <v>1267857516</v>
      </c>
      <c r="I9" s="16"/>
      <c r="J9" s="125">
        <v>364341</v>
      </c>
      <c r="K9" s="127">
        <v>1337518021</v>
      </c>
    </row>
    <row r="10" spans="1:11" ht="30" customHeight="1">
      <c r="A10" s="207"/>
      <c r="B10" s="25" t="s">
        <v>21</v>
      </c>
      <c r="C10" s="15"/>
      <c r="D10" s="128">
        <v>4094</v>
      </c>
      <c r="E10" s="129">
        <v>2447865</v>
      </c>
      <c r="F10" s="15"/>
      <c r="G10" s="128">
        <v>10805</v>
      </c>
      <c r="H10" s="129">
        <v>527261049</v>
      </c>
      <c r="I10" s="15"/>
      <c r="J10" s="128">
        <v>14899</v>
      </c>
      <c r="K10" s="130">
        <v>529708915</v>
      </c>
    </row>
    <row r="11" spans="1:11" ht="30" customHeight="1">
      <c r="A11" s="208" t="s">
        <v>33</v>
      </c>
      <c r="B11" s="54" t="s">
        <v>22</v>
      </c>
      <c r="C11" s="9"/>
      <c r="D11" s="131">
        <v>8617</v>
      </c>
      <c r="E11" s="20">
        <v>1401807</v>
      </c>
      <c r="F11" s="34"/>
      <c r="G11" s="132">
        <v>11531</v>
      </c>
      <c r="H11" s="20">
        <v>2731149</v>
      </c>
      <c r="I11" s="34"/>
      <c r="J11" s="132">
        <v>20148</v>
      </c>
      <c r="K11" s="21">
        <v>4132957</v>
      </c>
    </row>
    <row r="12" spans="1:11" ht="30" customHeight="1">
      <c r="A12" s="209"/>
      <c r="B12" s="55" t="s">
        <v>23</v>
      </c>
      <c r="C12" s="35"/>
      <c r="D12" s="122">
        <v>1190</v>
      </c>
      <c r="E12" s="123">
        <v>167167</v>
      </c>
      <c r="F12" s="36"/>
      <c r="G12" s="133">
        <v>1670</v>
      </c>
      <c r="H12" s="123">
        <v>1260897</v>
      </c>
      <c r="I12" s="36"/>
      <c r="J12" s="133">
        <v>2860</v>
      </c>
      <c r="K12" s="124">
        <v>1428064</v>
      </c>
    </row>
    <row r="13" spans="1:11" s="3" customFormat="1" ht="30" customHeight="1">
      <c r="A13" s="210" t="s">
        <v>6</v>
      </c>
      <c r="B13" s="211"/>
      <c r="C13" s="26" t="s">
        <v>14</v>
      </c>
      <c r="D13" s="134">
        <v>157903</v>
      </c>
      <c r="E13" s="135">
        <v>68447281</v>
      </c>
      <c r="F13" s="26" t="s">
        <v>14</v>
      </c>
      <c r="G13" s="134">
        <v>226195</v>
      </c>
      <c r="H13" s="135">
        <v>742066719</v>
      </c>
      <c r="I13" s="26" t="s">
        <v>14</v>
      </c>
      <c r="J13" s="134">
        <v>384098</v>
      </c>
      <c r="K13" s="136">
        <v>810513999</v>
      </c>
    </row>
    <row r="14" spans="1:11" ht="30" customHeight="1" thickBot="1">
      <c r="A14" s="212" t="s">
        <v>7</v>
      </c>
      <c r="B14" s="213"/>
      <c r="C14" s="17"/>
      <c r="D14" s="137">
        <v>8492</v>
      </c>
      <c r="E14" s="138">
        <v>315886</v>
      </c>
      <c r="F14" s="19"/>
      <c r="G14" s="137">
        <v>8843</v>
      </c>
      <c r="H14" s="138">
        <v>528922</v>
      </c>
      <c r="I14" s="19"/>
      <c r="J14" s="137">
        <v>17335</v>
      </c>
      <c r="K14" s="139">
        <v>844808</v>
      </c>
    </row>
    <row r="15" spans="1:11" s="113" customFormat="1" ht="3" customHeight="1">
      <c r="A15" s="110"/>
      <c r="B15" s="110"/>
      <c r="C15" s="111"/>
      <c r="D15" s="112"/>
      <c r="E15" s="112"/>
      <c r="F15" s="112"/>
      <c r="G15" s="112"/>
      <c r="H15" s="112"/>
      <c r="I15" s="112"/>
      <c r="J15" s="112"/>
      <c r="K15" s="112"/>
    </row>
    <row r="16" spans="1:11" s="4" customFormat="1" ht="37.5" customHeight="1">
      <c r="A16" s="114" t="s">
        <v>170</v>
      </c>
      <c r="B16" s="214" t="s">
        <v>231</v>
      </c>
      <c r="C16" s="214"/>
      <c r="D16" s="214"/>
      <c r="E16" s="214"/>
      <c r="F16" s="214"/>
      <c r="G16" s="214"/>
      <c r="H16" s="214"/>
      <c r="I16" s="214"/>
      <c r="J16" s="214"/>
      <c r="K16" s="214"/>
    </row>
    <row r="17" spans="2:11" ht="45" customHeight="1">
      <c r="B17" s="215" t="s">
        <v>232</v>
      </c>
      <c r="C17" s="215"/>
      <c r="D17" s="215"/>
      <c r="E17" s="215"/>
      <c r="F17" s="215"/>
      <c r="G17" s="215"/>
      <c r="H17" s="215"/>
      <c r="I17" s="215"/>
      <c r="J17" s="215"/>
      <c r="K17" s="215"/>
    </row>
    <row r="18" spans="1:2" ht="14.25" customHeight="1">
      <c r="A18" s="1" t="s">
        <v>171</v>
      </c>
      <c r="B18" s="1" t="s">
        <v>172</v>
      </c>
    </row>
    <row r="19" spans="1:2" ht="11.25">
      <c r="A19" s="58" t="s">
        <v>173</v>
      </c>
      <c r="B19" s="1" t="s">
        <v>174</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6:K16"/>
    <mergeCell ref="B17:K17"/>
  </mergeCells>
  <printOptions horizontalCentered="1"/>
  <pageMargins left="0.7086614173228347" right="0.7086614173228347" top="0.984251968503937" bottom="0.984251968503937" header="0.5118110236220472" footer="0.5118110236220472"/>
  <pageSetup horizontalDpi="600" verticalDpi="600" orientation="portrait" paperSize="9" r:id="rId1"/>
  <headerFooter alignWithMargins="0">
    <oddFooter>&amp;R名古屋国税局　消費税（H26）</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zoomScaleSheetLayoutView="100" zoomScalePageLayoutView="0" workbookViewId="0" topLeftCell="A1">
      <selection activeCell="A1" sqref="A1:K1"/>
    </sheetView>
  </sheetViews>
  <sheetFormatPr defaultColWidth="9.00390625" defaultRowHeight="13.5"/>
  <cols>
    <col min="1" max="1" width="10.625" style="57" customWidth="1"/>
    <col min="2" max="2" width="15.625" style="57" customWidth="1"/>
    <col min="3" max="3" width="8.625" style="57" customWidth="1"/>
    <col min="4" max="4" width="10.625" style="57" customWidth="1"/>
    <col min="5" max="5" width="8.625" style="57" customWidth="1"/>
    <col min="6" max="6" width="12.875" style="57" bestFit="1" customWidth="1"/>
    <col min="7" max="7" width="8.625" style="57" customWidth="1"/>
    <col min="8" max="8" width="12.875" style="57" bestFit="1" customWidth="1"/>
    <col min="9" max="16384" width="9.00390625" style="57" customWidth="1"/>
  </cols>
  <sheetData>
    <row r="1" s="1" customFormat="1" ht="12" thickBot="1">
      <c r="A1" s="1" t="s">
        <v>34</v>
      </c>
    </row>
    <row r="2" spans="1:8" s="1" customFormat="1" ht="15" customHeight="1">
      <c r="A2" s="218" t="s">
        <v>1</v>
      </c>
      <c r="B2" s="219"/>
      <c r="C2" s="228" t="s">
        <v>15</v>
      </c>
      <c r="D2" s="228"/>
      <c r="E2" s="228" t="s">
        <v>24</v>
      </c>
      <c r="F2" s="228"/>
      <c r="G2" s="229" t="s">
        <v>25</v>
      </c>
      <c r="H2" s="230"/>
    </row>
    <row r="3" spans="1:8" s="1" customFormat="1" ht="15" customHeight="1">
      <c r="A3" s="220"/>
      <c r="B3" s="221"/>
      <c r="C3" s="9" t="s">
        <v>26</v>
      </c>
      <c r="D3" s="6" t="s">
        <v>27</v>
      </c>
      <c r="E3" s="9" t="s">
        <v>26</v>
      </c>
      <c r="F3" s="7" t="s">
        <v>27</v>
      </c>
      <c r="G3" s="9" t="s">
        <v>26</v>
      </c>
      <c r="H3" s="8" t="s">
        <v>27</v>
      </c>
    </row>
    <row r="4" spans="1:8" s="10" customFormat="1" ht="15" customHeight="1">
      <c r="A4" s="45"/>
      <c r="B4" s="6"/>
      <c r="C4" s="46" t="s">
        <v>4</v>
      </c>
      <c r="D4" s="47" t="s">
        <v>5</v>
      </c>
      <c r="E4" s="46" t="s">
        <v>4</v>
      </c>
      <c r="F4" s="47" t="s">
        <v>5</v>
      </c>
      <c r="G4" s="46" t="s">
        <v>4</v>
      </c>
      <c r="H4" s="48" t="s">
        <v>5</v>
      </c>
    </row>
    <row r="5" spans="1:8" s="56" customFormat="1" ht="30" customHeight="1">
      <c r="A5" s="233" t="s">
        <v>233</v>
      </c>
      <c r="B5" s="37" t="s">
        <v>12</v>
      </c>
      <c r="C5" s="44">
        <v>183780</v>
      </c>
      <c r="D5" s="38">
        <v>53147566</v>
      </c>
      <c r="E5" s="44">
        <v>225133</v>
      </c>
      <c r="F5" s="38">
        <v>900951609</v>
      </c>
      <c r="G5" s="44">
        <v>408913</v>
      </c>
      <c r="H5" s="39">
        <v>954099175</v>
      </c>
    </row>
    <row r="6" spans="1:8" s="56" customFormat="1" ht="30" customHeight="1">
      <c r="A6" s="234"/>
      <c r="B6" s="25" t="s">
        <v>13</v>
      </c>
      <c r="C6" s="28">
        <v>4274</v>
      </c>
      <c r="D6" s="29">
        <v>2404785</v>
      </c>
      <c r="E6" s="28">
        <v>10459</v>
      </c>
      <c r="F6" s="29">
        <v>270404754</v>
      </c>
      <c r="G6" s="28">
        <v>14733</v>
      </c>
      <c r="H6" s="30">
        <v>272809539</v>
      </c>
    </row>
    <row r="7" spans="1:8" s="56" customFormat="1" ht="30" customHeight="1">
      <c r="A7" s="235" t="s">
        <v>167</v>
      </c>
      <c r="B7" s="22" t="s">
        <v>12</v>
      </c>
      <c r="C7" s="27">
        <v>161323</v>
      </c>
      <c r="D7" s="20">
        <v>49879002</v>
      </c>
      <c r="E7" s="27">
        <v>219346</v>
      </c>
      <c r="F7" s="20">
        <v>878364017</v>
      </c>
      <c r="G7" s="27">
        <v>380669</v>
      </c>
      <c r="H7" s="21">
        <v>928243020</v>
      </c>
    </row>
    <row r="8" spans="1:8" s="56" customFormat="1" ht="30" customHeight="1">
      <c r="A8" s="236"/>
      <c r="B8" s="25" t="s">
        <v>13</v>
      </c>
      <c r="C8" s="28">
        <v>3565</v>
      </c>
      <c r="D8" s="29">
        <v>1417875</v>
      </c>
      <c r="E8" s="28">
        <v>9725</v>
      </c>
      <c r="F8" s="29">
        <v>279726998</v>
      </c>
      <c r="G8" s="28">
        <v>13290</v>
      </c>
      <c r="H8" s="30">
        <v>281144873</v>
      </c>
    </row>
    <row r="9" spans="1:8" s="56" customFormat="1" ht="30" customHeight="1">
      <c r="A9" s="233" t="s">
        <v>168</v>
      </c>
      <c r="B9" s="22" t="s">
        <v>12</v>
      </c>
      <c r="C9" s="27">
        <v>153712</v>
      </c>
      <c r="D9" s="20">
        <v>49152267</v>
      </c>
      <c r="E9" s="27">
        <v>215943</v>
      </c>
      <c r="F9" s="20">
        <v>921343022</v>
      </c>
      <c r="G9" s="27">
        <v>369655</v>
      </c>
      <c r="H9" s="21">
        <v>970495289</v>
      </c>
    </row>
    <row r="10" spans="1:8" s="56" customFormat="1" ht="30" customHeight="1">
      <c r="A10" s="234"/>
      <c r="B10" s="25" t="s">
        <v>13</v>
      </c>
      <c r="C10" s="28">
        <v>3499</v>
      </c>
      <c r="D10" s="29">
        <v>1383975</v>
      </c>
      <c r="E10" s="28">
        <v>9215</v>
      </c>
      <c r="F10" s="29">
        <v>274011605</v>
      </c>
      <c r="G10" s="28">
        <v>12714</v>
      </c>
      <c r="H10" s="30">
        <v>275395580</v>
      </c>
    </row>
    <row r="11" spans="1:8" s="56" customFormat="1" ht="30" customHeight="1">
      <c r="A11" s="235" t="s">
        <v>169</v>
      </c>
      <c r="B11" s="22" t="s">
        <v>12</v>
      </c>
      <c r="C11" s="27">
        <v>151300</v>
      </c>
      <c r="D11" s="20">
        <v>48910848</v>
      </c>
      <c r="E11" s="27">
        <v>214781</v>
      </c>
      <c r="F11" s="20">
        <v>884729086</v>
      </c>
      <c r="G11" s="27">
        <v>366081</v>
      </c>
      <c r="H11" s="21">
        <v>933639934</v>
      </c>
    </row>
    <row r="12" spans="1:8" s="56" customFormat="1" ht="30" customHeight="1">
      <c r="A12" s="236"/>
      <c r="B12" s="25" t="s">
        <v>13</v>
      </c>
      <c r="C12" s="28">
        <v>3738</v>
      </c>
      <c r="D12" s="29">
        <v>1624932</v>
      </c>
      <c r="E12" s="28">
        <v>9818</v>
      </c>
      <c r="F12" s="29">
        <v>298920075</v>
      </c>
      <c r="G12" s="28">
        <v>13556</v>
      </c>
      <c r="H12" s="30">
        <v>300545007</v>
      </c>
    </row>
    <row r="13" spans="1:8" s="1" customFormat="1" ht="30" customHeight="1">
      <c r="A13" s="231" t="s">
        <v>234</v>
      </c>
      <c r="B13" s="22" t="s">
        <v>12</v>
      </c>
      <c r="C13" s="27">
        <v>150362</v>
      </c>
      <c r="D13" s="20">
        <v>69660505</v>
      </c>
      <c r="E13" s="27">
        <v>213979</v>
      </c>
      <c r="F13" s="20">
        <v>1267857516</v>
      </c>
      <c r="G13" s="27">
        <v>364341</v>
      </c>
      <c r="H13" s="21">
        <v>1337518021</v>
      </c>
    </row>
    <row r="14" spans="1:8" s="1" customFormat="1" ht="30" customHeight="1" thickBot="1">
      <c r="A14" s="232"/>
      <c r="B14" s="31" t="s">
        <v>13</v>
      </c>
      <c r="C14" s="199">
        <v>4094</v>
      </c>
      <c r="D14" s="200">
        <v>2447865</v>
      </c>
      <c r="E14" s="199">
        <v>10805</v>
      </c>
      <c r="F14" s="200">
        <v>527261049</v>
      </c>
      <c r="G14" s="199">
        <v>14899</v>
      </c>
      <c r="H14" s="201">
        <v>529708915</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086614173228347" right="0.7086614173228347" top="0.984251968503937" bottom="0.984251968503937" header="0.5118110236220472" footer="0.5118110236220472"/>
  <pageSetup horizontalDpi="600" verticalDpi="600" orientation="portrait" paperSize="9" r:id="rId1"/>
  <headerFooter alignWithMargins="0">
    <oddFooter>&amp;R名古屋国税局　消費税（H26）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7"/>
  <sheetViews>
    <sheetView showGridLines="0" zoomScaleSheetLayoutView="100" zoomScalePageLayoutView="0" workbookViewId="0" topLeftCell="A1">
      <selection activeCell="A1" sqref="A1:K1"/>
    </sheetView>
  </sheetViews>
  <sheetFormatPr defaultColWidth="9.00390625" defaultRowHeight="13.5"/>
  <cols>
    <col min="1" max="2" width="18.625" style="57" customWidth="1"/>
    <col min="3" max="3" width="23.625" style="57" customWidth="1"/>
    <col min="4" max="4" width="18.625" style="57" customWidth="1"/>
    <col min="5" max="16384" width="9.00390625" style="57" customWidth="1"/>
  </cols>
  <sheetData>
    <row r="1" s="1" customFormat="1" ht="20.25" customHeight="1" thickBot="1">
      <c r="A1" s="1" t="s">
        <v>28</v>
      </c>
    </row>
    <row r="2" spans="1:4" s="4" customFormat="1" ht="19.5" customHeight="1">
      <c r="A2" s="11" t="s">
        <v>8</v>
      </c>
      <c r="B2" s="12" t="s">
        <v>9</v>
      </c>
      <c r="C2" s="13" t="s">
        <v>10</v>
      </c>
      <c r="D2" s="59" t="s">
        <v>35</v>
      </c>
    </row>
    <row r="3" spans="1:4" s="10" customFormat="1" ht="15" customHeight="1">
      <c r="A3" s="49" t="s">
        <v>4</v>
      </c>
      <c r="B3" s="50" t="s">
        <v>4</v>
      </c>
      <c r="C3" s="51" t="s">
        <v>4</v>
      </c>
      <c r="D3" s="52" t="s">
        <v>4</v>
      </c>
    </row>
    <row r="4" spans="1:9" s="4" customFormat="1" ht="30" customHeight="1" thickBot="1">
      <c r="A4" s="195">
        <v>375146</v>
      </c>
      <c r="B4" s="196">
        <v>8072</v>
      </c>
      <c r="C4" s="197">
        <v>1070</v>
      </c>
      <c r="D4" s="198">
        <v>384288</v>
      </c>
      <c r="E4" s="5"/>
      <c r="G4" s="5"/>
      <c r="I4" s="5"/>
    </row>
    <row r="5" spans="1:9" s="117" customFormat="1" ht="3" customHeight="1">
      <c r="A5" s="115"/>
      <c r="B5" s="115"/>
      <c r="C5" s="115"/>
      <c r="D5" s="115"/>
      <c r="E5" s="116"/>
      <c r="G5" s="116"/>
      <c r="I5" s="116"/>
    </row>
    <row r="6" spans="1:4" s="4" customFormat="1" ht="15" customHeight="1">
      <c r="A6" s="237" t="s">
        <v>235</v>
      </c>
      <c r="B6" s="237"/>
      <c r="C6" s="237"/>
      <c r="D6" s="237"/>
    </row>
    <row r="7" spans="1:4" s="4" customFormat="1" ht="15" customHeight="1">
      <c r="A7" s="238" t="s">
        <v>11</v>
      </c>
      <c r="B7" s="238"/>
      <c r="C7" s="238"/>
      <c r="D7" s="238"/>
    </row>
  </sheetData>
  <sheetProtection/>
  <mergeCells count="2">
    <mergeCell ref="A6:D6"/>
    <mergeCell ref="A7:D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&amp;R名古屋国税局　消費税（H26）</oddFooter>
  </headerFooter>
</worksheet>
</file>

<file path=xl/worksheets/sheet4.xml><?xml version="1.0" encoding="utf-8"?>
<worksheet xmlns="http://schemas.openxmlformats.org/spreadsheetml/2006/main" xmlns:r="http://schemas.openxmlformats.org/officeDocument/2006/relationships">
  <dimension ref="A1:N65"/>
  <sheetViews>
    <sheetView zoomScale="85" zoomScaleNormal="85" zoomScaleSheetLayoutView="100" zoomScalePageLayoutView="115" workbookViewId="0" topLeftCell="A1">
      <selection activeCell="A1" sqref="A1:K1"/>
    </sheetView>
  </sheetViews>
  <sheetFormatPr defaultColWidth="9.00390625" defaultRowHeight="13.5"/>
  <cols>
    <col min="1" max="1" width="11.375" style="173" customWidth="1"/>
    <col min="2" max="2" width="11.25390625" style="173" customWidth="1"/>
    <col min="3" max="3" width="12.625" style="173" customWidth="1"/>
    <col min="4" max="4" width="11.25390625" style="173" customWidth="1"/>
    <col min="5" max="5" width="12.625" style="173" customWidth="1"/>
    <col min="6" max="6" width="11.25390625" style="173" customWidth="1"/>
    <col min="7" max="7" width="12.625" style="173" customWidth="1"/>
    <col min="8" max="8" width="11.25390625" style="173" customWidth="1"/>
    <col min="9" max="9" width="12.625" style="173" customWidth="1"/>
    <col min="10" max="10" width="11.25390625" style="173" customWidth="1"/>
    <col min="11" max="11" width="12.625" style="173" customWidth="1"/>
    <col min="12" max="12" width="11.25390625" style="173" customWidth="1"/>
    <col min="13" max="13" width="12.625" style="173" customWidth="1"/>
    <col min="14" max="14" width="11.375" style="173" customWidth="1"/>
    <col min="15" max="16384" width="9.00390625" style="173" customWidth="1"/>
  </cols>
  <sheetData>
    <row r="1" spans="1:14" ht="13.5">
      <c r="A1" s="60" t="s">
        <v>156</v>
      </c>
      <c r="B1" s="60"/>
      <c r="C1" s="60"/>
      <c r="D1" s="60"/>
      <c r="E1" s="60"/>
      <c r="F1" s="60"/>
      <c r="G1" s="60"/>
      <c r="H1" s="61"/>
      <c r="I1" s="61"/>
      <c r="J1" s="61"/>
      <c r="K1" s="61"/>
      <c r="L1" s="61"/>
      <c r="M1" s="61"/>
      <c r="N1" s="61"/>
    </row>
    <row r="2" spans="1:14" ht="14.25" thickBot="1">
      <c r="A2" s="245" t="s">
        <v>36</v>
      </c>
      <c r="B2" s="245"/>
      <c r="C2" s="245"/>
      <c r="D2" s="245"/>
      <c r="E2" s="245"/>
      <c r="F2" s="245"/>
      <c r="G2" s="245"/>
      <c r="H2" s="61"/>
      <c r="I2" s="61"/>
      <c r="J2" s="61"/>
      <c r="K2" s="61"/>
      <c r="L2" s="61"/>
      <c r="M2" s="61"/>
      <c r="N2" s="61"/>
    </row>
    <row r="3" spans="1:14" ht="22.5" customHeight="1">
      <c r="A3" s="246" t="s">
        <v>157</v>
      </c>
      <c r="B3" s="249" t="s">
        <v>158</v>
      </c>
      <c r="C3" s="249"/>
      <c r="D3" s="249"/>
      <c r="E3" s="249"/>
      <c r="F3" s="249"/>
      <c r="G3" s="249"/>
      <c r="H3" s="250" t="s">
        <v>13</v>
      </c>
      <c r="I3" s="251"/>
      <c r="J3" s="253" t="s">
        <v>37</v>
      </c>
      <c r="K3" s="251"/>
      <c r="L3" s="250" t="s">
        <v>38</v>
      </c>
      <c r="M3" s="251"/>
      <c r="N3" s="239" t="s">
        <v>39</v>
      </c>
    </row>
    <row r="4" spans="1:14" ht="18.75" customHeight="1">
      <c r="A4" s="247"/>
      <c r="B4" s="242" t="s">
        <v>18</v>
      </c>
      <c r="C4" s="242"/>
      <c r="D4" s="243" t="s">
        <v>40</v>
      </c>
      <c r="E4" s="244"/>
      <c r="F4" s="243" t="s">
        <v>41</v>
      </c>
      <c r="G4" s="244"/>
      <c r="H4" s="243"/>
      <c r="I4" s="252"/>
      <c r="J4" s="243"/>
      <c r="K4" s="252"/>
      <c r="L4" s="243"/>
      <c r="M4" s="252"/>
      <c r="N4" s="240"/>
    </row>
    <row r="5" spans="1:14" s="194" customFormat="1" ht="33.75" customHeight="1">
      <c r="A5" s="248"/>
      <c r="B5" s="204" t="s">
        <v>230</v>
      </c>
      <c r="C5" s="62" t="s">
        <v>159</v>
      </c>
      <c r="D5" s="204" t="s">
        <v>230</v>
      </c>
      <c r="E5" s="62" t="s">
        <v>159</v>
      </c>
      <c r="F5" s="204" t="s">
        <v>230</v>
      </c>
      <c r="G5" s="63" t="s">
        <v>227</v>
      </c>
      <c r="H5" s="204" t="s">
        <v>230</v>
      </c>
      <c r="I5" s="63" t="s">
        <v>228</v>
      </c>
      <c r="J5" s="204" t="s">
        <v>230</v>
      </c>
      <c r="K5" s="63" t="s">
        <v>229</v>
      </c>
      <c r="L5" s="204" t="s">
        <v>230</v>
      </c>
      <c r="M5" s="63" t="s">
        <v>160</v>
      </c>
      <c r="N5" s="241"/>
    </row>
    <row r="6" spans="1:14" s="69" customFormat="1" ht="10.5">
      <c r="A6" s="64"/>
      <c r="B6" s="65" t="s">
        <v>4</v>
      </c>
      <c r="C6" s="66" t="s">
        <v>5</v>
      </c>
      <c r="D6" s="65" t="s">
        <v>4</v>
      </c>
      <c r="E6" s="66" t="s">
        <v>5</v>
      </c>
      <c r="F6" s="65" t="s">
        <v>4</v>
      </c>
      <c r="G6" s="66" t="s">
        <v>5</v>
      </c>
      <c r="H6" s="65" t="s">
        <v>4</v>
      </c>
      <c r="I6" s="67" t="s">
        <v>5</v>
      </c>
      <c r="J6" s="65" t="s">
        <v>4</v>
      </c>
      <c r="K6" s="67" t="s">
        <v>5</v>
      </c>
      <c r="L6" s="65" t="s">
        <v>4</v>
      </c>
      <c r="M6" s="67" t="s">
        <v>5</v>
      </c>
      <c r="N6" s="68"/>
    </row>
    <row r="7" spans="1:14" s="72" customFormat="1" ht="22.5" customHeight="1">
      <c r="A7" s="70" t="s">
        <v>45</v>
      </c>
      <c r="B7" s="174">
        <f>_xlfn.COMPOUNDVALUE(1)</f>
        <v>2023</v>
      </c>
      <c r="C7" s="175">
        <v>1052396</v>
      </c>
      <c r="D7" s="174">
        <f>_xlfn.COMPOUNDVALUE(2)</f>
        <v>2564</v>
      </c>
      <c r="E7" s="175">
        <v>986949</v>
      </c>
      <c r="F7" s="174">
        <f>_xlfn.COMPOUNDVALUE(3)</f>
        <v>4587</v>
      </c>
      <c r="G7" s="175">
        <v>2039344</v>
      </c>
      <c r="H7" s="174">
        <f>_xlfn.COMPOUNDVALUE(4)</f>
        <v>134</v>
      </c>
      <c r="I7" s="176">
        <v>63355</v>
      </c>
      <c r="J7" s="174">
        <v>329</v>
      </c>
      <c r="K7" s="176">
        <v>67663</v>
      </c>
      <c r="L7" s="174">
        <f>_xlfn.COMPOUNDVALUE(4)</f>
        <v>4872</v>
      </c>
      <c r="M7" s="176">
        <v>2043652</v>
      </c>
      <c r="N7" s="71" t="s">
        <v>46</v>
      </c>
    </row>
    <row r="8" spans="1:14" s="72" customFormat="1" ht="22.5" customHeight="1">
      <c r="A8" s="73" t="s">
        <v>47</v>
      </c>
      <c r="B8" s="177">
        <f>_xlfn.COMPOUNDVALUE(5)</f>
        <v>1582</v>
      </c>
      <c r="C8" s="178">
        <v>890501</v>
      </c>
      <c r="D8" s="177">
        <f>_xlfn.COMPOUNDVALUE(6)</f>
        <v>1993</v>
      </c>
      <c r="E8" s="178">
        <v>774745</v>
      </c>
      <c r="F8" s="177">
        <f>_xlfn.COMPOUNDVALUE(7)</f>
        <v>3575</v>
      </c>
      <c r="G8" s="178">
        <v>1665245</v>
      </c>
      <c r="H8" s="177">
        <f>_xlfn.COMPOUNDVALUE(8)</f>
        <v>83</v>
      </c>
      <c r="I8" s="179">
        <v>39274</v>
      </c>
      <c r="J8" s="177">
        <v>183</v>
      </c>
      <c r="K8" s="179">
        <v>37937</v>
      </c>
      <c r="L8" s="177">
        <f>_xlfn.COMPOUNDVALUE(8)</f>
        <v>3731</v>
      </c>
      <c r="M8" s="179">
        <v>1663909</v>
      </c>
      <c r="N8" s="74" t="s">
        <v>48</v>
      </c>
    </row>
    <row r="9" spans="1:14" s="72" customFormat="1" ht="22.5" customHeight="1">
      <c r="A9" s="73" t="s">
        <v>49</v>
      </c>
      <c r="B9" s="177">
        <f>_xlfn.COMPOUNDVALUE(9)</f>
        <v>1623</v>
      </c>
      <c r="C9" s="178">
        <v>941988</v>
      </c>
      <c r="D9" s="177">
        <f>_xlfn.COMPOUNDVALUE(10)</f>
        <v>2375</v>
      </c>
      <c r="E9" s="178">
        <v>852580</v>
      </c>
      <c r="F9" s="177">
        <f>_xlfn.COMPOUNDVALUE(11)</f>
        <v>3998</v>
      </c>
      <c r="G9" s="178">
        <v>1794567</v>
      </c>
      <c r="H9" s="177">
        <f>_xlfn.COMPOUNDVALUE(12)</f>
        <v>126</v>
      </c>
      <c r="I9" s="179">
        <v>54883</v>
      </c>
      <c r="J9" s="177">
        <v>237</v>
      </c>
      <c r="K9" s="179">
        <v>34099</v>
      </c>
      <c r="L9" s="177">
        <f>_xlfn.COMPOUNDVALUE(12)</f>
        <v>4224</v>
      </c>
      <c r="M9" s="179">
        <v>1773783</v>
      </c>
      <c r="N9" s="74" t="s">
        <v>50</v>
      </c>
    </row>
    <row r="10" spans="1:14" s="72" customFormat="1" ht="22.5" customHeight="1">
      <c r="A10" s="73" t="s">
        <v>51</v>
      </c>
      <c r="B10" s="177">
        <f>_xlfn.COMPOUNDVALUE(13)</f>
        <v>650</v>
      </c>
      <c r="C10" s="178">
        <v>367554</v>
      </c>
      <c r="D10" s="177">
        <f>_xlfn.COMPOUNDVALUE(14)</f>
        <v>1459</v>
      </c>
      <c r="E10" s="178">
        <v>514238</v>
      </c>
      <c r="F10" s="177">
        <f>_xlfn.COMPOUNDVALUE(15)</f>
        <v>2109</v>
      </c>
      <c r="G10" s="178">
        <v>881792</v>
      </c>
      <c r="H10" s="177">
        <f>_xlfn.COMPOUNDVALUE(16)</f>
        <v>39</v>
      </c>
      <c r="I10" s="179">
        <v>10166</v>
      </c>
      <c r="J10" s="177">
        <v>106</v>
      </c>
      <c r="K10" s="179">
        <v>3841</v>
      </c>
      <c r="L10" s="177">
        <f>_xlfn.COMPOUNDVALUE(16)</f>
        <v>2163</v>
      </c>
      <c r="M10" s="179">
        <v>875467</v>
      </c>
      <c r="N10" s="74" t="s">
        <v>52</v>
      </c>
    </row>
    <row r="11" spans="1:14" s="72" customFormat="1" ht="22.5" customHeight="1">
      <c r="A11" s="73" t="s">
        <v>53</v>
      </c>
      <c r="B11" s="177">
        <f>_xlfn.COMPOUNDVALUE(17)</f>
        <v>1047</v>
      </c>
      <c r="C11" s="178">
        <v>621552</v>
      </c>
      <c r="D11" s="177">
        <f>_xlfn.COMPOUNDVALUE(18)</f>
        <v>1895</v>
      </c>
      <c r="E11" s="178">
        <v>677545</v>
      </c>
      <c r="F11" s="177">
        <f>_xlfn.COMPOUNDVALUE(19)</f>
        <v>2942</v>
      </c>
      <c r="G11" s="178">
        <v>1299097</v>
      </c>
      <c r="H11" s="177">
        <f>_xlfn.COMPOUNDVALUE(20)</f>
        <v>86</v>
      </c>
      <c r="I11" s="179">
        <v>55008</v>
      </c>
      <c r="J11" s="177">
        <v>223</v>
      </c>
      <c r="K11" s="179">
        <v>20012</v>
      </c>
      <c r="L11" s="177">
        <f>_xlfn.COMPOUNDVALUE(20)</f>
        <v>3090</v>
      </c>
      <c r="M11" s="179">
        <v>1264101</v>
      </c>
      <c r="N11" s="74" t="s">
        <v>54</v>
      </c>
    </row>
    <row r="12" spans="1:14" s="72" customFormat="1" ht="22.5" customHeight="1">
      <c r="A12" s="73" t="s">
        <v>55</v>
      </c>
      <c r="B12" s="177">
        <f>_xlfn.COMPOUNDVALUE(21)</f>
        <v>1334</v>
      </c>
      <c r="C12" s="178">
        <v>642933</v>
      </c>
      <c r="D12" s="177">
        <f>_xlfn.COMPOUNDVALUE(22)</f>
        <v>1861</v>
      </c>
      <c r="E12" s="178">
        <v>660147</v>
      </c>
      <c r="F12" s="177">
        <f>_xlfn.COMPOUNDVALUE(23)</f>
        <v>3195</v>
      </c>
      <c r="G12" s="178">
        <v>1303081</v>
      </c>
      <c r="H12" s="177">
        <f>_xlfn.COMPOUNDVALUE(24)</f>
        <v>102</v>
      </c>
      <c r="I12" s="179">
        <v>34613</v>
      </c>
      <c r="J12" s="177">
        <v>190</v>
      </c>
      <c r="K12" s="179">
        <v>20852</v>
      </c>
      <c r="L12" s="177">
        <f>_xlfn.COMPOUNDVALUE(24)</f>
        <v>3371</v>
      </c>
      <c r="M12" s="179">
        <v>1289320</v>
      </c>
      <c r="N12" s="74" t="s">
        <v>56</v>
      </c>
    </row>
    <row r="13" spans="1:14" s="72" customFormat="1" ht="22.5" customHeight="1">
      <c r="A13" s="73" t="s">
        <v>57</v>
      </c>
      <c r="B13" s="177">
        <f>_xlfn.COMPOUNDVALUE(25)</f>
        <v>517</v>
      </c>
      <c r="C13" s="178">
        <v>271589</v>
      </c>
      <c r="D13" s="177">
        <f>_xlfn.COMPOUNDVALUE(26)</f>
        <v>848</v>
      </c>
      <c r="E13" s="178">
        <v>306868</v>
      </c>
      <c r="F13" s="177">
        <f>_xlfn.COMPOUNDVALUE(27)</f>
        <v>1365</v>
      </c>
      <c r="G13" s="178">
        <v>578457</v>
      </c>
      <c r="H13" s="177">
        <f>_xlfn.COMPOUNDVALUE(28)</f>
        <v>39</v>
      </c>
      <c r="I13" s="179">
        <v>17767</v>
      </c>
      <c r="J13" s="177">
        <v>135</v>
      </c>
      <c r="K13" s="179">
        <v>15429</v>
      </c>
      <c r="L13" s="177">
        <f>_xlfn.COMPOUNDVALUE(28)</f>
        <v>1457</v>
      </c>
      <c r="M13" s="179">
        <v>576119</v>
      </c>
      <c r="N13" s="74" t="s">
        <v>58</v>
      </c>
    </row>
    <row r="14" spans="1:14" s="72" customFormat="1" ht="22.5" customHeight="1">
      <c r="A14" s="75" t="s">
        <v>59</v>
      </c>
      <c r="B14" s="180">
        <v>8776</v>
      </c>
      <c r="C14" s="181">
        <v>4788512</v>
      </c>
      <c r="D14" s="180">
        <v>12995</v>
      </c>
      <c r="E14" s="181">
        <v>4773071</v>
      </c>
      <c r="F14" s="180">
        <v>21771</v>
      </c>
      <c r="G14" s="181">
        <v>9561584</v>
      </c>
      <c r="H14" s="180">
        <v>609</v>
      </c>
      <c r="I14" s="182">
        <v>275066</v>
      </c>
      <c r="J14" s="180">
        <v>1403</v>
      </c>
      <c r="K14" s="182">
        <v>199832</v>
      </c>
      <c r="L14" s="180">
        <v>22908</v>
      </c>
      <c r="M14" s="182">
        <v>9486350</v>
      </c>
      <c r="N14" s="76" t="s">
        <v>60</v>
      </c>
    </row>
    <row r="15" spans="1:14" s="72" customFormat="1" ht="22.5" customHeight="1">
      <c r="A15" s="77"/>
      <c r="B15" s="183"/>
      <c r="C15" s="184"/>
      <c r="D15" s="183"/>
      <c r="E15" s="184"/>
      <c r="F15" s="185"/>
      <c r="G15" s="184"/>
      <c r="H15" s="185"/>
      <c r="I15" s="184"/>
      <c r="J15" s="185"/>
      <c r="K15" s="184"/>
      <c r="L15" s="185"/>
      <c r="M15" s="184"/>
      <c r="N15" s="78"/>
    </row>
    <row r="16" spans="1:14" s="72" customFormat="1" ht="22.5" customHeight="1">
      <c r="A16" s="70" t="s">
        <v>61</v>
      </c>
      <c r="B16" s="174">
        <f>_xlfn.COMPOUNDVALUE(29)</f>
        <v>1844</v>
      </c>
      <c r="C16" s="175">
        <v>1136299</v>
      </c>
      <c r="D16" s="174">
        <f>_xlfn.COMPOUNDVALUE(30)</f>
        <v>3648</v>
      </c>
      <c r="E16" s="175">
        <v>1396442</v>
      </c>
      <c r="F16" s="174">
        <f>_xlfn.COMPOUNDVALUE(31)</f>
        <v>5492</v>
      </c>
      <c r="G16" s="175">
        <v>2532741</v>
      </c>
      <c r="H16" s="174">
        <f>_xlfn.COMPOUNDVALUE(32)</f>
        <v>107</v>
      </c>
      <c r="I16" s="176">
        <v>86179</v>
      </c>
      <c r="J16" s="174">
        <v>328</v>
      </c>
      <c r="K16" s="176">
        <v>70963</v>
      </c>
      <c r="L16" s="174">
        <f>_xlfn.COMPOUNDVALUE(32)</f>
        <v>5732</v>
      </c>
      <c r="M16" s="176">
        <v>2517526</v>
      </c>
      <c r="N16" s="79" t="s">
        <v>62</v>
      </c>
    </row>
    <row r="17" spans="1:14" s="72" customFormat="1" ht="22.5" customHeight="1">
      <c r="A17" s="70" t="s">
        <v>63</v>
      </c>
      <c r="B17" s="174">
        <f>_xlfn.COMPOUNDVALUE(33)</f>
        <v>908</v>
      </c>
      <c r="C17" s="175">
        <v>524126</v>
      </c>
      <c r="D17" s="174">
        <f>_xlfn.COMPOUNDVALUE(34)</f>
        <v>1908</v>
      </c>
      <c r="E17" s="175">
        <v>692818</v>
      </c>
      <c r="F17" s="174">
        <f>_xlfn.COMPOUNDVALUE(35)</f>
        <v>2816</v>
      </c>
      <c r="G17" s="175">
        <v>1216944</v>
      </c>
      <c r="H17" s="174">
        <f>_xlfn.COMPOUNDVALUE(36)</f>
        <v>43</v>
      </c>
      <c r="I17" s="176">
        <v>40898</v>
      </c>
      <c r="J17" s="174">
        <v>242</v>
      </c>
      <c r="K17" s="176">
        <v>11021</v>
      </c>
      <c r="L17" s="174">
        <f>_xlfn.COMPOUNDVALUE(36)</f>
        <v>2918</v>
      </c>
      <c r="M17" s="176">
        <v>1187067</v>
      </c>
      <c r="N17" s="71" t="s">
        <v>64</v>
      </c>
    </row>
    <row r="18" spans="1:14" s="72" customFormat="1" ht="22.5" customHeight="1">
      <c r="A18" s="70" t="s">
        <v>65</v>
      </c>
      <c r="B18" s="174">
        <f>_xlfn.COMPOUNDVALUE(37)</f>
        <v>1842</v>
      </c>
      <c r="C18" s="175">
        <v>1118266</v>
      </c>
      <c r="D18" s="174">
        <f>_xlfn.COMPOUNDVALUE(38)</f>
        <v>3636</v>
      </c>
      <c r="E18" s="175">
        <v>1311792</v>
      </c>
      <c r="F18" s="174">
        <f>_xlfn.COMPOUNDVALUE(39)</f>
        <v>5478</v>
      </c>
      <c r="G18" s="175">
        <v>2430058</v>
      </c>
      <c r="H18" s="174">
        <f>_xlfn.COMPOUNDVALUE(40)</f>
        <v>145</v>
      </c>
      <c r="I18" s="176">
        <v>170605</v>
      </c>
      <c r="J18" s="174">
        <v>270</v>
      </c>
      <c r="K18" s="176">
        <v>23358</v>
      </c>
      <c r="L18" s="174">
        <f>_xlfn.COMPOUNDVALUE(40)</f>
        <v>5714</v>
      </c>
      <c r="M18" s="176">
        <v>2282811</v>
      </c>
      <c r="N18" s="71" t="s">
        <v>66</v>
      </c>
    </row>
    <row r="19" spans="1:14" s="72" customFormat="1" ht="22.5" customHeight="1">
      <c r="A19" s="70" t="s">
        <v>67</v>
      </c>
      <c r="B19" s="174">
        <f>_xlfn.COMPOUNDVALUE(41)</f>
        <v>1167</v>
      </c>
      <c r="C19" s="175">
        <v>586248</v>
      </c>
      <c r="D19" s="174">
        <f>_xlfn.COMPOUNDVALUE(42)</f>
        <v>1925</v>
      </c>
      <c r="E19" s="175">
        <v>662687</v>
      </c>
      <c r="F19" s="174">
        <f>_xlfn.COMPOUNDVALUE(43)</f>
        <v>3092</v>
      </c>
      <c r="G19" s="175">
        <v>1248935</v>
      </c>
      <c r="H19" s="174">
        <f>_xlfn.COMPOUNDVALUE(44)</f>
        <v>110</v>
      </c>
      <c r="I19" s="176">
        <v>82236</v>
      </c>
      <c r="J19" s="174">
        <v>164</v>
      </c>
      <c r="K19" s="176">
        <v>16154</v>
      </c>
      <c r="L19" s="174">
        <f>_xlfn.COMPOUNDVALUE(44)</f>
        <v>3272</v>
      </c>
      <c r="M19" s="176">
        <v>1182853</v>
      </c>
      <c r="N19" s="71" t="s">
        <v>68</v>
      </c>
    </row>
    <row r="20" spans="1:14" s="72" customFormat="1" ht="22.5" customHeight="1">
      <c r="A20" s="70" t="s">
        <v>69</v>
      </c>
      <c r="B20" s="174">
        <f>_xlfn.COMPOUNDVALUE(45)</f>
        <v>1296</v>
      </c>
      <c r="C20" s="175">
        <v>864139</v>
      </c>
      <c r="D20" s="174">
        <f>_xlfn.COMPOUNDVALUE(46)</f>
        <v>2554</v>
      </c>
      <c r="E20" s="175">
        <v>953219</v>
      </c>
      <c r="F20" s="174">
        <f>_xlfn.COMPOUNDVALUE(47)</f>
        <v>3850</v>
      </c>
      <c r="G20" s="175">
        <v>1817358</v>
      </c>
      <c r="H20" s="174">
        <f>_xlfn.COMPOUNDVALUE(48)</f>
        <v>86</v>
      </c>
      <c r="I20" s="176">
        <v>70805</v>
      </c>
      <c r="J20" s="174">
        <v>265</v>
      </c>
      <c r="K20" s="176">
        <v>29776</v>
      </c>
      <c r="L20" s="174">
        <f>_xlfn.COMPOUNDVALUE(48)</f>
        <v>4026</v>
      </c>
      <c r="M20" s="176">
        <v>1776329</v>
      </c>
      <c r="N20" s="71" t="s">
        <v>70</v>
      </c>
    </row>
    <row r="21" spans="1:14" s="72" customFormat="1" ht="22.5" customHeight="1">
      <c r="A21" s="70" t="s">
        <v>71</v>
      </c>
      <c r="B21" s="174">
        <f>_xlfn.COMPOUNDVALUE(49)</f>
        <v>447</v>
      </c>
      <c r="C21" s="175">
        <v>232726</v>
      </c>
      <c r="D21" s="174">
        <f>_xlfn.COMPOUNDVALUE(50)</f>
        <v>889</v>
      </c>
      <c r="E21" s="175">
        <v>327323</v>
      </c>
      <c r="F21" s="174">
        <f>_xlfn.COMPOUNDVALUE(51)</f>
        <v>1336</v>
      </c>
      <c r="G21" s="175">
        <v>560048</v>
      </c>
      <c r="H21" s="174">
        <f>_xlfn.COMPOUNDVALUE(52)</f>
        <v>27</v>
      </c>
      <c r="I21" s="176">
        <v>12942</v>
      </c>
      <c r="J21" s="174">
        <v>93</v>
      </c>
      <c r="K21" s="176">
        <v>7545</v>
      </c>
      <c r="L21" s="174">
        <f>_xlfn.COMPOUNDVALUE(52)</f>
        <v>1375</v>
      </c>
      <c r="M21" s="176">
        <v>554652</v>
      </c>
      <c r="N21" s="71" t="s">
        <v>72</v>
      </c>
    </row>
    <row r="22" spans="1:14" s="72" customFormat="1" ht="22.5" customHeight="1">
      <c r="A22" s="73" t="s">
        <v>73</v>
      </c>
      <c r="B22" s="177">
        <f>_xlfn.COMPOUNDVALUE(53)</f>
        <v>680</v>
      </c>
      <c r="C22" s="178">
        <v>406481</v>
      </c>
      <c r="D22" s="177">
        <f>_xlfn.COMPOUNDVALUE(54)</f>
        <v>1743</v>
      </c>
      <c r="E22" s="178">
        <v>614453</v>
      </c>
      <c r="F22" s="177">
        <f>_xlfn.COMPOUNDVALUE(55)</f>
        <v>2423</v>
      </c>
      <c r="G22" s="178">
        <v>1020933</v>
      </c>
      <c r="H22" s="177">
        <f>_xlfn.COMPOUNDVALUE(56)</f>
        <v>39</v>
      </c>
      <c r="I22" s="179">
        <v>47381</v>
      </c>
      <c r="J22" s="177">
        <v>133</v>
      </c>
      <c r="K22" s="179">
        <v>16528</v>
      </c>
      <c r="L22" s="177">
        <f>_xlfn.COMPOUNDVALUE(56)</f>
        <v>2523</v>
      </c>
      <c r="M22" s="179">
        <v>990080</v>
      </c>
      <c r="N22" s="74" t="s">
        <v>74</v>
      </c>
    </row>
    <row r="23" spans="1:14" s="72" customFormat="1" ht="22.5" customHeight="1">
      <c r="A23" s="73" t="s">
        <v>75</v>
      </c>
      <c r="B23" s="177">
        <f>_xlfn.COMPOUNDVALUE(57)</f>
        <v>797</v>
      </c>
      <c r="C23" s="178">
        <v>463176</v>
      </c>
      <c r="D23" s="177">
        <f>_xlfn.COMPOUNDVALUE(58)</f>
        <v>1817</v>
      </c>
      <c r="E23" s="178">
        <v>583563</v>
      </c>
      <c r="F23" s="177">
        <f>_xlfn.COMPOUNDVALUE(59)</f>
        <v>2614</v>
      </c>
      <c r="G23" s="178">
        <v>1046739</v>
      </c>
      <c r="H23" s="177">
        <f>_xlfn.COMPOUNDVALUE(60)</f>
        <v>56</v>
      </c>
      <c r="I23" s="179">
        <v>38691</v>
      </c>
      <c r="J23" s="177">
        <v>100</v>
      </c>
      <c r="K23" s="179">
        <v>8056</v>
      </c>
      <c r="L23" s="177">
        <f>_xlfn.COMPOUNDVALUE(60)</f>
        <v>2697</v>
      </c>
      <c r="M23" s="179">
        <v>1016103</v>
      </c>
      <c r="N23" s="74" t="s">
        <v>76</v>
      </c>
    </row>
    <row r="24" spans="1:14" s="72" customFormat="1" ht="22.5" customHeight="1">
      <c r="A24" s="73" t="s">
        <v>77</v>
      </c>
      <c r="B24" s="177">
        <f>_xlfn.COMPOUNDVALUE(61)</f>
        <v>1507</v>
      </c>
      <c r="C24" s="178">
        <v>1000000</v>
      </c>
      <c r="D24" s="177">
        <f>_xlfn.COMPOUNDVALUE(62)</f>
        <v>2878</v>
      </c>
      <c r="E24" s="178">
        <v>1108889</v>
      </c>
      <c r="F24" s="177">
        <f>_xlfn.COMPOUNDVALUE(63)</f>
        <v>4385</v>
      </c>
      <c r="G24" s="178">
        <v>2108889</v>
      </c>
      <c r="H24" s="177">
        <f>_xlfn.COMPOUNDVALUE(64)</f>
        <v>83</v>
      </c>
      <c r="I24" s="179">
        <v>39024</v>
      </c>
      <c r="J24" s="177">
        <v>290</v>
      </c>
      <c r="K24" s="179">
        <v>27905</v>
      </c>
      <c r="L24" s="177">
        <f>_xlfn.COMPOUNDVALUE(64)</f>
        <v>4585</v>
      </c>
      <c r="M24" s="179">
        <v>2097770</v>
      </c>
      <c r="N24" s="74" t="s">
        <v>78</v>
      </c>
    </row>
    <row r="25" spans="1:14" s="72" customFormat="1" ht="22.5" customHeight="1">
      <c r="A25" s="73" t="s">
        <v>79</v>
      </c>
      <c r="B25" s="177">
        <f>_xlfn.COMPOUNDVALUE(65)</f>
        <v>926</v>
      </c>
      <c r="C25" s="178">
        <v>486225</v>
      </c>
      <c r="D25" s="177">
        <f>_xlfn.COMPOUNDVALUE(66)</f>
        <v>1811</v>
      </c>
      <c r="E25" s="178">
        <v>622909</v>
      </c>
      <c r="F25" s="177">
        <f>_xlfn.COMPOUNDVALUE(67)</f>
        <v>2737</v>
      </c>
      <c r="G25" s="178">
        <v>1109134</v>
      </c>
      <c r="H25" s="177">
        <f>_xlfn.COMPOUNDVALUE(68)</f>
        <v>98</v>
      </c>
      <c r="I25" s="179">
        <v>56136</v>
      </c>
      <c r="J25" s="177">
        <v>145</v>
      </c>
      <c r="K25" s="179">
        <v>10666</v>
      </c>
      <c r="L25" s="177">
        <f>_xlfn.COMPOUNDVALUE(68)</f>
        <v>2867</v>
      </c>
      <c r="M25" s="179">
        <v>1063664</v>
      </c>
      <c r="N25" s="74" t="s">
        <v>80</v>
      </c>
    </row>
    <row r="26" spans="1:14" s="72" customFormat="1" ht="22.5" customHeight="1">
      <c r="A26" s="73" t="s">
        <v>81</v>
      </c>
      <c r="B26" s="177">
        <f>_xlfn.COMPOUNDVALUE(69)</f>
        <v>727</v>
      </c>
      <c r="C26" s="178">
        <v>439880</v>
      </c>
      <c r="D26" s="177">
        <f>_xlfn.COMPOUNDVALUE(70)</f>
        <v>1664</v>
      </c>
      <c r="E26" s="178">
        <v>567954</v>
      </c>
      <c r="F26" s="177">
        <f>_xlfn.COMPOUNDVALUE(71)</f>
        <v>2391</v>
      </c>
      <c r="G26" s="178">
        <v>1007834</v>
      </c>
      <c r="H26" s="177">
        <f>_xlfn.COMPOUNDVALUE(72)</f>
        <v>95</v>
      </c>
      <c r="I26" s="179">
        <v>50723</v>
      </c>
      <c r="J26" s="177">
        <v>128</v>
      </c>
      <c r="K26" s="179">
        <v>17377</v>
      </c>
      <c r="L26" s="177">
        <f>_xlfn.COMPOUNDVALUE(72)</f>
        <v>2508</v>
      </c>
      <c r="M26" s="179">
        <v>974488</v>
      </c>
      <c r="N26" s="74" t="s">
        <v>82</v>
      </c>
    </row>
    <row r="27" spans="1:14" s="72" customFormat="1" ht="22.5" customHeight="1">
      <c r="A27" s="73" t="s">
        <v>83</v>
      </c>
      <c r="B27" s="177">
        <f>_xlfn.COMPOUNDVALUE(73)</f>
        <v>1026</v>
      </c>
      <c r="C27" s="178">
        <v>599484</v>
      </c>
      <c r="D27" s="177">
        <f>_xlfn.COMPOUNDVALUE(74)</f>
        <v>1925</v>
      </c>
      <c r="E27" s="178">
        <v>691284</v>
      </c>
      <c r="F27" s="177">
        <f>_xlfn.COMPOUNDVALUE(75)</f>
        <v>2951</v>
      </c>
      <c r="G27" s="178">
        <v>1290768</v>
      </c>
      <c r="H27" s="177">
        <f>_xlfn.COMPOUNDVALUE(76)</f>
        <v>67</v>
      </c>
      <c r="I27" s="179">
        <v>29811</v>
      </c>
      <c r="J27" s="177">
        <v>164</v>
      </c>
      <c r="K27" s="179">
        <v>15943</v>
      </c>
      <c r="L27" s="177">
        <f>_xlfn.COMPOUNDVALUE(76)</f>
        <v>3070</v>
      </c>
      <c r="M27" s="179">
        <v>1276900</v>
      </c>
      <c r="N27" s="74" t="s">
        <v>84</v>
      </c>
    </row>
    <row r="28" spans="1:14" s="72" customFormat="1" ht="22.5" customHeight="1">
      <c r="A28" s="73" t="s">
        <v>85</v>
      </c>
      <c r="B28" s="177">
        <f>_xlfn.COMPOUNDVALUE(77)</f>
        <v>341</v>
      </c>
      <c r="C28" s="178">
        <v>179283</v>
      </c>
      <c r="D28" s="177">
        <f>_xlfn.COMPOUNDVALUE(78)</f>
        <v>672</v>
      </c>
      <c r="E28" s="178">
        <v>224165</v>
      </c>
      <c r="F28" s="177">
        <f>_xlfn.COMPOUNDVALUE(79)</f>
        <v>1013</v>
      </c>
      <c r="G28" s="178">
        <v>403447</v>
      </c>
      <c r="H28" s="177">
        <f>_xlfn.COMPOUNDVALUE(80)</f>
        <v>19</v>
      </c>
      <c r="I28" s="179">
        <v>5935</v>
      </c>
      <c r="J28" s="177">
        <v>72</v>
      </c>
      <c r="K28" s="179">
        <v>4207</v>
      </c>
      <c r="L28" s="177">
        <f>_xlfn.COMPOUNDVALUE(80)</f>
        <v>1045</v>
      </c>
      <c r="M28" s="179">
        <v>401720</v>
      </c>
      <c r="N28" s="74" t="s">
        <v>86</v>
      </c>
    </row>
    <row r="29" spans="1:14" s="72" customFormat="1" ht="22.5" customHeight="1">
      <c r="A29" s="75" t="s">
        <v>87</v>
      </c>
      <c r="B29" s="180">
        <v>13508</v>
      </c>
      <c r="C29" s="181">
        <v>8036332</v>
      </c>
      <c r="D29" s="180">
        <v>27070</v>
      </c>
      <c r="E29" s="181">
        <v>9757496</v>
      </c>
      <c r="F29" s="180">
        <v>40578</v>
      </c>
      <c r="G29" s="181">
        <v>17793828</v>
      </c>
      <c r="H29" s="180">
        <v>975</v>
      </c>
      <c r="I29" s="182">
        <v>731366</v>
      </c>
      <c r="J29" s="180">
        <v>2394</v>
      </c>
      <c r="K29" s="182">
        <v>259499</v>
      </c>
      <c r="L29" s="180">
        <v>42332</v>
      </c>
      <c r="M29" s="182">
        <v>17321962</v>
      </c>
      <c r="N29" s="76" t="s">
        <v>88</v>
      </c>
    </row>
    <row r="30" spans="1:14" s="72" customFormat="1" ht="22.5" customHeight="1">
      <c r="A30" s="77"/>
      <c r="B30" s="183"/>
      <c r="C30" s="184"/>
      <c r="D30" s="183"/>
      <c r="E30" s="184"/>
      <c r="F30" s="185"/>
      <c r="G30" s="184"/>
      <c r="H30" s="185"/>
      <c r="I30" s="184"/>
      <c r="J30" s="185"/>
      <c r="K30" s="184"/>
      <c r="L30" s="185"/>
      <c r="M30" s="184"/>
      <c r="N30" s="78"/>
    </row>
    <row r="31" spans="1:14" s="72" customFormat="1" ht="22.5" customHeight="1">
      <c r="A31" s="70" t="s">
        <v>89</v>
      </c>
      <c r="B31" s="174">
        <f>_xlfn.COMPOUNDVALUE(81)</f>
        <v>1168</v>
      </c>
      <c r="C31" s="175">
        <v>959303</v>
      </c>
      <c r="D31" s="174">
        <f>_xlfn.COMPOUNDVALUE(82)</f>
        <v>1754</v>
      </c>
      <c r="E31" s="175">
        <v>790258</v>
      </c>
      <c r="F31" s="174">
        <f>_xlfn.COMPOUNDVALUE(83)</f>
        <v>2922</v>
      </c>
      <c r="G31" s="175">
        <v>1749562</v>
      </c>
      <c r="H31" s="174">
        <f>_xlfn.COMPOUNDVALUE(84)</f>
        <v>97</v>
      </c>
      <c r="I31" s="176">
        <v>69023</v>
      </c>
      <c r="J31" s="174">
        <v>186</v>
      </c>
      <c r="K31" s="176">
        <v>16964</v>
      </c>
      <c r="L31" s="174">
        <f>_xlfn.COMPOUNDVALUE(84)</f>
        <v>3066</v>
      </c>
      <c r="M31" s="176">
        <v>1697503</v>
      </c>
      <c r="N31" s="79" t="s">
        <v>90</v>
      </c>
    </row>
    <row r="32" spans="1:14" s="72" customFormat="1" ht="22.5" customHeight="1">
      <c r="A32" s="70" t="s">
        <v>91</v>
      </c>
      <c r="B32" s="174">
        <f>_xlfn.COMPOUNDVALUE(85)</f>
        <v>437</v>
      </c>
      <c r="C32" s="175">
        <v>374447</v>
      </c>
      <c r="D32" s="174">
        <f>_xlfn.COMPOUNDVALUE(86)</f>
        <v>536</v>
      </c>
      <c r="E32" s="175">
        <v>250276</v>
      </c>
      <c r="F32" s="174">
        <f>_xlfn.COMPOUNDVALUE(87)</f>
        <v>973</v>
      </c>
      <c r="G32" s="175">
        <v>624723</v>
      </c>
      <c r="H32" s="174">
        <f>_xlfn.COMPOUNDVALUE(88)</f>
        <v>53</v>
      </c>
      <c r="I32" s="176">
        <v>19152</v>
      </c>
      <c r="J32" s="174">
        <v>102</v>
      </c>
      <c r="K32" s="176">
        <v>11539</v>
      </c>
      <c r="L32" s="174">
        <f>_xlfn.COMPOUNDVALUE(88)</f>
        <v>1076</v>
      </c>
      <c r="M32" s="176">
        <v>617111</v>
      </c>
      <c r="N32" s="71" t="s">
        <v>92</v>
      </c>
    </row>
    <row r="33" spans="1:14" s="72" customFormat="1" ht="22.5" customHeight="1">
      <c r="A33" s="70" t="s">
        <v>93</v>
      </c>
      <c r="B33" s="174">
        <f>_xlfn.COMPOUNDVALUE(89)</f>
        <v>1134</v>
      </c>
      <c r="C33" s="175">
        <v>595306</v>
      </c>
      <c r="D33" s="174">
        <f>_xlfn.COMPOUNDVALUE(90)</f>
        <v>1556</v>
      </c>
      <c r="E33" s="175">
        <v>581041</v>
      </c>
      <c r="F33" s="174">
        <f>_xlfn.COMPOUNDVALUE(91)</f>
        <v>2690</v>
      </c>
      <c r="G33" s="175">
        <v>1176348</v>
      </c>
      <c r="H33" s="174">
        <f>_xlfn.COMPOUNDVALUE(92)</f>
        <v>55</v>
      </c>
      <c r="I33" s="176">
        <v>35399</v>
      </c>
      <c r="J33" s="174">
        <v>207</v>
      </c>
      <c r="K33" s="176">
        <v>27816</v>
      </c>
      <c r="L33" s="174">
        <f>_xlfn.COMPOUNDVALUE(92)</f>
        <v>2854</v>
      </c>
      <c r="M33" s="176">
        <v>1168766</v>
      </c>
      <c r="N33" s="71" t="s">
        <v>94</v>
      </c>
    </row>
    <row r="34" spans="1:14" s="72" customFormat="1" ht="22.5" customHeight="1">
      <c r="A34" s="70" t="s">
        <v>95</v>
      </c>
      <c r="B34" s="174">
        <f>_xlfn.COMPOUNDVALUE(93)</f>
        <v>1247</v>
      </c>
      <c r="C34" s="175">
        <v>606709</v>
      </c>
      <c r="D34" s="174">
        <f>_xlfn.COMPOUNDVALUE(94)</f>
        <v>1629</v>
      </c>
      <c r="E34" s="175">
        <v>620192</v>
      </c>
      <c r="F34" s="174">
        <f>_xlfn.COMPOUNDVALUE(95)</f>
        <v>2876</v>
      </c>
      <c r="G34" s="175">
        <v>1226901</v>
      </c>
      <c r="H34" s="174">
        <f>_xlfn.COMPOUNDVALUE(96)</f>
        <v>76</v>
      </c>
      <c r="I34" s="176">
        <v>50374</v>
      </c>
      <c r="J34" s="174">
        <v>209</v>
      </c>
      <c r="K34" s="176">
        <v>38139</v>
      </c>
      <c r="L34" s="174">
        <f>_xlfn.COMPOUNDVALUE(96)</f>
        <v>3044</v>
      </c>
      <c r="M34" s="176">
        <v>1214666</v>
      </c>
      <c r="N34" s="71" t="s">
        <v>96</v>
      </c>
    </row>
    <row r="35" spans="1:14" s="72" customFormat="1" ht="22.5" customHeight="1">
      <c r="A35" s="70" t="s">
        <v>97</v>
      </c>
      <c r="B35" s="174">
        <f>_xlfn.COMPOUNDVALUE(97)</f>
        <v>629</v>
      </c>
      <c r="C35" s="175">
        <v>372457</v>
      </c>
      <c r="D35" s="174">
        <f>_xlfn.COMPOUNDVALUE(98)</f>
        <v>841</v>
      </c>
      <c r="E35" s="175">
        <v>328254</v>
      </c>
      <c r="F35" s="174">
        <f>_xlfn.COMPOUNDVALUE(99)</f>
        <v>1470</v>
      </c>
      <c r="G35" s="175">
        <v>700711</v>
      </c>
      <c r="H35" s="174">
        <f>_xlfn.COMPOUNDVALUE(100)</f>
        <v>41</v>
      </c>
      <c r="I35" s="176">
        <v>20568</v>
      </c>
      <c r="J35" s="174">
        <v>104</v>
      </c>
      <c r="K35" s="176">
        <v>17006</v>
      </c>
      <c r="L35" s="174">
        <f>_xlfn.COMPOUNDVALUE(100)</f>
        <v>1563</v>
      </c>
      <c r="M35" s="176">
        <v>697149</v>
      </c>
      <c r="N35" s="71" t="s">
        <v>98</v>
      </c>
    </row>
    <row r="36" spans="1:14" s="72" customFormat="1" ht="22.5" customHeight="1">
      <c r="A36" s="70" t="s">
        <v>99</v>
      </c>
      <c r="B36" s="174">
        <f>_xlfn.COMPOUNDVALUE(101)</f>
        <v>927</v>
      </c>
      <c r="C36" s="175">
        <v>881000</v>
      </c>
      <c r="D36" s="174">
        <f>_xlfn.COMPOUNDVALUE(102)</f>
        <v>1020</v>
      </c>
      <c r="E36" s="175">
        <v>530453</v>
      </c>
      <c r="F36" s="174">
        <f>_xlfn.COMPOUNDVALUE(103)</f>
        <v>1947</v>
      </c>
      <c r="G36" s="175">
        <v>1411453</v>
      </c>
      <c r="H36" s="174">
        <f>_xlfn.COMPOUNDVALUE(104)</f>
        <v>72</v>
      </c>
      <c r="I36" s="176">
        <v>55907</v>
      </c>
      <c r="J36" s="174">
        <v>149</v>
      </c>
      <c r="K36" s="176">
        <v>17407</v>
      </c>
      <c r="L36" s="174">
        <f>_xlfn.COMPOUNDVALUE(104)</f>
        <v>2068</v>
      </c>
      <c r="M36" s="176">
        <v>1372953</v>
      </c>
      <c r="N36" s="71" t="s">
        <v>100</v>
      </c>
    </row>
    <row r="37" spans="1:14" s="72" customFormat="1" ht="22.5" customHeight="1">
      <c r="A37" s="70" t="s">
        <v>101</v>
      </c>
      <c r="B37" s="174">
        <f>_xlfn.COMPOUNDVALUE(105)</f>
        <v>1893</v>
      </c>
      <c r="C37" s="175">
        <v>1347359</v>
      </c>
      <c r="D37" s="174">
        <f>_xlfn.COMPOUNDVALUE(106)</f>
        <v>2789</v>
      </c>
      <c r="E37" s="175">
        <v>1196948</v>
      </c>
      <c r="F37" s="174">
        <f>_xlfn.COMPOUNDVALUE(107)</f>
        <v>4682</v>
      </c>
      <c r="G37" s="175">
        <v>2544307</v>
      </c>
      <c r="H37" s="174">
        <f>_xlfn.COMPOUNDVALUE(108)</f>
        <v>159</v>
      </c>
      <c r="I37" s="176">
        <v>100948</v>
      </c>
      <c r="J37" s="174">
        <v>363</v>
      </c>
      <c r="K37" s="176">
        <v>25131</v>
      </c>
      <c r="L37" s="174">
        <f>_xlfn.COMPOUNDVALUE(108)</f>
        <v>4946</v>
      </c>
      <c r="M37" s="176">
        <v>2468489</v>
      </c>
      <c r="N37" s="71" t="s">
        <v>102</v>
      </c>
    </row>
    <row r="38" spans="1:14" s="72" customFormat="1" ht="22.5" customHeight="1">
      <c r="A38" s="70" t="s">
        <v>103</v>
      </c>
      <c r="B38" s="174">
        <f>_xlfn.COMPOUNDVALUE(109)</f>
        <v>1567</v>
      </c>
      <c r="C38" s="175">
        <v>925040</v>
      </c>
      <c r="D38" s="174">
        <f>_xlfn.COMPOUNDVALUE(110)</f>
        <v>2340</v>
      </c>
      <c r="E38" s="175">
        <v>921902</v>
      </c>
      <c r="F38" s="174">
        <f>_xlfn.COMPOUNDVALUE(111)</f>
        <v>3907</v>
      </c>
      <c r="G38" s="175">
        <v>1846942</v>
      </c>
      <c r="H38" s="174">
        <f>_xlfn.COMPOUNDVALUE(112)</f>
        <v>106</v>
      </c>
      <c r="I38" s="176">
        <v>52029</v>
      </c>
      <c r="J38" s="174">
        <v>300</v>
      </c>
      <c r="K38" s="176">
        <v>36201</v>
      </c>
      <c r="L38" s="174">
        <f>_xlfn.COMPOUNDVALUE(112)</f>
        <v>4149</v>
      </c>
      <c r="M38" s="176">
        <v>1831114</v>
      </c>
      <c r="N38" s="71" t="s">
        <v>104</v>
      </c>
    </row>
    <row r="39" spans="1:14" s="72" customFormat="1" ht="22.5" customHeight="1">
      <c r="A39" s="70" t="s">
        <v>105</v>
      </c>
      <c r="B39" s="174">
        <f>_xlfn.COMPOUNDVALUE(113)</f>
        <v>1244</v>
      </c>
      <c r="C39" s="175">
        <v>635929</v>
      </c>
      <c r="D39" s="174">
        <f>_xlfn.COMPOUNDVALUE(114)</f>
        <v>1852</v>
      </c>
      <c r="E39" s="175">
        <v>681932</v>
      </c>
      <c r="F39" s="174">
        <f>_xlfn.COMPOUNDVALUE(115)</f>
        <v>3096</v>
      </c>
      <c r="G39" s="175">
        <v>1317861</v>
      </c>
      <c r="H39" s="174">
        <f>_xlfn.COMPOUNDVALUE(116)</f>
        <v>132</v>
      </c>
      <c r="I39" s="176">
        <v>104270</v>
      </c>
      <c r="J39" s="174">
        <v>236</v>
      </c>
      <c r="K39" s="176">
        <v>49498</v>
      </c>
      <c r="L39" s="174">
        <f>_xlfn.COMPOUNDVALUE(116)</f>
        <v>3334</v>
      </c>
      <c r="M39" s="176">
        <v>1263089</v>
      </c>
      <c r="N39" s="71" t="s">
        <v>106</v>
      </c>
    </row>
    <row r="40" spans="1:14" s="72" customFormat="1" ht="22.5" customHeight="1">
      <c r="A40" s="70" t="s">
        <v>107</v>
      </c>
      <c r="B40" s="174">
        <f>_xlfn.COMPOUNDVALUE(117)</f>
        <v>3018</v>
      </c>
      <c r="C40" s="175">
        <v>2003168</v>
      </c>
      <c r="D40" s="174">
        <f>_xlfn.COMPOUNDVALUE(118)</f>
        <v>7399</v>
      </c>
      <c r="E40" s="175">
        <v>2571453</v>
      </c>
      <c r="F40" s="174">
        <f>_xlfn.COMPOUNDVALUE(119)</f>
        <v>10417</v>
      </c>
      <c r="G40" s="175">
        <v>4574621</v>
      </c>
      <c r="H40" s="174">
        <f>_xlfn.COMPOUNDVALUE(120)</f>
        <v>244</v>
      </c>
      <c r="I40" s="176">
        <v>148353</v>
      </c>
      <c r="J40" s="174">
        <v>413</v>
      </c>
      <c r="K40" s="176">
        <v>42706</v>
      </c>
      <c r="L40" s="174">
        <f>_xlfn.COMPOUNDVALUE(120)</f>
        <v>10793</v>
      </c>
      <c r="M40" s="176">
        <v>4468975</v>
      </c>
      <c r="N40" s="71" t="s">
        <v>108</v>
      </c>
    </row>
    <row r="41" spans="1:14" s="72" customFormat="1" ht="22.5" customHeight="1">
      <c r="A41" s="70" t="s">
        <v>109</v>
      </c>
      <c r="B41" s="174">
        <f>_xlfn.COMPOUNDVALUE(121)</f>
        <v>1422</v>
      </c>
      <c r="C41" s="175">
        <v>909313</v>
      </c>
      <c r="D41" s="174">
        <f>_xlfn.COMPOUNDVALUE(122)</f>
        <v>2159</v>
      </c>
      <c r="E41" s="175">
        <v>853355</v>
      </c>
      <c r="F41" s="174">
        <f>_xlfn.COMPOUNDVALUE(123)</f>
        <v>3581</v>
      </c>
      <c r="G41" s="175">
        <v>1762668</v>
      </c>
      <c r="H41" s="174">
        <f>_xlfn.COMPOUNDVALUE(124)</f>
        <v>84</v>
      </c>
      <c r="I41" s="176">
        <v>37054</v>
      </c>
      <c r="J41" s="174">
        <v>232</v>
      </c>
      <c r="K41" s="176">
        <v>19663</v>
      </c>
      <c r="L41" s="174">
        <f>_xlfn.COMPOUNDVALUE(124)</f>
        <v>3743</v>
      </c>
      <c r="M41" s="176">
        <v>1745276</v>
      </c>
      <c r="N41" s="71" t="s">
        <v>110</v>
      </c>
    </row>
    <row r="42" spans="1:14" s="72" customFormat="1" ht="22.5" customHeight="1">
      <c r="A42" s="70" t="s">
        <v>111</v>
      </c>
      <c r="B42" s="174">
        <f>_xlfn.COMPOUNDVALUE(125)</f>
        <v>1729</v>
      </c>
      <c r="C42" s="175">
        <v>916486</v>
      </c>
      <c r="D42" s="174">
        <f>_xlfn.COMPOUNDVALUE(126)</f>
        <v>2582</v>
      </c>
      <c r="E42" s="175">
        <v>981843</v>
      </c>
      <c r="F42" s="174">
        <f>_xlfn.COMPOUNDVALUE(127)</f>
        <v>4311</v>
      </c>
      <c r="G42" s="175">
        <v>1898330</v>
      </c>
      <c r="H42" s="174">
        <f>_xlfn.COMPOUNDVALUE(128)</f>
        <v>133</v>
      </c>
      <c r="I42" s="176">
        <v>48968</v>
      </c>
      <c r="J42" s="174">
        <v>251</v>
      </c>
      <c r="K42" s="176">
        <v>21151</v>
      </c>
      <c r="L42" s="174">
        <f>_xlfn.COMPOUNDVALUE(128)</f>
        <v>4544</v>
      </c>
      <c r="M42" s="176">
        <v>1870514</v>
      </c>
      <c r="N42" s="71" t="s">
        <v>112</v>
      </c>
    </row>
    <row r="43" spans="1:14" s="72" customFormat="1" ht="22.5" customHeight="1">
      <c r="A43" s="70" t="s">
        <v>113</v>
      </c>
      <c r="B43" s="174">
        <f>_xlfn.COMPOUNDVALUE(129)</f>
        <v>702</v>
      </c>
      <c r="C43" s="175">
        <v>394621</v>
      </c>
      <c r="D43" s="174">
        <f>_xlfn.COMPOUNDVALUE(130)</f>
        <v>1054</v>
      </c>
      <c r="E43" s="175">
        <v>379939</v>
      </c>
      <c r="F43" s="174">
        <f>_xlfn.COMPOUNDVALUE(131)</f>
        <v>1756</v>
      </c>
      <c r="G43" s="175">
        <v>774561</v>
      </c>
      <c r="H43" s="174">
        <f>_xlfn.COMPOUNDVALUE(132)</f>
        <v>53</v>
      </c>
      <c r="I43" s="176">
        <v>43498</v>
      </c>
      <c r="J43" s="174">
        <v>146</v>
      </c>
      <c r="K43" s="176">
        <v>2888</v>
      </c>
      <c r="L43" s="174">
        <f>_xlfn.COMPOUNDVALUE(132)</f>
        <v>1846</v>
      </c>
      <c r="M43" s="176">
        <v>733951</v>
      </c>
      <c r="N43" s="71" t="s">
        <v>114</v>
      </c>
    </row>
    <row r="44" spans="1:14" s="72" customFormat="1" ht="22.5" customHeight="1">
      <c r="A44" s="73" t="s">
        <v>115</v>
      </c>
      <c r="B44" s="177">
        <f>_xlfn.COMPOUNDVALUE(133)</f>
        <v>2284</v>
      </c>
      <c r="C44" s="178">
        <v>1540967</v>
      </c>
      <c r="D44" s="177">
        <f>_xlfn.COMPOUNDVALUE(134)</f>
        <v>3613</v>
      </c>
      <c r="E44" s="178">
        <v>1336678</v>
      </c>
      <c r="F44" s="177">
        <f>_xlfn.COMPOUNDVALUE(135)</f>
        <v>5897</v>
      </c>
      <c r="G44" s="178">
        <v>2877645</v>
      </c>
      <c r="H44" s="177">
        <f>_xlfn.COMPOUNDVALUE(136)</f>
        <v>140</v>
      </c>
      <c r="I44" s="179">
        <v>49639</v>
      </c>
      <c r="J44" s="177">
        <v>391</v>
      </c>
      <c r="K44" s="179">
        <v>62402</v>
      </c>
      <c r="L44" s="177">
        <f>_xlfn.COMPOUNDVALUE(136)</f>
        <v>6193</v>
      </c>
      <c r="M44" s="179">
        <v>2890408</v>
      </c>
      <c r="N44" s="74" t="s">
        <v>116</v>
      </c>
    </row>
    <row r="45" spans="1:14" s="72" customFormat="1" ht="22.5" customHeight="1">
      <c r="A45" s="73" t="s">
        <v>117</v>
      </c>
      <c r="B45" s="177">
        <f>_xlfn.COMPOUNDVALUE(137)</f>
        <v>1299</v>
      </c>
      <c r="C45" s="178">
        <v>740320</v>
      </c>
      <c r="D45" s="177">
        <f>_xlfn.COMPOUNDVALUE(138)</f>
        <v>2138</v>
      </c>
      <c r="E45" s="178">
        <v>762889</v>
      </c>
      <c r="F45" s="177">
        <f>_xlfn.COMPOUNDVALUE(139)</f>
        <v>3437</v>
      </c>
      <c r="G45" s="178">
        <v>1503209</v>
      </c>
      <c r="H45" s="177">
        <f>_xlfn.COMPOUNDVALUE(140)</f>
        <v>89</v>
      </c>
      <c r="I45" s="179">
        <v>68930</v>
      </c>
      <c r="J45" s="177">
        <v>282</v>
      </c>
      <c r="K45" s="179">
        <v>29163</v>
      </c>
      <c r="L45" s="177">
        <f>_xlfn.COMPOUNDVALUE(140)</f>
        <v>3659</v>
      </c>
      <c r="M45" s="179">
        <v>1463442</v>
      </c>
      <c r="N45" s="74" t="s">
        <v>118</v>
      </c>
    </row>
    <row r="46" spans="1:14" s="72" customFormat="1" ht="22.5" customHeight="1">
      <c r="A46" s="73" t="s">
        <v>119</v>
      </c>
      <c r="B46" s="177">
        <f>_xlfn.COMPOUNDVALUE(141)</f>
        <v>1691</v>
      </c>
      <c r="C46" s="178">
        <v>1309467</v>
      </c>
      <c r="D46" s="177">
        <f>_xlfn.COMPOUNDVALUE(142)</f>
        <v>2821</v>
      </c>
      <c r="E46" s="178">
        <v>1072308</v>
      </c>
      <c r="F46" s="177">
        <f>_xlfn.COMPOUNDVALUE(143)</f>
        <v>4512</v>
      </c>
      <c r="G46" s="178">
        <v>2381775</v>
      </c>
      <c r="H46" s="177">
        <f>_xlfn.COMPOUNDVALUE(144)</f>
        <v>106</v>
      </c>
      <c r="I46" s="179">
        <v>65191</v>
      </c>
      <c r="J46" s="177">
        <v>230</v>
      </c>
      <c r="K46" s="179">
        <v>22051</v>
      </c>
      <c r="L46" s="177">
        <f>_xlfn.COMPOUNDVALUE(144)</f>
        <v>4690</v>
      </c>
      <c r="M46" s="179">
        <v>2338635</v>
      </c>
      <c r="N46" s="74" t="s">
        <v>120</v>
      </c>
    </row>
    <row r="47" spans="1:14" s="72" customFormat="1" ht="22.5" customHeight="1">
      <c r="A47" s="73" t="s">
        <v>121</v>
      </c>
      <c r="B47" s="177">
        <f>_xlfn.COMPOUNDVALUE(145)</f>
        <v>1248</v>
      </c>
      <c r="C47" s="178">
        <v>693074</v>
      </c>
      <c r="D47" s="177">
        <f>_xlfn.COMPOUNDVALUE(146)</f>
        <v>1856</v>
      </c>
      <c r="E47" s="178">
        <v>716448</v>
      </c>
      <c r="F47" s="177">
        <f>_xlfn.COMPOUNDVALUE(147)</f>
        <v>3104</v>
      </c>
      <c r="G47" s="178">
        <v>1409521</v>
      </c>
      <c r="H47" s="177">
        <f>_xlfn.COMPOUNDVALUE(148)</f>
        <v>84</v>
      </c>
      <c r="I47" s="179">
        <v>32652</v>
      </c>
      <c r="J47" s="177">
        <v>206</v>
      </c>
      <c r="K47" s="179">
        <v>39514</v>
      </c>
      <c r="L47" s="177">
        <f>_xlfn.COMPOUNDVALUE(148)</f>
        <v>3248</v>
      </c>
      <c r="M47" s="179">
        <v>1416383</v>
      </c>
      <c r="N47" s="74" t="s">
        <v>122</v>
      </c>
    </row>
    <row r="48" spans="1:14" s="72" customFormat="1" ht="22.5" customHeight="1">
      <c r="A48" s="73" t="s">
        <v>123</v>
      </c>
      <c r="B48" s="177">
        <f>_xlfn.COMPOUNDVALUE(149)</f>
        <v>926</v>
      </c>
      <c r="C48" s="178">
        <v>953311</v>
      </c>
      <c r="D48" s="177">
        <f>_xlfn.COMPOUNDVALUE(150)</f>
        <v>1692</v>
      </c>
      <c r="E48" s="178">
        <v>620341</v>
      </c>
      <c r="F48" s="177">
        <f>_xlfn.COMPOUNDVALUE(151)</f>
        <v>2618</v>
      </c>
      <c r="G48" s="178">
        <v>1573652</v>
      </c>
      <c r="H48" s="177">
        <f>_xlfn.COMPOUNDVALUE(152)</f>
        <v>59</v>
      </c>
      <c r="I48" s="179">
        <v>33881</v>
      </c>
      <c r="J48" s="177">
        <v>161</v>
      </c>
      <c r="K48" s="179">
        <v>17087</v>
      </c>
      <c r="L48" s="177">
        <f>_xlfn.COMPOUNDVALUE(152)</f>
        <v>2716</v>
      </c>
      <c r="M48" s="179">
        <v>1556858</v>
      </c>
      <c r="N48" s="74" t="s">
        <v>124</v>
      </c>
    </row>
    <row r="49" spans="1:14" s="72" customFormat="1" ht="22.5" customHeight="1">
      <c r="A49" s="73" t="s">
        <v>125</v>
      </c>
      <c r="B49" s="177">
        <f>_xlfn.COMPOUNDVALUE(153)</f>
        <v>2074</v>
      </c>
      <c r="C49" s="178">
        <v>1018337</v>
      </c>
      <c r="D49" s="177">
        <f>_xlfn.COMPOUNDVALUE(154)</f>
        <v>3115</v>
      </c>
      <c r="E49" s="178">
        <v>1196928</v>
      </c>
      <c r="F49" s="177">
        <f>_xlfn.COMPOUNDVALUE(155)</f>
        <v>5189</v>
      </c>
      <c r="G49" s="178">
        <v>2215264</v>
      </c>
      <c r="H49" s="177">
        <f>_xlfn.COMPOUNDVALUE(156)</f>
        <v>145</v>
      </c>
      <c r="I49" s="179">
        <v>67682</v>
      </c>
      <c r="J49" s="177">
        <v>459</v>
      </c>
      <c r="K49" s="179">
        <v>122418</v>
      </c>
      <c r="L49" s="177">
        <f>_xlfn.COMPOUNDVALUE(156)</f>
        <v>5472</v>
      </c>
      <c r="M49" s="179">
        <v>2270001</v>
      </c>
      <c r="N49" s="74" t="s">
        <v>126</v>
      </c>
    </row>
    <row r="50" spans="1:14" s="72" customFormat="1" ht="22.5" customHeight="1">
      <c r="A50" s="73" t="s">
        <v>127</v>
      </c>
      <c r="B50" s="177">
        <f>_xlfn.COMPOUNDVALUE(157)</f>
        <v>237</v>
      </c>
      <c r="C50" s="178">
        <v>113317</v>
      </c>
      <c r="D50" s="177">
        <f>_xlfn.COMPOUNDVALUE(158)</f>
        <v>426</v>
      </c>
      <c r="E50" s="178">
        <v>143695</v>
      </c>
      <c r="F50" s="177">
        <f>_xlfn.COMPOUNDVALUE(159)</f>
        <v>663</v>
      </c>
      <c r="G50" s="178">
        <v>257013</v>
      </c>
      <c r="H50" s="177">
        <f>_xlfn.COMPOUNDVALUE(160)</f>
        <v>14</v>
      </c>
      <c r="I50" s="179">
        <v>3623</v>
      </c>
      <c r="J50" s="177">
        <v>43</v>
      </c>
      <c r="K50" s="179">
        <v>6466</v>
      </c>
      <c r="L50" s="177">
        <f>_xlfn.COMPOUNDVALUE(160)</f>
        <v>690</v>
      </c>
      <c r="M50" s="179">
        <v>259856</v>
      </c>
      <c r="N50" s="74" t="s">
        <v>128</v>
      </c>
    </row>
    <row r="51" spans="1:14" s="72" customFormat="1" ht="22.5" customHeight="1">
      <c r="A51" s="75" t="s">
        <v>129</v>
      </c>
      <c r="B51" s="180">
        <v>26876</v>
      </c>
      <c r="C51" s="181">
        <v>17289931</v>
      </c>
      <c r="D51" s="180">
        <v>43172</v>
      </c>
      <c r="E51" s="181">
        <v>16537134</v>
      </c>
      <c r="F51" s="180">
        <v>70048</v>
      </c>
      <c r="G51" s="181">
        <v>33827065</v>
      </c>
      <c r="H51" s="180">
        <v>1942</v>
      </c>
      <c r="I51" s="182">
        <v>1107141</v>
      </c>
      <c r="J51" s="180">
        <v>4670</v>
      </c>
      <c r="K51" s="182">
        <v>625210</v>
      </c>
      <c r="L51" s="180">
        <v>73694</v>
      </c>
      <c r="M51" s="182">
        <v>33345133</v>
      </c>
      <c r="N51" s="76" t="s">
        <v>130</v>
      </c>
    </row>
    <row r="52" spans="1:14" s="72" customFormat="1" ht="22.5" customHeight="1">
      <c r="A52" s="77"/>
      <c r="B52" s="183"/>
      <c r="C52" s="184"/>
      <c r="D52" s="183"/>
      <c r="E52" s="184"/>
      <c r="F52" s="185"/>
      <c r="G52" s="184"/>
      <c r="H52" s="185"/>
      <c r="I52" s="184"/>
      <c r="J52" s="185"/>
      <c r="K52" s="184"/>
      <c r="L52" s="185"/>
      <c r="M52" s="184"/>
      <c r="N52" s="78"/>
    </row>
    <row r="53" spans="1:14" s="72" customFormat="1" ht="22.5" customHeight="1">
      <c r="A53" s="70" t="s">
        <v>131</v>
      </c>
      <c r="B53" s="174">
        <f>_xlfn.COMPOUNDVALUE(161)</f>
        <v>1009</v>
      </c>
      <c r="C53" s="175">
        <v>657802</v>
      </c>
      <c r="D53" s="174">
        <f>_xlfn.COMPOUNDVALUE(162)</f>
        <v>1445</v>
      </c>
      <c r="E53" s="175">
        <v>572696</v>
      </c>
      <c r="F53" s="174">
        <f>_xlfn.COMPOUNDVALUE(163)</f>
        <v>2454</v>
      </c>
      <c r="G53" s="175">
        <v>1230499</v>
      </c>
      <c r="H53" s="174">
        <f>_xlfn.COMPOUNDVALUE(164)</f>
        <v>66</v>
      </c>
      <c r="I53" s="176">
        <v>36004</v>
      </c>
      <c r="J53" s="174">
        <v>140</v>
      </c>
      <c r="K53" s="176">
        <v>25557</v>
      </c>
      <c r="L53" s="174">
        <f>_xlfn.COMPOUNDVALUE(164)</f>
        <v>2588</v>
      </c>
      <c r="M53" s="176">
        <v>1220052</v>
      </c>
      <c r="N53" s="79" t="s">
        <v>132</v>
      </c>
    </row>
    <row r="54" spans="1:14" s="72" customFormat="1" ht="22.5" customHeight="1">
      <c r="A54" s="73" t="s">
        <v>133</v>
      </c>
      <c r="B54" s="177">
        <f>_xlfn.COMPOUNDVALUE(165)</f>
        <v>1446</v>
      </c>
      <c r="C54" s="178">
        <v>856439</v>
      </c>
      <c r="D54" s="177">
        <f>_xlfn.COMPOUNDVALUE(166)</f>
        <v>2093</v>
      </c>
      <c r="E54" s="178">
        <v>820366</v>
      </c>
      <c r="F54" s="177">
        <f>_xlfn.COMPOUNDVALUE(167)</f>
        <v>3539</v>
      </c>
      <c r="G54" s="178">
        <v>1676804</v>
      </c>
      <c r="H54" s="177">
        <f>_xlfn.COMPOUNDVALUE(168)</f>
        <v>96</v>
      </c>
      <c r="I54" s="179">
        <v>60922</v>
      </c>
      <c r="J54" s="177">
        <v>332</v>
      </c>
      <c r="K54" s="179">
        <v>34086</v>
      </c>
      <c r="L54" s="177">
        <f>_xlfn.COMPOUNDVALUE(168)</f>
        <v>3744</v>
      </c>
      <c r="M54" s="179">
        <v>1649968</v>
      </c>
      <c r="N54" s="74" t="s">
        <v>134</v>
      </c>
    </row>
    <row r="55" spans="1:14" s="72" customFormat="1" ht="22.5" customHeight="1">
      <c r="A55" s="73" t="s">
        <v>135</v>
      </c>
      <c r="B55" s="177">
        <f>_xlfn.COMPOUNDVALUE(169)</f>
        <v>1293</v>
      </c>
      <c r="C55" s="178">
        <v>801936</v>
      </c>
      <c r="D55" s="177">
        <f>_xlfn.COMPOUNDVALUE(170)</f>
        <v>1762</v>
      </c>
      <c r="E55" s="178">
        <v>612228</v>
      </c>
      <c r="F55" s="177">
        <f>_xlfn.COMPOUNDVALUE(171)</f>
        <v>3055</v>
      </c>
      <c r="G55" s="178">
        <v>1414164</v>
      </c>
      <c r="H55" s="177">
        <f>_xlfn.COMPOUNDVALUE(172)</f>
        <v>82</v>
      </c>
      <c r="I55" s="179">
        <v>48023</v>
      </c>
      <c r="J55" s="177">
        <v>214</v>
      </c>
      <c r="K55" s="179">
        <v>28113</v>
      </c>
      <c r="L55" s="177">
        <f>_xlfn.COMPOUNDVALUE(172)</f>
        <v>3211</v>
      </c>
      <c r="M55" s="179">
        <v>1394254</v>
      </c>
      <c r="N55" s="74" t="s">
        <v>136</v>
      </c>
    </row>
    <row r="56" spans="1:14" s="72" customFormat="1" ht="22.5" customHeight="1">
      <c r="A56" s="73" t="s">
        <v>137</v>
      </c>
      <c r="B56" s="177">
        <f>_xlfn.COMPOUNDVALUE(173)</f>
        <v>857</v>
      </c>
      <c r="C56" s="178">
        <v>544199</v>
      </c>
      <c r="D56" s="177">
        <f>_xlfn.COMPOUNDVALUE(174)</f>
        <v>1242</v>
      </c>
      <c r="E56" s="178">
        <v>437964</v>
      </c>
      <c r="F56" s="177">
        <f>_xlfn.COMPOUNDVALUE(175)</f>
        <v>2099</v>
      </c>
      <c r="G56" s="178">
        <v>982163</v>
      </c>
      <c r="H56" s="177">
        <f>_xlfn.COMPOUNDVALUE(176)</f>
        <v>83</v>
      </c>
      <c r="I56" s="179">
        <v>41976</v>
      </c>
      <c r="J56" s="177">
        <v>147</v>
      </c>
      <c r="K56" s="179">
        <v>15176</v>
      </c>
      <c r="L56" s="177">
        <f>_xlfn.COMPOUNDVALUE(176)</f>
        <v>2229</v>
      </c>
      <c r="M56" s="179">
        <v>955362</v>
      </c>
      <c r="N56" s="74" t="s">
        <v>138</v>
      </c>
    </row>
    <row r="57" spans="1:14" s="72" customFormat="1" ht="22.5" customHeight="1">
      <c r="A57" s="73" t="s">
        <v>139</v>
      </c>
      <c r="B57" s="177">
        <f>_xlfn.COMPOUNDVALUE(177)</f>
        <v>762</v>
      </c>
      <c r="C57" s="178">
        <v>432429</v>
      </c>
      <c r="D57" s="177">
        <f>_xlfn.COMPOUNDVALUE(178)</f>
        <v>1130</v>
      </c>
      <c r="E57" s="178">
        <v>421261</v>
      </c>
      <c r="F57" s="177">
        <f>_xlfn.COMPOUNDVALUE(179)</f>
        <v>1892</v>
      </c>
      <c r="G57" s="178">
        <v>853690</v>
      </c>
      <c r="H57" s="177">
        <f>_xlfn.COMPOUNDVALUE(180)</f>
        <v>81</v>
      </c>
      <c r="I57" s="179">
        <v>31524</v>
      </c>
      <c r="J57" s="177">
        <v>161</v>
      </c>
      <c r="K57" s="179">
        <v>9415</v>
      </c>
      <c r="L57" s="177">
        <f>_xlfn.COMPOUNDVALUE(180)</f>
        <v>2022</v>
      </c>
      <c r="M57" s="179">
        <v>831580</v>
      </c>
      <c r="N57" s="74" t="s">
        <v>140</v>
      </c>
    </row>
    <row r="58" spans="1:14" s="72" customFormat="1" ht="22.5" customHeight="1">
      <c r="A58" s="73" t="s">
        <v>141</v>
      </c>
      <c r="B58" s="177">
        <f>_xlfn.COMPOUNDVALUE(181)</f>
        <v>633</v>
      </c>
      <c r="C58" s="178">
        <v>309773</v>
      </c>
      <c r="D58" s="177">
        <f>_xlfn.COMPOUNDVALUE(182)</f>
        <v>777</v>
      </c>
      <c r="E58" s="178">
        <v>278463</v>
      </c>
      <c r="F58" s="177">
        <f>_xlfn.COMPOUNDVALUE(183)</f>
        <v>1410</v>
      </c>
      <c r="G58" s="178">
        <v>588236</v>
      </c>
      <c r="H58" s="177">
        <f>_xlfn.COMPOUNDVALUE(184)</f>
        <v>53</v>
      </c>
      <c r="I58" s="179">
        <v>54621</v>
      </c>
      <c r="J58" s="177">
        <v>119</v>
      </c>
      <c r="K58" s="179">
        <v>10586</v>
      </c>
      <c r="L58" s="177">
        <f>_xlfn.COMPOUNDVALUE(184)</f>
        <v>1485</v>
      </c>
      <c r="M58" s="179">
        <v>544201</v>
      </c>
      <c r="N58" s="74" t="s">
        <v>142</v>
      </c>
    </row>
    <row r="59" spans="1:14" s="72" customFormat="1" ht="22.5" customHeight="1">
      <c r="A59" s="73" t="s">
        <v>143</v>
      </c>
      <c r="B59" s="177">
        <f>_xlfn.COMPOUNDVALUE(185)</f>
        <v>893</v>
      </c>
      <c r="C59" s="178">
        <v>592919</v>
      </c>
      <c r="D59" s="177">
        <f>_xlfn.COMPOUNDVALUE(186)</f>
        <v>1375</v>
      </c>
      <c r="E59" s="178">
        <v>540334</v>
      </c>
      <c r="F59" s="177">
        <f>_xlfn.COMPOUNDVALUE(187)</f>
        <v>2268</v>
      </c>
      <c r="G59" s="178">
        <v>1133253</v>
      </c>
      <c r="H59" s="177">
        <f>_xlfn.COMPOUNDVALUE(188)</f>
        <v>81</v>
      </c>
      <c r="I59" s="179">
        <v>48761</v>
      </c>
      <c r="J59" s="177">
        <v>182</v>
      </c>
      <c r="K59" s="179">
        <v>21409</v>
      </c>
      <c r="L59" s="177">
        <f>_xlfn.COMPOUNDVALUE(188)</f>
        <v>2398</v>
      </c>
      <c r="M59" s="179">
        <v>1105901</v>
      </c>
      <c r="N59" s="74" t="s">
        <v>144</v>
      </c>
    </row>
    <row r="60" spans="1:14" s="72" customFormat="1" ht="22.5" customHeight="1">
      <c r="A60" s="73" t="s">
        <v>145</v>
      </c>
      <c r="B60" s="177">
        <f>_xlfn.COMPOUNDVALUE(189)</f>
        <v>509</v>
      </c>
      <c r="C60" s="178">
        <v>347545</v>
      </c>
      <c r="D60" s="177">
        <f>_xlfn.COMPOUNDVALUE(190)</f>
        <v>739</v>
      </c>
      <c r="E60" s="178">
        <v>251675</v>
      </c>
      <c r="F60" s="177">
        <f>_xlfn.COMPOUNDVALUE(191)</f>
        <v>1248</v>
      </c>
      <c r="G60" s="178">
        <v>599220</v>
      </c>
      <c r="H60" s="177">
        <f>_xlfn.COMPOUNDVALUE(192)</f>
        <v>26</v>
      </c>
      <c r="I60" s="179">
        <v>12462</v>
      </c>
      <c r="J60" s="177">
        <v>45</v>
      </c>
      <c r="K60" s="179">
        <v>5758</v>
      </c>
      <c r="L60" s="177">
        <f>_xlfn.COMPOUNDVALUE(192)</f>
        <v>1292</v>
      </c>
      <c r="M60" s="179">
        <v>592516</v>
      </c>
      <c r="N60" s="74" t="s">
        <v>146</v>
      </c>
    </row>
    <row r="61" spans="1:14" s="72" customFormat="1" ht="22.5" customHeight="1">
      <c r="A61" s="75" t="s">
        <v>147</v>
      </c>
      <c r="B61" s="180">
        <v>7402</v>
      </c>
      <c r="C61" s="181">
        <v>4543042</v>
      </c>
      <c r="D61" s="180">
        <v>10563</v>
      </c>
      <c r="E61" s="181">
        <v>3934987</v>
      </c>
      <c r="F61" s="180">
        <v>17965</v>
      </c>
      <c r="G61" s="181">
        <v>8478029</v>
      </c>
      <c r="H61" s="180">
        <v>568</v>
      </c>
      <c r="I61" s="182">
        <v>334293</v>
      </c>
      <c r="J61" s="180">
        <v>1340</v>
      </c>
      <c r="K61" s="182">
        <v>150100</v>
      </c>
      <c r="L61" s="180">
        <v>18969</v>
      </c>
      <c r="M61" s="182">
        <v>8293836</v>
      </c>
      <c r="N61" s="76" t="s">
        <v>148</v>
      </c>
    </row>
    <row r="62" spans="1:14" s="72" customFormat="1" ht="22.5" customHeight="1" thickBot="1">
      <c r="A62" s="80"/>
      <c r="B62" s="187"/>
      <c r="C62" s="188"/>
      <c r="D62" s="187"/>
      <c r="E62" s="188"/>
      <c r="F62" s="189"/>
      <c r="G62" s="188"/>
      <c r="H62" s="189"/>
      <c r="I62" s="188"/>
      <c r="J62" s="189"/>
      <c r="K62" s="188"/>
      <c r="L62" s="189"/>
      <c r="M62" s="188"/>
      <c r="N62" s="81"/>
    </row>
    <row r="63" spans="1:14" s="72" customFormat="1" ht="22.5" customHeight="1" thickBot="1" thickTop="1">
      <c r="A63" s="82" t="s">
        <v>42</v>
      </c>
      <c r="B63" s="190">
        <v>56562</v>
      </c>
      <c r="C63" s="191">
        <v>34657817</v>
      </c>
      <c r="D63" s="190">
        <v>93800</v>
      </c>
      <c r="E63" s="191">
        <v>35002688</v>
      </c>
      <c r="F63" s="190">
        <v>150362</v>
      </c>
      <c r="G63" s="191">
        <v>69660505</v>
      </c>
      <c r="H63" s="190">
        <v>4094</v>
      </c>
      <c r="I63" s="192">
        <v>2447865</v>
      </c>
      <c r="J63" s="190">
        <v>9807</v>
      </c>
      <c r="K63" s="192">
        <v>1234641</v>
      </c>
      <c r="L63" s="190">
        <v>157903</v>
      </c>
      <c r="M63" s="192">
        <v>68447281</v>
      </c>
      <c r="N63" s="83" t="s">
        <v>43</v>
      </c>
    </row>
    <row r="64" spans="1:14" s="120" customFormat="1" ht="3" customHeight="1">
      <c r="A64" s="118"/>
      <c r="B64" s="119"/>
      <c r="C64" s="119"/>
      <c r="D64" s="119"/>
      <c r="E64" s="119"/>
      <c r="F64" s="119"/>
      <c r="G64" s="119"/>
      <c r="H64" s="119"/>
      <c r="I64" s="119"/>
      <c r="J64" s="119"/>
      <c r="K64" s="119"/>
      <c r="L64" s="119"/>
      <c r="M64" s="119"/>
      <c r="N64" s="118"/>
    </row>
    <row r="65" spans="1:14" ht="22.5" customHeight="1">
      <c r="A65" s="245" t="s">
        <v>149</v>
      </c>
      <c r="B65" s="245"/>
      <c r="C65" s="245"/>
      <c r="D65" s="245"/>
      <c r="E65" s="245"/>
      <c r="F65" s="245"/>
      <c r="G65" s="245"/>
      <c r="H65" s="245"/>
      <c r="I65" s="245"/>
      <c r="J65" s="60"/>
      <c r="K65" s="60"/>
      <c r="L65" s="61"/>
      <c r="M65" s="61"/>
      <c r="N65" s="61"/>
    </row>
  </sheetData>
  <sheetProtection/>
  <mergeCells count="11">
    <mergeCell ref="L3:M4"/>
    <mergeCell ref="N3:N5"/>
    <mergeCell ref="B4:C4"/>
    <mergeCell ref="D4:E4"/>
    <mergeCell ref="F4:G4"/>
    <mergeCell ref="A65:I65"/>
    <mergeCell ref="A2:G2"/>
    <mergeCell ref="A3:A5"/>
    <mergeCell ref="B3:G3"/>
    <mergeCell ref="H3:I4"/>
    <mergeCell ref="J3:K4"/>
  </mergeCells>
  <printOptions horizontalCentered="1"/>
  <pageMargins left="0.5118110236220472" right="0.5118110236220472" top="0.7480314960629921" bottom="0.7480314960629921" header="0.31496062992125984" footer="0.31496062992125984"/>
  <pageSetup horizontalDpi="600" verticalDpi="600" orientation="portrait" paperSize="9" scale="55" r:id="rId1"/>
  <headerFooter alignWithMargins="0">
    <oddFooter>&amp;R名古屋国税局　消費税（H26）</oddFooter>
  </headerFooter>
</worksheet>
</file>

<file path=xl/worksheets/sheet5.xml><?xml version="1.0" encoding="utf-8"?>
<worksheet xmlns="http://schemas.openxmlformats.org/spreadsheetml/2006/main" xmlns:r="http://schemas.openxmlformats.org/officeDocument/2006/relationships">
  <dimension ref="A1:N65"/>
  <sheetViews>
    <sheetView zoomScale="85" zoomScaleNormal="85" zoomScaleSheetLayoutView="100" zoomScalePageLayoutView="0" workbookViewId="0" topLeftCell="A1">
      <selection activeCell="A1" sqref="A1:K1"/>
    </sheetView>
  </sheetViews>
  <sheetFormatPr defaultColWidth="9.00390625" defaultRowHeight="13.5"/>
  <cols>
    <col min="1" max="1" width="11.375" style="173" customWidth="1"/>
    <col min="2" max="2" width="11.25390625" style="173" customWidth="1"/>
    <col min="3" max="3" width="12.625" style="173" customWidth="1"/>
    <col min="4" max="4" width="11.25390625" style="173" customWidth="1"/>
    <col min="5" max="5" width="12.625" style="173" customWidth="1"/>
    <col min="6" max="6" width="11.25390625" style="173" customWidth="1"/>
    <col min="7" max="7" width="12.625" style="173" customWidth="1"/>
    <col min="8" max="8" width="11.25390625" style="173" customWidth="1"/>
    <col min="9" max="9" width="12.625" style="173" customWidth="1"/>
    <col min="10" max="10" width="11.25390625" style="173" customWidth="1"/>
    <col min="11" max="11" width="12.625" style="173" customWidth="1"/>
    <col min="12" max="12" width="11.25390625" style="173" customWidth="1"/>
    <col min="13" max="13" width="12.625" style="173" customWidth="1"/>
    <col min="14" max="14" width="11.375" style="173" customWidth="1"/>
    <col min="15" max="16384" width="9.00390625" style="173" customWidth="1"/>
  </cols>
  <sheetData>
    <row r="1" spans="1:14" ht="13.5">
      <c r="A1" s="60" t="s">
        <v>161</v>
      </c>
      <c r="B1" s="60"/>
      <c r="C1" s="60"/>
      <c r="D1" s="60"/>
      <c r="E1" s="60"/>
      <c r="F1" s="60"/>
      <c r="G1" s="60"/>
      <c r="H1" s="60"/>
      <c r="I1" s="60"/>
      <c r="J1" s="60"/>
      <c r="K1" s="60"/>
      <c r="L1" s="61"/>
      <c r="M1" s="61"/>
      <c r="N1" s="84"/>
    </row>
    <row r="2" spans="1:14" ht="14.25" thickBot="1">
      <c r="A2" s="254" t="s">
        <v>150</v>
      </c>
      <c r="B2" s="254"/>
      <c r="C2" s="254"/>
      <c r="D2" s="254"/>
      <c r="E2" s="254"/>
      <c r="F2" s="254"/>
      <c r="G2" s="254"/>
      <c r="H2" s="254"/>
      <c r="I2" s="254"/>
      <c r="J2" s="60"/>
      <c r="K2" s="60"/>
      <c r="L2" s="61"/>
      <c r="M2" s="61"/>
      <c r="N2" s="84"/>
    </row>
    <row r="3" spans="1:14" ht="22.5" customHeight="1">
      <c r="A3" s="246" t="s">
        <v>157</v>
      </c>
      <c r="B3" s="249" t="s">
        <v>158</v>
      </c>
      <c r="C3" s="249"/>
      <c r="D3" s="249"/>
      <c r="E3" s="249"/>
      <c r="F3" s="249"/>
      <c r="G3" s="249"/>
      <c r="H3" s="250" t="s">
        <v>13</v>
      </c>
      <c r="I3" s="251"/>
      <c r="J3" s="253" t="s">
        <v>37</v>
      </c>
      <c r="K3" s="251"/>
      <c r="L3" s="250" t="s">
        <v>38</v>
      </c>
      <c r="M3" s="251"/>
      <c r="N3" s="239" t="s">
        <v>151</v>
      </c>
    </row>
    <row r="4" spans="1:14" ht="18.75" customHeight="1">
      <c r="A4" s="247"/>
      <c r="B4" s="243" t="s">
        <v>18</v>
      </c>
      <c r="C4" s="244"/>
      <c r="D4" s="243" t="s">
        <v>40</v>
      </c>
      <c r="E4" s="244"/>
      <c r="F4" s="243" t="s">
        <v>41</v>
      </c>
      <c r="G4" s="244"/>
      <c r="H4" s="243"/>
      <c r="I4" s="252"/>
      <c r="J4" s="243"/>
      <c r="K4" s="252"/>
      <c r="L4" s="243"/>
      <c r="M4" s="252"/>
      <c r="N4" s="240"/>
    </row>
    <row r="5" spans="1:14" ht="33.75" customHeight="1">
      <c r="A5" s="248"/>
      <c r="B5" s="204" t="s">
        <v>230</v>
      </c>
      <c r="C5" s="62" t="s">
        <v>159</v>
      </c>
      <c r="D5" s="204" t="s">
        <v>230</v>
      </c>
      <c r="E5" s="62" t="s">
        <v>159</v>
      </c>
      <c r="F5" s="204" t="s">
        <v>230</v>
      </c>
      <c r="G5" s="63" t="s">
        <v>227</v>
      </c>
      <c r="H5" s="204" t="s">
        <v>230</v>
      </c>
      <c r="I5" s="63" t="s">
        <v>228</v>
      </c>
      <c r="J5" s="204" t="s">
        <v>230</v>
      </c>
      <c r="K5" s="63" t="s">
        <v>229</v>
      </c>
      <c r="L5" s="204" t="s">
        <v>230</v>
      </c>
      <c r="M5" s="63" t="s">
        <v>160</v>
      </c>
      <c r="N5" s="241"/>
    </row>
    <row r="6" spans="1:14" s="85" customFormat="1" ht="10.5">
      <c r="A6" s="64"/>
      <c r="B6" s="65" t="s">
        <v>4</v>
      </c>
      <c r="C6" s="66" t="s">
        <v>5</v>
      </c>
      <c r="D6" s="65" t="s">
        <v>4</v>
      </c>
      <c r="E6" s="66" t="s">
        <v>5</v>
      </c>
      <c r="F6" s="65" t="s">
        <v>4</v>
      </c>
      <c r="G6" s="66" t="s">
        <v>5</v>
      </c>
      <c r="H6" s="65" t="s">
        <v>4</v>
      </c>
      <c r="I6" s="67" t="s">
        <v>5</v>
      </c>
      <c r="J6" s="65" t="s">
        <v>4</v>
      </c>
      <c r="K6" s="67" t="s">
        <v>5</v>
      </c>
      <c r="L6" s="65" t="s">
        <v>4</v>
      </c>
      <c r="M6" s="67" t="s">
        <v>5</v>
      </c>
      <c r="N6" s="68"/>
    </row>
    <row r="7" spans="1:14" ht="22.5" customHeight="1">
      <c r="A7" s="70" t="s">
        <v>162</v>
      </c>
      <c r="B7" s="174">
        <f>_xlfn.COMPOUNDVALUE(193)</f>
        <v>4557</v>
      </c>
      <c r="C7" s="175">
        <v>25491435</v>
      </c>
      <c r="D7" s="174">
        <f>_xlfn.COMPOUNDVALUE(194)</f>
        <v>1814</v>
      </c>
      <c r="E7" s="175">
        <v>846696</v>
      </c>
      <c r="F7" s="174">
        <f>_xlfn.COMPOUNDVALUE(195)</f>
        <v>6371</v>
      </c>
      <c r="G7" s="175">
        <v>26338131</v>
      </c>
      <c r="H7" s="174">
        <f>_xlfn.COMPOUNDVALUE(196)</f>
        <v>319</v>
      </c>
      <c r="I7" s="176">
        <v>1518962</v>
      </c>
      <c r="J7" s="174">
        <v>356</v>
      </c>
      <c r="K7" s="176">
        <v>50948</v>
      </c>
      <c r="L7" s="174">
        <f>_xlfn.COMPOUNDVALUE(196)</f>
        <v>6734</v>
      </c>
      <c r="M7" s="176">
        <v>24870118</v>
      </c>
      <c r="N7" s="71" t="s">
        <v>46</v>
      </c>
    </row>
    <row r="8" spans="1:14" ht="22.5" customHeight="1">
      <c r="A8" s="73" t="s">
        <v>175</v>
      </c>
      <c r="B8" s="177">
        <f>_xlfn.COMPOUNDVALUE(197)</f>
        <v>4291</v>
      </c>
      <c r="C8" s="178">
        <v>28010171</v>
      </c>
      <c r="D8" s="177">
        <f>_xlfn.COMPOUNDVALUE(198)</f>
        <v>1567</v>
      </c>
      <c r="E8" s="178">
        <v>795955</v>
      </c>
      <c r="F8" s="177">
        <f>_xlfn.COMPOUNDVALUE(199)</f>
        <v>5858</v>
      </c>
      <c r="G8" s="178">
        <v>28806125</v>
      </c>
      <c r="H8" s="177">
        <f>_xlfn.COMPOUNDVALUE(200)</f>
        <v>281</v>
      </c>
      <c r="I8" s="179">
        <v>1378077</v>
      </c>
      <c r="J8" s="177">
        <v>302</v>
      </c>
      <c r="K8" s="179">
        <v>15886</v>
      </c>
      <c r="L8" s="177">
        <f>_xlfn.COMPOUNDVALUE(200)</f>
        <v>6166</v>
      </c>
      <c r="M8" s="179">
        <v>27443934</v>
      </c>
      <c r="N8" s="74" t="s">
        <v>48</v>
      </c>
    </row>
    <row r="9" spans="1:14" ht="22.5" customHeight="1">
      <c r="A9" s="73" t="s">
        <v>176</v>
      </c>
      <c r="B9" s="177">
        <f>_xlfn.COMPOUNDVALUE(201)</f>
        <v>3425</v>
      </c>
      <c r="C9" s="178">
        <v>28914499</v>
      </c>
      <c r="D9" s="177">
        <f>_xlfn.COMPOUNDVALUE(202)</f>
        <v>1224</v>
      </c>
      <c r="E9" s="178">
        <v>607784</v>
      </c>
      <c r="F9" s="177">
        <f>_xlfn.COMPOUNDVALUE(203)</f>
        <v>4649</v>
      </c>
      <c r="G9" s="178">
        <v>29522282</v>
      </c>
      <c r="H9" s="177">
        <f>_xlfn.COMPOUNDVALUE(204)</f>
        <v>248</v>
      </c>
      <c r="I9" s="179">
        <v>6327392</v>
      </c>
      <c r="J9" s="177">
        <v>357</v>
      </c>
      <c r="K9" s="179">
        <v>-69794</v>
      </c>
      <c r="L9" s="177">
        <f>_xlfn.COMPOUNDVALUE(204)</f>
        <v>4931</v>
      </c>
      <c r="M9" s="179">
        <v>23125096</v>
      </c>
      <c r="N9" s="74" t="s">
        <v>50</v>
      </c>
    </row>
    <row r="10" spans="1:14" ht="22.5" customHeight="1">
      <c r="A10" s="73" t="s">
        <v>177</v>
      </c>
      <c r="B10" s="177">
        <f>_xlfn.COMPOUNDVALUE(205)</f>
        <v>1926</v>
      </c>
      <c r="C10" s="178">
        <v>8481874</v>
      </c>
      <c r="D10" s="177">
        <f>_xlfn.COMPOUNDVALUE(206)</f>
        <v>848</v>
      </c>
      <c r="E10" s="178">
        <v>389864</v>
      </c>
      <c r="F10" s="177">
        <f>_xlfn.COMPOUNDVALUE(207)</f>
        <v>2774</v>
      </c>
      <c r="G10" s="178">
        <v>8871738</v>
      </c>
      <c r="H10" s="177">
        <f>_xlfn.COMPOUNDVALUE(208)</f>
        <v>117</v>
      </c>
      <c r="I10" s="179">
        <v>207172</v>
      </c>
      <c r="J10" s="177">
        <v>200</v>
      </c>
      <c r="K10" s="179">
        <v>2682</v>
      </c>
      <c r="L10" s="177">
        <f>_xlfn.COMPOUNDVALUE(208)</f>
        <v>2907</v>
      </c>
      <c r="M10" s="179">
        <v>8667249</v>
      </c>
      <c r="N10" s="74" t="s">
        <v>52</v>
      </c>
    </row>
    <row r="11" spans="1:14" ht="22.5" customHeight="1">
      <c r="A11" s="73" t="s">
        <v>178</v>
      </c>
      <c r="B11" s="177">
        <f>_xlfn.COMPOUNDVALUE(209)</f>
        <v>2847</v>
      </c>
      <c r="C11" s="178">
        <v>14996139</v>
      </c>
      <c r="D11" s="177">
        <f>_xlfn.COMPOUNDVALUE(210)</f>
        <v>1425</v>
      </c>
      <c r="E11" s="178">
        <v>608655</v>
      </c>
      <c r="F11" s="177">
        <f>_xlfn.COMPOUNDVALUE(211)</f>
        <v>4272</v>
      </c>
      <c r="G11" s="178">
        <v>15604794</v>
      </c>
      <c r="H11" s="177">
        <f>_xlfn.COMPOUNDVALUE(212)</f>
        <v>239</v>
      </c>
      <c r="I11" s="179">
        <v>438626</v>
      </c>
      <c r="J11" s="177">
        <v>227</v>
      </c>
      <c r="K11" s="179">
        <v>28267</v>
      </c>
      <c r="L11" s="177">
        <f>_xlfn.COMPOUNDVALUE(212)</f>
        <v>4535</v>
      </c>
      <c r="M11" s="179">
        <v>15194434</v>
      </c>
      <c r="N11" s="74" t="s">
        <v>54</v>
      </c>
    </row>
    <row r="12" spans="1:14" ht="22.5" customHeight="1">
      <c r="A12" s="73" t="s">
        <v>179</v>
      </c>
      <c r="B12" s="177">
        <f>_xlfn.COMPOUNDVALUE(213)</f>
        <v>2747</v>
      </c>
      <c r="C12" s="178">
        <v>13666852</v>
      </c>
      <c r="D12" s="177">
        <f>_xlfn.COMPOUNDVALUE(214)</f>
        <v>1057</v>
      </c>
      <c r="E12" s="178">
        <v>541561</v>
      </c>
      <c r="F12" s="177">
        <f>_xlfn.COMPOUNDVALUE(215)</f>
        <v>3804</v>
      </c>
      <c r="G12" s="178">
        <v>14208413</v>
      </c>
      <c r="H12" s="177">
        <f>_xlfn.COMPOUNDVALUE(216)</f>
        <v>195</v>
      </c>
      <c r="I12" s="179">
        <v>1349383</v>
      </c>
      <c r="J12" s="177">
        <v>182</v>
      </c>
      <c r="K12" s="179">
        <v>31011</v>
      </c>
      <c r="L12" s="177">
        <f>_xlfn.COMPOUNDVALUE(216)</f>
        <v>4013</v>
      </c>
      <c r="M12" s="179">
        <v>12890041</v>
      </c>
      <c r="N12" s="74" t="s">
        <v>56</v>
      </c>
    </row>
    <row r="13" spans="1:14" ht="22.5" customHeight="1">
      <c r="A13" s="73" t="s">
        <v>180</v>
      </c>
      <c r="B13" s="177">
        <f>_xlfn.COMPOUNDVALUE(217)</f>
        <v>1194</v>
      </c>
      <c r="C13" s="178">
        <v>10558808</v>
      </c>
      <c r="D13" s="177">
        <f>_xlfn.COMPOUNDVALUE(218)</f>
        <v>522</v>
      </c>
      <c r="E13" s="178">
        <v>237387</v>
      </c>
      <c r="F13" s="177">
        <f>_xlfn.COMPOUNDVALUE(219)</f>
        <v>1716</v>
      </c>
      <c r="G13" s="178">
        <v>10796195</v>
      </c>
      <c r="H13" s="177">
        <f>_xlfn.COMPOUNDVALUE(220)</f>
        <v>71</v>
      </c>
      <c r="I13" s="179">
        <v>280527</v>
      </c>
      <c r="J13" s="177">
        <v>99</v>
      </c>
      <c r="K13" s="179">
        <v>5573</v>
      </c>
      <c r="L13" s="177">
        <f>_xlfn.COMPOUNDVALUE(220)</f>
        <v>1790</v>
      </c>
      <c r="M13" s="179">
        <v>10521241</v>
      </c>
      <c r="N13" s="74" t="s">
        <v>58</v>
      </c>
    </row>
    <row r="14" spans="1:14" ht="22.5" customHeight="1">
      <c r="A14" s="75" t="s">
        <v>181</v>
      </c>
      <c r="B14" s="180">
        <v>20987</v>
      </c>
      <c r="C14" s="181">
        <v>130119777</v>
      </c>
      <c r="D14" s="180">
        <v>8457</v>
      </c>
      <c r="E14" s="181">
        <v>4027901</v>
      </c>
      <c r="F14" s="180">
        <v>29444</v>
      </c>
      <c r="G14" s="181">
        <v>134147678</v>
      </c>
      <c r="H14" s="180">
        <v>1470</v>
      </c>
      <c r="I14" s="182">
        <v>11500139</v>
      </c>
      <c r="J14" s="180">
        <v>1723</v>
      </c>
      <c r="K14" s="182">
        <v>64574</v>
      </c>
      <c r="L14" s="180">
        <v>31076</v>
      </c>
      <c r="M14" s="182">
        <v>122712112</v>
      </c>
      <c r="N14" s="76" t="s">
        <v>60</v>
      </c>
    </row>
    <row r="15" spans="1:14" ht="22.5" customHeight="1">
      <c r="A15" s="77"/>
      <c r="B15" s="183"/>
      <c r="C15" s="184"/>
      <c r="D15" s="183"/>
      <c r="E15" s="184"/>
      <c r="F15" s="185"/>
      <c r="G15" s="184"/>
      <c r="H15" s="185"/>
      <c r="I15" s="184"/>
      <c r="J15" s="185"/>
      <c r="K15" s="184"/>
      <c r="L15" s="185"/>
      <c r="M15" s="184"/>
      <c r="N15" s="78"/>
    </row>
    <row r="16" spans="1:14" ht="22.5" customHeight="1">
      <c r="A16" s="70" t="s">
        <v>182</v>
      </c>
      <c r="B16" s="174">
        <f>_xlfn.COMPOUNDVALUE(221)</f>
        <v>5358</v>
      </c>
      <c r="C16" s="175">
        <v>42309746</v>
      </c>
      <c r="D16" s="174">
        <f>_xlfn.COMPOUNDVALUE(222)</f>
        <v>2283</v>
      </c>
      <c r="E16" s="175">
        <v>1111784</v>
      </c>
      <c r="F16" s="174">
        <f>_xlfn.COMPOUNDVALUE(223)</f>
        <v>7641</v>
      </c>
      <c r="G16" s="175">
        <v>43421530</v>
      </c>
      <c r="H16" s="174">
        <f>_xlfn.COMPOUNDVALUE(224)</f>
        <v>323</v>
      </c>
      <c r="I16" s="176">
        <v>3112910</v>
      </c>
      <c r="J16" s="174">
        <v>452</v>
      </c>
      <c r="K16" s="176">
        <v>227392</v>
      </c>
      <c r="L16" s="174">
        <f>_xlfn.COMPOUNDVALUE(224)</f>
        <v>8007</v>
      </c>
      <c r="M16" s="176">
        <v>40536012</v>
      </c>
      <c r="N16" s="79" t="s">
        <v>62</v>
      </c>
    </row>
    <row r="17" spans="1:14" ht="22.5" customHeight="1">
      <c r="A17" s="70" t="s">
        <v>183</v>
      </c>
      <c r="B17" s="174">
        <f>_xlfn.COMPOUNDVALUE(225)</f>
        <v>2445</v>
      </c>
      <c r="C17" s="175">
        <v>16538844</v>
      </c>
      <c r="D17" s="174">
        <f>_xlfn.COMPOUNDVALUE(226)</f>
        <v>1004</v>
      </c>
      <c r="E17" s="175">
        <v>481923</v>
      </c>
      <c r="F17" s="174">
        <f>_xlfn.COMPOUNDVALUE(227)</f>
        <v>3449</v>
      </c>
      <c r="G17" s="175">
        <v>17020767</v>
      </c>
      <c r="H17" s="174">
        <f>_xlfn.COMPOUNDVALUE(228)</f>
        <v>187</v>
      </c>
      <c r="I17" s="176">
        <v>1345720</v>
      </c>
      <c r="J17" s="174">
        <v>280</v>
      </c>
      <c r="K17" s="176">
        <v>16335</v>
      </c>
      <c r="L17" s="174">
        <f>_xlfn.COMPOUNDVALUE(228)</f>
        <v>3655</v>
      </c>
      <c r="M17" s="176">
        <v>15691382</v>
      </c>
      <c r="N17" s="71" t="s">
        <v>64</v>
      </c>
    </row>
    <row r="18" spans="1:14" ht="22.5" customHeight="1">
      <c r="A18" s="70" t="s">
        <v>184</v>
      </c>
      <c r="B18" s="174">
        <f>_xlfn.COMPOUNDVALUE(229)</f>
        <v>5087</v>
      </c>
      <c r="C18" s="175">
        <v>31820234</v>
      </c>
      <c r="D18" s="174">
        <f>_xlfn.COMPOUNDVALUE(230)</f>
        <v>2486</v>
      </c>
      <c r="E18" s="175">
        <v>1182538</v>
      </c>
      <c r="F18" s="174">
        <f>_xlfn.COMPOUNDVALUE(231)</f>
        <v>7573</v>
      </c>
      <c r="G18" s="175">
        <v>33002772</v>
      </c>
      <c r="H18" s="174">
        <f>_xlfn.COMPOUNDVALUE(232)</f>
        <v>425</v>
      </c>
      <c r="I18" s="176">
        <v>7162707</v>
      </c>
      <c r="J18" s="174">
        <v>418</v>
      </c>
      <c r="K18" s="176">
        <v>47068</v>
      </c>
      <c r="L18" s="174">
        <f>_xlfn.COMPOUNDVALUE(232)</f>
        <v>8027</v>
      </c>
      <c r="M18" s="176">
        <v>25887134</v>
      </c>
      <c r="N18" s="71" t="s">
        <v>66</v>
      </c>
    </row>
    <row r="19" spans="1:14" ht="22.5" customHeight="1">
      <c r="A19" s="70" t="s">
        <v>185</v>
      </c>
      <c r="B19" s="174">
        <f>_xlfn.COMPOUNDVALUE(233)</f>
        <v>3863</v>
      </c>
      <c r="C19" s="175">
        <v>21262748</v>
      </c>
      <c r="D19" s="174">
        <f>_xlfn.COMPOUNDVALUE(234)</f>
        <v>1657</v>
      </c>
      <c r="E19" s="175">
        <v>766344</v>
      </c>
      <c r="F19" s="174">
        <f>_xlfn.COMPOUNDVALUE(235)</f>
        <v>5520</v>
      </c>
      <c r="G19" s="175">
        <v>22029093</v>
      </c>
      <c r="H19" s="174">
        <f>_xlfn.COMPOUNDVALUE(236)</f>
        <v>277</v>
      </c>
      <c r="I19" s="176">
        <v>12697000</v>
      </c>
      <c r="J19" s="174">
        <v>351</v>
      </c>
      <c r="K19" s="176">
        <v>23353</v>
      </c>
      <c r="L19" s="174">
        <f>_xlfn.COMPOUNDVALUE(236)</f>
        <v>5823</v>
      </c>
      <c r="M19" s="176">
        <v>9355446</v>
      </c>
      <c r="N19" s="71" t="s">
        <v>68</v>
      </c>
    </row>
    <row r="20" spans="1:14" ht="22.5" customHeight="1">
      <c r="A20" s="70" t="s">
        <v>186</v>
      </c>
      <c r="B20" s="174">
        <f>_xlfn.COMPOUNDVALUE(237)</f>
        <v>4294</v>
      </c>
      <c r="C20" s="175">
        <v>28734841</v>
      </c>
      <c r="D20" s="174">
        <f>_xlfn.COMPOUNDVALUE(238)</f>
        <v>2104</v>
      </c>
      <c r="E20" s="175">
        <v>1011237</v>
      </c>
      <c r="F20" s="174">
        <f>_xlfn.COMPOUNDVALUE(239)</f>
        <v>6398</v>
      </c>
      <c r="G20" s="175">
        <v>29746078</v>
      </c>
      <c r="H20" s="174">
        <f>_xlfn.COMPOUNDVALUE(240)</f>
        <v>200</v>
      </c>
      <c r="I20" s="176">
        <v>1452526</v>
      </c>
      <c r="J20" s="174">
        <v>432</v>
      </c>
      <c r="K20" s="176">
        <v>43898</v>
      </c>
      <c r="L20" s="174">
        <f>_xlfn.COMPOUNDVALUE(240)</f>
        <v>6653</v>
      </c>
      <c r="M20" s="176">
        <v>28337450</v>
      </c>
      <c r="N20" s="71" t="s">
        <v>70</v>
      </c>
    </row>
    <row r="21" spans="1:14" ht="22.5" customHeight="1">
      <c r="A21" s="70" t="s">
        <v>187</v>
      </c>
      <c r="B21" s="174">
        <f>_xlfn.COMPOUNDVALUE(241)</f>
        <v>1222</v>
      </c>
      <c r="C21" s="175">
        <v>4285424</v>
      </c>
      <c r="D21" s="174">
        <f>_xlfn.COMPOUNDVALUE(242)</f>
        <v>750</v>
      </c>
      <c r="E21" s="175">
        <v>318231</v>
      </c>
      <c r="F21" s="174">
        <f>_xlfn.COMPOUNDVALUE(243)</f>
        <v>1972</v>
      </c>
      <c r="G21" s="175">
        <v>4603654</v>
      </c>
      <c r="H21" s="174">
        <f>_xlfn.COMPOUNDVALUE(244)</f>
        <v>54</v>
      </c>
      <c r="I21" s="176">
        <v>162033</v>
      </c>
      <c r="J21" s="174">
        <v>162</v>
      </c>
      <c r="K21" s="176">
        <v>13163</v>
      </c>
      <c r="L21" s="174">
        <f>_xlfn.COMPOUNDVALUE(244)</f>
        <v>2038</v>
      </c>
      <c r="M21" s="176">
        <v>4454784</v>
      </c>
      <c r="N21" s="71" t="s">
        <v>72</v>
      </c>
    </row>
    <row r="22" spans="1:14" ht="22.5" customHeight="1">
      <c r="A22" s="73" t="s">
        <v>188</v>
      </c>
      <c r="B22" s="177">
        <f>_xlfn.COMPOUNDVALUE(245)</f>
        <v>2014</v>
      </c>
      <c r="C22" s="178">
        <v>9040422</v>
      </c>
      <c r="D22" s="177">
        <f>_xlfn.COMPOUNDVALUE(246)</f>
        <v>1092</v>
      </c>
      <c r="E22" s="178">
        <v>509121</v>
      </c>
      <c r="F22" s="177">
        <f>_xlfn.COMPOUNDVALUE(247)</f>
        <v>3106</v>
      </c>
      <c r="G22" s="178">
        <v>9549543</v>
      </c>
      <c r="H22" s="177">
        <f>_xlfn.COMPOUNDVALUE(248)</f>
        <v>92</v>
      </c>
      <c r="I22" s="179">
        <v>293337</v>
      </c>
      <c r="J22" s="177">
        <v>246</v>
      </c>
      <c r="K22" s="179">
        <v>13339</v>
      </c>
      <c r="L22" s="177">
        <f>_xlfn.COMPOUNDVALUE(248)</f>
        <v>3221</v>
      </c>
      <c r="M22" s="179">
        <v>9269546</v>
      </c>
      <c r="N22" s="74" t="s">
        <v>74</v>
      </c>
    </row>
    <row r="23" spans="1:14" ht="22.5" customHeight="1">
      <c r="A23" s="73" t="s">
        <v>189</v>
      </c>
      <c r="B23" s="177">
        <f>_xlfn.COMPOUNDVALUE(249)</f>
        <v>1762</v>
      </c>
      <c r="C23" s="178">
        <v>9842731</v>
      </c>
      <c r="D23" s="177">
        <f>_xlfn.COMPOUNDVALUE(250)</f>
        <v>650</v>
      </c>
      <c r="E23" s="178">
        <v>309026</v>
      </c>
      <c r="F23" s="177">
        <f>_xlfn.COMPOUNDVALUE(251)</f>
        <v>2412</v>
      </c>
      <c r="G23" s="178">
        <v>10151757</v>
      </c>
      <c r="H23" s="177">
        <f>_xlfn.COMPOUNDVALUE(252)</f>
        <v>88</v>
      </c>
      <c r="I23" s="179">
        <v>509061</v>
      </c>
      <c r="J23" s="177">
        <v>115</v>
      </c>
      <c r="K23" s="179">
        <v>2175</v>
      </c>
      <c r="L23" s="177">
        <f>_xlfn.COMPOUNDVALUE(252)</f>
        <v>2527</v>
      </c>
      <c r="M23" s="179">
        <v>9644871</v>
      </c>
      <c r="N23" s="74" t="s">
        <v>76</v>
      </c>
    </row>
    <row r="24" spans="1:14" ht="22.5" customHeight="1">
      <c r="A24" s="73" t="s">
        <v>190</v>
      </c>
      <c r="B24" s="177">
        <f>_xlfn.COMPOUNDVALUE(253)</f>
        <v>3720</v>
      </c>
      <c r="C24" s="178">
        <v>21875455</v>
      </c>
      <c r="D24" s="177">
        <f>_xlfn.COMPOUNDVALUE(254)</f>
        <v>1580</v>
      </c>
      <c r="E24" s="178">
        <v>779631</v>
      </c>
      <c r="F24" s="177">
        <f>_xlfn.COMPOUNDVALUE(255)</f>
        <v>5300</v>
      </c>
      <c r="G24" s="178">
        <v>22655086</v>
      </c>
      <c r="H24" s="177">
        <f>_xlfn.COMPOUNDVALUE(256)</f>
        <v>177</v>
      </c>
      <c r="I24" s="179">
        <v>2788734</v>
      </c>
      <c r="J24" s="177">
        <v>345</v>
      </c>
      <c r="K24" s="179">
        <v>50679</v>
      </c>
      <c r="L24" s="177">
        <f>_xlfn.COMPOUNDVALUE(256)</f>
        <v>5510</v>
      </c>
      <c r="M24" s="179">
        <v>19917031</v>
      </c>
      <c r="N24" s="74" t="s">
        <v>78</v>
      </c>
    </row>
    <row r="25" spans="1:14" ht="22.5" customHeight="1">
      <c r="A25" s="73" t="s">
        <v>191</v>
      </c>
      <c r="B25" s="177">
        <f>_xlfn.COMPOUNDVALUE(257)</f>
        <v>2173</v>
      </c>
      <c r="C25" s="178">
        <v>13770907</v>
      </c>
      <c r="D25" s="177">
        <f>_xlfn.COMPOUNDVALUE(258)</f>
        <v>893</v>
      </c>
      <c r="E25" s="178">
        <v>430999</v>
      </c>
      <c r="F25" s="177">
        <f>_xlfn.COMPOUNDVALUE(259)</f>
        <v>3066</v>
      </c>
      <c r="G25" s="178">
        <v>14201906</v>
      </c>
      <c r="H25" s="177">
        <f>_xlfn.COMPOUNDVALUE(260)</f>
        <v>145</v>
      </c>
      <c r="I25" s="179">
        <v>18671471</v>
      </c>
      <c r="J25" s="177">
        <v>217</v>
      </c>
      <c r="K25" s="179">
        <v>8870</v>
      </c>
      <c r="L25" s="177">
        <f>_xlfn.COMPOUNDVALUE(260)</f>
        <v>3226</v>
      </c>
      <c r="M25" s="179">
        <v>-4460695</v>
      </c>
      <c r="N25" s="74" t="s">
        <v>80</v>
      </c>
    </row>
    <row r="26" spans="1:14" ht="22.5" customHeight="1">
      <c r="A26" s="73" t="s">
        <v>192</v>
      </c>
      <c r="B26" s="177">
        <f>_xlfn.COMPOUNDVALUE(261)</f>
        <v>1633</v>
      </c>
      <c r="C26" s="178">
        <v>8635256</v>
      </c>
      <c r="D26" s="177">
        <f>_xlfn.COMPOUNDVALUE(262)</f>
        <v>664</v>
      </c>
      <c r="E26" s="178">
        <v>315657</v>
      </c>
      <c r="F26" s="177">
        <f>_xlfn.COMPOUNDVALUE(263)</f>
        <v>2297</v>
      </c>
      <c r="G26" s="178">
        <v>8950913</v>
      </c>
      <c r="H26" s="177">
        <f>_xlfn.COMPOUNDVALUE(264)</f>
        <v>92</v>
      </c>
      <c r="I26" s="179">
        <v>1476377</v>
      </c>
      <c r="J26" s="177">
        <v>135</v>
      </c>
      <c r="K26" s="179">
        <v>9066</v>
      </c>
      <c r="L26" s="177">
        <f>_xlfn.COMPOUNDVALUE(264)</f>
        <v>2407</v>
      </c>
      <c r="M26" s="179">
        <v>7483602</v>
      </c>
      <c r="N26" s="74" t="s">
        <v>82</v>
      </c>
    </row>
    <row r="27" spans="1:14" ht="22.5" customHeight="1">
      <c r="A27" s="73" t="s">
        <v>193</v>
      </c>
      <c r="B27" s="177">
        <f>_xlfn.COMPOUNDVALUE(265)</f>
        <v>2545</v>
      </c>
      <c r="C27" s="178">
        <v>13753288</v>
      </c>
      <c r="D27" s="177">
        <f>_xlfn.COMPOUNDVALUE(266)</f>
        <v>957</v>
      </c>
      <c r="E27" s="178">
        <v>463802</v>
      </c>
      <c r="F27" s="177">
        <f>_xlfn.COMPOUNDVALUE(267)</f>
        <v>3502</v>
      </c>
      <c r="G27" s="178">
        <v>14217090</v>
      </c>
      <c r="H27" s="177">
        <f>_xlfn.COMPOUNDVALUE(268)</f>
        <v>161</v>
      </c>
      <c r="I27" s="179">
        <v>599269</v>
      </c>
      <c r="J27" s="177">
        <v>137</v>
      </c>
      <c r="K27" s="179">
        <v>16757</v>
      </c>
      <c r="L27" s="177">
        <f>_xlfn.COMPOUNDVALUE(268)</f>
        <v>3678</v>
      </c>
      <c r="M27" s="179">
        <v>13634578</v>
      </c>
      <c r="N27" s="74" t="s">
        <v>84</v>
      </c>
    </row>
    <row r="28" spans="1:14" ht="22.5" customHeight="1">
      <c r="A28" s="73" t="s">
        <v>194</v>
      </c>
      <c r="B28" s="177">
        <f>_xlfn.COMPOUNDVALUE(269)</f>
        <v>725</v>
      </c>
      <c r="C28" s="178">
        <v>2201741</v>
      </c>
      <c r="D28" s="177">
        <f>_xlfn.COMPOUNDVALUE(270)</f>
        <v>328</v>
      </c>
      <c r="E28" s="178">
        <v>148889</v>
      </c>
      <c r="F28" s="177">
        <f>_xlfn.COMPOUNDVALUE(271)</f>
        <v>1053</v>
      </c>
      <c r="G28" s="178">
        <v>2350631</v>
      </c>
      <c r="H28" s="177">
        <f>_xlfn.COMPOUNDVALUE(272)</f>
        <v>23</v>
      </c>
      <c r="I28" s="179">
        <v>192906</v>
      </c>
      <c r="J28" s="177">
        <v>81</v>
      </c>
      <c r="K28" s="179">
        <v>6507</v>
      </c>
      <c r="L28" s="177">
        <f>_xlfn.COMPOUNDVALUE(272)</f>
        <v>1089</v>
      </c>
      <c r="M28" s="179">
        <v>2164233</v>
      </c>
      <c r="N28" s="74" t="s">
        <v>86</v>
      </c>
    </row>
    <row r="29" spans="1:14" ht="22.5" customHeight="1">
      <c r="A29" s="75" t="s">
        <v>195</v>
      </c>
      <c r="B29" s="180">
        <v>36841</v>
      </c>
      <c r="C29" s="181">
        <v>224071636</v>
      </c>
      <c r="D29" s="180">
        <v>16448</v>
      </c>
      <c r="E29" s="181">
        <v>7829182</v>
      </c>
      <c r="F29" s="180">
        <v>53289</v>
      </c>
      <c r="G29" s="181">
        <v>231900818</v>
      </c>
      <c r="H29" s="180">
        <v>2244</v>
      </c>
      <c r="I29" s="182">
        <v>50464049</v>
      </c>
      <c r="J29" s="180">
        <v>3371</v>
      </c>
      <c r="K29" s="182">
        <v>478602</v>
      </c>
      <c r="L29" s="180">
        <v>55861</v>
      </c>
      <c r="M29" s="182">
        <v>181915371</v>
      </c>
      <c r="N29" s="76" t="s">
        <v>88</v>
      </c>
    </row>
    <row r="30" spans="1:14" ht="22.5" customHeight="1">
      <c r="A30" s="77"/>
      <c r="B30" s="183"/>
      <c r="C30" s="184"/>
      <c r="D30" s="183"/>
      <c r="E30" s="184"/>
      <c r="F30" s="185"/>
      <c r="G30" s="184"/>
      <c r="H30" s="185"/>
      <c r="I30" s="184"/>
      <c r="J30" s="185"/>
      <c r="K30" s="184"/>
      <c r="L30" s="185"/>
      <c r="M30" s="184"/>
      <c r="N30" s="78"/>
    </row>
    <row r="31" spans="1:14" ht="22.5" customHeight="1">
      <c r="A31" s="70" t="s">
        <v>196</v>
      </c>
      <c r="B31" s="174">
        <f>_xlfn.COMPOUNDVALUE(273)</f>
        <v>3317</v>
      </c>
      <c r="C31" s="175">
        <v>20941396</v>
      </c>
      <c r="D31" s="174">
        <f>_xlfn.COMPOUNDVALUE(274)</f>
        <v>1491</v>
      </c>
      <c r="E31" s="175">
        <v>762456</v>
      </c>
      <c r="F31" s="174">
        <f>_xlfn.COMPOUNDVALUE(275)</f>
        <v>4808</v>
      </c>
      <c r="G31" s="175">
        <v>21703852</v>
      </c>
      <c r="H31" s="174">
        <f>_xlfn.COMPOUNDVALUE(276)</f>
        <v>313</v>
      </c>
      <c r="I31" s="176">
        <v>1549469</v>
      </c>
      <c r="J31" s="174">
        <v>418</v>
      </c>
      <c r="K31" s="176">
        <v>38074</v>
      </c>
      <c r="L31" s="174">
        <f>_xlfn.COMPOUNDVALUE(276)</f>
        <v>5159</v>
      </c>
      <c r="M31" s="176">
        <v>20192457</v>
      </c>
      <c r="N31" s="79" t="s">
        <v>90</v>
      </c>
    </row>
    <row r="32" spans="1:14" ht="22.5" customHeight="1">
      <c r="A32" s="70" t="s">
        <v>197</v>
      </c>
      <c r="B32" s="174">
        <f>_xlfn.COMPOUNDVALUE(277)</f>
        <v>1952</v>
      </c>
      <c r="C32" s="175">
        <v>69603647</v>
      </c>
      <c r="D32" s="174">
        <f>_xlfn.COMPOUNDVALUE(278)</f>
        <v>691</v>
      </c>
      <c r="E32" s="175">
        <v>365427</v>
      </c>
      <c r="F32" s="174">
        <f>_xlfn.COMPOUNDVALUE(279)</f>
        <v>2643</v>
      </c>
      <c r="G32" s="175">
        <v>69969074</v>
      </c>
      <c r="H32" s="174">
        <f>_xlfn.COMPOUNDVALUE(280)</f>
        <v>263</v>
      </c>
      <c r="I32" s="176">
        <v>4141731</v>
      </c>
      <c r="J32" s="174">
        <v>189</v>
      </c>
      <c r="K32" s="176">
        <v>1205</v>
      </c>
      <c r="L32" s="174">
        <f>_xlfn.COMPOUNDVALUE(280)</f>
        <v>2944</v>
      </c>
      <c r="M32" s="176">
        <v>65828548</v>
      </c>
      <c r="N32" s="71" t="s">
        <v>92</v>
      </c>
    </row>
    <row r="33" spans="1:14" ht="22.5" customHeight="1">
      <c r="A33" s="70" t="s">
        <v>198</v>
      </c>
      <c r="B33" s="174">
        <f>_xlfn.COMPOUNDVALUE(281)</f>
        <v>3730</v>
      </c>
      <c r="C33" s="175">
        <v>22005664</v>
      </c>
      <c r="D33" s="174">
        <f>_xlfn.COMPOUNDVALUE(282)</f>
        <v>1528</v>
      </c>
      <c r="E33" s="175">
        <v>714110</v>
      </c>
      <c r="F33" s="174">
        <f>_xlfn.COMPOUNDVALUE(283)</f>
        <v>5258</v>
      </c>
      <c r="G33" s="175">
        <v>22719774</v>
      </c>
      <c r="H33" s="174">
        <f>_xlfn.COMPOUNDVALUE(284)</f>
        <v>275</v>
      </c>
      <c r="I33" s="176">
        <v>1044280</v>
      </c>
      <c r="J33" s="174">
        <v>258</v>
      </c>
      <c r="K33" s="176">
        <v>7400</v>
      </c>
      <c r="L33" s="174">
        <f>_xlfn.COMPOUNDVALUE(284)</f>
        <v>5565</v>
      </c>
      <c r="M33" s="176">
        <v>21682894</v>
      </c>
      <c r="N33" s="71" t="s">
        <v>94</v>
      </c>
    </row>
    <row r="34" spans="1:14" ht="22.5" customHeight="1">
      <c r="A34" s="70" t="s">
        <v>199</v>
      </c>
      <c r="B34" s="174">
        <f>_xlfn.COMPOUNDVALUE(285)</f>
        <v>4422</v>
      </c>
      <c r="C34" s="175">
        <v>35283021</v>
      </c>
      <c r="D34" s="174">
        <f>_xlfn.COMPOUNDVALUE(286)</f>
        <v>1552</v>
      </c>
      <c r="E34" s="175">
        <v>705342</v>
      </c>
      <c r="F34" s="174">
        <f>_xlfn.COMPOUNDVALUE(287)</f>
        <v>5974</v>
      </c>
      <c r="G34" s="175">
        <v>35988363</v>
      </c>
      <c r="H34" s="174">
        <f>_xlfn.COMPOUNDVALUE(288)</f>
        <v>273</v>
      </c>
      <c r="I34" s="176">
        <v>2608277</v>
      </c>
      <c r="J34" s="174">
        <v>390</v>
      </c>
      <c r="K34" s="176">
        <v>153226</v>
      </c>
      <c r="L34" s="174">
        <f>_xlfn.COMPOUNDVALUE(288)</f>
        <v>6290</v>
      </c>
      <c r="M34" s="176">
        <v>33533312</v>
      </c>
      <c r="N34" s="71" t="s">
        <v>96</v>
      </c>
    </row>
    <row r="35" spans="1:14" ht="22.5" customHeight="1">
      <c r="A35" s="70" t="s">
        <v>200</v>
      </c>
      <c r="B35" s="174">
        <f>_xlfn.COMPOUNDVALUE(289)</f>
        <v>2998</v>
      </c>
      <c r="C35" s="175">
        <v>91622941</v>
      </c>
      <c r="D35" s="174">
        <f>_xlfn.COMPOUNDVALUE(290)</f>
        <v>915</v>
      </c>
      <c r="E35" s="175">
        <v>487530</v>
      </c>
      <c r="F35" s="174">
        <f>_xlfn.COMPOUNDVALUE(291)</f>
        <v>3913</v>
      </c>
      <c r="G35" s="175">
        <v>92110471</v>
      </c>
      <c r="H35" s="174">
        <f>_xlfn.COMPOUNDVALUE(292)</f>
        <v>304</v>
      </c>
      <c r="I35" s="176">
        <v>70226096</v>
      </c>
      <c r="J35" s="174">
        <v>268</v>
      </c>
      <c r="K35" s="176">
        <v>65355</v>
      </c>
      <c r="L35" s="174">
        <f>_xlfn.COMPOUNDVALUE(292)</f>
        <v>4241</v>
      </c>
      <c r="M35" s="176">
        <v>21949730</v>
      </c>
      <c r="N35" s="71" t="s">
        <v>98</v>
      </c>
    </row>
    <row r="36" spans="1:14" ht="22.5" customHeight="1">
      <c r="A36" s="70" t="s">
        <v>201</v>
      </c>
      <c r="B36" s="174">
        <f>_xlfn.COMPOUNDVALUE(293)</f>
        <v>5926</v>
      </c>
      <c r="C36" s="175">
        <v>109751192</v>
      </c>
      <c r="D36" s="174">
        <f>_xlfn.COMPOUNDVALUE(294)</f>
        <v>1817</v>
      </c>
      <c r="E36" s="175">
        <v>1138330</v>
      </c>
      <c r="F36" s="174">
        <f>_xlfn.COMPOUNDVALUE(295)</f>
        <v>7743</v>
      </c>
      <c r="G36" s="175">
        <v>110889522</v>
      </c>
      <c r="H36" s="174">
        <f>_xlfn.COMPOUNDVALUE(296)</f>
        <v>577</v>
      </c>
      <c r="I36" s="176">
        <v>9566704</v>
      </c>
      <c r="J36" s="174">
        <v>459</v>
      </c>
      <c r="K36" s="176">
        <v>84464</v>
      </c>
      <c r="L36" s="174">
        <f>_xlfn.COMPOUNDVALUE(296)</f>
        <v>8373</v>
      </c>
      <c r="M36" s="176">
        <v>101407282</v>
      </c>
      <c r="N36" s="71" t="s">
        <v>100</v>
      </c>
    </row>
    <row r="37" spans="1:14" ht="22.5" customHeight="1">
      <c r="A37" s="70" t="s">
        <v>202</v>
      </c>
      <c r="B37" s="174">
        <f>_xlfn.COMPOUNDVALUE(297)</f>
        <v>5561</v>
      </c>
      <c r="C37" s="175">
        <v>43929116</v>
      </c>
      <c r="D37" s="174">
        <f>_xlfn.COMPOUNDVALUE(298)</f>
        <v>2316</v>
      </c>
      <c r="E37" s="175">
        <v>1124410</v>
      </c>
      <c r="F37" s="174">
        <f>_xlfn.COMPOUNDVALUE(299)</f>
        <v>7877</v>
      </c>
      <c r="G37" s="175">
        <v>45053526</v>
      </c>
      <c r="H37" s="174">
        <f>_xlfn.COMPOUNDVALUE(300)</f>
        <v>510</v>
      </c>
      <c r="I37" s="176">
        <v>15808535</v>
      </c>
      <c r="J37" s="174">
        <v>483</v>
      </c>
      <c r="K37" s="176">
        <v>54083</v>
      </c>
      <c r="L37" s="174">
        <f>_xlfn.COMPOUNDVALUE(300)</f>
        <v>8431</v>
      </c>
      <c r="M37" s="176">
        <v>29299074</v>
      </c>
      <c r="N37" s="71" t="s">
        <v>102</v>
      </c>
    </row>
    <row r="38" spans="1:14" ht="22.5" customHeight="1">
      <c r="A38" s="70" t="s">
        <v>203</v>
      </c>
      <c r="B38" s="174">
        <f>_xlfn.COMPOUNDVALUE(301)</f>
        <v>5642</v>
      </c>
      <c r="C38" s="175">
        <v>49293985</v>
      </c>
      <c r="D38" s="174">
        <f>_xlfn.COMPOUNDVALUE(302)</f>
        <v>2162</v>
      </c>
      <c r="E38" s="175">
        <v>1061751</v>
      </c>
      <c r="F38" s="174">
        <f>_xlfn.COMPOUNDVALUE(303)</f>
        <v>7804</v>
      </c>
      <c r="G38" s="175">
        <v>50355736</v>
      </c>
      <c r="H38" s="174">
        <f>_xlfn.COMPOUNDVALUE(304)</f>
        <v>291</v>
      </c>
      <c r="I38" s="176">
        <v>1727767</v>
      </c>
      <c r="J38" s="174">
        <v>418</v>
      </c>
      <c r="K38" s="176">
        <v>61992</v>
      </c>
      <c r="L38" s="174">
        <f>_xlfn.COMPOUNDVALUE(304)</f>
        <v>8144</v>
      </c>
      <c r="M38" s="176">
        <v>48689961</v>
      </c>
      <c r="N38" s="71" t="s">
        <v>104</v>
      </c>
    </row>
    <row r="39" spans="1:14" ht="22.5" customHeight="1">
      <c r="A39" s="70" t="s">
        <v>204</v>
      </c>
      <c r="B39" s="174">
        <f>_xlfn.COMPOUNDVALUE(305)</f>
        <v>4819</v>
      </c>
      <c r="C39" s="175">
        <v>35085794</v>
      </c>
      <c r="D39" s="174">
        <f>_xlfn.COMPOUNDVALUE(306)</f>
        <v>1640</v>
      </c>
      <c r="E39" s="175">
        <v>825536</v>
      </c>
      <c r="F39" s="174">
        <f>_xlfn.COMPOUNDVALUE(307)</f>
        <v>6459</v>
      </c>
      <c r="G39" s="175">
        <v>35911329</v>
      </c>
      <c r="H39" s="174">
        <f>_xlfn.COMPOUNDVALUE(308)</f>
        <v>587</v>
      </c>
      <c r="I39" s="176">
        <v>6007003</v>
      </c>
      <c r="J39" s="174">
        <v>436</v>
      </c>
      <c r="K39" s="176">
        <v>54915</v>
      </c>
      <c r="L39" s="174">
        <f>_xlfn.COMPOUNDVALUE(308)</f>
        <v>7109</v>
      </c>
      <c r="M39" s="176">
        <v>29959242</v>
      </c>
      <c r="N39" s="71" t="s">
        <v>106</v>
      </c>
    </row>
    <row r="40" spans="1:14" ht="22.5" customHeight="1">
      <c r="A40" s="70" t="s">
        <v>205</v>
      </c>
      <c r="B40" s="174">
        <f>_xlfn.COMPOUNDVALUE(309)</f>
        <v>6764</v>
      </c>
      <c r="C40" s="175">
        <v>38395144</v>
      </c>
      <c r="D40" s="174">
        <f>_xlfn.COMPOUNDVALUE(310)</f>
        <v>2985</v>
      </c>
      <c r="E40" s="175">
        <v>1457780</v>
      </c>
      <c r="F40" s="174">
        <f>_xlfn.COMPOUNDVALUE(311)</f>
        <v>9749</v>
      </c>
      <c r="G40" s="175">
        <v>39852924</v>
      </c>
      <c r="H40" s="174">
        <f>_xlfn.COMPOUNDVALUE(312)</f>
        <v>378</v>
      </c>
      <c r="I40" s="176">
        <v>4680374</v>
      </c>
      <c r="J40" s="174">
        <v>524</v>
      </c>
      <c r="K40" s="176">
        <v>75693</v>
      </c>
      <c r="L40" s="174">
        <f>_xlfn.COMPOUNDVALUE(312)</f>
        <v>10179</v>
      </c>
      <c r="M40" s="176">
        <v>35248243</v>
      </c>
      <c r="N40" s="71" t="s">
        <v>108</v>
      </c>
    </row>
    <row r="41" spans="1:14" ht="22.5" customHeight="1">
      <c r="A41" s="70" t="s">
        <v>206</v>
      </c>
      <c r="B41" s="174">
        <f>_xlfn.COMPOUNDVALUE(313)</f>
        <v>3616</v>
      </c>
      <c r="C41" s="175">
        <v>20871925</v>
      </c>
      <c r="D41" s="174">
        <f>_xlfn.COMPOUNDVALUE(314)</f>
        <v>1436</v>
      </c>
      <c r="E41" s="175">
        <v>735603</v>
      </c>
      <c r="F41" s="174">
        <f>_xlfn.COMPOUNDVALUE(315)</f>
        <v>5052</v>
      </c>
      <c r="G41" s="175">
        <v>21607528</v>
      </c>
      <c r="H41" s="174">
        <f>_xlfn.COMPOUNDVALUE(316)</f>
        <v>197</v>
      </c>
      <c r="I41" s="176">
        <v>393245</v>
      </c>
      <c r="J41" s="174">
        <v>250</v>
      </c>
      <c r="K41" s="176">
        <v>24866</v>
      </c>
      <c r="L41" s="174">
        <f>_xlfn.COMPOUNDVALUE(316)</f>
        <v>5272</v>
      </c>
      <c r="M41" s="176">
        <v>21239149</v>
      </c>
      <c r="N41" s="71" t="s">
        <v>110</v>
      </c>
    </row>
    <row r="42" spans="1:14" ht="22.5" customHeight="1">
      <c r="A42" s="70" t="s">
        <v>207</v>
      </c>
      <c r="B42" s="174">
        <f>_xlfn.COMPOUNDVALUE(317)</f>
        <v>4169</v>
      </c>
      <c r="C42" s="175">
        <v>32415130</v>
      </c>
      <c r="D42" s="174">
        <f>_xlfn.COMPOUNDVALUE(318)</f>
        <v>1805</v>
      </c>
      <c r="E42" s="175">
        <v>900990</v>
      </c>
      <c r="F42" s="174">
        <f>_xlfn.COMPOUNDVALUE(319)</f>
        <v>5974</v>
      </c>
      <c r="G42" s="175">
        <v>33316120</v>
      </c>
      <c r="H42" s="174">
        <f>_xlfn.COMPOUNDVALUE(320)</f>
        <v>272</v>
      </c>
      <c r="I42" s="176">
        <v>1506334</v>
      </c>
      <c r="J42" s="174">
        <v>287</v>
      </c>
      <c r="K42" s="176">
        <v>70515</v>
      </c>
      <c r="L42" s="174">
        <f>_xlfn.COMPOUNDVALUE(320)</f>
        <v>6281</v>
      </c>
      <c r="M42" s="176">
        <v>31880301</v>
      </c>
      <c r="N42" s="71" t="s">
        <v>112</v>
      </c>
    </row>
    <row r="43" spans="1:14" ht="22.5" customHeight="1">
      <c r="A43" s="70" t="s">
        <v>208</v>
      </c>
      <c r="B43" s="174">
        <f>_xlfn.COMPOUNDVALUE(321)</f>
        <v>1811</v>
      </c>
      <c r="C43" s="175">
        <v>10450013</v>
      </c>
      <c r="D43" s="174">
        <f>_xlfn.COMPOUNDVALUE(322)</f>
        <v>891</v>
      </c>
      <c r="E43" s="175">
        <v>399236</v>
      </c>
      <c r="F43" s="174">
        <f>_xlfn.COMPOUNDVALUE(323)</f>
        <v>2702</v>
      </c>
      <c r="G43" s="175">
        <v>10849249</v>
      </c>
      <c r="H43" s="174">
        <f>_xlfn.COMPOUNDVALUE(324)</f>
        <v>122</v>
      </c>
      <c r="I43" s="176">
        <v>695297</v>
      </c>
      <c r="J43" s="174">
        <v>169</v>
      </c>
      <c r="K43" s="176">
        <v>6960</v>
      </c>
      <c r="L43" s="174">
        <f>_xlfn.COMPOUNDVALUE(324)</f>
        <v>2842</v>
      </c>
      <c r="M43" s="176">
        <v>10160911</v>
      </c>
      <c r="N43" s="71" t="s">
        <v>114</v>
      </c>
    </row>
    <row r="44" spans="1:14" ht="22.5" customHeight="1">
      <c r="A44" s="73" t="s">
        <v>209</v>
      </c>
      <c r="B44" s="177">
        <f>_xlfn.COMPOUNDVALUE(325)</f>
        <v>4805</v>
      </c>
      <c r="C44" s="178">
        <v>38015985</v>
      </c>
      <c r="D44" s="177">
        <f>_xlfn.COMPOUNDVALUE(326)</f>
        <v>1742</v>
      </c>
      <c r="E44" s="178">
        <v>895020</v>
      </c>
      <c r="F44" s="177">
        <f>_xlfn.COMPOUNDVALUE(327)</f>
        <v>6547</v>
      </c>
      <c r="G44" s="178">
        <v>38911005</v>
      </c>
      <c r="H44" s="177">
        <f>_xlfn.COMPOUNDVALUE(328)</f>
        <v>310</v>
      </c>
      <c r="I44" s="179">
        <v>1703389</v>
      </c>
      <c r="J44" s="177">
        <v>436</v>
      </c>
      <c r="K44" s="179">
        <v>48803</v>
      </c>
      <c r="L44" s="177">
        <f>_xlfn.COMPOUNDVALUE(328)</f>
        <v>6898</v>
      </c>
      <c r="M44" s="179">
        <v>37256420</v>
      </c>
      <c r="N44" s="74" t="s">
        <v>116</v>
      </c>
    </row>
    <row r="45" spans="1:14" ht="22.5" customHeight="1">
      <c r="A45" s="73" t="s">
        <v>210</v>
      </c>
      <c r="B45" s="177">
        <f>_xlfn.COMPOUNDVALUE(329)</f>
        <v>3179</v>
      </c>
      <c r="C45" s="178">
        <v>17787590</v>
      </c>
      <c r="D45" s="177">
        <f>_xlfn.COMPOUNDVALUE(330)</f>
        <v>1126</v>
      </c>
      <c r="E45" s="178">
        <v>537284</v>
      </c>
      <c r="F45" s="177">
        <f>_xlfn.COMPOUNDVALUE(331)</f>
        <v>4305</v>
      </c>
      <c r="G45" s="178">
        <v>18324874</v>
      </c>
      <c r="H45" s="177">
        <f>_xlfn.COMPOUNDVALUE(332)</f>
        <v>326</v>
      </c>
      <c r="I45" s="179">
        <v>4504343</v>
      </c>
      <c r="J45" s="177">
        <v>249</v>
      </c>
      <c r="K45" s="179">
        <v>26849</v>
      </c>
      <c r="L45" s="177">
        <f>_xlfn.COMPOUNDVALUE(332)</f>
        <v>4661</v>
      </c>
      <c r="M45" s="179">
        <v>13847380</v>
      </c>
      <c r="N45" s="74" t="s">
        <v>118</v>
      </c>
    </row>
    <row r="46" spans="1:14" ht="22.5" customHeight="1">
      <c r="A46" s="73" t="s">
        <v>211</v>
      </c>
      <c r="B46" s="177">
        <f>_xlfn.COMPOUNDVALUE(333)</f>
        <v>4567</v>
      </c>
      <c r="C46" s="178">
        <v>60798200</v>
      </c>
      <c r="D46" s="177">
        <f>_xlfn.COMPOUNDVALUE(334)</f>
        <v>1568</v>
      </c>
      <c r="E46" s="178">
        <v>835880</v>
      </c>
      <c r="F46" s="177">
        <f>_xlfn.COMPOUNDVALUE(335)</f>
        <v>6135</v>
      </c>
      <c r="G46" s="178">
        <v>61634079</v>
      </c>
      <c r="H46" s="177">
        <f>_xlfn.COMPOUNDVALUE(336)</f>
        <v>279</v>
      </c>
      <c r="I46" s="179">
        <v>35594932</v>
      </c>
      <c r="J46" s="177">
        <v>439</v>
      </c>
      <c r="K46" s="179">
        <v>53321</v>
      </c>
      <c r="L46" s="177">
        <f>_xlfn.COMPOUNDVALUE(336)</f>
        <v>6447</v>
      </c>
      <c r="M46" s="179">
        <v>26092468</v>
      </c>
      <c r="N46" s="74" t="s">
        <v>120</v>
      </c>
    </row>
    <row r="47" spans="1:14" ht="22.5" customHeight="1">
      <c r="A47" s="73" t="s">
        <v>212</v>
      </c>
      <c r="B47" s="177">
        <f>_xlfn.COMPOUNDVALUE(337)</f>
        <v>3635</v>
      </c>
      <c r="C47" s="178">
        <v>36723943</v>
      </c>
      <c r="D47" s="177">
        <f>_xlfn.COMPOUNDVALUE(338)</f>
        <v>1429</v>
      </c>
      <c r="E47" s="178">
        <v>718294</v>
      </c>
      <c r="F47" s="177">
        <f>_xlfn.COMPOUNDVALUE(339)</f>
        <v>5064</v>
      </c>
      <c r="G47" s="178">
        <v>37442237</v>
      </c>
      <c r="H47" s="177">
        <f>_xlfn.COMPOUNDVALUE(340)</f>
        <v>257</v>
      </c>
      <c r="I47" s="179">
        <v>275273955</v>
      </c>
      <c r="J47" s="177">
        <v>350</v>
      </c>
      <c r="K47" s="179">
        <v>46646</v>
      </c>
      <c r="L47" s="177">
        <f>_xlfn.COMPOUNDVALUE(340)</f>
        <v>5375</v>
      </c>
      <c r="M47" s="186">
        <v>-237785073</v>
      </c>
      <c r="N47" s="74" t="s">
        <v>122</v>
      </c>
    </row>
    <row r="48" spans="1:14" ht="22.5" customHeight="1">
      <c r="A48" s="73" t="s">
        <v>213</v>
      </c>
      <c r="B48" s="177">
        <f>_xlfn.COMPOUNDVALUE(341)</f>
        <v>1549</v>
      </c>
      <c r="C48" s="178">
        <v>10401047</v>
      </c>
      <c r="D48" s="177">
        <f>_xlfn.COMPOUNDVALUE(342)</f>
        <v>526</v>
      </c>
      <c r="E48" s="178">
        <v>269219</v>
      </c>
      <c r="F48" s="177">
        <f>_xlfn.COMPOUNDVALUE(343)</f>
        <v>2075</v>
      </c>
      <c r="G48" s="178">
        <v>10670266</v>
      </c>
      <c r="H48" s="177">
        <f>_xlfn.COMPOUNDVALUE(344)</f>
        <v>93</v>
      </c>
      <c r="I48" s="179">
        <v>420343</v>
      </c>
      <c r="J48" s="177">
        <v>97</v>
      </c>
      <c r="K48" s="179">
        <v>5537</v>
      </c>
      <c r="L48" s="177">
        <f>_xlfn.COMPOUNDVALUE(344)</f>
        <v>2176</v>
      </c>
      <c r="M48" s="179">
        <v>10255460</v>
      </c>
      <c r="N48" s="74" t="s">
        <v>124</v>
      </c>
    </row>
    <row r="49" spans="1:14" ht="22.5" customHeight="1">
      <c r="A49" s="73" t="s">
        <v>214</v>
      </c>
      <c r="B49" s="177">
        <f>_xlfn.COMPOUNDVALUE(345)</f>
        <v>6438</v>
      </c>
      <c r="C49" s="178">
        <v>44554111</v>
      </c>
      <c r="D49" s="177">
        <f>_xlfn.COMPOUNDVALUE(346)</f>
        <v>2712</v>
      </c>
      <c r="E49" s="178">
        <v>1340118</v>
      </c>
      <c r="F49" s="177">
        <f>_xlfn.COMPOUNDVALUE(347)</f>
        <v>9150</v>
      </c>
      <c r="G49" s="178">
        <v>45894228</v>
      </c>
      <c r="H49" s="177">
        <f>_xlfn.COMPOUNDVALUE(348)</f>
        <v>382</v>
      </c>
      <c r="I49" s="179">
        <v>11719231</v>
      </c>
      <c r="J49" s="177">
        <v>554</v>
      </c>
      <c r="K49" s="179">
        <v>123610</v>
      </c>
      <c r="L49" s="177">
        <f>_xlfn.COMPOUNDVALUE(348)</f>
        <v>9589</v>
      </c>
      <c r="M49" s="179">
        <v>34298607</v>
      </c>
      <c r="N49" s="74" t="s">
        <v>126</v>
      </c>
    </row>
    <row r="50" spans="1:14" ht="22.5" customHeight="1">
      <c r="A50" s="73" t="s">
        <v>215</v>
      </c>
      <c r="B50" s="177">
        <f>_xlfn.COMPOUNDVALUE(349)</f>
        <v>480</v>
      </c>
      <c r="C50" s="178">
        <v>1824052</v>
      </c>
      <c r="D50" s="177">
        <f>_xlfn.COMPOUNDVALUE(350)</f>
        <v>202</v>
      </c>
      <c r="E50" s="178">
        <v>94462</v>
      </c>
      <c r="F50" s="177">
        <f>_xlfn.COMPOUNDVALUE(351)</f>
        <v>682</v>
      </c>
      <c r="G50" s="178">
        <v>1918514</v>
      </c>
      <c r="H50" s="177">
        <f>_xlfn.COMPOUNDVALUE(352)</f>
        <v>38</v>
      </c>
      <c r="I50" s="179">
        <v>40696</v>
      </c>
      <c r="J50" s="177">
        <v>46</v>
      </c>
      <c r="K50" s="179">
        <v>-4284</v>
      </c>
      <c r="L50" s="177">
        <f>_xlfn.COMPOUNDVALUE(352)</f>
        <v>730</v>
      </c>
      <c r="M50" s="179">
        <v>1873534</v>
      </c>
      <c r="N50" s="74" t="s">
        <v>128</v>
      </c>
    </row>
    <row r="51" spans="1:14" ht="22.5" customHeight="1">
      <c r="A51" s="75" t="s">
        <v>216</v>
      </c>
      <c r="B51" s="180">
        <v>79380</v>
      </c>
      <c r="C51" s="181">
        <v>789753893</v>
      </c>
      <c r="D51" s="180">
        <v>30534</v>
      </c>
      <c r="E51" s="181">
        <v>15368777</v>
      </c>
      <c r="F51" s="180">
        <v>109914</v>
      </c>
      <c r="G51" s="181">
        <v>805122671</v>
      </c>
      <c r="H51" s="180">
        <v>6047</v>
      </c>
      <c r="I51" s="182">
        <v>449212001</v>
      </c>
      <c r="J51" s="180">
        <v>6720</v>
      </c>
      <c r="K51" s="182">
        <v>999230</v>
      </c>
      <c r="L51" s="180">
        <v>116706</v>
      </c>
      <c r="M51" s="182">
        <v>356909899</v>
      </c>
      <c r="N51" s="76" t="s">
        <v>130</v>
      </c>
    </row>
    <row r="52" spans="1:14" ht="22.5" customHeight="1">
      <c r="A52" s="77"/>
      <c r="B52" s="183"/>
      <c r="C52" s="184"/>
      <c r="D52" s="183"/>
      <c r="E52" s="184"/>
      <c r="F52" s="185"/>
      <c r="G52" s="184"/>
      <c r="H52" s="185"/>
      <c r="I52" s="184"/>
      <c r="J52" s="185"/>
      <c r="K52" s="184"/>
      <c r="L52" s="185"/>
      <c r="M52" s="184"/>
      <c r="N52" s="78"/>
    </row>
    <row r="53" spans="1:14" ht="22.5" customHeight="1">
      <c r="A53" s="70" t="s">
        <v>217</v>
      </c>
      <c r="B53" s="174">
        <f>_xlfn.COMPOUNDVALUE(353)</f>
        <v>2179</v>
      </c>
      <c r="C53" s="175">
        <v>15611543</v>
      </c>
      <c r="D53" s="174">
        <f>_xlfn.COMPOUNDVALUE(354)</f>
        <v>849</v>
      </c>
      <c r="E53" s="175">
        <v>429273</v>
      </c>
      <c r="F53" s="174">
        <f>_xlfn.COMPOUNDVALUE(355)</f>
        <v>3028</v>
      </c>
      <c r="G53" s="175">
        <v>16040816</v>
      </c>
      <c r="H53" s="174">
        <f>_xlfn.COMPOUNDVALUE(356)</f>
        <v>119</v>
      </c>
      <c r="I53" s="176">
        <v>681422</v>
      </c>
      <c r="J53" s="174">
        <v>158</v>
      </c>
      <c r="K53" s="176">
        <v>20978</v>
      </c>
      <c r="L53" s="174">
        <f>_xlfn.COMPOUNDVALUE(356)</f>
        <v>3175</v>
      </c>
      <c r="M53" s="176">
        <v>15380372</v>
      </c>
      <c r="N53" s="79" t="s">
        <v>132</v>
      </c>
    </row>
    <row r="54" spans="1:14" ht="22.5" customHeight="1">
      <c r="A54" s="73" t="s">
        <v>218</v>
      </c>
      <c r="B54" s="177">
        <f>_xlfn.COMPOUNDVALUE(357)</f>
        <v>3776</v>
      </c>
      <c r="C54" s="178">
        <v>26417520</v>
      </c>
      <c r="D54" s="177">
        <f>_xlfn.COMPOUNDVALUE(358)</f>
        <v>1439</v>
      </c>
      <c r="E54" s="178">
        <v>735989</v>
      </c>
      <c r="F54" s="177">
        <f>_xlfn.COMPOUNDVALUE(359)</f>
        <v>5215</v>
      </c>
      <c r="G54" s="178">
        <v>27153509</v>
      </c>
      <c r="H54" s="177">
        <f>_xlfn.COMPOUNDVALUE(360)</f>
        <v>248</v>
      </c>
      <c r="I54" s="179">
        <v>10987287</v>
      </c>
      <c r="J54" s="177">
        <v>463</v>
      </c>
      <c r="K54" s="179">
        <v>-49593</v>
      </c>
      <c r="L54" s="177">
        <f>_xlfn.COMPOUNDVALUE(360)</f>
        <v>5496</v>
      </c>
      <c r="M54" s="179">
        <v>16116629</v>
      </c>
      <c r="N54" s="74" t="s">
        <v>134</v>
      </c>
    </row>
    <row r="55" spans="1:14" ht="22.5" customHeight="1">
      <c r="A55" s="73" t="s">
        <v>219</v>
      </c>
      <c r="B55" s="177">
        <f>_xlfn.COMPOUNDVALUE(361)</f>
        <v>2284</v>
      </c>
      <c r="C55" s="178">
        <v>10087978</v>
      </c>
      <c r="D55" s="177">
        <f>_xlfn.COMPOUNDVALUE(362)</f>
        <v>815</v>
      </c>
      <c r="E55" s="178">
        <v>384304</v>
      </c>
      <c r="F55" s="177">
        <f>_xlfn.COMPOUNDVALUE(363)</f>
        <v>3099</v>
      </c>
      <c r="G55" s="178">
        <v>10472282</v>
      </c>
      <c r="H55" s="177">
        <f>_xlfn.COMPOUNDVALUE(364)</f>
        <v>181</v>
      </c>
      <c r="I55" s="179">
        <v>1778364</v>
      </c>
      <c r="J55" s="177">
        <v>197</v>
      </c>
      <c r="K55" s="179">
        <v>36865</v>
      </c>
      <c r="L55" s="177">
        <f>_xlfn.COMPOUNDVALUE(364)</f>
        <v>3324</v>
      </c>
      <c r="M55" s="179">
        <v>8730783</v>
      </c>
      <c r="N55" s="74" t="s">
        <v>136</v>
      </c>
    </row>
    <row r="56" spans="1:14" ht="22.5" customHeight="1">
      <c r="A56" s="73" t="s">
        <v>220</v>
      </c>
      <c r="B56" s="177">
        <f>_xlfn.COMPOUNDVALUE(365)</f>
        <v>1776</v>
      </c>
      <c r="C56" s="178">
        <v>9276703</v>
      </c>
      <c r="D56" s="177">
        <f>_xlfn.COMPOUNDVALUE(366)</f>
        <v>624</v>
      </c>
      <c r="E56" s="178">
        <v>317554</v>
      </c>
      <c r="F56" s="177">
        <f>_xlfn.COMPOUNDVALUE(367)</f>
        <v>2400</v>
      </c>
      <c r="G56" s="178">
        <v>9594257</v>
      </c>
      <c r="H56" s="177">
        <f>_xlfn.COMPOUNDVALUE(368)</f>
        <v>125</v>
      </c>
      <c r="I56" s="179">
        <v>837318</v>
      </c>
      <c r="J56" s="177">
        <v>99</v>
      </c>
      <c r="K56" s="179">
        <v>-100109</v>
      </c>
      <c r="L56" s="177">
        <f>_xlfn.COMPOUNDVALUE(368)</f>
        <v>2537</v>
      </c>
      <c r="M56" s="179">
        <v>8656830</v>
      </c>
      <c r="N56" s="74" t="s">
        <v>138</v>
      </c>
    </row>
    <row r="57" spans="1:14" ht="22.5" customHeight="1">
      <c r="A57" s="73" t="s">
        <v>221</v>
      </c>
      <c r="B57" s="177">
        <f>_xlfn.COMPOUNDVALUE(369)</f>
        <v>1915</v>
      </c>
      <c r="C57" s="178">
        <v>13229985</v>
      </c>
      <c r="D57" s="177">
        <f>_xlfn.COMPOUNDVALUE(370)</f>
        <v>759</v>
      </c>
      <c r="E57" s="178">
        <v>364468</v>
      </c>
      <c r="F57" s="177">
        <f>_xlfn.COMPOUNDVALUE(371)</f>
        <v>2674</v>
      </c>
      <c r="G57" s="178">
        <v>13594453</v>
      </c>
      <c r="H57" s="177">
        <f>_xlfn.COMPOUNDVALUE(372)</f>
        <v>139</v>
      </c>
      <c r="I57" s="179">
        <v>1000375</v>
      </c>
      <c r="J57" s="177">
        <v>125</v>
      </c>
      <c r="K57" s="179">
        <v>-7844</v>
      </c>
      <c r="L57" s="177">
        <f>_xlfn.COMPOUNDVALUE(372)</f>
        <v>2829</v>
      </c>
      <c r="M57" s="179">
        <v>12586234</v>
      </c>
      <c r="N57" s="74" t="s">
        <v>140</v>
      </c>
    </row>
    <row r="58" spans="1:14" ht="22.5" customHeight="1">
      <c r="A58" s="73" t="s">
        <v>222</v>
      </c>
      <c r="B58" s="177">
        <f>_xlfn.COMPOUNDVALUE(373)</f>
        <v>1203</v>
      </c>
      <c r="C58" s="178">
        <v>6207433</v>
      </c>
      <c r="D58" s="177">
        <f>_xlfn.COMPOUNDVALUE(374)</f>
        <v>394</v>
      </c>
      <c r="E58" s="178">
        <v>214695</v>
      </c>
      <c r="F58" s="177">
        <f>_xlfn.COMPOUNDVALUE(375)</f>
        <v>1597</v>
      </c>
      <c r="G58" s="178">
        <v>6422128</v>
      </c>
      <c r="H58" s="177">
        <f>_xlfn.COMPOUNDVALUE(376)</f>
        <v>72</v>
      </c>
      <c r="I58" s="179">
        <v>309460</v>
      </c>
      <c r="J58" s="177">
        <v>87</v>
      </c>
      <c r="K58" s="179">
        <v>3348</v>
      </c>
      <c r="L58" s="177">
        <f>_xlfn.COMPOUNDVALUE(376)</f>
        <v>1686</v>
      </c>
      <c r="M58" s="179">
        <v>6116016</v>
      </c>
      <c r="N58" s="74" t="s">
        <v>142</v>
      </c>
    </row>
    <row r="59" spans="1:14" ht="22.5" customHeight="1">
      <c r="A59" s="73" t="s">
        <v>223</v>
      </c>
      <c r="B59" s="177">
        <f>_xlfn.COMPOUNDVALUE(377)</f>
        <v>1883</v>
      </c>
      <c r="C59" s="178">
        <v>10543961</v>
      </c>
      <c r="D59" s="177">
        <f>_xlfn.COMPOUNDVALUE(378)</f>
        <v>636</v>
      </c>
      <c r="E59" s="178">
        <v>332196</v>
      </c>
      <c r="F59" s="177">
        <f>_xlfn.COMPOUNDVALUE(379)</f>
        <v>2519</v>
      </c>
      <c r="G59" s="178">
        <v>10876157</v>
      </c>
      <c r="H59" s="177">
        <f>_xlfn.COMPOUNDVALUE(380)</f>
        <v>122</v>
      </c>
      <c r="I59" s="179">
        <v>399628</v>
      </c>
      <c r="J59" s="177">
        <v>186</v>
      </c>
      <c r="K59" s="179">
        <v>12453</v>
      </c>
      <c r="L59" s="177">
        <f>_xlfn.COMPOUNDVALUE(380)</f>
        <v>2660</v>
      </c>
      <c r="M59" s="179">
        <v>10488982</v>
      </c>
      <c r="N59" s="74" t="s">
        <v>144</v>
      </c>
    </row>
    <row r="60" spans="1:14" ht="22.5" customHeight="1">
      <c r="A60" s="73" t="s">
        <v>224</v>
      </c>
      <c r="B60" s="177">
        <f>_xlfn.COMPOUNDVALUE(381)</f>
        <v>607</v>
      </c>
      <c r="C60" s="178">
        <v>2439712</v>
      </c>
      <c r="D60" s="177">
        <f>_xlfn.COMPOUNDVALUE(382)</f>
        <v>193</v>
      </c>
      <c r="E60" s="178">
        <v>93035</v>
      </c>
      <c r="F60" s="177">
        <f>_xlfn.COMPOUNDVALUE(383)</f>
        <v>800</v>
      </c>
      <c r="G60" s="178">
        <v>2532746</v>
      </c>
      <c r="H60" s="177">
        <f>_xlfn.COMPOUNDVALUE(384)</f>
        <v>38</v>
      </c>
      <c r="I60" s="179">
        <v>91005</v>
      </c>
      <c r="J60" s="177">
        <v>72</v>
      </c>
      <c r="K60" s="179">
        <v>11749</v>
      </c>
      <c r="L60" s="177">
        <f>_xlfn.COMPOUNDVALUE(384)</f>
        <v>845</v>
      </c>
      <c r="M60" s="179">
        <v>2453490</v>
      </c>
      <c r="N60" s="74" t="s">
        <v>146</v>
      </c>
    </row>
    <row r="61" spans="1:14" ht="22.5" customHeight="1">
      <c r="A61" s="75" t="s">
        <v>225</v>
      </c>
      <c r="B61" s="180">
        <v>15623</v>
      </c>
      <c r="C61" s="181">
        <v>93814835</v>
      </c>
      <c r="D61" s="180">
        <v>5709</v>
      </c>
      <c r="E61" s="181">
        <v>2871514</v>
      </c>
      <c r="F61" s="180">
        <v>21332</v>
      </c>
      <c r="G61" s="181">
        <v>96686349</v>
      </c>
      <c r="H61" s="180">
        <v>1044</v>
      </c>
      <c r="I61" s="182">
        <v>16084859</v>
      </c>
      <c r="J61" s="180">
        <v>1387</v>
      </c>
      <c r="K61" s="182">
        <v>-72153</v>
      </c>
      <c r="L61" s="180">
        <v>22552</v>
      </c>
      <c r="M61" s="182">
        <v>80529336</v>
      </c>
      <c r="N61" s="76" t="s">
        <v>148</v>
      </c>
    </row>
    <row r="62" spans="1:14" ht="22.5" customHeight="1" thickBot="1">
      <c r="A62" s="80"/>
      <c r="B62" s="187"/>
      <c r="C62" s="188"/>
      <c r="D62" s="187"/>
      <c r="E62" s="188"/>
      <c r="F62" s="189"/>
      <c r="G62" s="188"/>
      <c r="H62" s="189"/>
      <c r="I62" s="188"/>
      <c r="J62" s="189"/>
      <c r="K62" s="188"/>
      <c r="L62" s="189"/>
      <c r="M62" s="188"/>
      <c r="N62" s="81"/>
    </row>
    <row r="63" spans="1:14" ht="22.5" customHeight="1" thickBot="1" thickTop="1">
      <c r="A63" s="82" t="s">
        <v>226</v>
      </c>
      <c r="B63" s="190">
        <v>152831</v>
      </c>
      <c r="C63" s="191">
        <v>1237760141</v>
      </c>
      <c r="D63" s="190">
        <v>61148</v>
      </c>
      <c r="E63" s="191">
        <v>30097374</v>
      </c>
      <c r="F63" s="190">
        <v>213979</v>
      </c>
      <c r="G63" s="191">
        <v>1267857516</v>
      </c>
      <c r="H63" s="190">
        <v>10805</v>
      </c>
      <c r="I63" s="192">
        <v>527261049</v>
      </c>
      <c r="J63" s="190">
        <v>13201</v>
      </c>
      <c r="K63" s="192">
        <v>1470252</v>
      </c>
      <c r="L63" s="190">
        <v>226195</v>
      </c>
      <c r="M63" s="192">
        <v>742066719</v>
      </c>
      <c r="N63" s="83" t="s">
        <v>43</v>
      </c>
    </row>
    <row r="64" spans="1:14" s="193" customFormat="1" ht="3" customHeight="1">
      <c r="A64" s="118"/>
      <c r="B64" s="119"/>
      <c r="C64" s="119"/>
      <c r="D64" s="119"/>
      <c r="E64" s="119"/>
      <c r="F64" s="119"/>
      <c r="G64" s="119"/>
      <c r="H64" s="119"/>
      <c r="I64" s="119"/>
      <c r="J64" s="119"/>
      <c r="K64" s="119"/>
      <c r="L64" s="119"/>
      <c r="M64" s="119"/>
      <c r="N64" s="118"/>
    </row>
    <row r="65" spans="1:14" ht="22.5" customHeight="1">
      <c r="A65" s="245" t="s">
        <v>149</v>
      </c>
      <c r="B65" s="245"/>
      <c r="C65" s="245"/>
      <c r="D65" s="245"/>
      <c r="E65" s="245"/>
      <c r="F65" s="245"/>
      <c r="G65" s="245"/>
      <c r="H65" s="245"/>
      <c r="I65" s="245"/>
      <c r="J65" s="60"/>
      <c r="K65" s="60"/>
      <c r="L65" s="61"/>
      <c r="M65" s="61"/>
      <c r="N65" s="61"/>
    </row>
  </sheetData>
  <sheetProtection/>
  <mergeCells count="11">
    <mergeCell ref="L3:M4"/>
    <mergeCell ref="N3:N5"/>
    <mergeCell ref="B4:C4"/>
    <mergeCell ref="D4:E4"/>
    <mergeCell ref="F4:G4"/>
    <mergeCell ref="A65:I65"/>
    <mergeCell ref="A2:I2"/>
    <mergeCell ref="A3:A5"/>
    <mergeCell ref="B3:G3"/>
    <mergeCell ref="H3:I4"/>
    <mergeCell ref="J3:K4"/>
  </mergeCells>
  <printOptions horizontalCentered="1"/>
  <pageMargins left="0.5118110236220472" right="0.5118110236220472" top="0.7480314960629921" bottom="0.7480314960629921" header="0.31496062992125984" footer="0.31496062992125984"/>
  <pageSetup horizontalDpi="600" verticalDpi="600" orientation="portrait" paperSize="9" scale="55" r:id="rId1"/>
  <headerFooter alignWithMargins="0">
    <oddFooter>&amp;R名古屋国税局　消費税（H26）</oddFooter>
  </headerFooter>
</worksheet>
</file>

<file path=xl/worksheets/sheet6.xml><?xml version="1.0" encoding="utf-8"?>
<worksheet xmlns="http://schemas.openxmlformats.org/spreadsheetml/2006/main" xmlns:r="http://schemas.openxmlformats.org/officeDocument/2006/relationships">
  <dimension ref="A1:R64"/>
  <sheetViews>
    <sheetView zoomScale="70" zoomScaleNormal="70" zoomScaleSheetLayoutView="100" workbookViewId="0" topLeftCell="A1">
      <selection activeCell="A1" sqref="A1:K1"/>
    </sheetView>
  </sheetViews>
  <sheetFormatPr defaultColWidth="9.00390625" defaultRowHeight="13.5"/>
  <cols>
    <col min="1" max="1" width="10.00390625" style="84" customWidth="1"/>
    <col min="2" max="2" width="10.625" style="84" customWidth="1"/>
    <col min="3" max="3" width="12.625" style="84" customWidth="1"/>
    <col min="4" max="4" width="10.625" style="84" customWidth="1"/>
    <col min="5" max="5" width="12.625" style="84" customWidth="1"/>
    <col min="6" max="6" width="10.625" style="84" customWidth="1"/>
    <col min="7" max="7" width="12.625" style="84" customWidth="1"/>
    <col min="8" max="8" width="10.625" style="84" customWidth="1"/>
    <col min="9" max="9" width="12.625" style="84" customWidth="1"/>
    <col min="10" max="10" width="10.625" style="84" customWidth="1"/>
    <col min="11" max="11" width="12.625" style="84" customWidth="1"/>
    <col min="12" max="12" width="10.625" style="84" customWidth="1"/>
    <col min="13" max="13" width="12.625" style="84" customWidth="1"/>
    <col min="14" max="17" width="10.625" style="84" customWidth="1"/>
    <col min="18" max="18" width="10.00390625" style="84" customWidth="1"/>
    <col min="19" max="16384" width="9.00390625" style="84" customWidth="1"/>
  </cols>
  <sheetData>
    <row r="1" spans="1:16" ht="12">
      <c r="A1" s="60" t="s">
        <v>161</v>
      </c>
      <c r="B1" s="60"/>
      <c r="C1" s="60"/>
      <c r="D1" s="60"/>
      <c r="E1" s="60"/>
      <c r="F1" s="60"/>
      <c r="G1" s="60"/>
      <c r="H1" s="60"/>
      <c r="I1" s="60"/>
      <c r="J1" s="60"/>
      <c r="K1" s="60"/>
      <c r="L1" s="61"/>
      <c r="M1" s="61"/>
      <c r="N1" s="61"/>
      <c r="O1" s="61"/>
      <c r="P1" s="61"/>
    </row>
    <row r="2" spans="1:16" ht="12.75" thickBot="1">
      <c r="A2" s="254" t="s">
        <v>152</v>
      </c>
      <c r="B2" s="254"/>
      <c r="C2" s="254"/>
      <c r="D2" s="254"/>
      <c r="E2" s="254"/>
      <c r="F2" s="254"/>
      <c r="G2" s="254"/>
      <c r="H2" s="254"/>
      <c r="I2" s="254"/>
      <c r="J2" s="60"/>
      <c r="K2" s="60"/>
      <c r="L2" s="61"/>
      <c r="M2" s="61"/>
      <c r="N2" s="61"/>
      <c r="O2" s="61"/>
      <c r="P2" s="61"/>
    </row>
    <row r="3" spans="1:18" ht="23.25" customHeight="1">
      <c r="A3" s="246" t="s">
        <v>157</v>
      </c>
      <c r="B3" s="249" t="s">
        <v>158</v>
      </c>
      <c r="C3" s="249"/>
      <c r="D3" s="249"/>
      <c r="E3" s="249"/>
      <c r="F3" s="249"/>
      <c r="G3" s="249"/>
      <c r="H3" s="249" t="s">
        <v>13</v>
      </c>
      <c r="I3" s="249"/>
      <c r="J3" s="255" t="s">
        <v>37</v>
      </c>
      <c r="K3" s="249"/>
      <c r="L3" s="249" t="s">
        <v>38</v>
      </c>
      <c r="M3" s="249"/>
      <c r="N3" s="256" t="s">
        <v>163</v>
      </c>
      <c r="O3" s="257"/>
      <c r="P3" s="257"/>
      <c r="Q3" s="257"/>
      <c r="R3" s="239" t="s">
        <v>151</v>
      </c>
    </row>
    <row r="4" spans="1:18" ht="23.25" customHeight="1">
      <c r="A4" s="247"/>
      <c r="B4" s="242" t="s">
        <v>18</v>
      </c>
      <c r="C4" s="242"/>
      <c r="D4" s="242" t="s">
        <v>40</v>
      </c>
      <c r="E4" s="242"/>
      <c r="F4" s="242" t="s">
        <v>41</v>
      </c>
      <c r="G4" s="242"/>
      <c r="H4" s="242"/>
      <c r="I4" s="242"/>
      <c r="J4" s="242"/>
      <c r="K4" s="242"/>
      <c r="L4" s="242"/>
      <c r="M4" s="242"/>
      <c r="N4" s="258" t="s">
        <v>153</v>
      </c>
      <c r="O4" s="260" t="s">
        <v>164</v>
      </c>
      <c r="P4" s="262" t="s">
        <v>165</v>
      </c>
      <c r="Q4" s="252" t="s">
        <v>154</v>
      </c>
      <c r="R4" s="240"/>
    </row>
    <row r="5" spans="1:18" ht="30" customHeight="1">
      <c r="A5" s="248"/>
      <c r="B5" s="203" t="s">
        <v>230</v>
      </c>
      <c r="C5" s="108" t="s">
        <v>159</v>
      </c>
      <c r="D5" s="63" t="s">
        <v>230</v>
      </c>
      <c r="E5" s="108" t="s">
        <v>159</v>
      </c>
      <c r="F5" s="63" t="s">
        <v>230</v>
      </c>
      <c r="G5" s="109" t="s">
        <v>227</v>
      </c>
      <c r="H5" s="202" t="s">
        <v>230</v>
      </c>
      <c r="I5" s="63" t="s">
        <v>228</v>
      </c>
      <c r="J5" s="203" t="s">
        <v>230</v>
      </c>
      <c r="K5" s="109" t="s">
        <v>229</v>
      </c>
      <c r="L5" s="202" t="s">
        <v>230</v>
      </c>
      <c r="M5" s="109" t="s">
        <v>166</v>
      </c>
      <c r="N5" s="259"/>
      <c r="O5" s="261"/>
      <c r="P5" s="263"/>
      <c r="Q5" s="264"/>
      <c r="R5" s="241"/>
    </row>
    <row r="6" spans="1:18" s="92" customFormat="1" ht="12">
      <c r="A6" s="86"/>
      <c r="B6" s="87" t="s">
        <v>4</v>
      </c>
      <c r="C6" s="88" t="s">
        <v>5</v>
      </c>
      <c r="D6" s="87" t="s">
        <v>4</v>
      </c>
      <c r="E6" s="88" t="s">
        <v>5</v>
      </c>
      <c r="F6" s="87" t="s">
        <v>4</v>
      </c>
      <c r="G6" s="88" t="s">
        <v>5</v>
      </c>
      <c r="H6" s="87" t="s">
        <v>4</v>
      </c>
      <c r="I6" s="88" t="s">
        <v>5</v>
      </c>
      <c r="J6" s="87" t="s">
        <v>4</v>
      </c>
      <c r="K6" s="88" t="s">
        <v>5</v>
      </c>
      <c r="L6" s="87" t="s">
        <v>4</v>
      </c>
      <c r="M6" s="88" t="s">
        <v>5</v>
      </c>
      <c r="N6" s="87" t="s">
        <v>4</v>
      </c>
      <c r="O6" s="89" t="s">
        <v>4</v>
      </c>
      <c r="P6" s="89" t="s">
        <v>4</v>
      </c>
      <c r="Q6" s="90" t="s">
        <v>4</v>
      </c>
      <c r="R6" s="91"/>
    </row>
    <row r="7" spans="1:18" ht="25.5" customHeight="1">
      <c r="A7" s="93" t="s">
        <v>45</v>
      </c>
      <c r="B7" s="140">
        <f>_xlfn.COMPOUNDVALUE(385)</f>
        <v>6580</v>
      </c>
      <c r="C7" s="141">
        <v>26543831</v>
      </c>
      <c r="D7" s="140">
        <f>_xlfn.COMPOUNDVALUE(386)</f>
        <v>4378</v>
      </c>
      <c r="E7" s="141">
        <v>1833645</v>
      </c>
      <c r="F7" s="140">
        <f>_xlfn.COMPOUNDVALUE(387)</f>
        <v>10958</v>
      </c>
      <c r="G7" s="141">
        <v>28377475</v>
      </c>
      <c r="H7" s="140">
        <f>_xlfn.COMPOUNDVALUE(388)</f>
        <v>453</v>
      </c>
      <c r="I7" s="142">
        <v>1582317</v>
      </c>
      <c r="J7" s="140">
        <v>685</v>
      </c>
      <c r="K7" s="142">
        <v>118611</v>
      </c>
      <c r="L7" s="140">
        <f>_xlfn.COMPOUNDVALUE(388)</f>
        <v>11606</v>
      </c>
      <c r="M7" s="142">
        <v>26913769</v>
      </c>
      <c r="N7" s="140">
        <v>11242</v>
      </c>
      <c r="O7" s="143">
        <v>221</v>
      </c>
      <c r="P7" s="143">
        <v>26</v>
      </c>
      <c r="Q7" s="144">
        <v>11489</v>
      </c>
      <c r="R7" s="94" t="s">
        <v>46</v>
      </c>
    </row>
    <row r="8" spans="1:18" ht="25.5" customHeight="1">
      <c r="A8" s="95" t="s">
        <v>47</v>
      </c>
      <c r="B8" s="145">
        <f>_xlfn.COMPOUNDVALUE(389)</f>
        <v>5873</v>
      </c>
      <c r="C8" s="146">
        <v>28900671</v>
      </c>
      <c r="D8" s="145">
        <f>_xlfn.COMPOUNDVALUE(390)</f>
        <v>3560</v>
      </c>
      <c r="E8" s="146">
        <v>1570699</v>
      </c>
      <c r="F8" s="145">
        <f>_xlfn.COMPOUNDVALUE(391)</f>
        <v>9433</v>
      </c>
      <c r="G8" s="146">
        <v>30471371</v>
      </c>
      <c r="H8" s="145">
        <f>_xlfn.COMPOUNDVALUE(392)</f>
        <v>364</v>
      </c>
      <c r="I8" s="147">
        <v>1417350</v>
      </c>
      <c r="J8" s="145">
        <v>485</v>
      </c>
      <c r="K8" s="147">
        <v>53823</v>
      </c>
      <c r="L8" s="145">
        <f>_xlfn.COMPOUNDVALUE(392)</f>
        <v>9897</v>
      </c>
      <c r="M8" s="147">
        <v>29107844</v>
      </c>
      <c r="N8" s="140">
        <v>9815</v>
      </c>
      <c r="O8" s="143">
        <v>216</v>
      </c>
      <c r="P8" s="143">
        <v>24</v>
      </c>
      <c r="Q8" s="144">
        <v>10055</v>
      </c>
      <c r="R8" s="96" t="s">
        <v>48</v>
      </c>
    </row>
    <row r="9" spans="1:18" ht="25.5" customHeight="1">
      <c r="A9" s="95" t="s">
        <v>49</v>
      </c>
      <c r="B9" s="145">
        <f>_xlfn.COMPOUNDVALUE(393)</f>
        <v>5048</v>
      </c>
      <c r="C9" s="146">
        <v>29856486</v>
      </c>
      <c r="D9" s="145">
        <f>_xlfn.COMPOUNDVALUE(394)</f>
        <v>3599</v>
      </c>
      <c r="E9" s="146">
        <v>1460363</v>
      </c>
      <c r="F9" s="145">
        <f>_xlfn.COMPOUNDVALUE(395)</f>
        <v>8647</v>
      </c>
      <c r="G9" s="146">
        <v>31316850</v>
      </c>
      <c r="H9" s="145">
        <f>_xlfn.COMPOUNDVALUE(396)</f>
        <v>374</v>
      </c>
      <c r="I9" s="147">
        <v>6382275</v>
      </c>
      <c r="J9" s="145">
        <v>594</v>
      </c>
      <c r="K9" s="147">
        <v>-35695</v>
      </c>
      <c r="L9" s="145">
        <f>_xlfn.COMPOUNDVALUE(396)</f>
        <v>9155</v>
      </c>
      <c r="M9" s="147">
        <v>24898880</v>
      </c>
      <c r="N9" s="140">
        <v>8813</v>
      </c>
      <c r="O9" s="143">
        <v>198</v>
      </c>
      <c r="P9" s="143">
        <v>26</v>
      </c>
      <c r="Q9" s="144">
        <v>9037</v>
      </c>
      <c r="R9" s="96" t="s">
        <v>50</v>
      </c>
    </row>
    <row r="10" spans="1:18" ht="25.5" customHeight="1">
      <c r="A10" s="95" t="s">
        <v>51</v>
      </c>
      <c r="B10" s="145">
        <f>_xlfn.COMPOUNDVALUE(397)</f>
        <v>2576</v>
      </c>
      <c r="C10" s="146">
        <v>8849428</v>
      </c>
      <c r="D10" s="145">
        <f>_xlfn.COMPOUNDVALUE(398)</f>
        <v>2307</v>
      </c>
      <c r="E10" s="146">
        <v>904102</v>
      </c>
      <c r="F10" s="145">
        <f>_xlfn.COMPOUNDVALUE(399)</f>
        <v>4883</v>
      </c>
      <c r="G10" s="146">
        <v>9753530</v>
      </c>
      <c r="H10" s="145">
        <f>_xlfn.COMPOUNDVALUE(400)</f>
        <v>156</v>
      </c>
      <c r="I10" s="147">
        <v>217338</v>
      </c>
      <c r="J10" s="145">
        <v>306</v>
      </c>
      <c r="K10" s="147">
        <v>6523</v>
      </c>
      <c r="L10" s="145">
        <f>_xlfn.COMPOUNDVALUE(400)</f>
        <v>5070</v>
      </c>
      <c r="M10" s="147">
        <v>9542715</v>
      </c>
      <c r="N10" s="140">
        <v>4958</v>
      </c>
      <c r="O10" s="143">
        <v>102</v>
      </c>
      <c r="P10" s="143">
        <v>19</v>
      </c>
      <c r="Q10" s="144">
        <v>5079</v>
      </c>
      <c r="R10" s="96" t="s">
        <v>52</v>
      </c>
    </row>
    <row r="11" spans="1:18" ht="25.5" customHeight="1">
      <c r="A11" s="95" t="s">
        <v>53</v>
      </c>
      <c r="B11" s="145">
        <f>_xlfn.COMPOUNDVALUE(401)</f>
        <v>3894</v>
      </c>
      <c r="C11" s="146">
        <v>15617691</v>
      </c>
      <c r="D11" s="145">
        <f>_xlfn.COMPOUNDVALUE(402)</f>
        <v>3320</v>
      </c>
      <c r="E11" s="146">
        <v>1286200</v>
      </c>
      <c r="F11" s="145">
        <f>_xlfn.COMPOUNDVALUE(403)</f>
        <v>7214</v>
      </c>
      <c r="G11" s="146">
        <v>16903891</v>
      </c>
      <c r="H11" s="145">
        <f>_xlfn.COMPOUNDVALUE(404)</f>
        <v>325</v>
      </c>
      <c r="I11" s="147">
        <v>493634</v>
      </c>
      <c r="J11" s="145">
        <v>450</v>
      </c>
      <c r="K11" s="147">
        <v>48278</v>
      </c>
      <c r="L11" s="145">
        <f>_xlfn.COMPOUNDVALUE(404)</f>
        <v>7625</v>
      </c>
      <c r="M11" s="147">
        <v>16458535</v>
      </c>
      <c r="N11" s="140">
        <v>7398</v>
      </c>
      <c r="O11" s="143">
        <v>155</v>
      </c>
      <c r="P11" s="143">
        <v>22</v>
      </c>
      <c r="Q11" s="144">
        <v>7575</v>
      </c>
      <c r="R11" s="96" t="s">
        <v>54</v>
      </c>
    </row>
    <row r="12" spans="1:18" ht="25.5" customHeight="1">
      <c r="A12" s="95" t="s">
        <v>55</v>
      </c>
      <c r="B12" s="145">
        <f>_xlfn.COMPOUNDVALUE(405)</f>
        <v>4081</v>
      </c>
      <c r="C12" s="146">
        <v>14309785</v>
      </c>
      <c r="D12" s="145">
        <f>_xlfn.COMPOUNDVALUE(406)</f>
        <v>2918</v>
      </c>
      <c r="E12" s="146">
        <v>1201708</v>
      </c>
      <c r="F12" s="145">
        <f>_xlfn.COMPOUNDVALUE(407)</f>
        <v>6999</v>
      </c>
      <c r="G12" s="146">
        <v>15511493</v>
      </c>
      <c r="H12" s="145">
        <f>_xlfn.COMPOUNDVALUE(408)</f>
        <v>297</v>
      </c>
      <c r="I12" s="147">
        <v>1383996</v>
      </c>
      <c r="J12" s="145">
        <v>372</v>
      </c>
      <c r="K12" s="147">
        <v>51862</v>
      </c>
      <c r="L12" s="145">
        <f>_xlfn.COMPOUNDVALUE(408)</f>
        <v>7384</v>
      </c>
      <c r="M12" s="147">
        <v>14179359</v>
      </c>
      <c r="N12" s="140">
        <v>7194</v>
      </c>
      <c r="O12" s="143">
        <v>150</v>
      </c>
      <c r="P12" s="143">
        <v>21</v>
      </c>
      <c r="Q12" s="144">
        <v>7365</v>
      </c>
      <c r="R12" s="96" t="s">
        <v>56</v>
      </c>
    </row>
    <row r="13" spans="1:18" ht="25.5" customHeight="1">
      <c r="A13" s="95" t="s">
        <v>57</v>
      </c>
      <c r="B13" s="145">
        <f>_xlfn.COMPOUNDVALUE(409)</f>
        <v>1711</v>
      </c>
      <c r="C13" s="146">
        <v>10830397</v>
      </c>
      <c r="D13" s="145">
        <f>_xlfn.COMPOUNDVALUE(410)</f>
        <v>1370</v>
      </c>
      <c r="E13" s="146">
        <v>544255</v>
      </c>
      <c r="F13" s="145">
        <f>_xlfn.COMPOUNDVALUE(411)</f>
        <v>3081</v>
      </c>
      <c r="G13" s="146">
        <v>11374652</v>
      </c>
      <c r="H13" s="145">
        <f>_xlfn.COMPOUNDVALUE(412)</f>
        <v>110</v>
      </c>
      <c r="I13" s="147">
        <v>298295</v>
      </c>
      <c r="J13" s="145">
        <v>234</v>
      </c>
      <c r="K13" s="147">
        <v>21002</v>
      </c>
      <c r="L13" s="145">
        <f>_xlfn.COMPOUNDVALUE(412)</f>
        <v>3247</v>
      </c>
      <c r="M13" s="147">
        <v>11097359</v>
      </c>
      <c r="N13" s="140">
        <v>3151</v>
      </c>
      <c r="O13" s="143">
        <v>67</v>
      </c>
      <c r="P13" s="143">
        <v>8</v>
      </c>
      <c r="Q13" s="144">
        <v>3226</v>
      </c>
      <c r="R13" s="96" t="s">
        <v>58</v>
      </c>
    </row>
    <row r="14" spans="1:18" ht="25.5" customHeight="1">
      <c r="A14" s="97" t="s">
        <v>59</v>
      </c>
      <c r="B14" s="148">
        <v>29763</v>
      </c>
      <c r="C14" s="149">
        <v>134908289</v>
      </c>
      <c r="D14" s="148">
        <v>21452</v>
      </c>
      <c r="E14" s="149">
        <v>8800972</v>
      </c>
      <c r="F14" s="148">
        <v>51215</v>
      </c>
      <c r="G14" s="149">
        <v>143709261</v>
      </c>
      <c r="H14" s="148">
        <v>2079</v>
      </c>
      <c r="I14" s="150">
        <v>11775205</v>
      </c>
      <c r="J14" s="148">
        <v>3126</v>
      </c>
      <c r="K14" s="150">
        <v>264406</v>
      </c>
      <c r="L14" s="148">
        <v>53984</v>
      </c>
      <c r="M14" s="150">
        <v>132198462</v>
      </c>
      <c r="N14" s="148">
        <v>52571</v>
      </c>
      <c r="O14" s="151">
        <v>1109</v>
      </c>
      <c r="P14" s="151">
        <v>146</v>
      </c>
      <c r="Q14" s="152">
        <v>53826</v>
      </c>
      <c r="R14" s="98" t="s">
        <v>60</v>
      </c>
    </row>
    <row r="15" spans="1:18" ht="25.5" customHeight="1">
      <c r="A15" s="99"/>
      <c r="B15" s="153"/>
      <c r="C15" s="154"/>
      <c r="D15" s="153"/>
      <c r="E15" s="154"/>
      <c r="F15" s="155"/>
      <c r="G15" s="154"/>
      <c r="H15" s="155"/>
      <c r="I15" s="154"/>
      <c r="J15" s="155"/>
      <c r="K15" s="154"/>
      <c r="L15" s="155"/>
      <c r="M15" s="154"/>
      <c r="N15" s="156"/>
      <c r="O15" s="157"/>
      <c r="P15" s="157"/>
      <c r="Q15" s="158"/>
      <c r="R15" s="100" t="s">
        <v>44</v>
      </c>
    </row>
    <row r="16" spans="1:18" ht="25.5" customHeight="1">
      <c r="A16" s="93" t="s">
        <v>61</v>
      </c>
      <c r="B16" s="140">
        <f>_xlfn.COMPOUNDVALUE(413)</f>
        <v>7202</v>
      </c>
      <c r="C16" s="141">
        <v>43446045</v>
      </c>
      <c r="D16" s="140">
        <f>_xlfn.COMPOUNDVALUE(414)</f>
        <v>5931</v>
      </c>
      <c r="E16" s="141">
        <v>2508226</v>
      </c>
      <c r="F16" s="140">
        <f>_xlfn.COMPOUNDVALUE(415)</f>
        <v>13133</v>
      </c>
      <c r="G16" s="141">
        <v>45954271</v>
      </c>
      <c r="H16" s="140">
        <f>_xlfn.COMPOUNDVALUE(416)</f>
        <v>430</v>
      </c>
      <c r="I16" s="142">
        <v>3199088</v>
      </c>
      <c r="J16" s="140">
        <v>780</v>
      </c>
      <c r="K16" s="142">
        <v>298355</v>
      </c>
      <c r="L16" s="140">
        <f>_xlfn.COMPOUNDVALUE(416)</f>
        <v>13739</v>
      </c>
      <c r="M16" s="142">
        <v>43053538</v>
      </c>
      <c r="N16" s="140">
        <v>13281</v>
      </c>
      <c r="O16" s="143">
        <v>256</v>
      </c>
      <c r="P16" s="143">
        <v>33</v>
      </c>
      <c r="Q16" s="144">
        <v>13570</v>
      </c>
      <c r="R16" s="96" t="s">
        <v>62</v>
      </c>
    </row>
    <row r="17" spans="1:18" ht="25.5" customHeight="1">
      <c r="A17" s="93" t="s">
        <v>63</v>
      </c>
      <c r="B17" s="140">
        <f>_xlfn.COMPOUNDVALUE(417)</f>
        <v>3353</v>
      </c>
      <c r="C17" s="141">
        <v>17062970</v>
      </c>
      <c r="D17" s="140">
        <f>_xlfn.COMPOUNDVALUE(418)</f>
        <v>2912</v>
      </c>
      <c r="E17" s="141">
        <v>1174741</v>
      </c>
      <c r="F17" s="140">
        <f>_xlfn.COMPOUNDVALUE(419)</f>
        <v>6265</v>
      </c>
      <c r="G17" s="141">
        <v>18237711</v>
      </c>
      <c r="H17" s="140">
        <f>_xlfn.COMPOUNDVALUE(420)</f>
        <v>230</v>
      </c>
      <c r="I17" s="142">
        <v>1386618</v>
      </c>
      <c r="J17" s="140">
        <v>522</v>
      </c>
      <c r="K17" s="142">
        <v>27356</v>
      </c>
      <c r="L17" s="140">
        <f>_xlfn.COMPOUNDVALUE(420)</f>
        <v>6573</v>
      </c>
      <c r="M17" s="142">
        <v>16878449</v>
      </c>
      <c r="N17" s="140">
        <v>6305</v>
      </c>
      <c r="O17" s="143">
        <v>119</v>
      </c>
      <c r="P17" s="143">
        <v>10</v>
      </c>
      <c r="Q17" s="144">
        <v>6434</v>
      </c>
      <c r="R17" s="96" t="s">
        <v>64</v>
      </c>
    </row>
    <row r="18" spans="1:18" ht="25.5" customHeight="1">
      <c r="A18" s="93" t="s">
        <v>65</v>
      </c>
      <c r="B18" s="140">
        <f>_xlfn.COMPOUNDVALUE(421)</f>
        <v>6929</v>
      </c>
      <c r="C18" s="141">
        <v>32938499</v>
      </c>
      <c r="D18" s="140">
        <f>_xlfn.COMPOUNDVALUE(422)</f>
        <v>6122</v>
      </c>
      <c r="E18" s="141">
        <v>2494330</v>
      </c>
      <c r="F18" s="140">
        <f>_xlfn.COMPOUNDVALUE(423)</f>
        <v>13051</v>
      </c>
      <c r="G18" s="141">
        <v>35432829</v>
      </c>
      <c r="H18" s="140">
        <f>_xlfn.COMPOUNDVALUE(424)</f>
        <v>570</v>
      </c>
      <c r="I18" s="142">
        <v>7333312</v>
      </c>
      <c r="J18" s="140">
        <v>688</v>
      </c>
      <c r="K18" s="142">
        <v>70426</v>
      </c>
      <c r="L18" s="140">
        <f>_xlfn.COMPOUNDVALUE(424)</f>
        <v>13741</v>
      </c>
      <c r="M18" s="142">
        <v>28169944</v>
      </c>
      <c r="N18" s="140">
        <v>13371</v>
      </c>
      <c r="O18" s="143">
        <v>326</v>
      </c>
      <c r="P18" s="143">
        <v>28</v>
      </c>
      <c r="Q18" s="144">
        <v>13725</v>
      </c>
      <c r="R18" s="96" t="s">
        <v>66</v>
      </c>
    </row>
    <row r="19" spans="1:18" ht="25.5" customHeight="1">
      <c r="A19" s="93" t="s">
        <v>67</v>
      </c>
      <c r="B19" s="140">
        <f>_xlfn.COMPOUNDVALUE(425)</f>
        <v>5030</v>
      </c>
      <c r="C19" s="141">
        <v>21848997</v>
      </c>
      <c r="D19" s="140">
        <f>_xlfn.COMPOUNDVALUE(426)</f>
        <v>3582</v>
      </c>
      <c r="E19" s="141">
        <v>1429031</v>
      </c>
      <c r="F19" s="140">
        <f>_xlfn.COMPOUNDVALUE(427)</f>
        <v>8612</v>
      </c>
      <c r="G19" s="141">
        <v>23278028</v>
      </c>
      <c r="H19" s="140">
        <f>_xlfn.COMPOUNDVALUE(428)</f>
        <v>387</v>
      </c>
      <c r="I19" s="142">
        <v>12779236</v>
      </c>
      <c r="J19" s="140">
        <v>515</v>
      </c>
      <c r="K19" s="142">
        <v>39507</v>
      </c>
      <c r="L19" s="140">
        <f>_xlfn.COMPOUNDVALUE(428)</f>
        <v>9095</v>
      </c>
      <c r="M19" s="142">
        <v>10538300</v>
      </c>
      <c r="N19" s="140">
        <v>8861</v>
      </c>
      <c r="O19" s="143">
        <v>199</v>
      </c>
      <c r="P19" s="143">
        <v>21</v>
      </c>
      <c r="Q19" s="144">
        <v>9081</v>
      </c>
      <c r="R19" s="96" t="s">
        <v>68</v>
      </c>
    </row>
    <row r="20" spans="1:18" ht="25.5" customHeight="1">
      <c r="A20" s="93" t="s">
        <v>69</v>
      </c>
      <c r="B20" s="140">
        <f>_xlfn.COMPOUNDVALUE(429)</f>
        <v>5590</v>
      </c>
      <c r="C20" s="141">
        <v>29598980</v>
      </c>
      <c r="D20" s="140">
        <f>_xlfn.COMPOUNDVALUE(430)</f>
        <v>4658</v>
      </c>
      <c r="E20" s="141">
        <v>1964456</v>
      </c>
      <c r="F20" s="140">
        <f>_xlfn.COMPOUNDVALUE(431)</f>
        <v>10248</v>
      </c>
      <c r="G20" s="141">
        <v>31563436</v>
      </c>
      <c r="H20" s="140">
        <f>_xlfn.COMPOUNDVALUE(432)</f>
        <v>286</v>
      </c>
      <c r="I20" s="142">
        <v>1523331</v>
      </c>
      <c r="J20" s="140">
        <v>697</v>
      </c>
      <c r="K20" s="142">
        <v>73675</v>
      </c>
      <c r="L20" s="140">
        <f>_xlfn.COMPOUNDVALUE(432)</f>
        <v>10679</v>
      </c>
      <c r="M20" s="142">
        <v>30113780</v>
      </c>
      <c r="N20" s="140">
        <v>10492</v>
      </c>
      <c r="O20" s="143">
        <v>213</v>
      </c>
      <c r="P20" s="143">
        <v>19</v>
      </c>
      <c r="Q20" s="144">
        <v>10724</v>
      </c>
      <c r="R20" s="96" t="s">
        <v>70</v>
      </c>
    </row>
    <row r="21" spans="1:18" ht="25.5" customHeight="1">
      <c r="A21" s="93" t="s">
        <v>71</v>
      </c>
      <c r="B21" s="140">
        <f>_xlfn.COMPOUNDVALUE(433)</f>
        <v>1669</v>
      </c>
      <c r="C21" s="141">
        <v>4518149</v>
      </c>
      <c r="D21" s="140">
        <f>_xlfn.COMPOUNDVALUE(434)</f>
        <v>1639</v>
      </c>
      <c r="E21" s="141">
        <v>645553</v>
      </c>
      <c r="F21" s="140">
        <f>_xlfn.COMPOUNDVALUE(435)</f>
        <v>3308</v>
      </c>
      <c r="G21" s="141">
        <v>5163702</v>
      </c>
      <c r="H21" s="140">
        <f>_xlfn.COMPOUNDVALUE(436)</f>
        <v>81</v>
      </c>
      <c r="I21" s="142">
        <v>174976</v>
      </c>
      <c r="J21" s="140">
        <v>255</v>
      </c>
      <c r="K21" s="142">
        <v>20708</v>
      </c>
      <c r="L21" s="140">
        <f>_xlfn.COMPOUNDVALUE(436)</f>
        <v>3413</v>
      </c>
      <c r="M21" s="142">
        <v>5009434</v>
      </c>
      <c r="N21" s="140">
        <v>3418</v>
      </c>
      <c r="O21" s="143">
        <v>69</v>
      </c>
      <c r="P21" s="143">
        <v>4</v>
      </c>
      <c r="Q21" s="144">
        <v>3491</v>
      </c>
      <c r="R21" s="96" t="s">
        <v>72</v>
      </c>
    </row>
    <row r="22" spans="1:18" ht="25.5" customHeight="1">
      <c r="A22" s="95" t="s">
        <v>73</v>
      </c>
      <c r="B22" s="145">
        <f>_xlfn.COMPOUNDVALUE(437)</f>
        <v>2694</v>
      </c>
      <c r="C22" s="146">
        <v>9446903</v>
      </c>
      <c r="D22" s="145">
        <f>_xlfn.COMPOUNDVALUE(438)</f>
        <v>2835</v>
      </c>
      <c r="E22" s="146">
        <v>1123573</v>
      </c>
      <c r="F22" s="145">
        <f>_xlfn.COMPOUNDVALUE(439)</f>
        <v>5529</v>
      </c>
      <c r="G22" s="146">
        <v>10570476</v>
      </c>
      <c r="H22" s="145">
        <f>_xlfn.COMPOUNDVALUE(440)</f>
        <v>131</v>
      </c>
      <c r="I22" s="147">
        <v>340718</v>
      </c>
      <c r="J22" s="145">
        <v>379</v>
      </c>
      <c r="K22" s="147">
        <v>29867</v>
      </c>
      <c r="L22" s="145">
        <f>_xlfn.COMPOUNDVALUE(440)</f>
        <v>5744</v>
      </c>
      <c r="M22" s="147">
        <v>10259625</v>
      </c>
      <c r="N22" s="140">
        <v>5751</v>
      </c>
      <c r="O22" s="143">
        <v>112</v>
      </c>
      <c r="P22" s="143">
        <v>6</v>
      </c>
      <c r="Q22" s="144">
        <v>5869</v>
      </c>
      <c r="R22" s="96" t="s">
        <v>74</v>
      </c>
    </row>
    <row r="23" spans="1:18" ht="25.5" customHeight="1">
      <c r="A23" s="95" t="s">
        <v>75</v>
      </c>
      <c r="B23" s="145">
        <f>_xlfn.COMPOUNDVALUE(441)</f>
        <v>2559</v>
      </c>
      <c r="C23" s="146">
        <v>10305907</v>
      </c>
      <c r="D23" s="145">
        <f>_xlfn.COMPOUNDVALUE(442)</f>
        <v>2467</v>
      </c>
      <c r="E23" s="146">
        <v>892589</v>
      </c>
      <c r="F23" s="145">
        <f>_xlfn.COMPOUNDVALUE(443)</f>
        <v>5026</v>
      </c>
      <c r="G23" s="146">
        <v>11198496</v>
      </c>
      <c r="H23" s="145">
        <f>_xlfn.COMPOUNDVALUE(444)</f>
        <v>144</v>
      </c>
      <c r="I23" s="147">
        <v>547751</v>
      </c>
      <c r="J23" s="145">
        <v>215</v>
      </c>
      <c r="K23" s="147">
        <v>10231</v>
      </c>
      <c r="L23" s="145">
        <f>_xlfn.COMPOUNDVALUE(444)</f>
        <v>5224</v>
      </c>
      <c r="M23" s="147">
        <v>10660976</v>
      </c>
      <c r="N23" s="140">
        <v>4958</v>
      </c>
      <c r="O23" s="143">
        <v>97</v>
      </c>
      <c r="P23" s="143">
        <v>14</v>
      </c>
      <c r="Q23" s="144">
        <v>5069</v>
      </c>
      <c r="R23" s="96" t="s">
        <v>76</v>
      </c>
    </row>
    <row r="24" spans="1:18" ht="25.5" customHeight="1">
      <c r="A24" s="95" t="s">
        <v>77</v>
      </c>
      <c r="B24" s="145">
        <f>_xlfn.COMPOUNDVALUE(445)</f>
        <v>5227</v>
      </c>
      <c r="C24" s="146">
        <v>22875455</v>
      </c>
      <c r="D24" s="145">
        <f>_xlfn.COMPOUNDVALUE(446)</f>
        <v>4458</v>
      </c>
      <c r="E24" s="146">
        <v>1888520</v>
      </c>
      <c r="F24" s="145">
        <f>_xlfn.COMPOUNDVALUE(447)</f>
        <v>9685</v>
      </c>
      <c r="G24" s="146">
        <v>24763975</v>
      </c>
      <c r="H24" s="145">
        <f>_xlfn.COMPOUNDVALUE(448)</f>
        <v>260</v>
      </c>
      <c r="I24" s="147">
        <v>2827758</v>
      </c>
      <c r="J24" s="145">
        <v>635</v>
      </c>
      <c r="K24" s="147">
        <v>78584</v>
      </c>
      <c r="L24" s="145">
        <f>_xlfn.COMPOUNDVALUE(448)</f>
        <v>10095</v>
      </c>
      <c r="M24" s="147">
        <v>22014801</v>
      </c>
      <c r="N24" s="140">
        <v>9942</v>
      </c>
      <c r="O24" s="143">
        <v>183</v>
      </c>
      <c r="P24" s="143">
        <v>26</v>
      </c>
      <c r="Q24" s="144">
        <v>10151</v>
      </c>
      <c r="R24" s="96" t="s">
        <v>78</v>
      </c>
    </row>
    <row r="25" spans="1:18" ht="25.5" customHeight="1">
      <c r="A25" s="95" t="s">
        <v>79</v>
      </c>
      <c r="B25" s="145">
        <f>_xlfn.COMPOUNDVALUE(449)</f>
        <v>3099</v>
      </c>
      <c r="C25" s="146">
        <v>14257132</v>
      </c>
      <c r="D25" s="145">
        <f>_xlfn.COMPOUNDVALUE(450)</f>
        <v>2704</v>
      </c>
      <c r="E25" s="146">
        <v>1053908</v>
      </c>
      <c r="F25" s="145">
        <f>_xlfn.COMPOUNDVALUE(451)</f>
        <v>5803</v>
      </c>
      <c r="G25" s="146">
        <v>15311040</v>
      </c>
      <c r="H25" s="145">
        <f>_xlfn.COMPOUNDVALUE(452)</f>
        <v>243</v>
      </c>
      <c r="I25" s="147">
        <v>18727606</v>
      </c>
      <c r="J25" s="145">
        <v>362</v>
      </c>
      <c r="K25" s="147">
        <v>19536</v>
      </c>
      <c r="L25" s="145">
        <f>_xlfn.COMPOUNDVALUE(452)</f>
        <v>6093</v>
      </c>
      <c r="M25" s="147">
        <v>-3397031</v>
      </c>
      <c r="N25" s="140">
        <v>5940</v>
      </c>
      <c r="O25" s="143">
        <v>143</v>
      </c>
      <c r="P25" s="143">
        <v>9</v>
      </c>
      <c r="Q25" s="144">
        <v>6092</v>
      </c>
      <c r="R25" s="96" t="s">
        <v>80</v>
      </c>
    </row>
    <row r="26" spans="1:18" ht="25.5" customHeight="1">
      <c r="A26" s="95" t="s">
        <v>81</v>
      </c>
      <c r="B26" s="145">
        <f>_xlfn.COMPOUNDVALUE(453)</f>
        <v>2360</v>
      </c>
      <c r="C26" s="146">
        <v>9075136</v>
      </c>
      <c r="D26" s="145">
        <f>_xlfn.COMPOUNDVALUE(454)</f>
        <v>2328</v>
      </c>
      <c r="E26" s="146">
        <v>883611</v>
      </c>
      <c r="F26" s="145">
        <f>_xlfn.COMPOUNDVALUE(455)</f>
        <v>4688</v>
      </c>
      <c r="G26" s="146">
        <v>9958747</v>
      </c>
      <c r="H26" s="145">
        <f>_xlfn.COMPOUNDVALUE(456)</f>
        <v>187</v>
      </c>
      <c r="I26" s="147">
        <v>1527100</v>
      </c>
      <c r="J26" s="145">
        <v>263</v>
      </c>
      <c r="K26" s="147">
        <v>26443</v>
      </c>
      <c r="L26" s="145">
        <f>_xlfn.COMPOUNDVALUE(456)</f>
        <v>4915</v>
      </c>
      <c r="M26" s="147">
        <v>8458090</v>
      </c>
      <c r="N26" s="140">
        <v>4734</v>
      </c>
      <c r="O26" s="143">
        <v>122</v>
      </c>
      <c r="P26" s="143">
        <v>7</v>
      </c>
      <c r="Q26" s="144">
        <v>4863</v>
      </c>
      <c r="R26" s="96" t="s">
        <v>82</v>
      </c>
    </row>
    <row r="27" spans="1:18" ht="25.5" customHeight="1">
      <c r="A27" s="95" t="s">
        <v>83</v>
      </c>
      <c r="B27" s="145">
        <f>_xlfn.COMPOUNDVALUE(457)</f>
        <v>3571</v>
      </c>
      <c r="C27" s="146">
        <v>14352772</v>
      </c>
      <c r="D27" s="145">
        <f>_xlfn.COMPOUNDVALUE(458)</f>
        <v>2882</v>
      </c>
      <c r="E27" s="146">
        <v>1155086</v>
      </c>
      <c r="F27" s="145">
        <f>_xlfn.COMPOUNDVALUE(459)</f>
        <v>6453</v>
      </c>
      <c r="G27" s="146">
        <v>15507858</v>
      </c>
      <c r="H27" s="145">
        <f>_xlfn.COMPOUNDVALUE(460)</f>
        <v>228</v>
      </c>
      <c r="I27" s="147">
        <v>629080</v>
      </c>
      <c r="J27" s="145">
        <v>301</v>
      </c>
      <c r="K27" s="147">
        <v>32700</v>
      </c>
      <c r="L27" s="145">
        <f>_xlfn.COMPOUNDVALUE(460)</f>
        <v>6748</v>
      </c>
      <c r="M27" s="147">
        <v>14911477</v>
      </c>
      <c r="N27" s="140">
        <v>6505</v>
      </c>
      <c r="O27" s="143">
        <v>107</v>
      </c>
      <c r="P27" s="143">
        <v>11</v>
      </c>
      <c r="Q27" s="144">
        <v>6623</v>
      </c>
      <c r="R27" s="96" t="s">
        <v>84</v>
      </c>
    </row>
    <row r="28" spans="1:18" ht="25.5" customHeight="1">
      <c r="A28" s="95" t="s">
        <v>85</v>
      </c>
      <c r="B28" s="145">
        <f>_xlfn.COMPOUNDVALUE(461)</f>
        <v>1066</v>
      </c>
      <c r="C28" s="146">
        <v>2381024</v>
      </c>
      <c r="D28" s="145">
        <f>_xlfn.COMPOUNDVALUE(462)</f>
        <v>1000</v>
      </c>
      <c r="E28" s="146">
        <v>373054</v>
      </c>
      <c r="F28" s="145">
        <f>_xlfn.COMPOUNDVALUE(463)</f>
        <v>2066</v>
      </c>
      <c r="G28" s="146">
        <v>2754078</v>
      </c>
      <c r="H28" s="145">
        <f>_xlfn.COMPOUNDVALUE(464)</f>
        <v>42</v>
      </c>
      <c r="I28" s="147">
        <v>198840</v>
      </c>
      <c r="J28" s="145">
        <v>153</v>
      </c>
      <c r="K28" s="147">
        <v>10714</v>
      </c>
      <c r="L28" s="145">
        <f>_xlfn.COMPOUNDVALUE(464)</f>
        <v>2134</v>
      </c>
      <c r="M28" s="147">
        <v>2565952</v>
      </c>
      <c r="N28" s="145">
        <v>2059</v>
      </c>
      <c r="O28" s="159">
        <v>33</v>
      </c>
      <c r="P28" s="159">
        <v>1</v>
      </c>
      <c r="Q28" s="160">
        <v>2093</v>
      </c>
      <c r="R28" s="96" t="s">
        <v>86</v>
      </c>
    </row>
    <row r="29" spans="1:18" ht="25.5" customHeight="1">
      <c r="A29" s="97" t="s">
        <v>87</v>
      </c>
      <c r="B29" s="148">
        <v>50349</v>
      </c>
      <c r="C29" s="149">
        <v>232107968</v>
      </c>
      <c r="D29" s="148">
        <v>43518</v>
      </c>
      <c r="E29" s="149">
        <v>17586678</v>
      </c>
      <c r="F29" s="148">
        <v>93867</v>
      </c>
      <c r="G29" s="149">
        <v>249694646</v>
      </c>
      <c r="H29" s="148">
        <v>3219</v>
      </c>
      <c r="I29" s="150">
        <v>51195415</v>
      </c>
      <c r="J29" s="148">
        <v>5765</v>
      </c>
      <c r="K29" s="150">
        <v>738101</v>
      </c>
      <c r="L29" s="148">
        <v>98193</v>
      </c>
      <c r="M29" s="150">
        <v>199237332</v>
      </c>
      <c r="N29" s="148">
        <v>95617</v>
      </c>
      <c r="O29" s="151">
        <v>1979</v>
      </c>
      <c r="P29" s="151">
        <v>189</v>
      </c>
      <c r="Q29" s="152">
        <v>97785</v>
      </c>
      <c r="R29" s="98" t="s">
        <v>88</v>
      </c>
    </row>
    <row r="30" spans="1:18" ht="25.5" customHeight="1">
      <c r="A30" s="99"/>
      <c r="B30" s="153"/>
      <c r="C30" s="154"/>
      <c r="D30" s="153"/>
      <c r="E30" s="154"/>
      <c r="F30" s="155"/>
      <c r="G30" s="154"/>
      <c r="H30" s="155"/>
      <c r="I30" s="154"/>
      <c r="J30" s="155"/>
      <c r="K30" s="154"/>
      <c r="L30" s="155"/>
      <c r="M30" s="154"/>
      <c r="N30" s="156"/>
      <c r="O30" s="157"/>
      <c r="P30" s="157"/>
      <c r="Q30" s="158"/>
      <c r="R30" s="100" t="s">
        <v>44</v>
      </c>
    </row>
    <row r="31" spans="1:18" ht="25.5" customHeight="1">
      <c r="A31" s="93" t="s">
        <v>89</v>
      </c>
      <c r="B31" s="140">
        <f>_xlfn.COMPOUNDVALUE(465)</f>
        <v>4485</v>
      </c>
      <c r="C31" s="141">
        <v>21900699</v>
      </c>
      <c r="D31" s="140">
        <f>_xlfn.COMPOUNDVALUE(466)</f>
        <v>3245</v>
      </c>
      <c r="E31" s="141">
        <v>1552715</v>
      </c>
      <c r="F31" s="140">
        <f>_xlfn.COMPOUNDVALUE(467)</f>
        <v>7730</v>
      </c>
      <c r="G31" s="141">
        <v>23453414</v>
      </c>
      <c r="H31" s="140">
        <f>_xlfn.COMPOUNDVALUE(468)</f>
        <v>410</v>
      </c>
      <c r="I31" s="142">
        <v>1618492</v>
      </c>
      <c r="J31" s="140">
        <v>604</v>
      </c>
      <c r="K31" s="142">
        <v>55038</v>
      </c>
      <c r="L31" s="140">
        <f>_xlfn.COMPOUNDVALUE(468)</f>
        <v>8225</v>
      </c>
      <c r="M31" s="142">
        <v>21889960</v>
      </c>
      <c r="N31" s="140">
        <v>8171</v>
      </c>
      <c r="O31" s="143">
        <v>240</v>
      </c>
      <c r="P31" s="143">
        <v>50</v>
      </c>
      <c r="Q31" s="144">
        <v>8461</v>
      </c>
      <c r="R31" s="96" t="s">
        <v>90</v>
      </c>
    </row>
    <row r="32" spans="1:18" ht="25.5" customHeight="1">
      <c r="A32" s="93" t="s">
        <v>91</v>
      </c>
      <c r="B32" s="140">
        <f>_xlfn.COMPOUNDVALUE(469)</f>
        <v>2389</v>
      </c>
      <c r="C32" s="141">
        <v>69978094</v>
      </c>
      <c r="D32" s="140">
        <f>_xlfn.COMPOUNDVALUE(470)</f>
        <v>1227</v>
      </c>
      <c r="E32" s="141">
        <v>615703</v>
      </c>
      <c r="F32" s="140">
        <f>_xlfn.COMPOUNDVALUE(471)</f>
        <v>3616</v>
      </c>
      <c r="G32" s="141">
        <v>70593797</v>
      </c>
      <c r="H32" s="140">
        <f>_xlfn.COMPOUNDVALUE(472)</f>
        <v>316</v>
      </c>
      <c r="I32" s="142">
        <v>4160883</v>
      </c>
      <c r="J32" s="140">
        <v>291</v>
      </c>
      <c r="K32" s="142">
        <v>12744</v>
      </c>
      <c r="L32" s="140">
        <f>_xlfn.COMPOUNDVALUE(472)</f>
        <v>4020</v>
      </c>
      <c r="M32" s="142">
        <v>66445657</v>
      </c>
      <c r="N32" s="145">
        <v>3910</v>
      </c>
      <c r="O32" s="159">
        <v>116</v>
      </c>
      <c r="P32" s="159">
        <v>31</v>
      </c>
      <c r="Q32" s="160">
        <v>4057</v>
      </c>
      <c r="R32" s="96" t="s">
        <v>92</v>
      </c>
    </row>
    <row r="33" spans="1:18" ht="25.5" customHeight="1">
      <c r="A33" s="93" t="s">
        <v>93</v>
      </c>
      <c r="B33" s="140">
        <f>_xlfn.COMPOUNDVALUE(473)</f>
        <v>4864</v>
      </c>
      <c r="C33" s="141">
        <v>22600970</v>
      </c>
      <c r="D33" s="140">
        <f>_xlfn.COMPOUNDVALUE(474)</f>
        <v>3084</v>
      </c>
      <c r="E33" s="141">
        <v>1295151</v>
      </c>
      <c r="F33" s="140">
        <f>_xlfn.COMPOUNDVALUE(475)</f>
        <v>7948</v>
      </c>
      <c r="G33" s="141">
        <v>23896122</v>
      </c>
      <c r="H33" s="140">
        <f>_xlfn.COMPOUNDVALUE(476)</f>
        <v>330</v>
      </c>
      <c r="I33" s="142">
        <v>1079679</v>
      </c>
      <c r="J33" s="140">
        <v>465</v>
      </c>
      <c r="K33" s="142">
        <v>35216</v>
      </c>
      <c r="L33" s="140">
        <f>_xlfn.COMPOUNDVALUE(476)</f>
        <v>8419</v>
      </c>
      <c r="M33" s="142">
        <v>22851659</v>
      </c>
      <c r="N33" s="145">
        <v>8473</v>
      </c>
      <c r="O33" s="159">
        <v>191</v>
      </c>
      <c r="P33" s="159">
        <v>34</v>
      </c>
      <c r="Q33" s="160">
        <v>8698</v>
      </c>
      <c r="R33" s="96" t="s">
        <v>94</v>
      </c>
    </row>
    <row r="34" spans="1:18" ht="25.5" customHeight="1">
      <c r="A34" s="93" t="s">
        <v>95</v>
      </c>
      <c r="B34" s="140">
        <f>_xlfn.COMPOUNDVALUE(477)</f>
        <v>5669</v>
      </c>
      <c r="C34" s="141">
        <v>35889729</v>
      </c>
      <c r="D34" s="140">
        <f>_xlfn.COMPOUNDVALUE(478)</f>
        <v>3181</v>
      </c>
      <c r="E34" s="141">
        <v>1325534</v>
      </c>
      <c r="F34" s="140">
        <f>_xlfn.COMPOUNDVALUE(479)</f>
        <v>8850</v>
      </c>
      <c r="G34" s="141">
        <v>37215264</v>
      </c>
      <c r="H34" s="140">
        <f>_xlfn.COMPOUNDVALUE(480)</f>
        <v>349</v>
      </c>
      <c r="I34" s="142">
        <v>2658651</v>
      </c>
      <c r="J34" s="140">
        <v>599</v>
      </c>
      <c r="K34" s="142">
        <v>191365</v>
      </c>
      <c r="L34" s="140">
        <f>_xlfn.COMPOUNDVALUE(480)</f>
        <v>9334</v>
      </c>
      <c r="M34" s="142">
        <v>34747978</v>
      </c>
      <c r="N34" s="145">
        <v>9301</v>
      </c>
      <c r="O34" s="159">
        <v>151</v>
      </c>
      <c r="P34" s="159">
        <v>30</v>
      </c>
      <c r="Q34" s="160">
        <v>9482</v>
      </c>
      <c r="R34" s="96" t="s">
        <v>96</v>
      </c>
    </row>
    <row r="35" spans="1:18" ht="25.5" customHeight="1">
      <c r="A35" s="101" t="s">
        <v>97</v>
      </c>
      <c r="B35" s="140">
        <f>_xlfn.COMPOUNDVALUE(481)</f>
        <v>3627</v>
      </c>
      <c r="C35" s="141">
        <v>91995398</v>
      </c>
      <c r="D35" s="140">
        <f>_xlfn.COMPOUNDVALUE(482)</f>
        <v>1756</v>
      </c>
      <c r="E35" s="141">
        <v>815785</v>
      </c>
      <c r="F35" s="140">
        <f>_xlfn.COMPOUNDVALUE(483)</f>
        <v>5383</v>
      </c>
      <c r="G35" s="141">
        <v>92811183</v>
      </c>
      <c r="H35" s="140">
        <f>_xlfn.COMPOUNDVALUE(484)</f>
        <v>345</v>
      </c>
      <c r="I35" s="142">
        <v>70246664</v>
      </c>
      <c r="J35" s="140">
        <v>372</v>
      </c>
      <c r="K35" s="142">
        <v>82362</v>
      </c>
      <c r="L35" s="140">
        <f>_xlfn.COMPOUNDVALUE(484)</f>
        <v>5804</v>
      </c>
      <c r="M35" s="142">
        <v>22646881</v>
      </c>
      <c r="N35" s="145">
        <v>5545</v>
      </c>
      <c r="O35" s="159">
        <v>146</v>
      </c>
      <c r="P35" s="159">
        <v>34</v>
      </c>
      <c r="Q35" s="160">
        <v>5725</v>
      </c>
      <c r="R35" s="102" t="s">
        <v>98</v>
      </c>
    </row>
    <row r="36" spans="1:18" ht="25.5" customHeight="1">
      <c r="A36" s="93" t="s">
        <v>99</v>
      </c>
      <c r="B36" s="140">
        <f>_xlfn.COMPOUNDVALUE(485)</f>
        <v>6853</v>
      </c>
      <c r="C36" s="141">
        <v>110632192</v>
      </c>
      <c r="D36" s="140">
        <f>_xlfn.COMPOUNDVALUE(486)</f>
        <v>2837</v>
      </c>
      <c r="E36" s="141">
        <v>1668783</v>
      </c>
      <c r="F36" s="140">
        <f>_xlfn.COMPOUNDVALUE(487)</f>
        <v>9690</v>
      </c>
      <c r="G36" s="141">
        <v>112300975</v>
      </c>
      <c r="H36" s="140">
        <f>_xlfn.COMPOUNDVALUE(488)</f>
        <v>649</v>
      </c>
      <c r="I36" s="142">
        <v>9622611</v>
      </c>
      <c r="J36" s="140">
        <v>608</v>
      </c>
      <c r="K36" s="142">
        <v>101871</v>
      </c>
      <c r="L36" s="140">
        <f>_xlfn.COMPOUNDVALUE(488)</f>
        <v>10441</v>
      </c>
      <c r="M36" s="142">
        <v>102780236</v>
      </c>
      <c r="N36" s="145">
        <v>10403</v>
      </c>
      <c r="O36" s="159">
        <v>354</v>
      </c>
      <c r="P36" s="159">
        <v>97</v>
      </c>
      <c r="Q36" s="160">
        <v>10854</v>
      </c>
      <c r="R36" s="96" t="s">
        <v>100</v>
      </c>
    </row>
    <row r="37" spans="1:18" ht="25.5" customHeight="1">
      <c r="A37" s="93" t="s">
        <v>101</v>
      </c>
      <c r="B37" s="140">
        <f>_xlfn.COMPOUNDVALUE(489)</f>
        <v>7454</v>
      </c>
      <c r="C37" s="141">
        <v>45276475</v>
      </c>
      <c r="D37" s="140">
        <f>_xlfn.COMPOUNDVALUE(490)</f>
        <v>5105</v>
      </c>
      <c r="E37" s="141">
        <v>2321358</v>
      </c>
      <c r="F37" s="140">
        <f>_xlfn.COMPOUNDVALUE(491)</f>
        <v>12559</v>
      </c>
      <c r="G37" s="141">
        <v>47597832</v>
      </c>
      <c r="H37" s="140">
        <f>_xlfn.COMPOUNDVALUE(492)</f>
        <v>669</v>
      </c>
      <c r="I37" s="142">
        <v>15909484</v>
      </c>
      <c r="J37" s="140">
        <v>846</v>
      </c>
      <c r="K37" s="142">
        <v>79213</v>
      </c>
      <c r="L37" s="140">
        <f>_xlfn.COMPOUNDVALUE(492)</f>
        <v>13377</v>
      </c>
      <c r="M37" s="142">
        <v>31767561</v>
      </c>
      <c r="N37" s="145">
        <v>12995</v>
      </c>
      <c r="O37" s="159">
        <v>348</v>
      </c>
      <c r="P37" s="159">
        <v>51</v>
      </c>
      <c r="Q37" s="160">
        <v>13394</v>
      </c>
      <c r="R37" s="96" t="s">
        <v>102</v>
      </c>
    </row>
    <row r="38" spans="1:18" ht="25.5" customHeight="1">
      <c r="A38" s="93" t="s">
        <v>103</v>
      </c>
      <c r="B38" s="140">
        <f>_xlfn.COMPOUNDVALUE(493)</f>
        <v>7209</v>
      </c>
      <c r="C38" s="141">
        <v>50219024</v>
      </c>
      <c r="D38" s="140">
        <f>_xlfn.COMPOUNDVALUE(494)</f>
        <v>4502</v>
      </c>
      <c r="E38" s="141">
        <v>1983653</v>
      </c>
      <c r="F38" s="140">
        <f>_xlfn.COMPOUNDVALUE(495)</f>
        <v>11711</v>
      </c>
      <c r="G38" s="141">
        <v>52202677</v>
      </c>
      <c r="H38" s="140">
        <f>_xlfn.COMPOUNDVALUE(496)</f>
        <v>397</v>
      </c>
      <c r="I38" s="142">
        <v>1779796</v>
      </c>
      <c r="J38" s="140">
        <v>718</v>
      </c>
      <c r="K38" s="142">
        <v>98193</v>
      </c>
      <c r="L38" s="140">
        <f>_xlfn.COMPOUNDVALUE(496)</f>
        <v>12293</v>
      </c>
      <c r="M38" s="142">
        <v>50521074</v>
      </c>
      <c r="N38" s="145">
        <v>12129</v>
      </c>
      <c r="O38" s="159">
        <v>198</v>
      </c>
      <c r="P38" s="159">
        <v>34</v>
      </c>
      <c r="Q38" s="160">
        <v>12361</v>
      </c>
      <c r="R38" s="96" t="s">
        <v>104</v>
      </c>
    </row>
    <row r="39" spans="1:18" ht="25.5" customHeight="1">
      <c r="A39" s="93" t="s">
        <v>105</v>
      </c>
      <c r="B39" s="140">
        <f>_xlfn.COMPOUNDVALUE(497)</f>
        <v>6063</v>
      </c>
      <c r="C39" s="141">
        <v>35721723</v>
      </c>
      <c r="D39" s="140">
        <f>_xlfn.COMPOUNDVALUE(498)</f>
        <v>3492</v>
      </c>
      <c r="E39" s="141">
        <v>1507468</v>
      </c>
      <c r="F39" s="140">
        <f>_xlfn.COMPOUNDVALUE(499)</f>
        <v>9555</v>
      </c>
      <c r="G39" s="141">
        <v>37229191</v>
      </c>
      <c r="H39" s="140">
        <f>_xlfn.COMPOUNDVALUE(500)</f>
        <v>719</v>
      </c>
      <c r="I39" s="142">
        <v>6111273</v>
      </c>
      <c r="J39" s="140">
        <v>672</v>
      </c>
      <c r="K39" s="142">
        <v>104413</v>
      </c>
      <c r="L39" s="140">
        <f>_xlfn.COMPOUNDVALUE(500)</f>
        <v>10443</v>
      </c>
      <c r="M39" s="142">
        <v>31222331</v>
      </c>
      <c r="N39" s="145">
        <v>10020</v>
      </c>
      <c r="O39" s="159">
        <v>277</v>
      </c>
      <c r="P39" s="159">
        <v>37</v>
      </c>
      <c r="Q39" s="160">
        <v>10334</v>
      </c>
      <c r="R39" s="96" t="s">
        <v>106</v>
      </c>
    </row>
    <row r="40" spans="1:18" ht="25.5" customHeight="1">
      <c r="A40" s="93" t="s">
        <v>107</v>
      </c>
      <c r="B40" s="140">
        <f>_xlfn.COMPOUNDVALUE(501)</f>
        <v>9782</v>
      </c>
      <c r="C40" s="141">
        <v>40398312</v>
      </c>
      <c r="D40" s="140">
        <f>_xlfn.COMPOUNDVALUE(502)</f>
        <v>10384</v>
      </c>
      <c r="E40" s="141">
        <v>4029233</v>
      </c>
      <c r="F40" s="140">
        <f>_xlfn.COMPOUNDVALUE(503)</f>
        <v>20166</v>
      </c>
      <c r="G40" s="141">
        <v>44427545</v>
      </c>
      <c r="H40" s="140">
        <f>_xlfn.COMPOUNDVALUE(504)</f>
        <v>622</v>
      </c>
      <c r="I40" s="142">
        <v>4828727</v>
      </c>
      <c r="J40" s="140">
        <v>937</v>
      </c>
      <c r="K40" s="142">
        <v>118399</v>
      </c>
      <c r="L40" s="140">
        <f>_xlfn.COMPOUNDVALUE(504)</f>
        <v>20972</v>
      </c>
      <c r="M40" s="142">
        <v>39717218</v>
      </c>
      <c r="N40" s="145">
        <v>20236</v>
      </c>
      <c r="O40" s="159">
        <v>370</v>
      </c>
      <c r="P40" s="159">
        <v>34</v>
      </c>
      <c r="Q40" s="160">
        <v>20640</v>
      </c>
      <c r="R40" s="96" t="s">
        <v>108</v>
      </c>
    </row>
    <row r="41" spans="1:18" ht="25.5" customHeight="1">
      <c r="A41" s="93" t="s">
        <v>109</v>
      </c>
      <c r="B41" s="140">
        <f>_xlfn.COMPOUNDVALUE(505)</f>
        <v>5038</v>
      </c>
      <c r="C41" s="141">
        <v>21781238</v>
      </c>
      <c r="D41" s="140">
        <f>_xlfn.COMPOUNDVALUE(506)</f>
        <v>3595</v>
      </c>
      <c r="E41" s="141">
        <v>1588958</v>
      </c>
      <c r="F41" s="140">
        <f>_xlfn.COMPOUNDVALUE(507)</f>
        <v>8633</v>
      </c>
      <c r="G41" s="141">
        <v>23370196</v>
      </c>
      <c r="H41" s="140">
        <f>_xlfn.COMPOUNDVALUE(508)</f>
        <v>281</v>
      </c>
      <c r="I41" s="142">
        <v>430300</v>
      </c>
      <c r="J41" s="140">
        <v>482</v>
      </c>
      <c r="K41" s="142">
        <v>44528</v>
      </c>
      <c r="L41" s="140">
        <f>_xlfn.COMPOUNDVALUE(508)</f>
        <v>9015</v>
      </c>
      <c r="M41" s="142">
        <v>22984424</v>
      </c>
      <c r="N41" s="145">
        <v>8829</v>
      </c>
      <c r="O41" s="159">
        <v>156</v>
      </c>
      <c r="P41" s="159">
        <v>16</v>
      </c>
      <c r="Q41" s="160">
        <v>9001</v>
      </c>
      <c r="R41" s="96" t="s">
        <v>110</v>
      </c>
    </row>
    <row r="42" spans="1:18" ht="25.5" customHeight="1">
      <c r="A42" s="93" t="s">
        <v>111</v>
      </c>
      <c r="B42" s="140">
        <f>_xlfn.COMPOUNDVALUE(509)</f>
        <v>5898</v>
      </c>
      <c r="C42" s="141">
        <v>33331616</v>
      </c>
      <c r="D42" s="140">
        <f>_xlfn.COMPOUNDVALUE(510)</f>
        <v>4387</v>
      </c>
      <c r="E42" s="141">
        <v>1882833</v>
      </c>
      <c r="F42" s="140">
        <f>_xlfn.COMPOUNDVALUE(511)</f>
        <v>10285</v>
      </c>
      <c r="G42" s="141">
        <v>35214449</v>
      </c>
      <c r="H42" s="140">
        <f>_xlfn.COMPOUNDVALUE(512)</f>
        <v>405</v>
      </c>
      <c r="I42" s="142">
        <v>1555302</v>
      </c>
      <c r="J42" s="140">
        <v>538</v>
      </c>
      <c r="K42" s="142">
        <v>91666</v>
      </c>
      <c r="L42" s="140">
        <f>_xlfn.COMPOUNDVALUE(512)</f>
        <v>10825</v>
      </c>
      <c r="M42" s="142">
        <v>33750813</v>
      </c>
      <c r="N42" s="145">
        <v>10793</v>
      </c>
      <c r="O42" s="159">
        <v>212</v>
      </c>
      <c r="P42" s="159">
        <v>18</v>
      </c>
      <c r="Q42" s="160">
        <v>11023</v>
      </c>
      <c r="R42" s="96" t="s">
        <v>112</v>
      </c>
    </row>
    <row r="43" spans="1:18" ht="25.5" customHeight="1">
      <c r="A43" s="93" t="s">
        <v>113</v>
      </c>
      <c r="B43" s="140">
        <f>_xlfn.COMPOUNDVALUE(513)</f>
        <v>2513</v>
      </c>
      <c r="C43" s="141">
        <v>10844635</v>
      </c>
      <c r="D43" s="140">
        <f>_xlfn.COMPOUNDVALUE(514)</f>
        <v>1945</v>
      </c>
      <c r="E43" s="141">
        <v>779176</v>
      </c>
      <c r="F43" s="140">
        <f>_xlfn.COMPOUNDVALUE(515)</f>
        <v>4458</v>
      </c>
      <c r="G43" s="141">
        <v>11623810</v>
      </c>
      <c r="H43" s="140">
        <f>_xlfn.COMPOUNDVALUE(516)</f>
        <v>175</v>
      </c>
      <c r="I43" s="142">
        <v>738796</v>
      </c>
      <c r="J43" s="140">
        <v>315</v>
      </c>
      <c r="K43" s="142">
        <v>9848</v>
      </c>
      <c r="L43" s="140">
        <f>_xlfn.COMPOUNDVALUE(516)</f>
        <v>4688</v>
      </c>
      <c r="M43" s="142">
        <v>10894862</v>
      </c>
      <c r="N43" s="145">
        <v>4616</v>
      </c>
      <c r="O43" s="159">
        <v>70</v>
      </c>
      <c r="P43" s="159">
        <v>7</v>
      </c>
      <c r="Q43" s="160">
        <v>4693</v>
      </c>
      <c r="R43" s="96" t="s">
        <v>114</v>
      </c>
    </row>
    <row r="44" spans="1:18" ht="25.5" customHeight="1">
      <c r="A44" s="95" t="s">
        <v>115</v>
      </c>
      <c r="B44" s="145">
        <f>_xlfn.COMPOUNDVALUE(517)</f>
        <v>7089</v>
      </c>
      <c r="C44" s="146">
        <v>39556952</v>
      </c>
      <c r="D44" s="145">
        <f>_xlfn.COMPOUNDVALUE(518)</f>
        <v>5355</v>
      </c>
      <c r="E44" s="146">
        <v>2231698</v>
      </c>
      <c r="F44" s="145">
        <f>_xlfn.COMPOUNDVALUE(519)</f>
        <v>12444</v>
      </c>
      <c r="G44" s="146">
        <v>41788650</v>
      </c>
      <c r="H44" s="145">
        <f>_xlfn.COMPOUNDVALUE(520)</f>
        <v>450</v>
      </c>
      <c r="I44" s="147">
        <v>1753028</v>
      </c>
      <c r="J44" s="145">
        <v>827</v>
      </c>
      <c r="K44" s="147">
        <v>111205</v>
      </c>
      <c r="L44" s="145">
        <f>_xlfn.COMPOUNDVALUE(520)</f>
        <v>13091</v>
      </c>
      <c r="M44" s="147">
        <v>40146827</v>
      </c>
      <c r="N44" s="145">
        <v>12732</v>
      </c>
      <c r="O44" s="159">
        <v>283</v>
      </c>
      <c r="P44" s="159">
        <v>38</v>
      </c>
      <c r="Q44" s="160">
        <v>13053</v>
      </c>
      <c r="R44" s="96" t="s">
        <v>116</v>
      </c>
    </row>
    <row r="45" spans="1:18" ht="25.5" customHeight="1">
      <c r="A45" s="95" t="s">
        <v>117</v>
      </c>
      <c r="B45" s="145">
        <f>_xlfn.COMPOUNDVALUE(521)</f>
        <v>4478</v>
      </c>
      <c r="C45" s="146">
        <v>18527910</v>
      </c>
      <c r="D45" s="145">
        <f>_xlfn.COMPOUNDVALUE(522)</f>
        <v>3264</v>
      </c>
      <c r="E45" s="146">
        <v>1300173</v>
      </c>
      <c r="F45" s="145">
        <f>_xlfn.COMPOUNDVALUE(523)</f>
        <v>7742</v>
      </c>
      <c r="G45" s="146">
        <v>19828083</v>
      </c>
      <c r="H45" s="145">
        <f>_xlfn.COMPOUNDVALUE(524)</f>
        <v>415</v>
      </c>
      <c r="I45" s="147">
        <v>4573273</v>
      </c>
      <c r="J45" s="145">
        <v>531</v>
      </c>
      <c r="K45" s="147">
        <v>56012</v>
      </c>
      <c r="L45" s="145">
        <f>_xlfn.COMPOUNDVALUE(524)</f>
        <v>8320</v>
      </c>
      <c r="M45" s="147">
        <v>15310822</v>
      </c>
      <c r="N45" s="145">
        <v>8083</v>
      </c>
      <c r="O45" s="159">
        <v>184</v>
      </c>
      <c r="P45" s="159">
        <v>30</v>
      </c>
      <c r="Q45" s="160">
        <v>8297</v>
      </c>
      <c r="R45" s="96" t="s">
        <v>118</v>
      </c>
    </row>
    <row r="46" spans="1:18" ht="25.5" customHeight="1">
      <c r="A46" s="95" t="s">
        <v>119</v>
      </c>
      <c r="B46" s="145">
        <f>_xlfn.COMPOUNDVALUE(525)</f>
        <v>6258</v>
      </c>
      <c r="C46" s="146">
        <v>62107666</v>
      </c>
      <c r="D46" s="145">
        <f>_xlfn.COMPOUNDVALUE(526)</f>
        <v>4389</v>
      </c>
      <c r="E46" s="146">
        <v>1908188</v>
      </c>
      <c r="F46" s="145">
        <f>_xlfn.COMPOUNDVALUE(527)</f>
        <v>10647</v>
      </c>
      <c r="G46" s="146">
        <v>64015854</v>
      </c>
      <c r="H46" s="145">
        <f>_xlfn.COMPOUNDVALUE(528)</f>
        <v>385</v>
      </c>
      <c r="I46" s="147">
        <v>35660123</v>
      </c>
      <c r="J46" s="145">
        <v>669</v>
      </c>
      <c r="K46" s="147">
        <v>75373</v>
      </c>
      <c r="L46" s="145">
        <f>_xlfn.COMPOUNDVALUE(528)</f>
        <v>11137</v>
      </c>
      <c r="M46" s="147">
        <v>28431104</v>
      </c>
      <c r="N46" s="145">
        <v>10748</v>
      </c>
      <c r="O46" s="159">
        <v>195</v>
      </c>
      <c r="P46" s="159">
        <v>29</v>
      </c>
      <c r="Q46" s="160">
        <v>10972</v>
      </c>
      <c r="R46" s="96" t="s">
        <v>120</v>
      </c>
    </row>
    <row r="47" spans="1:18" ht="25.5" customHeight="1">
      <c r="A47" s="95" t="s">
        <v>121</v>
      </c>
      <c r="B47" s="145">
        <f>_xlfn.COMPOUNDVALUE(529)</f>
        <v>4883</v>
      </c>
      <c r="C47" s="146">
        <v>37417017</v>
      </c>
      <c r="D47" s="145">
        <f>_xlfn.COMPOUNDVALUE(530)</f>
        <v>3285</v>
      </c>
      <c r="E47" s="146">
        <v>1434741</v>
      </c>
      <c r="F47" s="145">
        <f>_xlfn.COMPOUNDVALUE(531)</f>
        <v>8168</v>
      </c>
      <c r="G47" s="146">
        <v>38851758</v>
      </c>
      <c r="H47" s="145">
        <f>_xlfn.COMPOUNDVALUE(532)</f>
        <v>341</v>
      </c>
      <c r="I47" s="147">
        <v>275306607</v>
      </c>
      <c r="J47" s="145">
        <v>556</v>
      </c>
      <c r="K47" s="147">
        <v>86160</v>
      </c>
      <c r="L47" s="145">
        <f>_xlfn.COMPOUNDVALUE(532)</f>
        <v>8623</v>
      </c>
      <c r="M47" s="147">
        <v>-236368689</v>
      </c>
      <c r="N47" s="145">
        <v>8339</v>
      </c>
      <c r="O47" s="159">
        <v>200</v>
      </c>
      <c r="P47" s="159">
        <v>18</v>
      </c>
      <c r="Q47" s="160">
        <v>8557</v>
      </c>
      <c r="R47" s="96" t="s">
        <v>122</v>
      </c>
    </row>
    <row r="48" spans="1:18" ht="25.5" customHeight="1">
      <c r="A48" s="95" t="s">
        <v>123</v>
      </c>
      <c r="B48" s="145">
        <f>_xlfn.COMPOUNDVALUE(533)</f>
        <v>2475</v>
      </c>
      <c r="C48" s="146">
        <v>11354358</v>
      </c>
      <c r="D48" s="145">
        <f>_xlfn.COMPOUNDVALUE(534)</f>
        <v>2218</v>
      </c>
      <c r="E48" s="146">
        <v>889560</v>
      </c>
      <c r="F48" s="145">
        <f>_xlfn.COMPOUNDVALUE(535)</f>
        <v>4693</v>
      </c>
      <c r="G48" s="146">
        <v>12243918</v>
      </c>
      <c r="H48" s="145">
        <f>_xlfn.COMPOUNDVALUE(536)</f>
        <v>152</v>
      </c>
      <c r="I48" s="147">
        <v>454224</v>
      </c>
      <c r="J48" s="145">
        <v>258</v>
      </c>
      <c r="K48" s="147">
        <v>22624</v>
      </c>
      <c r="L48" s="145">
        <f>_xlfn.COMPOUNDVALUE(536)</f>
        <v>4892</v>
      </c>
      <c r="M48" s="147">
        <v>11812317</v>
      </c>
      <c r="N48" s="145">
        <v>4779</v>
      </c>
      <c r="O48" s="159">
        <v>74</v>
      </c>
      <c r="P48" s="159">
        <v>9</v>
      </c>
      <c r="Q48" s="160">
        <v>4862</v>
      </c>
      <c r="R48" s="96" t="s">
        <v>124</v>
      </c>
    </row>
    <row r="49" spans="1:18" ht="25.5" customHeight="1">
      <c r="A49" s="95" t="s">
        <v>125</v>
      </c>
      <c r="B49" s="145">
        <f>_xlfn.COMPOUNDVALUE(537)</f>
        <v>8512</v>
      </c>
      <c r="C49" s="146">
        <v>45572447</v>
      </c>
      <c r="D49" s="145">
        <f>_xlfn.COMPOUNDVALUE(538)</f>
        <v>5827</v>
      </c>
      <c r="E49" s="146">
        <v>2537045</v>
      </c>
      <c r="F49" s="145">
        <f>_xlfn.COMPOUNDVALUE(539)</f>
        <v>14339</v>
      </c>
      <c r="G49" s="146">
        <v>48109493</v>
      </c>
      <c r="H49" s="145">
        <f>_xlfn.COMPOUNDVALUE(540)</f>
        <v>527</v>
      </c>
      <c r="I49" s="147">
        <v>11786913</v>
      </c>
      <c r="J49" s="145">
        <v>1013</v>
      </c>
      <c r="K49" s="147">
        <v>246029</v>
      </c>
      <c r="L49" s="145">
        <f>_xlfn.COMPOUNDVALUE(540)</f>
        <v>15061</v>
      </c>
      <c r="M49" s="147">
        <v>36568609</v>
      </c>
      <c r="N49" s="145">
        <v>14839</v>
      </c>
      <c r="O49" s="159">
        <v>293</v>
      </c>
      <c r="P49" s="159">
        <v>35</v>
      </c>
      <c r="Q49" s="160">
        <v>15167</v>
      </c>
      <c r="R49" s="96" t="s">
        <v>126</v>
      </c>
    </row>
    <row r="50" spans="1:18" ht="25.5" customHeight="1">
      <c r="A50" s="95" t="s">
        <v>127</v>
      </c>
      <c r="B50" s="145">
        <f>_xlfn.COMPOUNDVALUE(541)</f>
        <v>717</v>
      </c>
      <c r="C50" s="146">
        <v>1937369</v>
      </c>
      <c r="D50" s="145">
        <f>_xlfn.COMPOUNDVALUE(542)</f>
        <v>628</v>
      </c>
      <c r="E50" s="146">
        <v>238157</v>
      </c>
      <c r="F50" s="145">
        <f>_xlfn.COMPOUNDVALUE(543)</f>
        <v>1345</v>
      </c>
      <c r="G50" s="146">
        <v>2175527</v>
      </c>
      <c r="H50" s="145">
        <f>_xlfn.COMPOUNDVALUE(544)</f>
        <v>52</v>
      </c>
      <c r="I50" s="147">
        <v>44318</v>
      </c>
      <c r="J50" s="145">
        <v>89</v>
      </c>
      <c r="K50" s="147">
        <v>2182</v>
      </c>
      <c r="L50" s="145">
        <f>_xlfn.COMPOUNDVALUE(544)</f>
        <v>1420</v>
      </c>
      <c r="M50" s="147">
        <v>2133391</v>
      </c>
      <c r="N50" s="145">
        <v>1344</v>
      </c>
      <c r="O50" s="159">
        <v>20</v>
      </c>
      <c r="P50" s="159">
        <v>3</v>
      </c>
      <c r="Q50" s="160">
        <v>1367</v>
      </c>
      <c r="R50" s="96" t="s">
        <v>128</v>
      </c>
    </row>
    <row r="51" spans="1:18" ht="25.5" customHeight="1">
      <c r="A51" s="97" t="s">
        <v>129</v>
      </c>
      <c r="B51" s="148">
        <v>106256</v>
      </c>
      <c r="C51" s="149">
        <v>807043824</v>
      </c>
      <c r="D51" s="148">
        <v>73706</v>
      </c>
      <c r="E51" s="149">
        <v>31905911</v>
      </c>
      <c r="F51" s="148">
        <v>179962</v>
      </c>
      <c r="G51" s="149">
        <v>838949736</v>
      </c>
      <c r="H51" s="148">
        <v>7989</v>
      </c>
      <c r="I51" s="150">
        <v>450319142</v>
      </c>
      <c r="J51" s="148">
        <v>11390</v>
      </c>
      <c r="K51" s="150">
        <v>1624439</v>
      </c>
      <c r="L51" s="148">
        <v>190400</v>
      </c>
      <c r="M51" s="150">
        <v>390255033</v>
      </c>
      <c r="N51" s="148">
        <v>186285</v>
      </c>
      <c r="O51" s="151">
        <v>4078</v>
      </c>
      <c r="P51" s="151">
        <v>635</v>
      </c>
      <c r="Q51" s="152">
        <v>190998</v>
      </c>
      <c r="R51" s="98" t="s">
        <v>130</v>
      </c>
    </row>
    <row r="52" spans="1:18" ht="25.5" customHeight="1">
      <c r="A52" s="99"/>
      <c r="B52" s="153"/>
      <c r="C52" s="154"/>
      <c r="D52" s="153"/>
      <c r="E52" s="154"/>
      <c r="F52" s="155"/>
      <c r="G52" s="154"/>
      <c r="H52" s="155"/>
      <c r="I52" s="154"/>
      <c r="J52" s="155"/>
      <c r="K52" s="154"/>
      <c r="L52" s="155"/>
      <c r="M52" s="154"/>
      <c r="N52" s="156"/>
      <c r="O52" s="157"/>
      <c r="P52" s="157"/>
      <c r="Q52" s="158"/>
      <c r="R52" s="100" t="s">
        <v>44</v>
      </c>
    </row>
    <row r="53" spans="1:18" ht="25.5" customHeight="1">
      <c r="A53" s="93" t="s">
        <v>131</v>
      </c>
      <c r="B53" s="140">
        <f>_xlfn.COMPOUNDVALUE(545)</f>
        <v>3188</v>
      </c>
      <c r="C53" s="141">
        <v>16269345</v>
      </c>
      <c r="D53" s="140">
        <f>_xlfn.COMPOUNDVALUE(546)</f>
        <v>2294</v>
      </c>
      <c r="E53" s="141">
        <v>1001970</v>
      </c>
      <c r="F53" s="140">
        <f>_xlfn.COMPOUNDVALUE(547)</f>
        <v>5482</v>
      </c>
      <c r="G53" s="141">
        <v>17271315</v>
      </c>
      <c r="H53" s="140">
        <f>_xlfn.COMPOUNDVALUE(548)</f>
        <v>185</v>
      </c>
      <c r="I53" s="142">
        <v>717426</v>
      </c>
      <c r="J53" s="140">
        <v>298</v>
      </c>
      <c r="K53" s="142">
        <v>46535</v>
      </c>
      <c r="L53" s="140">
        <f>_xlfn.COMPOUNDVALUE(548)</f>
        <v>5763</v>
      </c>
      <c r="M53" s="142">
        <v>16600424</v>
      </c>
      <c r="N53" s="140">
        <v>5704</v>
      </c>
      <c r="O53" s="143">
        <v>119</v>
      </c>
      <c r="P53" s="143">
        <v>12</v>
      </c>
      <c r="Q53" s="144">
        <v>5835</v>
      </c>
      <c r="R53" s="96" t="s">
        <v>132</v>
      </c>
    </row>
    <row r="54" spans="1:18" ht="25.5" customHeight="1">
      <c r="A54" s="95" t="s">
        <v>133</v>
      </c>
      <c r="B54" s="145">
        <f>_xlfn.COMPOUNDVALUE(549)</f>
        <v>5222</v>
      </c>
      <c r="C54" s="146">
        <v>27273959</v>
      </c>
      <c r="D54" s="145">
        <f>_xlfn.COMPOUNDVALUE(550)</f>
        <v>3532</v>
      </c>
      <c r="E54" s="146">
        <v>1556354</v>
      </c>
      <c r="F54" s="145">
        <f>_xlfn.COMPOUNDVALUE(551)</f>
        <v>8754</v>
      </c>
      <c r="G54" s="146">
        <v>28830313</v>
      </c>
      <c r="H54" s="145">
        <f>_xlfn.COMPOUNDVALUE(552)</f>
        <v>344</v>
      </c>
      <c r="I54" s="147">
        <v>11048209</v>
      </c>
      <c r="J54" s="145">
        <v>795</v>
      </c>
      <c r="K54" s="147">
        <v>-15506</v>
      </c>
      <c r="L54" s="145">
        <f>_xlfn.COMPOUNDVALUE(552)</f>
        <v>9240</v>
      </c>
      <c r="M54" s="147">
        <v>17766597</v>
      </c>
      <c r="N54" s="145">
        <v>9093</v>
      </c>
      <c r="O54" s="159">
        <v>200</v>
      </c>
      <c r="P54" s="159">
        <v>29</v>
      </c>
      <c r="Q54" s="160">
        <v>9322</v>
      </c>
      <c r="R54" s="96" t="s">
        <v>134</v>
      </c>
    </row>
    <row r="55" spans="1:18" ht="25.5" customHeight="1">
      <c r="A55" s="95" t="s">
        <v>135</v>
      </c>
      <c r="B55" s="145">
        <f>_xlfn.COMPOUNDVALUE(553)</f>
        <v>3577</v>
      </c>
      <c r="C55" s="146">
        <v>10889914</v>
      </c>
      <c r="D55" s="145">
        <f>_xlfn.COMPOUNDVALUE(554)</f>
        <v>2577</v>
      </c>
      <c r="E55" s="146">
        <v>996533</v>
      </c>
      <c r="F55" s="145">
        <f>_xlfn.COMPOUNDVALUE(555)</f>
        <v>6154</v>
      </c>
      <c r="G55" s="146">
        <v>11886446</v>
      </c>
      <c r="H55" s="145">
        <f>_xlfn.COMPOUNDVALUE(556)</f>
        <v>263</v>
      </c>
      <c r="I55" s="147">
        <v>1826387</v>
      </c>
      <c r="J55" s="145">
        <v>411</v>
      </c>
      <c r="K55" s="147">
        <v>64978</v>
      </c>
      <c r="L55" s="145">
        <f>_xlfn.COMPOUNDVALUE(556)</f>
        <v>6535</v>
      </c>
      <c r="M55" s="147">
        <v>10125036</v>
      </c>
      <c r="N55" s="145">
        <v>6318</v>
      </c>
      <c r="O55" s="159">
        <v>138</v>
      </c>
      <c r="P55" s="159">
        <v>17</v>
      </c>
      <c r="Q55" s="160">
        <v>6473</v>
      </c>
      <c r="R55" s="96" t="s">
        <v>136</v>
      </c>
    </row>
    <row r="56" spans="1:18" ht="25.5" customHeight="1">
      <c r="A56" s="95" t="s">
        <v>137</v>
      </c>
      <c r="B56" s="145">
        <f>_xlfn.COMPOUNDVALUE(557)</f>
        <v>2633</v>
      </c>
      <c r="C56" s="146">
        <v>9820902</v>
      </c>
      <c r="D56" s="145">
        <f>_xlfn.COMPOUNDVALUE(558)</f>
        <v>1866</v>
      </c>
      <c r="E56" s="146">
        <v>755518</v>
      </c>
      <c r="F56" s="145">
        <f>_xlfn.COMPOUNDVALUE(559)</f>
        <v>4499</v>
      </c>
      <c r="G56" s="146">
        <v>10576420</v>
      </c>
      <c r="H56" s="145">
        <f>_xlfn.COMPOUNDVALUE(560)</f>
        <v>208</v>
      </c>
      <c r="I56" s="147">
        <v>879294</v>
      </c>
      <c r="J56" s="145">
        <v>246</v>
      </c>
      <c r="K56" s="147">
        <v>-84934</v>
      </c>
      <c r="L56" s="145">
        <f>_xlfn.COMPOUNDVALUE(560)</f>
        <v>4766</v>
      </c>
      <c r="M56" s="147">
        <v>9612192</v>
      </c>
      <c r="N56" s="145">
        <v>4664</v>
      </c>
      <c r="O56" s="159">
        <v>107</v>
      </c>
      <c r="P56" s="159">
        <v>6</v>
      </c>
      <c r="Q56" s="160">
        <v>4777</v>
      </c>
      <c r="R56" s="96" t="s">
        <v>138</v>
      </c>
    </row>
    <row r="57" spans="1:18" ht="25.5" customHeight="1">
      <c r="A57" s="95" t="s">
        <v>139</v>
      </c>
      <c r="B57" s="145">
        <f>_xlfn.COMPOUNDVALUE(561)</f>
        <v>2677</v>
      </c>
      <c r="C57" s="146">
        <v>13662414</v>
      </c>
      <c r="D57" s="145">
        <f>_xlfn.COMPOUNDVALUE(562)</f>
        <v>1889</v>
      </c>
      <c r="E57" s="146">
        <v>785729</v>
      </c>
      <c r="F57" s="145">
        <f>_xlfn.COMPOUNDVALUE(563)</f>
        <v>4566</v>
      </c>
      <c r="G57" s="146">
        <v>14448143</v>
      </c>
      <c r="H57" s="145">
        <f>_xlfn.COMPOUNDVALUE(564)</f>
        <v>220</v>
      </c>
      <c r="I57" s="147">
        <v>1031899</v>
      </c>
      <c r="J57" s="145">
        <v>286</v>
      </c>
      <c r="K57" s="147">
        <v>1571</v>
      </c>
      <c r="L57" s="145">
        <f>_xlfn.COMPOUNDVALUE(564)</f>
        <v>4851</v>
      </c>
      <c r="M57" s="147">
        <v>13417814</v>
      </c>
      <c r="N57" s="145">
        <v>4714</v>
      </c>
      <c r="O57" s="159">
        <v>111</v>
      </c>
      <c r="P57" s="159">
        <v>14</v>
      </c>
      <c r="Q57" s="160">
        <v>4839</v>
      </c>
      <c r="R57" s="96" t="s">
        <v>140</v>
      </c>
    </row>
    <row r="58" spans="1:18" ht="25.5" customHeight="1">
      <c r="A58" s="95" t="s">
        <v>141</v>
      </c>
      <c r="B58" s="145">
        <f>_xlfn.COMPOUNDVALUE(565)</f>
        <v>1836</v>
      </c>
      <c r="C58" s="146">
        <v>6517206</v>
      </c>
      <c r="D58" s="145">
        <f>_xlfn.COMPOUNDVALUE(566)</f>
        <v>1171</v>
      </c>
      <c r="E58" s="146">
        <v>493158</v>
      </c>
      <c r="F58" s="145">
        <f>_xlfn.COMPOUNDVALUE(567)</f>
        <v>3007</v>
      </c>
      <c r="G58" s="146">
        <v>7010364</v>
      </c>
      <c r="H58" s="145">
        <f>_xlfn.COMPOUNDVALUE(568)</f>
        <v>125</v>
      </c>
      <c r="I58" s="147">
        <v>364082</v>
      </c>
      <c r="J58" s="145">
        <v>206</v>
      </c>
      <c r="K58" s="147">
        <v>13934</v>
      </c>
      <c r="L58" s="145">
        <f>_xlfn.COMPOUNDVALUE(568)</f>
        <v>3171</v>
      </c>
      <c r="M58" s="147">
        <v>6660216</v>
      </c>
      <c r="N58" s="145">
        <v>3178</v>
      </c>
      <c r="O58" s="159">
        <v>85</v>
      </c>
      <c r="P58" s="159">
        <v>8</v>
      </c>
      <c r="Q58" s="160">
        <v>3271</v>
      </c>
      <c r="R58" s="96" t="s">
        <v>142</v>
      </c>
    </row>
    <row r="59" spans="1:18" ht="25.5" customHeight="1">
      <c r="A59" s="95" t="s">
        <v>143</v>
      </c>
      <c r="B59" s="145">
        <f>_xlfn.COMPOUNDVALUE(569)</f>
        <v>2776</v>
      </c>
      <c r="C59" s="146">
        <v>11136881</v>
      </c>
      <c r="D59" s="145">
        <f>_xlfn.COMPOUNDVALUE(570)</f>
        <v>2011</v>
      </c>
      <c r="E59" s="146">
        <v>872530</v>
      </c>
      <c r="F59" s="145">
        <f>_xlfn.COMPOUNDVALUE(571)</f>
        <v>4787</v>
      </c>
      <c r="G59" s="146">
        <v>12009410</v>
      </c>
      <c r="H59" s="145">
        <f>_xlfn.COMPOUNDVALUE(572)</f>
        <v>203</v>
      </c>
      <c r="I59" s="147">
        <v>448389</v>
      </c>
      <c r="J59" s="145">
        <v>368</v>
      </c>
      <c r="K59" s="147">
        <v>33862</v>
      </c>
      <c r="L59" s="145">
        <f>_xlfn.COMPOUNDVALUE(572)</f>
        <v>5058</v>
      </c>
      <c r="M59" s="147">
        <v>11594883</v>
      </c>
      <c r="N59" s="145">
        <v>4980</v>
      </c>
      <c r="O59" s="159">
        <v>119</v>
      </c>
      <c r="P59" s="159">
        <v>12</v>
      </c>
      <c r="Q59" s="160">
        <v>5111</v>
      </c>
      <c r="R59" s="96" t="s">
        <v>144</v>
      </c>
    </row>
    <row r="60" spans="1:18" ht="25.5" customHeight="1">
      <c r="A60" s="95" t="s">
        <v>145</v>
      </c>
      <c r="B60" s="145">
        <f>_xlfn.COMPOUNDVALUE(573)</f>
        <v>1116</v>
      </c>
      <c r="C60" s="146">
        <v>2787256</v>
      </c>
      <c r="D60" s="145">
        <f>_xlfn.COMPOUNDVALUE(574)</f>
        <v>932</v>
      </c>
      <c r="E60" s="146">
        <v>344710</v>
      </c>
      <c r="F60" s="145">
        <f>_xlfn.COMPOUNDVALUE(575)</f>
        <v>2048</v>
      </c>
      <c r="G60" s="146">
        <v>3131966</v>
      </c>
      <c r="H60" s="145">
        <f>_xlfn.COMPOUNDVALUE(576)</f>
        <v>64</v>
      </c>
      <c r="I60" s="147">
        <v>103467</v>
      </c>
      <c r="J60" s="145">
        <v>117</v>
      </c>
      <c r="K60" s="147">
        <v>17507</v>
      </c>
      <c r="L60" s="145">
        <f>_xlfn.COMPOUNDVALUE(576)</f>
        <v>2137</v>
      </c>
      <c r="M60" s="147">
        <v>3046006</v>
      </c>
      <c r="N60" s="145">
        <v>2022</v>
      </c>
      <c r="O60" s="159">
        <v>27</v>
      </c>
      <c r="P60" s="159">
        <v>2</v>
      </c>
      <c r="Q60" s="160">
        <v>2051</v>
      </c>
      <c r="R60" s="96" t="s">
        <v>146</v>
      </c>
    </row>
    <row r="61" spans="1:18" ht="25.5" customHeight="1">
      <c r="A61" s="97" t="s">
        <v>147</v>
      </c>
      <c r="B61" s="148">
        <v>23025</v>
      </c>
      <c r="C61" s="149">
        <v>98357877</v>
      </c>
      <c r="D61" s="148">
        <v>16272</v>
      </c>
      <c r="E61" s="149">
        <v>6806501</v>
      </c>
      <c r="F61" s="148">
        <v>39297</v>
      </c>
      <c r="G61" s="149">
        <v>105164377</v>
      </c>
      <c r="H61" s="148">
        <v>1612</v>
      </c>
      <c r="I61" s="150">
        <v>16419152</v>
      </c>
      <c r="J61" s="148">
        <v>2727</v>
      </c>
      <c r="K61" s="150">
        <v>77947</v>
      </c>
      <c r="L61" s="148">
        <v>41521</v>
      </c>
      <c r="M61" s="150">
        <v>88823172</v>
      </c>
      <c r="N61" s="148">
        <v>40673</v>
      </c>
      <c r="O61" s="151">
        <v>906</v>
      </c>
      <c r="P61" s="151">
        <v>100</v>
      </c>
      <c r="Q61" s="152">
        <v>41679</v>
      </c>
      <c r="R61" s="98" t="s">
        <v>148</v>
      </c>
    </row>
    <row r="62" spans="1:18" ht="25.5" customHeight="1" thickBot="1">
      <c r="A62" s="103"/>
      <c r="B62" s="161"/>
      <c r="C62" s="162"/>
      <c r="D62" s="161"/>
      <c r="E62" s="162"/>
      <c r="F62" s="163"/>
      <c r="G62" s="162"/>
      <c r="H62" s="163"/>
      <c r="I62" s="162"/>
      <c r="J62" s="163"/>
      <c r="K62" s="162"/>
      <c r="L62" s="163"/>
      <c r="M62" s="162"/>
      <c r="N62" s="164"/>
      <c r="O62" s="165"/>
      <c r="P62" s="165"/>
      <c r="Q62" s="166"/>
      <c r="R62" s="104" t="s">
        <v>44</v>
      </c>
    </row>
    <row r="63" spans="1:18" ht="25.5" customHeight="1" thickBot="1" thickTop="1">
      <c r="A63" s="105" t="s">
        <v>43</v>
      </c>
      <c r="B63" s="167">
        <v>209393</v>
      </c>
      <c r="C63" s="168">
        <v>1272417959</v>
      </c>
      <c r="D63" s="167">
        <v>154948</v>
      </c>
      <c r="E63" s="168">
        <v>65100062</v>
      </c>
      <c r="F63" s="167">
        <v>364341</v>
      </c>
      <c r="G63" s="168">
        <v>1337518021</v>
      </c>
      <c r="H63" s="167">
        <v>14899</v>
      </c>
      <c r="I63" s="169">
        <v>529708915</v>
      </c>
      <c r="J63" s="167">
        <v>23008</v>
      </c>
      <c r="K63" s="169">
        <v>2704893</v>
      </c>
      <c r="L63" s="167">
        <v>384098</v>
      </c>
      <c r="M63" s="169">
        <v>810513999</v>
      </c>
      <c r="N63" s="170">
        <v>375146</v>
      </c>
      <c r="O63" s="171">
        <v>8072</v>
      </c>
      <c r="P63" s="171">
        <v>1070</v>
      </c>
      <c r="Q63" s="172">
        <v>384288</v>
      </c>
      <c r="R63" s="106" t="s">
        <v>43</v>
      </c>
    </row>
    <row r="64" spans="1:9" ht="25.5" customHeight="1">
      <c r="A64" s="107" t="s">
        <v>155</v>
      </c>
      <c r="B64" s="107"/>
      <c r="C64" s="107"/>
      <c r="D64" s="107"/>
      <c r="E64" s="107"/>
      <c r="F64" s="107"/>
      <c r="G64" s="107"/>
      <c r="H64" s="107"/>
      <c r="I64" s="107"/>
    </row>
  </sheetData>
  <sheetProtection/>
  <mergeCells count="15">
    <mergeCell ref="N3:Q3"/>
    <mergeCell ref="R3:R5"/>
    <mergeCell ref="B4:C4"/>
    <mergeCell ref="D4:E4"/>
    <mergeCell ref="F4:G4"/>
    <mergeCell ref="N4:N5"/>
    <mergeCell ref="O4:O5"/>
    <mergeCell ref="P4:P5"/>
    <mergeCell ref="Q4:Q5"/>
    <mergeCell ref="A2:I2"/>
    <mergeCell ref="A3:A5"/>
    <mergeCell ref="B3:G3"/>
    <mergeCell ref="H3:I4"/>
    <mergeCell ref="J3:K4"/>
    <mergeCell ref="L3:M4"/>
  </mergeCells>
  <printOptions horizontalCentered="1"/>
  <pageMargins left="0.11811023622047245" right="0.11811023622047245" top="0.7480314960629921" bottom="0.7480314960629921" header="0.31496062992125984" footer="0.31496062992125984"/>
  <pageSetup horizontalDpi="600" verticalDpi="600" orientation="portrait" paperSize="9" scale="48" r:id="rId1"/>
  <headerFooter alignWithMargins="0">
    <oddFooter>&amp;R名古屋国税局　消費税（H26）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dc:creator>
  <cp:keywords/>
  <dc:description/>
  <cp:lastModifiedBy>国税庁</cp:lastModifiedBy>
  <cp:lastPrinted>2016-05-13T06:31:46Z</cp:lastPrinted>
  <dcterms:created xsi:type="dcterms:W3CDTF">2003-07-09T01:05:10Z</dcterms:created>
  <dcterms:modified xsi:type="dcterms:W3CDTF">2016-05-13T06:32:07Z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