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tabRatio="767"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<sst xmlns="http://schemas.openxmlformats.org/spreadsheetml/2006/main" count="520" uniqueCount="247">
  <si>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</si>
  <si>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</si>
  <si>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</si>
  <si>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</si>
  <si>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</si>
  <si>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</si>
  <si>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</si>
  <si>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</si>
  <si>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</si>
  <si>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</si>
  <si>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</si>
  <si>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</si>
  <si>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</si>
  <si>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</si>
  <si>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</si>
  <si>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千円</t>
  </si>
  <si>
    <t>件</t>
  </si>
  <si>
    <t>(2)　課税状況の累年比較</t>
  </si>
  <si>
    <t>平成22年度</t>
  </si>
  <si>
    <t>平成23年度</t>
  </si>
  <si>
    <t>　イ　個人事業者</t>
  </si>
  <si>
    <t>既往年分の
申告及び処理</t>
  </si>
  <si>
    <t>合　　　　　　計</t>
  </si>
  <si>
    <t>税務署名</t>
  </si>
  <si>
    <t>簡易申告及び処理</t>
  </si>
  <si>
    <t>小　　　　　　計</t>
  </si>
  <si>
    <t>総　計</t>
  </si>
  <si>
    <t>総　計</t>
  </si>
  <si>
    <t/>
  </si>
  <si>
    <t>岐阜北</t>
  </si>
  <si>
    <t>岐阜北</t>
  </si>
  <si>
    <t>岐阜南</t>
  </si>
  <si>
    <t>岐阜南</t>
  </si>
  <si>
    <t>大垣</t>
  </si>
  <si>
    <t>大垣</t>
  </si>
  <si>
    <t>高山</t>
  </si>
  <si>
    <t>高山</t>
  </si>
  <si>
    <t>多治見</t>
  </si>
  <si>
    <t>多治見</t>
  </si>
  <si>
    <t>関</t>
  </si>
  <si>
    <t>関</t>
  </si>
  <si>
    <t>中津川</t>
  </si>
  <si>
    <t>中津川</t>
  </si>
  <si>
    <t>岐阜県計</t>
  </si>
  <si>
    <t>岐阜県計</t>
  </si>
  <si>
    <t>静岡</t>
  </si>
  <si>
    <t>静岡</t>
  </si>
  <si>
    <t>清水</t>
  </si>
  <si>
    <t>清水</t>
  </si>
  <si>
    <t>浜松西</t>
  </si>
  <si>
    <t>浜松西</t>
  </si>
  <si>
    <t>浜松東</t>
  </si>
  <si>
    <t>浜松東</t>
  </si>
  <si>
    <t>沼津</t>
  </si>
  <si>
    <t>沼津</t>
  </si>
  <si>
    <t>熱海</t>
  </si>
  <si>
    <t>熱海</t>
  </si>
  <si>
    <t>三島</t>
  </si>
  <si>
    <t>三島</t>
  </si>
  <si>
    <t>島田</t>
  </si>
  <si>
    <t>島田</t>
  </si>
  <si>
    <t>富士</t>
  </si>
  <si>
    <t>富士</t>
  </si>
  <si>
    <t>磐田</t>
  </si>
  <si>
    <t>磐田</t>
  </si>
  <si>
    <t>掛川</t>
  </si>
  <si>
    <t>掛川</t>
  </si>
  <si>
    <t>藤枝</t>
  </si>
  <si>
    <t>藤枝</t>
  </si>
  <si>
    <t>下田</t>
  </si>
  <si>
    <t>下田</t>
  </si>
  <si>
    <t>静岡県計</t>
  </si>
  <si>
    <t>静岡県計</t>
  </si>
  <si>
    <t>千種</t>
  </si>
  <si>
    <t>千種</t>
  </si>
  <si>
    <t>名古屋東</t>
  </si>
  <si>
    <t>名古屋東</t>
  </si>
  <si>
    <t>名古屋北</t>
  </si>
  <si>
    <t>名古屋北</t>
  </si>
  <si>
    <t>名古屋西</t>
  </si>
  <si>
    <t>名古屋西</t>
  </si>
  <si>
    <t>名古屋中村</t>
  </si>
  <si>
    <t>名古屋中村</t>
  </si>
  <si>
    <t>名古屋中</t>
  </si>
  <si>
    <t>名古屋中</t>
  </si>
  <si>
    <t>昭和</t>
  </si>
  <si>
    <t>昭和</t>
  </si>
  <si>
    <t>熱田</t>
  </si>
  <si>
    <t>熱田</t>
  </si>
  <si>
    <t>中川</t>
  </si>
  <si>
    <t>中川</t>
  </si>
  <si>
    <t>豊橋</t>
  </si>
  <si>
    <t>豊橋</t>
  </si>
  <si>
    <t>岡崎</t>
  </si>
  <si>
    <t>岡崎</t>
  </si>
  <si>
    <t>一宮</t>
  </si>
  <si>
    <t>一宮</t>
  </si>
  <si>
    <t>尾張瀬戸</t>
  </si>
  <si>
    <t>尾張瀬戸</t>
  </si>
  <si>
    <t>半田</t>
  </si>
  <si>
    <t>半田</t>
  </si>
  <si>
    <t>津島</t>
  </si>
  <si>
    <t>津島</t>
  </si>
  <si>
    <t>刈谷</t>
  </si>
  <si>
    <t>刈谷</t>
  </si>
  <si>
    <t>豊田</t>
  </si>
  <si>
    <t>豊田</t>
  </si>
  <si>
    <t>西尾</t>
  </si>
  <si>
    <t>西尾</t>
  </si>
  <si>
    <t>小牧</t>
  </si>
  <si>
    <t>小牧</t>
  </si>
  <si>
    <t>新城</t>
  </si>
  <si>
    <t>新城</t>
  </si>
  <si>
    <t>愛知県計</t>
  </si>
  <si>
    <t>愛知県計</t>
  </si>
  <si>
    <t>津</t>
  </si>
  <si>
    <t>津</t>
  </si>
  <si>
    <t>四日市</t>
  </si>
  <si>
    <t>四日市</t>
  </si>
  <si>
    <t>伊勢</t>
  </si>
  <si>
    <t>伊勢</t>
  </si>
  <si>
    <t>松阪</t>
  </si>
  <si>
    <t>松阪</t>
  </si>
  <si>
    <t>桑名</t>
  </si>
  <si>
    <t>桑名</t>
  </si>
  <si>
    <t>上野</t>
  </si>
  <si>
    <t>上野</t>
  </si>
  <si>
    <t>鈴鹿</t>
  </si>
  <si>
    <t>鈴鹿</t>
  </si>
  <si>
    <t>尾鷲</t>
  </si>
  <si>
    <t>尾鷲</t>
  </si>
  <si>
    <t>三重県計</t>
  </si>
  <si>
    <t>三重県計</t>
  </si>
  <si>
    <t>（注）この表は「(1)　課税状況」の現年分を税務署別に示したものである（加算税を除く。）。</t>
  </si>
  <si>
    <t>　ロ　法　　　人</t>
  </si>
  <si>
    <t>税務署名</t>
  </si>
  <si>
    <t>　ハ　個人事業者と法人の合計</t>
  </si>
  <si>
    <t>課税事業者
届出</t>
  </si>
  <si>
    <t>合　　　計</t>
  </si>
  <si>
    <t>（注）この表は「(1)　課税状況」の現年分及び「(3)　課税事業者等届出件数」を税務署別に示したものである（加算税を除く。）。</t>
  </si>
  <si>
    <t>　「現年分」は、平成24年４月１日から平成25年３月31日までに終了した課税期間について、平成25年６月30日現在の申告（国・地方公共団体等については平成25年９月30日までの申告を含む。）及び処理（更正、決定等）による課税事績を「申告書及び決議書」に基づいて作成した。</t>
  </si>
  <si>
    <t>平成24年度</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</si>
  <si>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</si>
  <si>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</si>
  <si>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</si>
  <si>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</si>
  <si>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</si>
  <si>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</si>
  <si>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</si>
  <si>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</si>
  <si>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</si>
  <si>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</si>
  <si>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</si>
  <si>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</si>
  <si>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調査対象等：</t>
  </si>
  <si>
    <t>　「既往年分」は、平成24年３月31日以前に終了した課税期間について、平成24年７月１日から平成25年６月30日までの間の申告（平成24年７月１日から同年９月30日までの間の国・地方公共団体等に係る申告を除く。）及び処理（更正、決定等）による課税事績を「申告書及び決議書」に基づいて作成した。</t>
  </si>
  <si>
    <t>　（注）１</t>
  </si>
  <si>
    <t>税関分は含まない。</t>
  </si>
  <si>
    <t>　　　　２</t>
  </si>
  <si>
    <t>「件数欄」の「実」は、実件数を示す。</t>
  </si>
  <si>
    <t>法　　　　　　　人</t>
  </si>
  <si>
    <t>合　　　　　　　計</t>
  </si>
  <si>
    <t>件　　数</t>
  </si>
  <si>
    <t>税　　額</t>
  </si>
  <si>
    <t>平成20年度</t>
  </si>
  <si>
    <t>平成21年度</t>
  </si>
  <si>
    <t>(3)　課税事業者等届出件数</t>
  </si>
  <si>
    <t>合計</t>
  </si>
  <si>
    <t>(4)　税務署別課税状況</t>
  </si>
  <si>
    <t>税務署名</t>
  </si>
  <si>
    <t>納　　　税　　　申　　　告　　　及　　　び　　　処　　　理</t>
  </si>
  <si>
    <t>件数</t>
  </si>
  <si>
    <t>税額</t>
  </si>
  <si>
    <t>(4)　税務署別課税状況（続）</t>
  </si>
  <si>
    <t>税務署名</t>
  </si>
  <si>
    <t>納　　　税　　　申　　　告　　　及　　　び　　　処　　　理</t>
  </si>
  <si>
    <t>一般申告及び処理</t>
  </si>
  <si>
    <t>件数</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</si>
  <si>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</si>
  <si>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</si>
  <si>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</si>
  <si>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</si>
  <si>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</si>
  <si>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</si>
  <si>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</si>
  <si>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</si>
  <si>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</si>
  <si>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</si>
  <si>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</si>
  <si>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</si>
  <si>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</si>
  <si>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</si>
  <si>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</si>
  <si>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</si>
  <si>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</si>
  <si>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</si>
  <si>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</si>
  <si>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</si>
  <si>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</si>
  <si>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</si>
  <si>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</si>
  <si>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</si>
  <si>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</si>
  <si>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</si>
  <si>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</si>
  <si>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</si>
  <si>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</si>
  <si>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</si>
  <si>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</si>
  <si>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</si>
  <si>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</si>
  <si>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</si>
  <si>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</si>
  <si>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</si>
  <si>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</si>
  <si>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</si>
  <si>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</si>
  <si>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</si>
  <si>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</si>
  <si>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</si>
  <si>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</si>
  <si>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</si>
  <si>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</si>
  <si>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</si>
  <si>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</si>
  <si>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</si>
  <si>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</si>
  <si>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</si>
  <si>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</si>
  <si>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</si>
  <si>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　計</t>
  </si>
  <si>
    <t>税額
①</t>
  </si>
  <si>
    <t>税額
②</t>
  </si>
  <si>
    <t>税額
③</t>
  </si>
  <si>
    <t>税額
(①－②＋③)</t>
  </si>
  <si>
    <t>税額
①</t>
  </si>
  <si>
    <t>税額
②</t>
  </si>
  <si>
    <t>税額
③</t>
  </si>
  <si>
    <t>税額
(①－②＋③)</t>
  </si>
  <si>
    <t>(4)　税務署別課税状況（続）</t>
  </si>
  <si>
    <t>税務署名</t>
  </si>
  <si>
    <t>納　　　税　　　申　　　告　　　及　　　び　　　処　　　理</t>
  </si>
  <si>
    <t>課　税　事　業　者　等　届　出　件　数</t>
  </si>
  <si>
    <t>一般申告及び処理</t>
  </si>
  <si>
    <t>課税事業者
選択届出</t>
  </si>
  <si>
    <t>新設法人に
該当する旨
の届出</t>
  </si>
  <si>
    <t>調査対象等：平成24年度末（平成25年３月31日現在）の届出件数を示している。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</si>
</sst>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sz val="10"/>
      <name val="ＭＳ 明朝"/>
      <family val="1"/>
    </font>
    <font>
      <sz val="10"/>
      <name val="ＭＳ ゴシック"/>
      <family val="3"/>
    </font>
    <font>
      <b/>
      <sz val="10"/>
      <name val="ＭＳ 明朝"/>
      <family val="1"/>
    </font>
    <font>
      <sz val="10"/>
      <name val="ＭＳ Ｐ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hair"/>
      <top style="thin"/>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hair"/>
      <right/>
      <top style="thin"/>
      <bottom/>
    </border>
    <border>
      <left style="medium"/>
      <right/>
      <top/>
      <bottom style="hair">
        <color rgb="FF969696"/>
      </bottom>
    </border>
    <border>
      <left style="thin"/>
      <right style="hair"/>
      <top>
        <color indexed="63"/>
      </top>
      <bottom style="hair">
        <color rgb="FF969696"/>
      </bottom>
    </border>
    <border>
      <left style="hair"/>
      <right style="thin"/>
      <top>
        <color indexed="63"/>
      </top>
      <bottom style="hair">
        <color rgb="FF969696"/>
      </bottom>
    </border>
    <border>
      <left style="hair"/>
      <right/>
      <top/>
      <bottom style="hair">
        <color rgb="FF969696"/>
      </bottom>
    </border>
    <border>
      <left style="thin"/>
      <right style="medium"/>
      <top/>
      <bottom style="hair">
        <color rgb="FF969696"/>
      </bottom>
    </border>
    <border>
      <left style="medium"/>
      <right/>
      <top style="hair">
        <color rgb="FF969696"/>
      </top>
      <bottom style="hair">
        <color rgb="FF969696"/>
      </bottom>
    </border>
    <border>
      <left style="thin"/>
      <right style="hair"/>
      <top style="hair">
        <color rgb="FF969696"/>
      </top>
      <bottom style="hair">
        <color rgb="FF969696"/>
      </bottom>
    </border>
    <border>
      <left style="hair"/>
      <right style="thin"/>
      <top style="hair">
        <color rgb="FF969696"/>
      </top>
      <bottom style="hair">
        <color rgb="FF969696"/>
      </bottom>
    </border>
    <border>
      <left style="hair"/>
      <right/>
      <top style="hair">
        <color rgb="FF969696"/>
      </top>
      <bottom style="hair">
        <color rgb="FF969696"/>
      </bottom>
    </border>
    <border>
      <left style="thin"/>
      <right style="medium"/>
      <top style="hair">
        <color rgb="FF969696"/>
      </top>
      <bottom style="hair">
        <color rgb="FF969696"/>
      </bottom>
    </border>
    <border>
      <left style="medium"/>
      <right/>
      <top style="hair">
        <color rgb="FF969696"/>
      </top>
      <bottom style="thin">
        <color rgb="FF969696"/>
      </bottom>
    </border>
    <border>
      <left style="thin"/>
      <right style="hair"/>
      <top style="hair">
        <color rgb="FF969696"/>
      </top>
      <bottom style="thin">
        <color rgb="FF969696"/>
      </bottom>
    </border>
    <border>
      <left style="hair"/>
      <right style="thin"/>
      <top style="hair">
        <color rgb="FF969696"/>
      </top>
      <bottom style="thin">
        <color rgb="FF969696"/>
      </bottom>
    </border>
    <border>
      <left style="hair"/>
      <right/>
      <top style="hair">
        <color rgb="FF969696"/>
      </top>
      <bottom style="thin">
        <color rgb="FF969696"/>
      </bottom>
    </border>
    <border>
      <left style="thin"/>
      <right style="medium"/>
      <top style="hair">
        <color rgb="FF969696"/>
      </top>
      <bottom style="thin">
        <color rgb="FF969696"/>
      </bottom>
    </border>
    <border>
      <left style="medium"/>
      <right/>
      <top style="thin">
        <color rgb="FF969696"/>
      </top>
      <bottom style="thin">
        <color rgb="FF969696"/>
      </bottom>
    </border>
    <border>
      <left style="thin"/>
      <right/>
      <top style="thin">
        <color rgb="FF969696"/>
      </top>
      <bottom style="hair"/>
    </border>
    <border>
      <left style="hair"/>
      <right style="thin"/>
      <top style="thin">
        <color rgb="FF969696"/>
      </top>
      <bottom style="hair"/>
    </border>
    <border>
      <left style="thin"/>
      <right style="hair"/>
      <top style="thin">
        <color rgb="FF969696"/>
      </top>
      <bottom style="hair"/>
    </border>
    <border>
      <left style="thin"/>
      <right style="medium"/>
      <top style="thin">
        <color rgb="FF969696"/>
      </top>
      <bottom style="thin">
        <color rgb="FF969696"/>
      </bottom>
    </border>
    <border>
      <left style="thin"/>
      <right style="medium"/>
      <top style="thin">
        <color rgb="FF969696"/>
      </top>
      <bottom style="hair">
        <color rgb="FF969696"/>
      </bottom>
    </border>
    <border>
      <left style="medium"/>
      <right/>
      <top/>
      <bottom style="double"/>
    </border>
    <border>
      <left style="thin"/>
      <right/>
      <top style="thin">
        <color rgb="FF969696"/>
      </top>
      <bottom style="double"/>
    </border>
    <border>
      <left style="hair"/>
      <right style="thin"/>
      <top style="thin">
        <color rgb="FF969696"/>
      </top>
      <bottom style="double"/>
    </border>
    <border>
      <left style="thin"/>
      <right style="hair"/>
      <top style="thin">
        <color rgb="FF969696"/>
      </top>
      <bottom style="double"/>
    </border>
    <border>
      <left style="thin"/>
      <right style="medium"/>
      <top/>
      <bottom style="double"/>
    </border>
    <border>
      <left style="medium"/>
      <right>
        <color indexed="63"/>
      </right>
      <top>
        <color indexed="63"/>
      </top>
      <bottom style="medium"/>
    </border>
    <border>
      <left style="hair"/>
      <right/>
      <top/>
      <bottom style="medium"/>
    </border>
    <border>
      <left style="hair"/>
      <right style="hair"/>
      <top>
        <color indexed="63"/>
      </top>
      <bottom style="hair">
        <color rgb="FF969696"/>
      </bottom>
    </border>
    <border>
      <left style="hair"/>
      <right style="hair"/>
      <top style="hair">
        <color rgb="FF969696"/>
      </top>
      <bottom style="thin">
        <color rgb="FF969696"/>
      </bottom>
    </border>
    <border>
      <left style="thin"/>
      <right style="hair"/>
      <top style="thin">
        <color rgb="FF969696"/>
      </top>
      <bottom style="thin">
        <color rgb="FF969696"/>
      </bottom>
    </border>
    <border>
      <left style="hair"/>
      <right style="hair"/>
      <top style="thin">
        <color rgb="FF969696"/>
      </top>
      <bottom style="thin">
        <color rgb="FF969696"/>
      </bottom>
    </border>
    <border>
      <left style="hair"/>
      <right/>
      <top style="thin">
        <color rgb="FF969696"/>
      </top>
      <bottom style="thin">
        <color rgb="FF969696"/>
      </bottom>
    </border>
    <border>
      <left style="thin"/>
      <right style="medium"/>
      <top style="thin">
        <color rgb="FF808080"/>
      </top>
      <bottom style="thin">
        <color rgb="FF808080"/>
      </bottom>
    </border>
    <border>
      <left style="hair"/>
      <right style="hair"/>
      <top style="hair">
        <color rgb="FF969696"/>
      </top>
      <bottom style="hair">
        <color rgb="FF969696"/>
      </bottom>
    </border>
    <border>
      <left style="thin"/>
      <right style="hair"/>
      <top style="thin">
        <color rgb="FF969696"/>
      </top>
      <bottom/>
    </border>
    <border>
      <left style="hair"/>
      <right style="hair"/>
      <top style="thin">
        <color rgb="FF969696"/>
      </top>
      <bottom/>
    </border>
    <border>
      <left style="hair"/>
      <right/>
      <top style="thin">
        <color rgb="FF969696"/>
      </top>
      <bottom/>
    </border>
    <border>
      <left style="thin"/>
      <right style="medium"/>
      <top style="thin">
        <color rgb="FF808080"/>
      </top>
      <bottom/>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color indexed="63"/>
      </left>
      <right>
        <color indexed="63"/>
      </right>
      <top style="medium"/>
      <bottom>
        <color indexed="63"/>
      </bottom>
    </border>
    <border>
      <left style="hair"/>
      <right style="thin"/>
      <top style="hair"/>
      <bottom style="thin"/>
    </border>
    <border>
      <left style="thin"/>
      <right style="hair"/>
      <top style="hair"/>
      <bottom style="thin"/>
    </border>
    <border>
      <left style="hair"/>
      <right/>
      <top style="hair"/>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26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3" fontId="2" fillId="33" borderId="14" xfId="0" applyNumberFormat="1" applyFont="1" applyFill="1" applyBorder="1" applyAlignment="1">
      <alignment horizontal="right" vertical="center" indent="1"/>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3" fontId="2" fillId="33" borderId="20" xfId="0" applyNumberFormat="1" applyFont="1" applyFill="1" applyBorder="1" applyAlignment="1">
      <alignment horizontal="right" vertical="center" indent="1"/>
    </xf>
    <xf numFmtId="0" fontId="2" fillId="0" borderId="21" xfId="0" applyFont="1" applyBorder="1" applyAlignment="1">
      <alignment horizontal="center" vertical="center"/>
    </xf>
    <xf numFmtId="0" fontId="2" fillId="0" borderId="22" xfId="0" applyFont="1" applyBorder="1" applyAlignment="1">
      <alignment horizontal="right" vertical="center"/>
    </xf>
    <xf numFmtId="0" fontId="6" fillId="0" borderId="22" xfId="0" applyFont="1" applyBorder="1" applyAlignment="1">
      <alignment horizontal="right" vertical="center"/>
    </xf>
    <xf numFmtId="0" fontId="2" fillId="0" borderId="23" xfId="0"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34"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6" fillId="33" borderId="25" xfId="0" applyNumberFormat="1" applyFont="1" applyFill="1" applyBorder="1" applyAlignment="1">
      <alignment horizontal="right" vertical="center"/>
    </xf>
    <xf numFmtId="3" fontId="6"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3" fontId="6" fillId="34"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26" xfId="0" applyFont="1" applyBorder="1" applyAlignment="1">
      <alignment horizontal="distributed" vertical="center"/>
    </xf>
    <xf numFmtId="0" fontId="6" fillId="0" borderId="26"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6" fillId="33" borderId="36" xfId="0" applyNumberFormat="1" applyFont="1" applyFill="1" applyBorder="1" applyAlignment="1">
      <alignment horizontal="right" vertical="center"/>
    </xf>
    <xf numFmtId="3" fontId="6" fillId="34" borderId="37" xfId="0" applyNumberFormat="1" applyFont="1" applyFill="1" applyBorder="1" applyAlignment="1">
      <alignment horizontal="right" vertical="center"/>
    </xf>
    <xf numFmtId="3" fontId="6" fillId="34" borderId="38" xfId="0" applyNumberFormat="1" applyFont="1" applyFill="1" applyBorder="1" applyAlignment="1">
      <alignment horizontal="right" vertical="center"/>
    </xf>
    <xf numFmtId="0" fontId="6" fillId="0" borderId="39" xfId="0" applyFont="1" applyBorder="1" applyAlignment="1">
      <alignment horizontal="right"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2" fillId="0" borderId="43" xfId="0" applyFont="1" applyBorder="1" applyAlignment="1">
      <alignment horizontal="distributed" vertical="center"/>
    </xf>
    <xf numFmtId="3" fontId="2" fillId="33" borderId="44"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0" fontId="7" fillId="34" borderId="10" xfId="0" applyFont="1" applyFill="1" applyBorder="1" applyAlignment="1">
      <alignment horizontal="right" vertical="top"/>
    </xf>
    <xf numFmtId="0" fontId="7" fillId="33" borderId="46"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22" xfId="0" applyFont="1" applyBorder="1" applyAlignment="1">
      <alignment horizontal="center" vertical="center"/>
    </xf>
    <xf numFmtId="3" fontId="2" fillId="33" borderId="47" xfId="0" applyNumberFormat="1" applyFont="1" applyFill="1" applyBorder="1" applyAlignment="1">
      <alignment vertical="center"/>
    </xf>
    <xf numFmtId="3" fontId="2" fillId="33" borderId="25" xfId="0" applyNumberFormat="1" applyFont="1" applyFill="1" applyBorder="1" applyAlignment="1">
      <alignment vertical="center"/>
    </xf>
    <xf numFmtId="3" fontId="2" fillId="0" borderId="22" xfId="0" applyNumberFormat="1" applyFont="1" applyBorder="1" applyAlignment="1">
      <alignment horizontal="center" vertical="center"/>
    </xf>
    <xf numFmtId="0" fontId="2" fillId="0" borderId="48" xfId="0" applyFont="1" applyBorder="1" applyAlignment="1">
      <alignment horizontal="distributed" vertical="center"/>
    </xf>
    <xf numFmtId="3" fontId="2" fillId="33" borderId="49"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0" fontId="7" fillId="0" borderId="51" xfId="0" applyFont="1" applyFill="1" applyBorder="1" applyAlignment="1">
      <alignment horizontal="center" vertical="center"/>
    </xf>
    <xf numFmtId="0" fontId="7" fillId="0" borderId="13" xfId="0" applyFont="1" applyFill="1" applyBorder="1" applyAlignment="1">
      <alignment horizontal="right" vertical="top"/>
    </xf>
    <xf numFmtId="0" fontId="7" fillId="34" borderId="21" xfId="0" applyFont="1" applyFill="1" applyBorder="1" applyAlignment="1">
      <alignment horizontal="right" vertical="top"/>
    </xf>
    <xf numFmtId="0" fontId="7" fillId="0" borderId="10" xfId="0" applyFont="1" applyFill="1" applyBorder="1" applyAlignment="1">
      <alignment horizontal="center" vertical="center"/>
    </xf>
    <xf numFmtId="3" fontId="2" fillId="33" borderId="52" xfId="0" applyNumberFormat="1" applyFont="1" applyFill="1" applyBorder="1" applyAlignment="1">
      <alignment horizontal="right" vertical="center"/>
    </xf>
    <xf numFmtId="0" fontId="2" fillId="0" borderId="51" xfId="0" applyFont="1" applyBorder="1" applyAlignment="1">
      <alignment horizontal="center" vertical="center"/>
    </xf>
    <xf numFmtId="0" fontId="7" fillId="33" borderId="13" xfId="0" applyFont="1" applyFill="1" applyBorder="1" applyAlignment="1">
      <alignment horizontal="right"/>
    </xf>
    <xf numFmtId="0" fontId="7" fillId="34" borderId="10" xfId="0" applyFont="1" applyFill="1" applyBorder="1" applyAlignment="1">
      <alignment horizontal="right"/>
    </xf>
    <xf numFmtId="0" fontId="7" fillId="34" borderId="21" xfId="0" applyFont="1" applyFill="1" applyBorder="1" applyAlignment="1">
      <alignment horizontal="right"/>
    </xf>
    <xf numFmtId="0" fontId="7" fillId="33" borderId="53"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0" fontId="7" fillId="33" borderId="56" xfId="0" applyFont="1" applyFill="1" applyBorder="1" applyAlignment="1">
      <alignment horizontal="right"/>
    </xf>
    <xf numFmtId="3" fontId="2" fillId="33" borderId="47" xfId="0" applyNumberFormat="1" applyFont="1" applyFill="1" applyBorder="1" applyAlignment="1">
      <alignment horizontal="right" vertical="center"/>
    </xf>
    <xf numFmtId="0" fontId="5" fillId="0" borderId="0" xfId="0" applyFont="1" applyAlignment="1">
      <alignment horizontal="center" vertical="top"/>
    </xf>
    <xf numFmtId="0" fontId="2" fillId="0" borderId="2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57" xfId="0" applyFont="1" applyBorder="1" applyAlignment="1">
      <alignment horizontal="distributed" vertical="center" indent="1"/>
    </xf>
    <xf numFmtId="0" fontId="0" fillId="0" borderId="0" xfId="61" applyFont="1" applyBorder="1">
      <alignment/>
      <protection/>
    </xf>
    <xf numFmtId="0" fontId="10" fillId="0" borderId="0" xfId="61" applyFont="1" applyBorder="1" applyAlignment="1">
      <alignment horizontal="left" vertical="center"/>
      <protection/>
    </xf>
    <xf numFmtId="0" fontId="10" fillId="0" borderId="0" xfId="61" applyFont="1" applyBorder="1" applyAlignment="1">
      <alignment horizontal="left" vertical="top"/>
      <protection/>
    </xf>
    <xf numFmtId="0" fontId="0" fillId="0" borderId="0" xfId="61" applyFont="1" applyBorder="1" applyAlignment="1">
      <alignment horizontal="center"/>
      <protection/>
    </xf>
    <xf numFmtId="0" fontId="7" fillId="35" borderId="51" xfId="61" applyFont="1" applyFill="1" applyBorder="1" applyAlignment="1">
      <alignment horizontal="distributed" vertical="top"/>
      <protection/>
    </xf>
    <xf numFmtId="0" fontId="7" fillId="36" borderId="13" xfId="61" applyFont="1" applyFill="1" applyBorder="1" applyAlignment="1">
      <alignment horizontal="right" vertical="top"/>
      <protection/>
    </xf>
    <xf numFmtId="0" fontId="7" fillId="37" borderId="10" xfId="61" applyFont="1" applyFill="1" applyBorder="1" applyAlignment="1">
      <alignment horizontal="right" vertical="top"/>
      <protection/>
    </xf>
    <xf numFmtId="0" fontId="7" fillId="37" borderId="58" xfId="61" applyFont="1" applyFill="1" applyBorder="1" applyAlignment="1">
      <alignment horizontal="right" vertical="top"/>
      <protection/>
    </xf>
    <xf numFmtId="0" fontId="7" fillId="35" borderId="56" xfId="61" applyFont="1" applyFill="1" applyBorder="1" applyAlignment="1">
      <alignment horizontal="distributed" vertical="top"/>
      <protection/>
    </xf>
    <xf numFmtId="0" fontId="8" fillId="0" borderId="0" xfId="61" applyFont="1" applyBorder="1" applyAlignment="1">
      <alignment horizontal="right" vertical="top"/>
      <protection/>
    </xf>
    <xf numFmtId="0" fontId="10" fillId="35" borderId="59" xfId="61" applyFont="1" applyFill="1" applyBorder="1" applyAlignment="1">
      <alignment horizontal="distributed" vertical="center"/>
      <protection/>
    </xf>
    <xf numFmtId="177" fontId="10" fillId="36" borderId="60" xfId="61" applyNumberFormat="1" applyFont="1" applyFill="1" applyBorder="1" applyAlignment="1">
      <alignment horizontal="right" vertical="center"/>
      <protection/>
    </xf>
    <xf numFmtId="177" fontId="10" fillId="37" borderId="61" xfId="61" applyNumberFormat="1" applyFont="1" applyFill="1" applyBorder="1" applyAlignment="1">
      <alignment horizontal="right" vertical="center"/>
      <protection/>
    </xf>
    <xf numFmtId="177" fontId="10" fillId="37" borderId="62" xfId="61" applyNumberFormat="1" applyFont="1" applyFill="1" applyBorder="1" applyAlignment="1">
      <alignment horizontal="right" vertical="center"/>
      <protection/>
    </xf>
    <xf numFmtId="0" fontId="10" fillId="35" borderId="63" xfId="61" applyFont="1" applyFill="1" applyBorder="1" applyAlignment="1">
      <alignment horizontal="distributed" vertical="center"/>
      <protection/>
    </xf>
    <xf numFmtId="0" fontId="9" fillId="0" borderId="0" xfId="61" applyFont="1" applyBorder="1">
      <alignment/>
      <protection/>
    </xf>
    <xf numFmtId="0" fontId="10" fillId="35" borderId="64" xfId="61" applyFont="1" applyFill="1" applyBorder="1" applyAlignment="1">
      <alignment horizontal="distributed" vertical="center"/>
      <protection/>
    </xf>
    <xf numFmtId="177" fontId="10" fillId="36" borderId="65" xfId="61" applyNumberFormat="1" applyFont="1" applyFill="1" applyBorder="1" applyAlignment="1">
      <alignment horizontal="right" vertical="center"/>
      <protection/>
    </xf>
    <xf numFmtId="177" fontId="10" fillId="37" borderId="66" xfId="61" applyNumberFormat="1" applyFont="1" applyFill="1" applyBorder="1" applyAlignment="1">
      <alignment horizontal="right" vertical="center"/>
      <protection/>
    </xf>
    <xf numFmtId="177" fontId="10" fillId="37" borderId="67" xfId="61" applyNumberFormat="1" applyFont="1" applyFill="1" applyBorder="1" applyAlignment="1">
      <alignment horizontal="right" vertical="center"/>
      <protection/>
    </xf>
    <xf numFmtId="0" fontId="10" fillId="35" borderId="68" xfId="61" applyFont="1" applyFill="1" applyBorder="1" applyAlignment="1">
      <alignment horizontal="distributed" vertical="center"/>
      <protection/>
    </xf>
    <xf numFmtId="0" fontId="11" fillId="35" borderId="69" xfId="61" applyFont="1" applyFill="1" applyBorder="1" applyAlignment="1">
      <alignment horizontal="distributed" vertical="center"/>
      <protection/>
    </xf>
    <xf numFmtId="177" fontId="11" fillId="36" borderId="70" xfId="61" applyNumberFormat="1" applyFont="1" applyFill="1" applyBorder="1" applyAlignment="1">
      <alignment horizontal="right" vertical="center"/>
      <protection/>
    </xf>
    <xf numFmtId="177" fontId="11" fillId="37" borderId="71" xfId="61" applyNumberFormat="1" applyFont="1" applyFill="1" applyBorder="1" applyAlignment="1">
      <alignment horizontal="right" vertical="center"/>
      <protection/>
    </xf>
    <xf numFmtId="177" fontId="11" fillId="37" borderId="72" xfId="61" applyNumberFormat="1" applyFont="1" applyFill="1" applyBorder="1" applyAlignment="1">
      <alignment horizontal="right" vertical="center"/>
      <protection/>
    </xf>
    <xf numFmtId="0" fontId="11" fillId="35" borderId="73" xfId="61" applyFont="1" applyFill="1" applyBorder="1" applyAlignment="1">
      <alignment horizontal="distributed" vertical="center"/>
      <protection/>
    </xf>
    <xf numFmtId="0" fontId="12" fillId="0" borderId="74" xfId="61" applyFont="1" applyFill="1" applyBorder="1" applyAlignment="1">
      <alignment horizontal="distributed" vertical="center"/>
      <protection/>
    </xf>
    <xf numFmtId="177" fontId="12" fillId="0" borderId="75" xfId="61" applyNumberFormat="1" applyFont="1" applyFill="1" applyBorder="1" applyAlignment="1">
      <alignment horizontal="right" vertical="center"/>
      <protection/>
    </xf>
    <xf numFmtId="177" fontId="12" fillId="0" borderId="76" xfId="61" applyNumberFormat="1" applyFont="1" applyFill="1" applyBorder="1" applyAlignment="1">
      <alignment horizontal="right" vertical="center"/>
      <protection/>
    </xf>
    <xf numFmtId="177" fontId="12" fillId="0" borderId="77" xfId="61" applyNumberFormat="1" applyFont="1" applyFill="1" applyBorder="1" applyAlignment="1">
      <alignment horizontal="right" vertical="center"/>
      <protection/>
    </xf>
    <xf numFmtId="0" fontId="12" fillId="0" borderId="78" xfId="61" applyFont="1" applyFill="1" applyBorder="1" applyAlignment="1">
      <alignment horizontal="center" vertical="center"/>
      <protection/>
    </xf>
    <xf numFmtId="0" fontId="10" fillId="35" borderId="79" xfId="61" applyFont="1" applyFill="1" applyBorder="1" applyAlignment="1">
      <alignment horizontal="distributed" vertical="center"/>
      <protection/>
    </xf>
    <xf numFmtId="0" fontId="12" fillId="0" borderId="80" xfId="61" applyFont="1" applyFill="1" applyBorder="1" applyAlignment="1">
      <alignment horizontal="distributed" vertical="center"/>
      <protection/>
    </xf>
    <xf numFmtId="177" fontId="12" fillId="0" borderId="81" xfId="61" applyNumberFormat="1" applyFont="1" applyFill="1" applyBorder="1" applyAlignment="1">
      <alignment horizontal="right" vertical="center"/>
      <protection/>
    </xf>
    <xf numFmtId="177" fontId="12" fillId="0" borderId="82" xfId="61" applyNumberFormat="1" applyFont="1" applyFill="1" applyBorder="1" applyAlignment="1">
      <alignment horizontal="right" vertical="center"/>
      <protection/>
    </xf>
    <xf numFmtId="177" fontId="12" fillId="0" borderId="83" xfId="61" applyNumberFormat="1" applyFont="1" applyFill="1" applyBorder="1" applyAlignment="1">
      <alignment horizontal="right" vertical="center"/>
      <protection/>
    </xf>
    <xf numFmtId="0" fontId="12" fillId="0" borderId="84" xfId="61" applyFont="1" applyFill="1" applyBorder="1" applyAlignment="1">
      <alignment horizontal="center" vertical="center"/>
      <protection/>
    </xf>
    <xf numFmtId="0" fontId="11" fillId="0" borderId="85" xfId="61" applyFont="1" applyBorder="1" applyAlignment="1">
      <alignment horizontal="center" vertical="center"/>
      <protection/>
    </xf>
    <xf numFmtId="177" fontId="11" fillId="36" borderId="23" xfId="61" applyNumberFormat="1" applyFont="1" applyFill="1" applyBorder="1" applyAlignment="1">
      <alignment horizontal="right" vertical="center"/>
      <protection/>
    </xf>
    <xf numFmtId="177" fontId="11" fillId="37" borderId="34" xfId="61" applyNumberFormat="1" applyFont="1" applyFill="1" applyBorder="1" applyAlignment="1">
      <alignment horizontal="right" vertical="center"/>
      <protection/>
    </xf>
    <xf numFmtId="177" fontId="11" fillId="37" borderId="86" xfId="61" applyNumberFormat="1" applyFont="1" applyFill="1" applyBorder="1" applyAlignment="1">
      <alignment horizontal="right" vertical="center"/>
      <protection/>
    </xf>
    <xf numFmtId="0" fontId="11" fillId="0" borderId="16" xfId="61" applyFont="1" applyBorder="1" applyAlignment="1">
      <alignment horizontal="center" vertical="center"/>
      <protection/>
    </xf>
    <xf numFmtId="0" fontId="13" fillId="0" borderId="0" xfId="61" applyFont="1" applyBorder="1">
      <alignment/>
      <protection/>
    </xf>
    <xf numFmtId="0" fontId="8" fillId="0" borderId="0" xfId="61" applyFont="1" applyBorder="1" applyAlignment="1">
      <alignment vertical="top"/>
      <protection/>
    </xf>
    <xf numFmtId="177" fontId="10" fillId="37" borderId="67" xfId="61" applyNumberFormat="1" applyFont="1" applyFill="1" applyBorder="1" applyAlignment="1">
      <alignment horizontal="right" vertical="center" shrinkToFit="1"/>
      <protection/>
    </xf>
    <xf numFmtId="0" fontId="10" fillId="35" borderId="51" xfId="61" applyFont="1" applyFill="1" applyBorder="1" applyAlignment="1">
      <alignment horizontal="distributed" vertical="top"/>
      <protection/>
    </xf>
    <xf numFmtId="0" fontId="10" fillId="36" borderId="13" xfId="61" applyFont="1" applyFill="1" applyBorder="1" applyAlignment="1">
      <alignment horizontal="right" vertical="top"/>
      <protection/>
    </xf>
    <xf numFmtId="0" fontId="10" fillId="37" borderId="10" xfId="61" applyFont="1" applyFill="1" applyBorder="1" applyAlignment="1">
      <alignment horizontal="right" vertical="top"/>
      <protection/>
    </xf>
    <xf numFmtId="0" fontId="10" fillId="36" borderId="46" xfId="61" applyFont="1" applyFill="1" applyBorder="1" applyAlignment="1">
      <alignment horizontal="right" vertical="top"/>
      <protection/>
    </xf>
    <xf numFmtId="0" fontId="10" fillId="36" borderId="58" xfId="61" applyFont="1" applyFill="1" applyBorder="1" applyAlignment="1">
      <alignment horizontal="right" vertical="top"/>
      <protection/>
    </xf>
    <xf numFmtId="0" fontId="10" fillId="35" borderId="56" xfId="61" applyFont="1" applyFill="1" applyBorder="1" applyAlignment="1">
      <alignment horizontal="distributed" vertical="top"/>
      <protection/>
    </xf>
    <xf numFmtId="0" fontId="13" fillId="0" borderId="0" xfId="61" applyFont="1" applyBorder="1" applyAlignment="1">
      <alignment vertical="top"/>
      <protection/>
    </xf>
    <xf numFmtId="0" fontId="14" fillId="35" borderId="59" xfId="61" applyFont="1" applyFill="1" applyBorder="1" applyAlignment="1">
      <alignment horizontal="distributed" vertical="center" shrinkToFit="1"/>
      <protection/>
    </xf>
    <xf numFmtId="177" fontId="14" fillId="36" borderId="60" xfId="61" applyNumberFormat="1" applyFont="1" applyFill="1" applyBorder="1" applyAlignment="1">
      <alignment horizontal="right" vertical="center" shrinkToFit="1"/>
      <protection/>
    </xf>
    <xf numFmtId="177" fontId="14" fillId="37" borderId="61" xfId="61" applyNumberFormat="1" applyFont="1" applyFill="1" applyBorder="1" applyAlignment="1">
      <alignment horizontal="right" vertical="center" shrinkToFit="1"/>
      <protection/>
    </xf>
    <xf numFmtId="177" fontId="14" fillId="37" borderId="62" xfId="61" applyNumberFormat="1" applyFont="1" applyFill="1" applyBorder="1" applyAlignment="1">
      <alignment horizontal="right" vertical="center" shrinkToFit="1"/>
      <protection/>
    </xf>
    <xf numFmtId="177" fontId="14" fillId="36" borderId="87" xfId="61" applyNumberFormat="1" applyFont="1" applyFill="1" applyBorder="1" applyAlignment="1">
      <alignment horizontal="right" vertical="center" shrinkToFit="1"/>
      <protection/>
    </xf>
    <xf numFmtId="177" fontId="14" fillId="36" borderId="62" xfId="61" applyNumberFormat="1" applyFont="1" applyFill="1" applyBorder="1" applyAlignment="1">
      <alignment horizontal="right" vertical="center" shrinkToFit="1"/>
      <protection/>
    </xf>
    <xf numFmtId="0" fontId="14" fillId="35" borderId="63" xfId="61" applyFont="1" applyFill="1" applyBorder="1" applyAlignment="1">
      <alignment horizontal="distributed" vertical="center" shrinkToFit="1"/>
      <protection/>
    </xf>
    <xf numFmtId="0" fontId="14" fillId="35" borderId="64" xfId="61" applyFont="1" applyFill="1" applyBorder="1" applyAlignment="1">
      <alignment horizontal="distributed" vertical="center" shrinkToFit="1"/>
      <protection/>
    </xf>
    <xf numFmtId="177" fontId="14" fillId="36" borderId="65" xfId="61" applyNumberFormat="1" applyFont="1" applyFill="1" applyBorder="1" applyAlignment="1">
      <alignment horizontal="right" vertical="center" shrinkToFit="1"/>
      <protection/>
    </xf>
    <xf numFmtId="177" fontId="14" fillId="37" borderId="66" xfId="61" applyNumberFormat="1" applyFont="1" applyFill="1" applyBorder="1" applyAlignment="1">
      <alignment horizontal="right" vertical="center" shrinkToFit="1"/>
      <protection/>
    </xf>
    <xf numFmtId="177" fontId="14" fillId="37" borderId="67" xfId="61" applyNumberFormat="1" applyFont="1" applyFill="1" applyBorder="1" applyAlignment="1">
      <alignment horizontal="right" vertical="center" shrinkToFit="1"/>
      <protection/>
    </xf>
    <xf numFmtId="0" fontId="14" fillId="35" borderId="68" xfId="61" applyFont="1" applyFill="1" applyBorder="1" applyAlignment="1">
      <alignment horizontal="distributed" vertical="center" shrinkToFit="1"/>
      <protection/>
    </xf>
    <xf numFmtId="0" fontId="9" fillId="35" borderId="69" xfId="61" applyFont="1" applyFill="1" applyBorder="1" applyAlignment="1">
      <alignment horizontal="distributed" vertical="center" shrinkToFit="1"/>
      <protection/>
    </xf>
    <xf numFmtId="177" fontId="9" fillId="36" borderId="70" xfId="61" applyNumberFormat="1" applyFont="1" applyFill="1" applyBorder="1" applyAlignment="1">
      <alignment horizontal="right" vertical="center" shrinkToFit="1"/>
      <protection/>
    </xf>
    <xf numFmtId="177" fontId="9" fillId="37" borderId="71" xfId="61" applyNumberFormat="1" applyFont="1" applyFill="1" applyBorder="1" applyAlignment="1">
      <alignment horizontal="right" vertical="center" shrinkToFit="1"/>
      <protection/>
    </xf>
    <xf numFmtId="177" fontId="9" fillId="37" borderId="72" xfId="61" applyNumberFormat="1" applyFont="1" applyFill="1" applyBorder="1" applyAlignment="1">
      <alignment horizontal="right" vertical="center" shrinkToFit="1"/>
      <protection/>
    </xf>
    <xf numFmtId="177" fontId="9" fillId="36" borderId="88" xfId="61" applyNumberFormat="1" applyFont="1" applyFill="1" applyBorder="1" applyAlignment="1">
      <alignment horizontal="right" vertical="center" shrinkToFit="1"/>
      <protection/>
    </xf>
    <xf numFmtId="177" fontId="9" fillId="36" borderId="72" xfId="61" applyNumberFormat="1" applyFont="1" applyFill="1" applyBorder="1" applyAlignment="1">
      <alignment horizontal="right" vertical="center" shrinkToFit="1"/>
      <protection/>
    </xf>
    <xf numFmtId="0" fontId="9" fillId="35" borderId="73" xfId="61" applyFont="1" applyFill="1" applyBorder="1" applyAlignment="1">
      <alignment horizontal="distributed" vertical="center" shrinkToFit="1"/>
      <protection/>
    </xf>
    <xf numFmtId="0" fontId="15" fillId="0" borderId="74" xfId="61" applyFont="1" applyFill="1" applyBorder="1" applyAlignment="1">
      <alignment horizontal="distributed" vertical="center" shrinkToFit="1"/>
      <protection/>
    </xf>
    <xf numFmtId="177" fontId="15" fillId="0" borderId="75" xfId="61" applyNumberFormat="1" applyFont="1" applyFill="1" applyBorder="1" applyAlignment="1">
      <alignment horizontal="right" vertical="center" shrinkToFit="1"/>
      <protection/>
    </xf>
    <xf numFmtId="177" fontId="15" fillId="0" borderId="76" xfId="61" applyNumberFormat="1" applyFont="1" applyFill="1" applyBorder="1" applyAlignment="1">
      <alignment horizontal="right" vertical="center" shrinkToFit="1"/>
      <protection/>
    </xf>
    <xf numFmtId="177" fontId="15" fillId="0" borderId="77" xfId="61" applyNumberFormat="1" applyFont="1" applyFill="1" applyBorder="1" applyAlignment="1">
      <alignment horizontal="right" vertical="center" shrinkToFit="1"/>
      <protection/>
    </xf>
    <xf numFmtId="177" fontId="14" fillId="0" borderId="89" xfId="61" applyNumberFormat="1" applyFont="1" applyFill="1" applyBorder="1" applyAlignment="1">
      <alignment horizontal="right" vertical="center" shrinkToFit="1"/>
      <protection/>
    </xf>
    <xf numFmtId="177" fontId="14" fillId="0" borderId="90" xfId="61" applyNumberFormat="1" applyFont="1" applyFill="1" applyBorder="1" applyAlignment="1">
      <alignment horizontal="right" vertical="center" shrinkToFit="1"/>
      <protection/>
    </xf>
    <xf numFmtId="177" fontId="14" fillId="0" borderId="91" xfId="61" applyNumberFormat="1" applyFont="1" applyFill="1" applyBorder="1" applyAlignment="1">
      <alignment horizontal="right" vertical="center" shrinkToFit="1"/>
      <protection/>
    </xf>
    <xf numFmtId="0" fontId="15" fillId="0" borderId="92" xfId="61" applyFont="1" applyFill="1" applyBorder="1" applyAlignment="1">
      <alignment horizontal="center" vertical="center" shrinkToFit="1"/>
      <protection/>
    </xf>
    <xf numFmtId="177" fontId="14" fillId="36" borderId="93" xfId="61" applyNumberFormat="1" applyFont="1" applyFill="1" applyBorder="1" applyAlignment="1">
      <alignment horizontal="right" vertical="center" shrinkToFit="1"/>
      <protection/>
    </xf>
    <xf numFmtId="177" fontId="14" fillId="36" borderId="67" xfId="61" applyNumberFormat="1" applyFont="1" applyFill="1" applyBorder="1" applyAlignment="1">
      <alignment horizontal="right" vertical="center" shrinkToFit="1"/>
      <protection/>
    </xf>
    <xf numFmtId="0" fontId="10" fillId="35" borderId="59" xfId="61" applyFont="1" applyFill="1" applyBorder="1" applyAlignment="1">
      <alignment horizontal="distributed" vertical="center" shrinkToFit="1"/>
      <protection/>
    </xf>
    <xf numFmtId="0" fontId="10" fillId="35" borderId="68" xfId="61" applyFont="1" applyFill="1" applyBorder="1" applyAlignment="1">
      <alignment horizontal="distributed" vertical="center" shrinkToFit="1"/>
      <protection/>
    </xf>
    <xf numFmtId="0" fontId="15" fillId="0" borderId="80" xfId="61" applyFont="1" applyFill="1" applyBorder="1" applyAlignment="1">
      <alignment horizontal="distributed" vertical="center" shrinkToFit="1"/>
      <protection/>
    </xf>
    <xf numFmtId="177" fontId="15" fillId="0" borderId="81" xfId="61" applyNumberFormat="1" applyFont="1" applyFill="1" applyBorder="1" applyAlignment="1">
      <alignment horizontal="right" vertical="center" shrinkToFit="1"/>
      <protection/>
    </xf>
    <xf numFmtId="177" fontId="15" fillId="0" borderId="82" xfId="61" applyNumberFormat="1" applyFont="1" applyFill="1" applyBorder="1" applyAlignment="1">
      <alignment horizontal="right" vertical="center" shrinkToFit="1"/>
      <protection/>
    </xf>
    <xf numFmtId="177" fontId="15" fillId="0" borderId="83" xfId="61" applyNumberFormat="1" applyFont="1" applyFill="1" applyBorder="1" applyAlignment="1">
      <alignment horizontal="right" vertical="center" shrinkToFit="1"/>
      <protection/>
    </xf>
    <xf numFmtId="177" fontId="14" fillId="0" borderId="94" xfId="61" applyNumberFormat="1" applyFont="1" applyFill="1" applyBorder="1" applyAlignment="1">
      <alignment horizontal="right" vertical="center" shrinkToFit="1"/>
      <protection/>
    </xf>
    <xf numFmtId="177" fontId="14" fillId="0" borderId="95" xfId="61" applyNumberFormat="1" applyFont="1" applyFill="1" applyBorder="1" applyAlignment="1">
      <alignment horizontal="right" vertical="center" shrinkToFit="1"/>
      <protection/>
    </xf>
    <xf numFmtId="177" fontId="14" fillId="0" borderId="96" xfId="61" applyNumberFormat="1" applyFont="1" applyFill="1" applyBorder="1" applyAlignment="1">
      <alignment horizontal="right" vertical="center" shrinkToFit="1"/>
      <protection/>
    </xf>
    <xf numFmtId="0" fontId="15" fillId="0" borderId="97" xfId="61" applyFont="1" applyFill="1" applyBorder="1" applyAlignment="1">
      <alignment horizontal="center" vertical="center" shrinkToFit="1"/>
      <protection/>
    </xf>
    <xf numFmtId="0" fontId="11" fillId="0" borderId="85" xfId="61" applyFont="1" applyBorder="1" applyAlignment="1">
      <alignment horizontal="center" vertical="center" shrinkToFit="1"/>
      <protection/>
    </xf>
    <xf numFmtId="177" fontId="11" fillId="36" borderId="23" xfId="61" applyNumberFormat="1" applyFont="1" applyFill="1" applyBorder="1" applyAlignment="1">
      <alignment horizontal="right" vertical="center" shrinkToFit="1"/>
      <protection/>
    </xf>
    <xf numFmtId="177" fontId="11" fillId="37" borderId="34" xfId="61" applyNumberFormat="1" applyFont="1" applyFill="1" applyBorder="1" applyAlignment="1">
      <alignment horizontal="right" vertical="center" shrinkToFit="1"/>
      <protection/>
    </xf>
    <xf numFmtId="177" fontId="11" fillId="37" borderId="86" xfId="61" applyNumberFormat="1" applyFont="1" applyFill="1" applyBorder="1" applyAlignment="1">
      <alignment horizontal="right" vertical="center" shrinkToFit="1"/>
      <protection/>
    </xf>
    <xf numFmtId="177" fontId="11" fillId="36" borderId="98" xfId="61" applyNumberFormat="1" applyFont="1" applyFill="1" applyBorder="1" applyAlignment="1">
      <alignment horizontal="right" vertical="center" shrinkToFit="1"/>
      <protection/>
    </xf>
    <xf numFmtId="177" fontId="11" fillId="36" borderId="99" xfId="61" applyNumberFormat="1" applyFont="1" applyFill="1" applyBorder="1" applyAlignment="1">
      <alignment horizontal="right" vertical="center" shrinkToFit="1"/>
      <protection/>
    </xf>
    <xf numFmtId="177" fontId="11" fillId="36" borderId="100" xfId="61" applyNumberFormat="1" applyFont="1" applyFill="1" applyBorder="1" applyAlignment="1">
      <alignment horizontal="right" vertical="center" shrinkToFit="1"/>
      <protection/>
    </xf>
    <xf numFmtId="0" fontId="11" fillId="0" borderId="101" xfId="61" applyFont="1" applyBorder="1" applyAlignment="1">
      <alignment horizontal="center" vertical="center" shrinkToFit="1"/>
      <protection/>
    </xf>
    <xf numFmtId="0" fontId="10" fillId="0" borderId="102" xfId="61" applyFont="1" applyBorder="1" applyAlignment="1">
      <alignment vertical="center"/>
      <protection/>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0" fontId="2" fillId="0" borderId="0" xfId="0" applyFont="1" applyBorder="1" applyAlignment="1">
      <alignment horizontal="left" vertical="top" wrapText="1"/>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11" fillId="0" borderId="0" xfId="61" applyFont="1" applyFill="1" applyBorder="1" applyAlignment="1">
      <alignment horizontal="center" vertical="center"/>
      <protection/>
    </xf>
    <xf numFmtId="177" fontId="11" fillId="0" borderId="0" xfId="61" applyNumberFormat="1" applyFont="1" applyFill="1" applyBorder="1" applyAlignment="1">
      <alignment horizontal="right" vertical="center"/>
      <protection/>
    </xf>
    <xf numFmtId="0" fontId="9" fillId="0" borderId="0" xfId="61" applyFont="1" applyFill="1" applyBorder="1">
      <alignment/>
      <protection/>
    </xf>
    <xf numFmtId="0" fontId="0" fillId="0" borderId="0" xfId="61" applyFont="1" applyFill="1" applyBorder="1">
      <alignment/>
      <protection/>
    </xf>
    <xf numFmtId="0" fontId="10" fillId="0" borderId="103" xfId="61" applyFont="1" applyBorder="1" applyAlignment="1">
      <alignment horizontal="distributed" vertical="center"/>
      <protection/>
    </xf>
    <xf numFmtId="0" fontId="10" fillId="0" borderId="104" xfId="61" applyFont="1" applyBorder="1" applyAlignment="1">
      <alignment horizontal="distributed" vertical="center"/>
      <protection/>
    </xf>
    <xf numFmtId="0" fontId="10" fillId="0" borderId="105" xfId="61" applyFont="1" applyBorder="1" applyAlignment="1">
      <alignment horizontal="distributed" vertical="center"/>
      <protection/>
    </xf>
    <xf numFmtId="0" fontId="2" fillId="0" borderId="106" xfId="0" applyFont="1" applyBorder="1" applyAlignment="1">
      <alignment horizontal="distributed" vertical="center" wrapText="1"/>
    </xf>
    <xf numFmtId="0" fontId="2" fillId="0" borderId="106" xfId="0" applyFont="1" applyBorder="1" applyAlignment="1">
      <alignment horizontal="distributed" vertical="center"/>
    </xf>
    <xf numFmtId="0" fontId="2" fillId="0" borderId="107" xfId="0" applyFont="1" applyBorder="1" applyAlignment="1">
      <alignment horizontal="distributed" vertical="center"/>
    </xf>
    <xf numFmtId="0" fontId="2" fillId="0" borderId="108" xfId="0" applyFont="1" applyBorder="1" applyAlignment="1">
      <alignment horizontal="distributed" vertical="center" wrapText="1"/>
    </xf>
    <xf numFmtId="0" fontId="2" fillId="0" borderId="109" xfId="0" applyFont="1" applyBorder="1" applyAlignment="1">
      <alignment horizontal="distributed" vertical="center"/>
    </xf>
    <xf numFmtId="0" fontId="6" fillId="0" borderId="110" xfId="0" applyFont="1" applyBorder="1" applyAlignment="1">
      <alignment horizontal="distributed" vertical="center"/>
    </xf>
    <xf numFmtId="0" fontId="6" fillId="0" borderId="111" xfId="0" applyFont="1" applyBorder="1" applyAlignment="1">
      <alignment horizontal="distributed" vertical="center"/>
    </xf>
    <xf numFmtId="0" fontId="2" fillId="0" borderId="85" xfId="0" applyFont="1" applyBorder="1" applyAlignment="1">
      <alignment horizontal="distributed" vertical="center"/>
    </xf>
    <xf numFmtId="0" fontId="2" fillId="0" borderId="112"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3" xfId="0" applyFont="1" applyBorder="1" applyAlignment="1">
      <alignment horizontal="center" vertical="center"/>
    </xf>
    <xf numFmtId="0" fontId="2" fillId="0" borderId="46" xfId="0" applyFont="1" applyBorder="1" applyAlignment="1">
      <alignment horizontal="center" vertical="center"/>
    </xf>
    <xf numFmtId="0" fontId="2" fillId="0" borderId="121" xfId="0" applyFont="1" applyBorder="1" applyAlignment="1">
      <alignment horizontal="center" vertical="center"/>
    </xf>
    <xf numFmtId="0" fontId="2" fillId="0" borderId="102" xfId="0" applyFont="1" applyBorder="1" applyAlignment="1">
      <alignment horizontal="center" vertical="center"/>
    </xf>
    <xf numFmtId="0" fontId="2" fillId="0" borderId="122" xfId="0" applyFont="1" applyBorder="1" applyAlignment="1">
      <alignment horizontal="center" vertical="center"/>
    </xf>
    <xf numFmtId="0" fontId="2" fillId="0" borderId="108"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07"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0" fillId="0" borderId="57" xfId="61" applyFont="1" applyBorder="1" applyAlignment="1">
      <alignment horizontal="distributed" vertical="center" wrapText="1"/>
      <protection/>
    </xf>
    <xf numFmtId="0" fontId="10" fillId="0" borderId="127" xfId="61" applyFont="1" applyBorder="1" applyAlignment="1">
      <alignment horizontal="distributed" vertical="center" wrapText="1"/>
      <protection/>
    </xf>
    <xf numFmtId="0" fontId="10" fillId="0" borderId="128" xfId="61" applyFont="1" applyBorder="1" applyAlignment="1">
      <alignment horizontal="distributed" vertical="center" wrapText="1"/>
      <protection/>
    </xf>
    <xf numFmtId="0" fontId="10" fillId="0" borderId="129" xfId="61" applyFont="1" applyBorder="1" applyAlignment="1">
      <alignment horizontal="center" vertical="center"/>
      <protection/>
    </xf>
    <xf numFmtId="0" fontId="10" fillId="0" borderId="130" xfId="61" applyFont="1" applyBorder="1" applyAlignment="1">
      <alignment horizontal="center" vertical="center"/>
      <protection/>
    </xf>
    <xf numFmtId="0" fontId="10" fillId="0" borderId="131" xfId="61" applyFont="1" applyBorder="1" applyAlignment="1">
      <alignment horizontal="center" vertical="center"/>
      <protection/>
    </xf>
    <xf numFmtId="0" fontId="10" fillId="0" borderId="0" xfId="61" applyFont="1" applyBorder="1" applyAlignment="1">
      <alignment horizontal="left" vertical="center"/>
      <protection/>
    </xf>
    <xf numFmtId="0" fontId="10" fillId="0" borderId="113" xfId="61" applyFont="1" applyBorder="1" applyAlignment="1">
      <alignment horizontal="distributed" vertical="center"/>
      <protection/>
    </xf>
    <xf numFmtId="0" fontId="10" fillId="0" borderId="115" xfId="61" applyFont="1" applyBorder="1" applyAlignment="1">
      <alignment horizontal="distributed" vertical="center"/>
      <protection/>
    </xf>
    <xf numFmtId="0" fontId="10" fillId="0" borderId="132" xfId="61" applyFont="1" applyBorder="1" applyAlignment="1">
      <alignment horizontal="distributed" vertical="center"/>
      <protection/>
    </xf>
    <xf numFmtId="0" fontId="10" fillId="0" borderId="133" xfId="61" applyFont="1" applyBorder="1" applyAlignment="1">
      <alignment horizontal="center" vertical="center"/>
      <protection/>
    </xf>
    <xf numFmtId="0" fontId="10" fillId="0" borderId="134" xfId="61" applyFont="1" applyBorder="1" applyAlignment="1">
      <alignment horizontal="center" vertical="center"/>
      <protection/>
    </xf>
    <xf numFmtId="0" fontId="10" fillId="0" borderId="135" xfId="61" applyFont="1" applyBorder="1" applyAlignment="1">
      <alignment horizontal="center" vertical="center"/>
      <protection/>
    </xf>
    <xf numFmtId="0" fontId="10" fillId="0" borderId="136" xfId="61" applyFont="1" applyBorder="1" applyAlignment="1">
      <alignment horizontal="center" vertical="center"/>
      <protection/>
    </xf>
    <xf numFmtId="0" fontId="10" fillId="0" borderId="134" xfId="61" applyFont="1" applyBorder="1" applyAlignment="1">
      <alignment horizontal="center" vertical="center" wrapText="1"/>
      <protection/>
    </xf>
    <xf numFmtId="0" fontId="10" fillId="0" borderId="137" xfId="61" applyFont="1" applyBorder="1" applyAlignment="1">
      <alignment horizontal="left" vertical="center"/>
      <protection/>
    </xf>
    <xf numFmtId="0" fontId="10" fillId="0" borderId="133" xfId="61" applyFont="1" applyBorder="1" applyAlignment="1">
      <alignment horizontal="center" vertical="center" wrapText="1"/>
      <protection/>
    </xf>
    <xf numFmtId="0" fontId="10" fillId="0" borderId="138" xfId="61" applyFont="1" applyBorder="1" applyAlignment="1">
      <alignment horizontal="center" vertical="center"/>
      <protection/>
    </xf>
    <xf numFmtId="0" fontId="10" fillId="0" borderId="139" xfId="61" applyFont="1" applyBorder="1" applyAlignment="1">
      <alignment horizontal="center" vertical="center"/>
      <protection/>
    </xf>
    <xf numFmtId="0" fontId="10" fillId="0" borderId="140" xfId="61" applyFont="1" applyBorder="1" applyAlignment="1">
      <alignment horizontal="distributed" vertical="center" wrapText="1"/>
      <protection/>
    </xf>
    <xf numFmtId="0" fontId="10" fillId="0" borderId="141" xfId="61" applyFont="1" applyBorder="1" applyAlignment="1">
      <alignment horizontal="distributed" vertical="center"/>
      <protection/>
    </xf>
    <xf numFmtId="0" fontId="10" fillId="0" borderId="142" xfId="61" applyFont="1" applyBorder="1" applyAlignment="1">
      <alignment horizontal="distributed" vertical="center" wrapText="1"/>
      <protection/>
    </xf>
    <xf numFmtId="0" fontId="10" fillId="0" borderId="143" xfId="61" applyFont="1" applyBorder="1" applyAlignment="1">
      <alignment horizontal="distributed" vertical="center"/>
      <protection/>
    </xf>
    <xf numFmtId="0" fontId="10" fillId="0" borderId="144" xfId="61" applyFont="1" applyBorder="1" applyAlignment="1">
      <alignment horizontal="distributed" vertical="center" wrapText="1"/>
      <protection/>
    </xf>
    <xf numFmtId="0" fontId="10" fillId="0" borderId="145" xfId="61" applyFont="1" applyBorder="1" applyAlignment="1">
      <alignment horizontal="distributed" vertical="center" wrapText="1"/>
      <protection/>
    </xf>
    <xf numFmtId="0" fontId="10" fillId="0" borderId="105"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zoomScaleSheetLayoutView="100"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212" t="s">
        <v>0</v>
      </c>
      <c r="B1" s="212"/>
      <c r="C1" s="212"/>
      <c r="D1" s="212"/>
      <c r="E1" s="212"/>
      <c r="F1" s="212"/>
      <c r="G1" s="212"/>
      <c r="H1" s="212"/>
      <c r="I1" s="212"/>
      <c r="J1" s="212"/>
      <c r="K1" s="212"/>
    </row>
    <row r="2" spans="1:11" ht="15">
      <c r="A2" s="79"/>
      <c r="B2" s="79"/>
      <c r="C2" s="79"/>
      <c r="D2" s="79"/>
      <c r="E2" s="79"/>
      <c r="F2" s="79"/>
      <c r="G2" s="79"/>
      <c r="H2" s="79"/>
      <c r="I2" s="79"/>
      <c r="J2" s="79"/>
      <c r="K2" s="79"/>
    </row>
    <row r="3" spans="1:11" ht="12" thickBot="1">
      <c r="A3" s="213" t="s">
        <v>142</v>
      </c>
      <c r="B3" s="213"/>
      <c r="C3" s="213"/>
      <c r="D3" s="213"/>
      <c r="E3" s="213"/>
      <c r="F3" s="213"/>
      <c r="G3" s="213"/>
      <c r="H3" s="213"/>
      <c r="I3" s="213"/>
      <c r="J3" s="213"/>
      <c r="K3" s="213"/>
    </row>
    <row r="4" spans="1:11" ht="24" customHeight="1">
      <c r="A4" s="214" t="s">
        <v>1</v>
      </c>
      <c r="B4" s="215"/>
      <c r="C4" s="218" t="s">
        <v>143</v>
      </c>
      <c r="D4" s="219"/>
      <c r="E4" s="220"/>
      <c r="F4" s="218" t="s">
        <v>144</v>
      </c>
      <c r="G4" s="219"/>
      <c r="H4" s="220"/>
      <c r="I4" s="218" t="s">
        <v>145</v>
      </c>
      <c r="J4" s="219"/>
      <c r="K4" s="221"/>
    </row>
    <row r="5" spans="1:11" ht="24" customHeight="1">
      <c r="A5" s="216"/>
      <c r="B5" s="217"/>
      <c r="C5" s="222" t="s">
        <v>2</v>
      </c>
      <c r="D5" s="223"/>
      <c r="E5" s="6" t="s">
        <v>3</v>
      </c>
      <c r="F5" s="222" t="s">
        <v>2</v>
      </c>
      <c r="G5" s="223"/>
      <c r="H5" s="6" t="s">
        <v>3</v>
      </c>
      <c r="I5" s="222" t="s">
        <v>2</v>
      </c>
      <c r="J5" s="223"/>
      <c r="K5" s="18" t="s">
        <v>3</v>
      </c>
    </row>
    <row r="6" spans="1:11" ht="12" customHeight="1">
      <c r="A6" s="65"/>
      <c r="B6" s="68"/>
      <c r="C6" s="66"/>
      <c r="D6" s="55" t="s">
        <v>16</v>
      </c>
      <c r="E6" s="54" t="s">
        <v>15</v>
      </c>
      <c r="F6" s="66"/>
      <c r="G6" s="55" t="s">
        <v>16</v>
      </c>
      <c r="H6" s="54" t="s">
        <v>15</v>
      </c>
      <c r="I6" s="66"/>
      <c r="J6" s="55" t="s">
        <v>16</v>
      </c>
      <c r="K6" s="67" t="s">
        <v>15</v>
      </c>
    </row>
    <row r="7" spans="1:11" ht="30" customHeight="1">
      <c r="A7" s="201" t="s">
        <v>146</v>
      </c>
      <c r="B7" s="61" t="s">
        <v>147</v>
      </c>
      <c r="C7" s="19"/>
      <c r="D7" s="62">
        <v>56627</v>
      </c>
      <c r="E7" s="63">
        <v>23847073</v>
      </c>
      <c r="F7" s="22"/>
      <c r="G7" s="62">
        <v>152158</v>
      </c>
      <c r="H7" s="63">
        <v>897127326</v>
      </c>
      <c r="I7" s="22"/>
      <c r="J7" s="62">
        <v>208785</v>
      </c>
      <c r="K7" s="64">
        <v>920974399</v>
      </c>
    </row>
    <row r="8" spans="1:11" ht="30" customHeight="1">
      <c r="A8" s="202"/>
      <c r="B8" s="36" t="s">
        <v>148</v>
      </c>
      <c r="C8" s="19"/>
      <c r="D8" s="25">
        <v>97085</v>
      </c>
      <c r="E8" s="26">
        <v>25305194</v>
      </c>
      <c r="F8" s="22"/>
      <c r="G8" s="25">
        <v>63785</v>
      </c>
      <c r="H8" s="26">
        <v>24215696</v>
      </c>
      <c r="I8" s="22"/>
      <c r="J8" s="25">
        <v>160870</v>
      </c>
      <c r="K8" s="32">
        <v>49520890</v>
      </c>
    </row>
    <row r="9" spans="1:11" s="3" customFormat="1" ht="30" customHeight="1">
      <c r="A9" s="202"/>
      <c r="B9" s="37" t="s">
        <v>149</v>
      </c>
      <c r="C9" s="20"/>
      <c r="D9" s="27">
        <v>153712</v>
      </c>
      <c r="E9" s="28">
        <v>49152267</v>
      </c>
      <c r="F9" s="20"/>
      <c r="G9" s="27">
        <v>215943</v>
      </c>
      <c r="H9" s="28">
        <v>921343022</v>
      </c>
      <c r="I9" s="20"/>
      <c r="J9" s="27">
        <v>369655</v>
      </c>
      <c r="K9" s="33">
        <v>970495289</v>
      </c>
    </row>
    <row r="10" spans="1:11" ht="30" customHeight="1">
      <c r="A10" s="203"/>
      <c r="B10" s="38" t="s">
        <v>150</v>
      </c>
      <c r="C10" s="19"/>
      <c r="D10" s="29">
        <v>3499</v>
      </c>
      <c r="E10" s="30">
        <v>1383975</v>
      </c>
      <c r="F10" s="19"/>
      <c r="G10" s="29">
        <v>9215</v>
      </c>
      <c r="H10" s="30">
        <v>274011605</v>
      </c>
      <c r="I10" s="19"/>
      <c r="J10" s="29">
        <v>12714</v>
      </c>
      <c r="K10" s="34">
        <v>275395580</v>
      </c>
    </row>
    <row r="11" spans="1:11" ht="30" customHeight="1">
      <c r="A11" s="204" t="s">
        <v>151</v>
      </c>
      <c r="B11" s="80" t="s">
        <v>152</v>
      </c>
      <c r="C11" s="9"/>
      <c r="D11" s="78">
        <v>9339</v>
      </c>
      <c r="E11" s="24">
        <v>1322629</v>
      </c>
      <c r="F11" s="56"/>
      <c r="G11" s="58">
        <v>11587</v>
      </c>
      <c r="H11" s="24">
        <v>2521890</v>
      </c>
      <c r="I11" s="56"/>
      <c r="J11" s="58">
        <v>20926</v>
      </c>
      <c r="K11" s="31">
        <v>3844519</v>
      </c>
    </row>
    <row r="12" spans="1:11" ht="30" customHeight="1">
      <c r="A12" s="205"/>
      <c r="B12" s="81" t="s">
        <v>153</v>
      </c>
      <c r="C12" s="57"/>
      <c r="D12" s="25">
        <v>1009</v>
      </c>
      <c r="E12" s="26">
        <v>124561</v>
      </c>
      <c r="F12" s="60"/>
      <c r="G12" s="59">
        <v>1619</v>
      </c>
      <c r="H12" s="26">
        <v>2285438</v>
      </c>
      <c r="I12" s="60"/>
      <c r="J12" s="59">
        <v>2628</v>
      </c>
      <c r="K12" s="32">
        <v>2409999</v>
      </c>
    </row>
    <row r="13" spans="1:11" s="3" customFormat="1" ht="30" customHeight="1">
      <c r="A13" s="206" t="s">
        <v>6</v>
      </c>
      <c r="B13" s="207"/>
      <c r="C13" s="45" t="s">
        <v>14</v>
      </c>
      <c r="D13" s="42">
        <v>160565</v>
      </c>
      <c r="E13" s="43">
        <v>48966359</v>
      </c>
      <c r="F13" s="45" t="s">
        <v>14</v>
      </c>
      <c r="G13" s="42">
        <v>226663</v>
      </c>
      <c r="H13" s="43">
        <v>647567869</v>
      </c>
      <c r="I13" s="45" t="s">
        <v>14</v>
      </c>
      <c r="J13" s="42">
        <v>387228</v>
      </c>
      <c r="K13" s="44">
        <v>696534229</v>
      </c>
    </row>
    <row r="14" spans="1:11" ht="30" customHeight="1" thickBot="1">
      <c r="A14" s="208" t="s">
        <v>7</v>
      </c>
      <c r="B14" s="209"/>
      <c r="C14" s="21"/>
      <c r="D14" s="39">
        <v>8946</v>
      </c>
      <c r="E14" s="40">
        <v>280846</v>
      </c>
      <c r="F14" s="23"/>
      <c r="G14" s="39">
        <v>8554</v>
      </c>
      <c r="H14" s="40">
        <v>521616</v>
      </c>
      <c r="I14" s="23"/>
      <c r="J14" s="39">
        <v>17500</v>
      </c>
      <c r="K14" s="41">
        <v>802462</v>
      </c>
    </row>
    <row r="15" spans="1:11" s="189" customFormat="1" ht="3" customHeight="1">
      <c r="A15" s="186"/>
      <c r="B15" s="186"/>
      <c r="C15" s="187"/>
      <c r="D15" s="188"/>
      <c r="E15" s="188"/>
      <c r="F15" s="188"/>
      <c r="G15" s="188"/>
      <c r="H15" s="188"/>
      <c r="I15" s="188"/>
      <c r="J15" s="188"/>
      <c r="K15" s="188"/>
    </row>
    <row r="16" spans="1:11" s="4" customFormat="1" ht="37.5" customHeight="1">
      <c r="A16" s="190" t="s">
        <v>154</v>
      </c>
      <c r="B16" s="210" t="s">
        <v>140</v>
      </c>
      <c r="C16" s="210"/>
      <c r="D16" s="210"/>
      <c r="E16" s="210"/>
      <c r="F16" s="210"/>
      <c r="G16" s="210"/>
      <c r="H16" s="210"/>
      <c r="I16" s="210"/>
      <c r="J16" s="210"/>
      <c r="K16" s="210"/>
    </row>
    <row r="17" spans="2:11" ht="45" customHeight="1">
      <c r="B17" s="211" t="s">
        <v>155</v>
      </c>
      <c r="C17" s="211"/>
      <c r="D17" s="211"/>
      <c r="E17" s="211"/>
      <c r="F17" s="211"/>
      <c r="G17" s="211"/>
      <c r="H17" s="211"/>
      <c r="I17" s="211"/>
      <c r="J17" s="211"/>
      <c r="K17" s="211"/>
    </row>
    <row r="18" spans="1:2" ht="14.25" customHeight="1">
      <c r="A18" s="1" t="s">
        <v>156</v>
      </c>
      <c r="B18" s="1" t="s">
        <v>157</v>
      </c>
    </row>
    <row r="19" spans="1:2" ht="11.25">
      <c r="A19" s="84" t="s">
        <v>158</v>
      </c>
      <c r="B19" s="1" t="s">
        <v>159</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&amp;R名古屋国税局　消費税（H24）</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100" zoomScalePageLayoutView="0" workbookViewId="0" topLeftCell="A1">
      <selection activeCell="A1" sqref="A1"/>
    </sheetView>
  </sheetViews>
  <sheetFormatPr defaultColWidth="9.00390625" defaultRowHeight="13.5"/>
  <cols>
    <col min="1" max="1" width="10.625" style="83" customWidth="1"/>
    <col min="2" max="2" width="15.625" style="83" customWidth="1"/>
    <col min="3" max="3" width="8.625" style="83" customWidth="1"/>
    <col min="4" max="4" width="10.625" style="83" customWidth="1"/>
    <col min="5" max="5" width="8.625" style="83" customWidth="1"/>
    <col min="6" max="6" width="12.875" style="83" bestFit="1" customWidth="1"/>
    <col min="7" max="7" width="8.625" style="83" customWidth="1"/>
    <col min="8" max="8" width="12.875" style="83" bestFit="1" customWidth="1"/>
    <col min="9" max="16384" width="9.00390625" style="83" customWidth="1"/>
  </cols>
  <sheetData>
    <row r="1" s="1" customFormat="1" ht="12" thickBot="1">
      <c r="A1" s="1" t="s">
        <v>17</v>
      </c>
    </row>
    <row r="2" spans="1:8" s="1" customFormat="1" ht="15" customHeight="1">
      <c r="A2" s="214" t="s">
        <v>1</v>
      </c>
      <c r="B2" s="215"/>
      <c r="C2" s="224" t="s">
        <v>143</v>
      </c>
      <c r="D2" s="224"/>
      <c r="E2" s="224" t="s">
        <v>160</v>
      </c>
      <c r="F2" s="224"/>
      <c r="G2" s="225" t="s">
        <v>161</v>
      </c>
      <c r="H2" s="226"/>
    </row>
    <row r="3" spans="1:8" s="1" customFormat="1" ht="15" customHeight="1">
      <c r="A3" s="216"/>
      <c r="B3" s="217"/>
      <c r="C3" s="9" t="s">
        <v>162</v>
      </c>
      <c r="D3" s="6" t="s">
        <v>163</v>
      </c>
      <c r="E3" s="9" t="s">
        <v>162</v>
      </c>
      <c r="F3" s="7" t="s">
        <v>163</v>
      </c>
      <c r="G3" s="9" t="s">
        <v>162</v>
      </c>
      <c r="H3" s="8" t="s">
        <v>163</v>
      </c>
    </row>
    <row r="4" spans="1:8" s="10" customFormat="1" ht="15" customHeight="1">
      <c r="A4" s="70"/>
      <c r="B4" s="6"/>
      <c r="C4" s="71" t="s">
        <v>4</v>
      </c>
      <c r="D4" s="72" t="s">
        <v>5</v>
      </c>
      <c r="E4" s="71" t="s">
        <v>4</v>
      </c>
      <c r="F4" s="72" t="s">
        <v>5</v>
      </c>
      <c r="G4" s="71" t="s">
        <v>4</v>
      </c>
      <c r="H4" s="73" t="s">
        <v>5</v>
      </c>
    </row>
    <row r="5" spans="1:8" s="82" customFormat="1" ht="30" customHeight="1">
      <c r="A5" s="229" t="s">
        <v>164</v>
      </c>
      <c r="B5" s="61" t="s">
        <v>12</v>
      </c>
      <c r="C5" s="69">
        <v>196255</v>
      </c>
      <c r="D5" s="63">
        <v>61541881</v>
      </c>
      <c r="E5" s="69">
        <v>229403</v>
      </c>
      <c r="F5" s="63">
        <v>947224061</v>
      </c>
      <c r="G5" s="69">
        <v>425658</v>
      </c>
      <c r="H5" s="64">
        <v>1008765942</v>
      </c>
    </row>
    <row r="6" spans="1:8" s="82" customFormat="1" ht="30" customHeight="1">
      <c r="A6" s="230"/>
      <c r="B6" s="38" t="s">
        <v>13</v>
      </c>
      <c r="C6" s="47">
        <v>4935</v>
      </c>
      <c r="D6" s="48">
        <v>3659796</v>
      </c>
      <c r="E6" s="47">
        <v>10604</v>
      </c>
      <c r="F6" s="48">
        <v>337540972</v>
      </c>
      <c r="G6" s="47">
        <v>15539</v>
      </c>
      <c r="H6" s="49">
        <v>341200768</v>
      </c>
    </row>
    <row r="7" spans="1:8" s="82" customFormat="1" ht="30" customHeight="1">
      <c r="A7" s="231" t="s">
        <v>165</v>
      </c>
      <c r="B7" s="35" t="s">
        <v>12</v>
      </c>
      <c r="C7" s="46">
        <v>192040</v>
      </c>
      <c r="D7" s="24">
        <v>55021529</v>
      </c>
      <c r="E7" s="46">
        <v>227871</v>
      </c>
      <c r="F7" s="24">
        <v>922953812</v>
      </c>
      <c r="G7" s="46">
        <v>419911</v>
      </c>
      <c r="H7" s="31">
        <v>977975341</v>
      </c>
    </row>
    <row r="8" spans="1:8" s="82" customFormat="1" ht="30" customHeight="1">
      <c r="A8" s="232"/>
      <c r="B8" s="38" t="s">
        <v>13</v>
      </c>
      <c r="C8" s="47">
        <v>5056</v>
      </c>
      <c r="D8" s="48">
        <v>3718876</v>
      </c>
      <c r="E8" s="47">
        <v>10724</v>
      </c>
      <c r="F8" s="48">
        <v>233799978</v>
      </c>
      <c r="G8" s="47">
        <v>15780</v>
      </c>
      <c r="H8" s="49">
        <v>237518854</v>
      </c>
    </row>
    <row r="9" spans="1:8" s="82" customFormat="1" ht="30" customHeight="1">
      <c r="A9" s="227" t="s">
        <v>18</v>
      </c>
      <c r="B9" s="35" t="s">
        <v>12</v>
      </c>
      <c r="C9" s="46">
        <v>183780</v>
      </c>
      <c r="D9" s="24">
        <v>53147566</v>
      </c>
      <c r="E9" s="46">
        <v>225133</v>
      </c>
      <c r="F9" s="24">
        <v>900951609</v>
      </c>
      <c r="G9" s="46">
        <v>408913</v>
      </c>
      <c r="H9" s="31">
        <v>954099175</v>
      </c>
    </row>
    <row r="10" spans="1:8" s="82" customFormat="1" ht="30" customHeight="1">
      <c r="A10" s="230"/>
      <c r="B10" s="38" t="s">
        <v>13</v>
      </c>
      <c r="C10" s="47">
        <v>4274</v>
      </c>
      <c r="D10" s="48">
        <v>2404785</v>
      </c>
      <c r="E10" s="47">
        <v>10459</v>
      </c>
      <c r="F10" s="48">
        <v>270404754</v>
      </c>
      <c r="G10" s="47">
        <v>14733</v>
      </c>
      <c r="H10" s="49">
        <v>272809539</v>
      </c>
    </row>
    <row r="11" spans="1:8" s="82" customFormat="1" ht="30" customHeight="1">
      <c r="A11" s="227" t="s">
        <v>19</v>
      </c>
      <c r="B11" s="35" t="s">
        <v>12</v>
      </c>
      <c r="C11" s="46">
        <v>161323</v>
      </c>
      <c r="D11" s="24">
        <v>49879002</v>
      </c>
      <c r="E11" s="46">
        <v>219346</v>
      </c>
      <c r="F11" s="24">
        <v>878364017</v>
      </c>
      <c r="G11" s="46">
        <v>380669</v>
      </c>
      <c r="H11" s="31">
        <v>928243020</v>
      </c>
    </row>
    <row r="12" spans="1:8" s="82" customFormat="1" ht="30" customHeight="1">
      <c r="A12" s="230"/>
      <c r="B12" s="38" t="s">
        <v>13</v>
      </c>
      <c r="C12" s="47">
        <v>3565</v>
      </c>
      <c r="D12" s="48">
        <v>1417875</v>
      </c>
      <c r="E12" s="47">
        <v>9725</v>
      </c>
      <c r="F12" s="48">
        <v>279726998</v>
      </c>
      <c r="G12" s="47">
        <v>13290</v>
      </c>
      <c r="H12" s="49">
        <v>281144873</v>
      </c>
    </row>
    <row r="13" spans="1:8" s="1" customFormat="1" ht="30" customHeight="1">
      <c r="A13" s="227" t="s">
        <v>141</v>
      </c>
      <c r="B13" s="35" t="s">
        <v>12</v>
      </c>
      <c r="C13" s="46">
        <v>153712</v>
      </c>
      <c r="D13" s="24">
        <v>49152267</v>
      </c>
      <c r="E13" s="46">
        <v>215943</v>
      </c>
      <c r="F13" s="24">
        <v>921343022</v>
      </c>
      <c r="G13" s="46">
        <v>369655</v>
      </c>
      <c r="H13" s="31">
        <v>970495289</v>
      </c>
    </row>
    <row r="14" spans="1:8" s="1" customFormat="1" ht="30" customHeight="1" thickBot="1">
      <c r="A14" s="228"/>
      <c r="B14" s="50" t="s">
        <v>13</v>
      </c>
      <c r="C14" s="51">
        <v>3499</v>
      </c>
      <c r="D14" s="52">
        <v>1383975</v>
      </c>
      <c r="E14" s="51">
        <v>9215</v>
      </c>
      <c r="F14" s="52">
        <v>274011605</v>
      </c>
      <c r="G14" s="51">
        <v>12714</v>
      </c>
      <c r="H14" s="53">
        <v>275395580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&amp;R名古屋国税局　消費税（H24）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zoomScaleSheetLayoutView="100" zoomScalePageLayoutView="0" workbookViewId="0" topLeftCell="A1">
      <selection activeCell="A1" sqref="A1"/>
    </sheetView>
  </sheetViews>
  <sheetFormatPr defaultColWidth="9.00390625" defaultRowHeight="13.5"/>
  <cols>
    <col min="1" max="2" width="18.625" style="83" customWidth="1"/>
    <col min="3" max="3" width="23.625" style="83" customWidth="1"/>
    <col min="4" max="4" width="18.625" style="83" customWidth="1"/>
    <col min="5" max="16384" width="9.00390625" style="83" customWidth="1"/>
  </cols>
  <sheetData>
    <row r="1" s="1" customFormat="1" ht="20.25" customHeight="1" thickBot="1">
      <c r="A1" s="1" t="s">
        <v>166</v>
      </c>
    </row>
    <row r="2" spans="1:4" s="4" customFormat="1" ht="19.5" customHeight="1">
      <c r="A2" s="14" t="s">
        <v>8</v>
      </c>
      <c r="B2" s="15" t="s">
        <v>9</v>
      </c>
      <c r="C2" s="16" t="s">
        <v>10</v>
      </c>
      <c r="D2" s="85" t="s">
        <v>167</v>
      </c>
    </row>
    <row r="3" spans="1:4" s="10" customFormat="1" ht="15" customHeight="1">
      <c r="A3" s="74" t="s">
        <v>4</v>
      </c>
      <c r="B3" s="75" t="s">
        <v>4</v>
      </c>
      <c r="C3" s="76" t="s">
        <v>4</v>
      </c>
      <c r="D3" s="77" t="s">
        <v>4</v>
      </c>
    </row>
    <row r="4" spans="1:9" s="4" customFormat="1" ht="30" customHeight="1" thickBot="1">
      <c r="A4" s="11">
        <v>381082</v>
      </c>
      <c r="B4" s="12">
        <v>7091</v>
      </c>
      <c r="C4" s="17">
        <v>1024</v>
      </c>
      <c r="D4" s="13">
        <v>389197</v>
      </c>
      <c r="E4" s="5"/>
      <c r="G4" s="5"/>
      <c r="I4" s="5"/>
    </row>
    <row r="5" spans="1:9" s="193" customFormat="1" ht="3" customHeight="1">
      <c r="A5" s="191"/>
      <c r="B5" s="191"/>
      <c r="C5" s="191"/>
      <c r="D5" s="191"/>
      <c r="E5" s="192"/>
      <c r="G5" s="192"/>
      <c r="I5" s="192"/>
    </row>
    <row r="6" spans="1:4" s="4" customFormat="1" ht="15" customHeight="1">
      <c r="A6" s="233" t="s">
        <v>246</v>
      </c>
      <c r="B6" s="233"/>
      <c r="C6" s="233"/>
      <c r="D6" s="233"/>
    </row>
    <row r="7" spans="1:4" s="4" customFormat="1" ht="15" customHeight="1">
      <c r="A7" s="234" t="s">
        <v>11</v>
      </c>
      <c r="B7" s="234"/>
      <c r="C7" s="234"/>
      <c r="D7" s="234"/>
    </row>
  </sheetData>
  <sheetProtection/>
  <mergeCells count="2">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消費税（H24）</oddFooter>
  </headerFooter>
</worksheet>
</file>

<file path=xl/worksheets/sheet4.xml><?xml version="1.0" encoding="utf-8"?>
<worksheet xmlns="http://schemas.openxmlformats.org/spreadsheetml/2006/main" xmlns:r="http://schemas.openxmlformats.org/officeDocument/2006/relationships">
  <dimension ref="A1:N65"/>
  <sheetViews>
    <sheetView zoomScaleSheetLayoutView="85" zoomScalePageLayoutView="115" workbookViewId="0" topLeftCell="A1">
      <selection activeCell="A1" sqref="A1"/>
    </sheetView>
  </sheetViews>
  <sheetFormatPr defaultColWidth="9.00390625" defaultRowHeight="13.5"/>
  <cols>
    <col min="1" max="1" width="11.375" style="86" customWidth="1"/>
    <col min="2" max="2" width="11.25390625" style="86" customWidth="1"/>
    <col min="3" max="3" width="13.125" style="86" customWidth="1"/>
    <col min="4" max="4" width="11.25390625" style="86" customWidth="1"/>
    <col min="5" max="5" width="13.125" style="86" customWidth="1"/>
    <col min="6" max="6" width="11.25390625" style="86" customWidth="1"/>
    <col min="7" max="7" width="13.125" style="86" customWidth="1"/>
    <col min="8" max="8" width="11.25390625" style="86" customWidth="1"/>
    <col min="9" max="9" width="13.125" style="86" customWidth="1"/>
    <col min="10" max="10" width="11.25390625" style="86" customWidth="1"/>
    <col min="11" max="11" width="13.125" style="86" customWidth="1"/>
    <col min="12" max="12" width="11.25390625" style="86" customWidth="1"/>
    <col min="13" max="13" width="13.125" style="86" customWidth="1"/>
    <col min="14" max="14" width="11.375" style="86" customWidth="1"/>
    <col min="15" max="16384" width="9.00390625" style="86" customWidth="1"/>
  </cols>
  <sheetData>
    <row r="1" spans="1:14" ht="13.5">
      <c r="A1" s="87" t="s">
        <v>168</v>
      </c>
      <c r="B1" s="87"/>
      <c r="C1" s="87"/>
      <c r="D1" s="87"/>
      <c r="E1" s="87"/>
      <c r="F1" s="87"/>
      <c r="G1" s="87"/>
      <c r="H1" s="88"/>
      <c r="I1" s="88"/>
      <c r="J1" s="88"/>
      <c r="K1" s="88"/>
      <c r="L1" s="88"/>
      <c r="M1" s="88"/>
      <c r="N1" s="88"/>
    </row>
    <row r="2" spans="1:14" ht="14.25" thickBot="1">
      <c r="A2" s="241" t="s">
        <v>20</v>
      </c>
      <c r="B2" s="241"/>
      <c r="C2" s="241"/>
      <c r="D2" s="241"/>
      <c r="E2" s="241"/>
      <c r="F2" s="241"/>
      <c r="G2" s="241"/>
      <c r="H2" s="88"/>
      <c r="I2" s="88"/>
      <c r="J2" s="88"/>
      <c r="K2" s="88"/>
      <c r="L2" s="88"/>
      <c r="M2" s="88"/>
      <c r="N2" s="88"/>
    </row>
    <row r="3" spans="1:14" ht="22.5" customHeight="1">
      <c r="A3" s="242" t="s">
        <v>169</v>
      </c>
      <c r="B3" s="245" t="s">
        <v>170</v>
      </c>
      <c r="C3" s="245"/>
      <c r="D3" s="245"/>
      <c r="E3" s="245"/>
      <c r="F3" s="245"/>
      <c r="G3" s="245"/>
      <c r="H3" s="246" t="s">
        <v>13</v>
      </c>
      <c r="I3" s="247"/>
      <c r="J3" s="249" t="s">
        <v>21</v>
      </c>
      <c r="K3" s="247"/>
      <c r="L3" s="246" t="s">
        <v>22</v>
      </c>
      <c r="M3" s="247"/>
      <c r="N3" s="235" t="s">
        <v>23</v>
      </c>
    </row>
    <row r="4" spans="1:14" ht="18.75" customHeight="1">
      <c r="A4" s="243"/>
      <c r="B4" s="238" t="s">
        <v>147</v>
      </c>
      <c r="C4" s="238"/>
      <c r="D4" s="239" t="s">
        <v>24</v>
      </c>
      <c r="E4" s="240"/>
      <c r="F4" s="239" t="s">
        <v>25</v>
      </c>
      <c r="G4" s="240"/>
      <c r="H4" s="239"/>
      <c r="I4" s="248"/>
      <c r="J4" s="239"/>
      <c r="K4" s="248"/>
      <c r="L4" s="239"/>
      <c r="M4" s="248"/>
      <c r="N4" s="236"/>
    </row>
    <row r="5" spans="1:14" s="89" customFormat="1" ht="33.75" customHeight="1">
      <c r="A5" s="244"/>
      <c r="B5" s="199" t="s">
        <v>171</v>
      </c>
      <c r="C5" s="198" t="s">
        <v>172</v>
      </c>
      <c r="D5" s="199" t="s">
        <v>171</v>
      </c>
      <c r="E5" s="198" t="s">
        <v>172</v>
      </c>
      <c r="F5" s="199" t="s">
        <v>171</v>
      </c>
      <c r="G5" s="198" t="s">
        <v>231</v>
      </c>
      <c r="H5" s="199" t="s">
        <v>171</v>
      </c>
      <c r="I5" s="200" t="s">
        <v>232</v>
      </c>
      <c r="J5" s="199" t="s">
        <v>171</v>
      </c>
      <c r="K5" s="200" t="s">
        <v>233</v>
      </c>
      <c r="L5" s="199" t="s">
        <v>171</v>
      </c>
      <c r="M5" s="200" t="s">
        <v>234</v>
      </c>
      <c r="N5" s="237"/>
    </row>
    <row r="6" spans="1:14" s="95" customFormat="1" ht="10.5">
      <c r="A6" s="90"/>
      <c r="B6" s="91" t="s">
        <v>4</v>
      </c>
      <c r="C6" s="92" t="s">
        <v>5</v>
      </c>
      <c r="D6" s="91" t="s">
        <v>4</v>
      </c>
      <c r="E6" s="92" t="s">
        <v>5</v>
      </c>
      <c r="F6" s="91" t="s">
        <v>4</v>
      </c>
      <c r="G6" s="92" t="s">
        <v>5</v>
      </c>
      <c r="H6" s="91" t="s">
        <v>4</v>
      </c>
      <c r="I6" s="93" t="s">
        <v>5</v>
      </c>
      <c r="J6" s="91" t="s">
        <v>4</v>
      </c>
      <c r="K6" s="93" t="s">
        <v>5</v>
      </c>
      <c r="L6" s="91" t="s">
        <v>4</v>
      </c>
      <c r="M6" s="93" t="s">
        <v>5</v>
      </c>
      <c r="N6" s="94"/>
    </row>
    <row r="7" spans="1:14" s="101" customFormat="1" ht="22.5" customHeight="1">
      <c r="A7" s="96" t="s">
        <v>29</v>
      </c>
      <c r="B7" s="97">
        <f>_xlfn.COMPOUNDVALUE(1)</f>
        <v>1995</v>
      </c>
      <c r="C7" s="98">
        <v>773439</v>
      </c>
      <c r="D7" s="97">
        <f>_xlfn.COMPOUNDVALUE(2)</f>
        <v>2641</v>
      </c>
      <c r="E7" s="98">
        <v>694592</v>
      </c>
      <c r="F7" s="97">
        <f>_xlfn.COMPOUNDVALUE(3)</f>
        <v>4636</v>
      </c>
      <c r="G7" s="98">
        <v>1468031</v>
      </c>
      <c r="H7" s="97">
        <f>_xlfn.COMPOUNDVALUE(4)</f>
        <v>109</v>
      </c>
      <c r="I7" s="99">
        <v>24923</v>
      </c>
      <c r="J7" s="97">
        <v>277</v>
      </c>
      <c r="K7" s="99">
        <v>30262</v>
      </c>
      <c r="L7" s="97">
        <v>4817</v>
      </c>
      <c r="M7" s="99">
        <v>1473370</v>
      </c>
      <c r="N7" s="100" t="s">
        <v>30</v>
      </c>
    </row>
    <row r="8" spans="1:14" s="101" customFormat="1" ht="22.5" customHeight="1">
      <c r="A8" s="102" t="s">
        <v>31</v>
      </c>
      <c r="B8" s="103">
        <f>_xlfn.COMPOUNDVALUE(5)</f>
        <v>1516</v>
      </c>
      <c r="C8" s="104">
        <v>602256</v>
      </c>
      <c r="D8" s="103">
        <f>_xlfn.COMPOUNDVALUE(6)</f>
        <v>2080</v>
      </c>
      <c r="E8" s="104">
        <v>553955</v>
      </c>
      <c r="F8" s="103">
        <f>_xlfn.COMPOUNDVALUE(7)</f>
        <v>3596</v>
      </c>
      <c r="G8" s="104">
        <v>1156211</v>
      </c>
      <c r="H8" s="103">
        <f>_xlfn.COMPOUNDVALUE(8)</f>
        <v>83</v>
      </c>
      <c r="I8" s="105">
        <v>46148</v>
      </c>
      <c r="J8" s="103">
        <v>215</v>
      </c>
      <c r="K8" s="105">
        <v>31554</v>
      </c>
      <c r="L8" s="103">
        <v>3726</v>
      </c>
      <c r="M8" s="105">
        <v>1141617</v>
      </c>
      <c r="N8" s="106" t="s">
        <v>32</v>
      </c>
    </row>
    <row r="9" spans="1:14" s="101" customFormat="1" ht="22.5" customHeight="1">
      <c r="A9" s="102" t="s">
        <v>33</v>
      </c>
      <c r="B9" s="103">
        <f>_xlfn.COMPOUNDVALUE(9)</f>
        <v>1631</v>
      </c>
      <c r="C9" s="104">
        <v>653764</v>
      </c>
      <c r="D9" s="103">
        <f>_xlfn.COMPOUNDVALUE(10)</f>
        <v>2427</v>
      </c>
      <c r="E9" s="104">
        <v>611158</v>
      </c>
      <c r="F9" s="103">
        <f>_xlfn.COMPOUNDVALUE(11)</f>
        <v>4058</v>
      </c>
      <c r="G9" s="104">
        <v>1264922</v>
      </c>
      <c r="H9" s="103">
        <f>_xlfn.COMPOUNDVALUE(12)</f>
        <v>85</v>
      </c>
      <c r="I9" s="105">
        <v>29825</v>
      </c>
      <c r="J9" s="103">
        <v>278</v>
      </c>
      <c r="K9" s="105">
        <v>31737</v>
      </c>
      <c r="L9" s="103">
        <v>4234</v>
      </c>
      <c r="M9" s="105">
        <v>1266834</v>
      </c>
      <c r="N9" s="106" t="s">
        <v>34</v>
      </c>
    </row>
    <row r="10" spans="1:14" s="101" customFormat="1" ht="22.5" customHeight="1">
      <c r="A10" s="102" t="s">
        <v>35</v>
      </c>
      <c r="B10" s="103">
        <f>_xlfn.COMPOUNDVALUE(13)</f>
        <v>700</v>
      </c>
      <c r="C10" s="104">
        <v>266591</v>
      </c>
      <c r="D10" s="103">
        <f>_xlfn.COMPOUNDVALUE(14)</f>
        <v>1536</v>
      </c>
      <c r="E10" s="104">
        <v>357524</v>
      </c>
      <c r="F10" s="103">
        <f>_xlfn.COMPOUNDVALUE(15)</f>
        <v>2236</v>
      </c>
      <c r="G10" s="104">
        <v>624115</v>
      </c>
      <c r="H10" s="103">
        <f>_xlfn.COMPOUNDVALUE(16)</f>
        <v>33</v>
      </c>
      <c r="I10" s="105">
        <v>5193</v>
      </c>
      <c r="J10" s="103">
        <v>172</v>
      </c>
      <c r="K10" s="105">
        <v>8486</v>
      </c>
      <c r="L10" s="103">
        <v>2282</v>
      </c>
      <c r="M10" s="105">
        <v>627408</v>
      </c>
      <c r="N10" s="106" t="s">
        <v>36</v>
      </c>
    </row>
    <row r="11" spans="1:14" s="101" customFormat="1" ht="22.5" customHeight="1">
      <c r="A11" s="102" t="s">
        <v>37</v>
      </c>
      <c r="B11" s="103">
        <f>_xlfn.COMPOUNDVALUE(17)</f>
        <v>1066</v>
      </c>
      <c r="C11" s="104">
        <v>393179</v>
      </c>
      <c r="D11" s="103">
        <f>_xlfn.COMPOUNDVALUE(18)</f>
        <v>1973</v>
      </c>
      <c r="E11" s="104">
        <v>479788</v>
      </c>
      <c r="F11" s="103">
        <f>_xlfn.COMPOUNDVALUE(19)</f>
        <v>3039</v>
      </c>
      <c r="G11" s="104">
        <v>872967</v>
      </c>
      <c r="H11" s="103">
        <f>_xlfn.COMPOUNDVALUE(20)</f>
        <v>68</v>
      </c>
      <c r="I11" s="105">
        <v>17566</v>
      </c>
      <c r="J11" s="103">
        <v>177</v>
      </c>
      <c r="K11" s="105">
        <v>20462</v>
      </c>
      <c r="L11" s="103">
        <v>3162</v>
      </c>
      <c r="M11" s="105">
        <v>875863</v>
      </c>
      <c r="N11" s="106" t="s">
        <v>38</v>
      </c>
    </row>
    <row r="12" spans="1:14" s="101" customFormat="1" ht="22.5" customHeight="1">
      <c r="A12" s="102" t="s">
        <v>39</v>
      </c>
      <c r="B12" s="103">
        <f>_xlfn.COMPOUNDVALUE(21)</f>
        <v>1353</v>
      </c>
      <c r="C12" s="104">
        <v>464998</v>
      </c>
      <c r="D12" s="103">
        <f>_xlfn.COMPOUNDVALUE(22)</f>
        <v>1960</v>
      </c>
      <c r="E12" s="104">
        <v>480993</v>
      </c>
      <c r="F12" s="103">
        <f>_xlfn.COMPOUNDVALUE(23)</f>
        <v>3313</v>
      </c>
      <c r="G12" s="104">
        <v>945991</v>
      </c>
      <c r="H12" s="103">
        <f>_xlfn.COMPOUNDVALUE(24)</f>
        <v>77</v>
      </c>
      <c r="I12" s="105">
        <v>17832</v>
      </c>
      <c r="J12" s="103">
        <v>283</v>
      </c>
      <c r="K12" s="105">
        <v>20671</v>
      </c>
      <c r="L12" s="103">
        <v>3465</v>
      </c>
      <c r="M12" s="105">
        <v>948830</v>
      </c>
      <c r="N12" s="106" t="s">
        <v>40</v>
      </c>
    </row>
    <row r="13" spans="1:14" s="101" customFormat="1" ht="22.5" customHeight="1">
      <c r="A13" s="102" t="s">
        <v>41</v>
      </c>
      <c r="B13" s="103">
        <f>_xlfn.COMPOUNDVALUE(25)</f>
        <v>538</v>
      </c>
      <c r="C13" s="104">
        <v>196707</v>
      </c>
      <c r="D13" s="103">
        <f>_xlfn.COMPOUNDVALUE(26)</f>
        <v>899</v>
      </c>
      <c r="E13" s="104">
        <v>220548</v>
      </c>
      <c r="F13" s="103">
        <f>_xlfn.COMPOUNDVALUE(27)</f>
        <v>1437</v>
      </c>
      <c r="G13" s="104">
        <v>417255</v>
      </c>
      <c r="H13" s="103">
        <f>_xlfn.COMPOUNDVALUE(28)</f>
        <v>42</v>
      </c>
      <c r="I13" s="105">
        <v>7820</v>
      </c>
      <c r="J13" s="103">
        <v>105</v>
      </c>
      <c r="K13" s="105">
        <v>11452</v>
      </c>
      <c r="L13" s="103">
        <v>1504</v>
      </c>
      <c r="M13" s="105">
        <v>420887</v>
      </c>
      <c r="N13" s="106" t="s">
        <v>42</v>
      </c>
    </row>
    <row r="14" spans="1:14" s="101" customFormat="1" ht="22.5" customHeight="1">
      <c r="A14" s="107" t="s">
        <v>43</v>
      </c>
      <c r="B14" s="108">
        <v>8799</v>
      </c>
      <c r="C14" s="109">
        <v>3350935</v>
      </c>
      <c r="D14" s="108">
        <v>13516</v>
      </c>
      <c r="E14" s="109">
        <v>3398557</v>
      </c>
      <c r="F14" s="108">
        <v>22315</v>
      </c>
      <c r="G14" s="109">
        <v>6749492</v>
      </c>
      <c r="H14" s="108">
        <v>497</v>
      </c>
      <c r="I14" s="110">
        <v>149307</v>
      </c>
      <c r="J14" s="108">
        <v>1507</v>
      </c>
      <c r="K14" s="110">
        <v>154624</v>
      </c>
      <c r="L14" s="108">
        <v>23190</v>
      </c>
      <c r="M14" s="110">
        <v>6754809</v>
      </c>
      <c r="N14" s="111" t="s">
        <v>44</v>
      </c>
    </row>
    <row r="15" spans="1:14" s="101" customFormat="1" ht="22.5" customHeight="1">
      <c r="A15" s="112"/>
      <c r="B15" s="113"/>
      <c r="C15" s="114"/>
      <c r="D15" s="113"/>
      <c r="E15" s="114"/>
      <c r="F15" s="115"/>
      <c r="G15" s="114"/>
      <c r="H15" s="115"/>
      <c r="I15" s="114"/>
      <c r="J15" s="115"/>
      <c r="K15" s="114"/>
      <c r="L15" s="115"/>
      <c r="M15" s="114"/>
      <c r="N15" s="116"/>
    </row>
    <row r="16" spans="1:14" s="101" customFormat="1" ht="22.5" customHeight="1">
      <c r="A16" s="96" t="s">
        <v>45</v>
      </c>
      <c r="B16" s="97">
        <f>_xlfn.COMPOUNDVALUE(29)</f>
        <v>1874</v>
      </c>
      <c r="C16" s="98">
        <v>758925</v>
      </c>
      <c r="D16" s="97">
        <f>_xlfn.COMPOUNDVALUE(30)</f>
        <v>3859</v>
      </c>
      <c r="E16" s="98">
        <v>1014057</v>
      </c>
      <c r="F16" s="97">
        <f>_xlfn.COMPOUNDVALUE(31)</f>
        <v>5733</v>
      </c>
      <c r="G16" s="98">
        <v>1772981</v>
      </c>
      <c r="H16" s="97">
        <f>_xlfn.COMPOUNDVALUE(32)</f>
        <v>105</v>
      </c>
      <c r="I16" s="99">
        <v>54425</v>
      </c>
      <c r="J16" s="97">
        <v>317</v>
      </c>
      <c r="K16" s="99">
        <v>34229</v>
      </c>
      <c r="L16" s="97">
        <v>5959</v>
      </c>
      <c r="M16" s="99">
        <v>1752785</v>
      </c>
      <c r="N16" s="117" t="s">
        <v>46</v>
      </c>
    </row>
    <row r="17" spans="1:14" s="101" customFormat="1" ht="22.5" customHeight="1">
      <c r="A17" s="96" t="s">
        <v>47</v>
      </c>
      <c r="B17" s="97">
        <f>_xlfn.COMPOUNDVALUE(33)</f>
        <v>949</v>
      </c>
      <c r="C17" s="98">
        <v>400887</v>
      </c>
      <c r="D17" s="97">
        <f>_xlfn.COMPOUNDVALUE(34)</f>
        <v>2012</v>
      </c>
      <c r="E17" s="98">
        <v>511155</v>
      </c>
      <c r="F17" s="97">
        <f>_xlfn.COMPOUNDVALUE(35)</f>
        <v>2961</v>
      </c>
      <c r="G17" s="98">
        <v>912042</v>
      </c>
      <c r="H17" s="97">
        <f>_xlfn.COMPOUNDVALUE(36)</f>
        <v>47</v>
      </c>
      <c r="I17" s="99">
        <v>21971</v>
      </c>
      <c r="J17" s="97">
        <v>162</v>
      </c>
      <c r="K17" s="99">
        <v>21157</v>
      </c>
      <c r="L17" s="97">
        <v>3067</v>
      </c>
      <c r="M17" s="99">
        <v>911228</v>
      </c>
      <c r="N17" s="100" t="s">
        <v>48</v>
      </c>
    </row>
    <row r="18" spans="1:14" s="101" customFormat="1" ht="22.5" customHeight="1">
      <c r="A18" s="96" t="s">
        <v>49</v>
      </c>
      <c r="B18" s="97">
        <f>_xlfn.COMPOUNDVALUE(37)</f>
        <v>1777</v>
      </c>
      <c r="C18" s="98">
        <v>746614</v>
      </c>
      <c r="D18" s="97">
        <f>_xlfn.COMPOUNDVALUE(38)</f>
        <v>3610</v>
      </c>
      <c r="E18" s="98">
        <v>938609</v>
      </c>
      <c r="F18" s="97">
        <f>_xlfn.COMPOUNDVALUE(39)</f>
        <v>5387</v>
      </c>
      <c r="G18" s="98">
        <v>1685223</v>
      </c>
      <c r="H18" s="97">
        <f>_xlfn.COMPOUNDVALUE(40)</f>
        <v>116</v>
      </c>
      <c r="I18" s="99">
        <v>60008</v>
      </c>
      <c r="J18" s="97">
        <v>273</v>
      </c>
      <c r="K18" s="99">
        <v>35373</v>
      </c>
      <c r="L18" s="97">
        <v>5613</v>
      </c>
      <c r="M18" s="99">
        <v>1660588</v>
      </c>
      <c r="N18" s="100" t="s">
        <v>50</v>
      </c>
    </row>
    <row r="19" spans="1:14" s="101" customFormat="1" ht="22.5" customHeight="1">
      <c r="A19" s="96" t="s">
        <v>51</v>
      </c>
      <c r="B19" s="97">
        <f>_xlfn.COMPOUNDVALUE(41)</f>
        <v>1183</v>
      </c>
      <c r="C19" s="98">
        <v>430601</v>
      </c>
      <c r="D19" s="97">
        <f>_xlfn.COMPOUNDVALUE(42)</f>
        <v>1879</v>
      </c>
      <c r="E19" s="98">
        <v>464868</v>
      </c>
      <c r="F19" s="97">
        <f>_xlfn.COMPOUNDVALUE(43)</f>
        <v>3062</v>
      </c>
      <c r="G19" s="98">
        <v>895469</v>
      </c>
      <c r="H19" s="97">
        <f>_xlfn.COMPOUNDVALUE(44)</f>
        <v>79</v>
      </c>
      <c r="I19" s="99">
        <v>28664</v>
      </c>
      <c r="J19" s="97">
        <v>190</v>
      </c>
      <c r="K19" s="99">
        <v>30229</v>
      </c>
      <c r="L19" s="97">
        <v>3239</v>
      </c>
      <c r="M19" s="99">
        <v>897034</v>
      </c>
      <c r="N19" s="100" t="s">
        <v>52</v>
      </c>
    </row>
    <row r="20" spans="1:14" s="101" customFormat="1" ht="22.5" customHeight="1">
      <c r="A20" s="96" t="s">
        <v>53</v>
      </c>
      <c r="B20" s="97">
        <f>_xlfn.COMPOUNDVALUE(45)</f>
        <v>1299</v>
      </c>
      <c r="C20" s="98">
        <v>590686</v>
      </c>
      <c r="D20" s="97">
        <f>_xlfn.COMPOUNDVALUE(46)</f>
        <v>2672</v>
      </c>
      <c r="E20" s="98">
        <v>693290</v>
      </c>
      <c r="F20" s="97">
        <f>_xlfn.COMPOUNDVALUE(47)</f>
        <v>3971</v>
      </c>
      <c r="G20" s="98">
        <v>1283976</v>
      </c>
      <c r="H20" s="97">
        <f>_xlfn.COMPOUNDVALUE(48)</f>
        <v>72</v>
      </c>
      <c r="I20" s="99">
        <v>50928</v>
      </c>
      <c r="J20" s="97">
        <v>243</v>
      </c>
      <c r="K20" s="99">
        <v>19339</v>
      </c>
      <c r="L20" s="97">
        <v>4148</v>
      </c>
      <c r="M20" s="99">
        <v>1252386</v>
      </c>
      <c r="N20" s="100" t="s">
        <v>54</v>
      </c>
    </row>
    <row r="21" spans="1:14" s="101" customFormat="1" ht="22.5" customHeight="1">
      <c r="A21" s="96" t="s">
        <v>55</v>
      </c>
      <c r="B21" s="97">
        <f>_xlfn.COMPOUNDVALUE(49)</f>
        <v>451</v>
      </c>
      <c r="C21" s="98">
        <v>162973</v>
      </c>
      <c r="D21" s="97">
        <f>_xlfn.COMPOUNDVALUE(50)</f>
        <v>967</v>
      </c>
      <c r="E21" s="98">
        <v>237489</v>
      </c>
      <c r="F21" s="97">
        <f>_xlfn.COMPOUNDVALUE(51)</f>
        <v>1418</v>
      </c>
      <c r="G21" s="98">
        <v>400461</v>
      </c>
      <c r="H21" s="97">
        <f>_xlfn.COMPOUNDVALUE(52)</f>
        <v>21</v>
      </c>
      <c r="I21" s="99">
        <v>4763</v>
      </c>
      <c r="J21" s="97">
        <v>110</v>
      </c>
      <c r="K21" s="99">
        <v>10491</v>
      </c>
      <c r="L21" s="97">
        <v>1469</v>
      </c>
      <c r="M21" s="99">
        <v>406189</v>
      </c>
      <c r="N21" s="100" t="s">
        <v>56</v>
      </c>
    </row>
    <row r="22" spans="1:14" s="101" customFormat="1" ht="22.5" customHeight="1">
      <c r="A22" s="102" t="s">
        <v>57</v>
      </c>
      <c r="B22" s="103">
        <f>_xlfn.COMPOUNDVALUE(53)</f>
        <v>712</v>
      </c>
      <c r="C22" s="104">
        <v>280083</v>
      </c>
      <c r="D22" s="103">
        <f>_xlfn.COMPOUNDVALUE(54)</f>
        <v>1767</v>
      </c>
      <c r="E22" s="104">
        <v>442806</v>
      </c>
      <c r="F22" s="103">
        <f>_xlfn.COMPOUNDVALUE(55)</f>
        <v>2479</v>
      </c>
      <c r="G22" s="104">
        <v>722889</v>
      </c>
      <c r="H22" s="103">
        <f>_xlfn.COMPOUNDVALUE(56)</f>
        <v>33</v>
      </c>
      <c r="I22" s="105">
        <v>14380</v>
      </c>
      <c r="J22" s="103">
        <v>145</v>
      </c>
      <c r="K22" s="105">
        <v>12934</v>
      </c>
      <c r="L22" s="103">
        <v>2545</v>
      </c>
      <c r="M22" s="105">
        <v>721444</v>
      </c>
      <c r="N22" s="106" t="s">
        <v>58</v>
      </c>
    </row>
    <row r="23" spans="1:14" s="101" customFormat="1" ht="22.5" customHeight="1">
      <c r="A23" s="102" t="s">
        <v>59</v>
      </c>
      <c r="B23" s="103">
        <f>_xlfn.COMPOUNDVALUE(57)</f>
        <v>796</v>
      </c>
      <c r="C23" s="104">
        <v>315185</v>
      </c>
      <c r="D23" s="103">
        <f>_xlfn.COMPOUNDVALUE(58)</f>
        <v>1764</v>
      </c>
      <c r="E23" s="104">
        <v>420645</v>
      </c>
      <c r="F23" s="103">
        <f>_xlfn.COMPOUNDVALUE(59)</f>
        <v>2560</v>
      </c>
      <c r="G23" s="104">
        <v>735830</v>
      </c>
      <c r="H23" s="103">
        <f>_xlfn.COMPOUNDVALUE(60)</f>
        <v>37</v>
      </c>
      <c r="I23" s="105">
        <v>24779</v>
      </c>
      <c r="J23" s="103">
        <v>120</v>
      </c>
      <c r="K23" s="105">
        <v>9849</v>
      </c>
      <c r="L23" s="103">
        <v>2633</v>
      </c>
      <c r="M23" s="105">
        <v>720899</v>
      </c>
      <c r="N23" s="106" t="s">
        <v>60</v>
      </c>
    </row>
    <row r="24" spans="1:14" s="101" customFormat="1" ht="22.5" customHeight="1">
      <c r="A24" s="102" t="s">
        <v>61</v>
      </c>
      <c r="B24" s="103">
        <f>_xlfn.COMPOUNDVALUE(61)</f>
        <v>1479</v>
      </c>
      <c r="C24" s="104">
        <v>685880</v>
      </c>
      <c r="D24" s="103">
        <f>_xlfn.COMPOUNDVALUE(62)</f>
        <v>3023</v>
      </c>
      <c r="E24" s="104">
        <v>801519</v>
      </c>
      <c r="F24" s="103">
        <f>_xlfn.COMPOUNDVALUE(63)</f>
        <v>4502</v>
      </c>
      <c r="G24" s="104">
        <v>1487398</v>
      </c>
      <c r="H24" s="103">
        <f>_xlfn.COMPOUNDVALUE(64)</f>
        <v>72</v>
      </c>
      <c r="I24" s="105">
        <v>19815</v>
      </c>
      <c r="J24" s="103">
        <v>240</v>
      </c>
      <c r="K24" s="105">
        <v>18526</v>
      </c>
      <c r="L24" s="103">
        <v>4626</v>
      </c>
      <c r="M24" s="105">
        <v>1486109</v>
      </c>
      <c r="N24" s="106" t="s">
        <v>62</v>
      </c>
    </row>
    <row r="25" spans="1:14" s="101" customFormat="1" ht="22.5" customHeight="1">
      <c r="A25" s="102" t="s">
        <v>63</v>
      </c>
      <c r="B25" s="103">
        <f>_xlfn.COMPOUNDVALUE(65)</f>
        <v>944</v>
      </c>
      <c r="C25" s="104">
        <v>355561</v>
      </c>
      <c r="D25" s="103">
        <f>_xlfn.COMPOUNDVALUE(66)</f>
        <v>1901</v>
      </c>
      <c r="E25" s="104">
        <v>470999</v>
      </c>
      <c r="F25" s="103">
        <f>_xlfn.COMPOUNDVALUE(67)</f>
        <v>2845</v>
      </c>
      <c r="G25" s="104">
        <v>826560</v>
      </c>
      <c r="H25" s="103">
        <f>_xlfn.COMPOUNDVALUE(68)</f>
        <v>64</v>
      </c>
      <c r="I25" s="105">
        <v>15917</v>
      </c>
      <c r="J25" s="103">
        <v>186</v>
      </c>
      <c r="K25" s="105">
        <v>12075</v>
      </c>
      <c r="L25" s="103">
        <v>2953</v>
      </c>
      <c r="M25" s="105">
        <v>822718</v>
      </c>
      <c r="N25" s="106" t="s">
        <v>64</v>
      </c>
    </row>
    <row r="26" spans="1:14" s="101" customFormat="1" ht="22.5" customHeight="1">
      <c r="A26" s="102" t="s">
        <v>65</v>
      </c>
      <c r="B26" s="103">
        <f>_xlfn.COMPOUNDVALUE(69)</f>
        <v>713</v>
      </c>
      <c r="C26" s="104">
        <v>312692</v>
      </c>
      <c r="D26" s="103">
        <f>_xlfn.COMPOUNDVALUE(70)</f>
        <v>1737</v>
      </c>
      <c r="E26" s="104">
        <v>430660</v>
      </c>
      <c r="F26" s="103">
        <f>_xlfn.COMPOUNDVALUE(71)</f>
        <v>2450</v>
      </c>
      <c r="G26" s="104">
        <v>743352</v>
      </c>
      <c r="H26" s="103">
        <f>_xlfn.COMPOUNDVALUE(72)</f>
        <v>70</v>
      </c>
      <c r="I26" s="105">
        <v>17198</v>
      </c>
      <c r="J26" s="103">
        <v>135</v>
      </c>
      <c r="K26" s="105">
        <v>15459</v>
      </c>
      <c r="L26" s="103">
        <v>2548</v>
      </c>
      <c r="M26" s="105">
        <v>741613</v>
      </c>
      <c r="N26" s="106" t="s">
        <v>66</v>
      </c>
    </row>
    <row r="27" spans="1:14" s="101" customFormat="1" ht="22.5" customHeight="1">
      <c r="A27" s="102" t="s">
        <v>67</v>
      </c>
      <c r="B27" s="103">
        <f>_xlfn.COMPOUNDVALUE(73)</f>
        <v>1079</v>
      </c>
      <c r="C27" s="104">
        <v>405639</v>
      </c>
      <c r="D27" s="103">
        <f>_xlfn.COMPOUNDVALUE(74)</f>
        <v>2060</v>
      </c>
      <c r="E27" s="104">
        <v>517542</v>
      </c>
      <c r="F27" s="103">
        <f>_xlfn.COMPOUNDVALUE(75)</f>
        <v>3139</v>
      </c>
      <c r="G27" s="104">
        <v>923180</v>
      </c>
      <c r="H27" s="103">
        <f>_xlfn.COMPOUNDVALUE(76)</f>
        <v>54</v>
      </c>
      <c r="I27" s="105">
        <v>36517</v>
      </c>
      <c r="J27" s="103">
        <v>197</v>
      </c>
      <c r="K27" s="105">
        <v>22947</v>
      </c>
      <c r="L27" s="103">
        <v>3266</v>
      </c>
      <c r="M27" s="105">
        <v>909611</v>
      </c>
      <c r="N27" s="106" t="s">
        <v>68</v>
      </c>
    </row>
    <row r="28" spans="1:14" s="101" customFormat="1" ht="22.5" customHeight="1">
      <c r="A28" s="102" t="s">
        <v>69</v>
      </c>
      <c r="B28" s="103">
        <f>_xlfn.COMPOUNDVALUE(77)</f>
        <v>355</v>
      </c>
      <c r="C28" s="104">
        <v>133601</v>
      </c>
      <c r="D28" s="103">
        <f>_xlfn.COMPOUNDVALUE(78)</f>
        <v>784</v>
      </c>
      <c r="E28" s="104">
        <v>167175</v>
      </c>
      <c r="F28" s="103">
        <f>_xlfn.COMPOUNDVALUE(79)</f>
        <v>1139</v>
      </c>
      <c r="G28" s="104">
        <v>300776</v>
      </c>
      <c r="H28" s="103">
        <f>_xlfn.COMPOUNDVALUE(80)</f>
        <v>18</v>
      </c>
      <c r="I28" s="105">
        <v>6658</v>
      </c>
      <c r="J28" s="103">
        <v>53</v>
      </c>
      <c r="K28" s="105">
        <v>3980</v>
      </c>
      <c r="L28" s="103">
        <v>1163</v>
      </c>
      <c r="M28" s="105">
        <v>298098</v>
      </c>
      <c r="N28" s="106" t="s">
        <v>70</v>
      </c>
    </row>
    <row r="29" spans="1:14" s="101" customFormat="1" ht="22.5" customHeight="1">
      <c r="A29" s="107" t="s">
        <v>71</v>
      </c>
      <c r="B29" s="108">
        <v>13611</v>
      </c>
      <c r="C29" s="109">
        <v>5579325</v>
      </c>
      <c r="D29" s="108">
        <v>28035</v>
      </c>
      <c r="E29" s="109">
        <v>7110812</v>
      </c>
      <c r="F29" s="108">
        <v>41646</v>
      </c>
      <c r="G29" s="109">
        <v>12690137</v>
      </c>
      <c r="H29" s="108">
        <v>788</v>
      </c>
      <c r="I29" s="110">
        <v>356021</v>
      </c>
      <c r="J29" s="108">
        <v>2371</v>
      </c>
      <c r="K29" s="110">
        <v>246587</v>
      </c>
      <c r="L29" s="108">
        <v>43229</v>
      </c>
      <c r="M29" s="110">
        <v>12580704</v>
      </c>
      <c r="N29" s="111" t="s">
        <v>72</v>
      </c>
    </row>
    <row r="30" spans="1:14" s="101" customFormat="1" ht="22.5" customHeight="1">
      <c r="A30" s="112"/>
      <c r="B30" s="113"/>
      <c r="C30" s="114"/>
      <c r="D30" s="113"/>
      <c r="E30" s="114"/>
      <c r="F30" s="115"/>
      <c r="G30" s="114"/>
      <c r="H30" s="115"/>
      <c r="I30" s="114"/>
      <c r="J30" s="115"/>
      <c r="K30" s="114"/>
      <c r="L30" s="115"/>
      <c r="M30" s="114"/>
      <c r="N30" s="116"/>
    </row>
    <row r="31" spans="1:14" s="101" customFormat="1" ht="22.5" customHeight="1">
      <c r="A31" s="96" t="s">
        <v>73</v>
      </c>
      <c r="B31" s="97">
        <f>_xlfn.COMPOUNDVALUE(81)</f>
        <v>1147</v>
      </c>
      <c r="C31" s="98">
        <v>658812</v>
      </c>
      <c r="D31" s="97">
        <f>_xlfn.COMPOUNDVALUE(82)</f>
        <v>1781</v>
      </c>
      <c r="E31" s="98">
        <v>559057</v>
      </c>
      <c r="F31" s="97">
        <f>_xlfn.COMPOUNDVALUE(83)</f>
        <v>2928</v>
      </c>
      <c r="G31" s="98">
        <v>1217869</v>
      </c>
      <c r="H31" s="97">
        <f>_xlfn.COMPOUNDVALUE(84)</f>
        <v>81</v>
      </c>
      <c r="I31" s="99">
        <v>43349</v>
      </c>
      <c r="J31" s="97">
        <v>203</v>
      </c>
      <c r="K31" s="99">
        <v>23067</v>
      </c>
      <c r="L31" s="97">
        <v>3094</v>
      </c>
      <c r="M31" s="99">
        <v>1197587</v>
      </c>
      <c r="N31" s="117" t="s">
        <v>74</v>
      </c>
    </row>
    <row r="32" spans="1:14" s="101" customFormat="1" ht="22.5" customHeight="1">
      <c r="A32" s="96" t="s">
        <v>75</v>
      </c>
      <c r="B32" s="97">
        <f>_xlfn.COMPOUNDVALUE(85)</f>
        <v>403</v>
      </c>
      <c r="C32" s="98">
        <v>279914</v>
      </c>
      <c r="D32" s="97">
        <f>_xlfn.COMPOUNDVALUE(86)</f>
        <v>565</v>
      </c>
      <c r="E32" s="98">
        <v>182286</v>
      </c>
      <c r="F32" s="97">
        <f>_xlfn.COMPOUNDVALUE(87)</f>
        <v>968</v>
      </c>
      <c r="G32" s="98">
        <v>462201</v>
      </c>
      <c r="H32" s="97">
        <f>_xlfn.COMPOUNDVALUE(88)</f>
        <v>48</v>
      </c>
      <c r="I32" s="99">
        <v>21297</v>
      </c>
      <c r="J32" s="97">
        <v>98</v>
      </c>
      <c r="K32" s="99">
        <v>11850</v>
      </c>
      <c r="L32" s="97">
        <v>1059</v>
      </c>
      <c r="M32" s="99">
        <v>452754</v>
      </c>
      <c r="N32" s="100" t="s">
        <v>76</v>
      </c>
    </row>
    <row r="33" spans="1:14" s="101" customFormat="1" ht="22.5" customHeight="1">
      <c r="A33" s="96" t="s">
        <v>77</v>
      </c>
      <c r="B33" s="97">
        <f>_xlfn.COMPOUNDVALUE(89)</f>
        <v>1077</v>
      </c>
      <c r="C33" s="98">
        <v>420250</v>
      </c>
      <c r="D33" s="97">
        <f>_xlfn.COMPOUNDVALUE(90)</f>
        <v>1646</v>
      </c>
      <c r="E33" s="98">
        <v>434069</v>
      </c>
      <c r="F33" s="97">
        <f>_xlfn.COMPOUNDVALUE(91)</f>
        <v>2723</v>
      </c>
      <c r="G33" s="98">
        <v>854318</v>
      </c>
      <c r="H33" s="97">
        <f>_xlfn.COMPOUNDVALUE(92)</f>
        <v>63</v>
      </c>
      <c r="I33" s="99">
        <v>24336</v>
      </c>
      <c r="J33" s="97">
        <v>197</v>
      </c>
      <c r="K33" s="99">
        <v>27014</v>
      </c>
      <c r="L33" s="97">
        <v>2860</v>
      </c>
      <c r="M33" s="99">
        <v>856997</v>
      </c>
      <c r="N33" s="100" t="s">
        <v>78</v>
      </c>
    </row>
    <row r="34" spans="1:14" s="101" customFormat="1" ht="22.5" customHeight="1">
      <c r="A34" s="96" t="s">
        <v>79</v>
      </c>
      <c r="B34" s="97">
        <f>_xlfn.COMPOUNDVALUE(93)</f>
        <v>1252</v>
      </c>
      <c r="C34" s="98">
        <v>418872</v>
      </c>
      <c r="D34" s="97">
        <f>_xlfn.COMPOUNDVALUE(94)</f>
        <v>1771</v>
      </c>
      <c r="E34" s="98">
        <v>453993</v>
      </c>
      <c r="F34" s="97">
        <f>_xlfn.COMPOUNDVALUE(95)</f>
        <v>3023</v>
      </c>
      <c r="G34" s="98">
        <v>872865</v>
      </c>
      <c r="H34" s="97">
        <f>_xlfn.COMPOUNDVALUE(96)</f>
        <v>50</v>
      </c>
      <c r="I34" s="99">
        <v>14730</v>
      </c>
      <c r="J34" s="97">
        <v>275</v>
      </c>
      <c r="K34" s="99">
        <v>49199</v>
      </c>
      <c r="L34" s="97">
        <v>3182</v>
      </c>
      <c r="M34" s="99">
        <v>907334</v>
      </c>
      <c r="N34" s="100" t="s">
        <v>80</v>
      </c>
    </row>
    <row r="35" spans="1:14" s="101" customFormat="1" ht="22.5" customHeight="1">
      <c r="A35" s="96" t="s">
        <v>81</v>
      </c>
      <c r="B35" s="97">
        <f>_xlfn.COMPOUNDVALUE(97)</f>
        <v>614</v>
      </c>
      <c r="C35" s="98">
        <v>248159</v>
      </c>
      <c r="D35" s="97">
        <f>_xlfn.COMPOUNDVALUE(98)</f>
        <v>862</v>
      </c>
      <c r="E35" s="98">
        <v>231517</v>
      </c>
      <c r="F35" s="97">
        <f>_xlfn.COMPOUNDVALUE(99)</f>
        <v>1476</v>
      </c>
      <c r="G35" s="98">
        <v>479676</v>
      </c>
      <c r="H35" s="97">
        <f>_xlfn.COMPOUNDVALUE(100)</f>
        <v>27</v>
      </c>
      <c r="I35" s="99">
        <v>11801</v>
      </c>
      <c r="J35" s="97">
        <v>110</v>
      </c>
      <c r="K35" s="99">
        <v>13586</v>
      </c>
      <c r="L35" s="97">
        <v>1549</v>
      </c>
      <c r="M35" s="99">
        <v>481460</v>
      </c>
      <c r="N35" s="100" t="s">
        <v>82</v>
      </c>
    </row>
    <row r="36" spans="1:14" s="101" customFormat="1" ht="22.5" customHeight="1">
      <c r="A36" s="96" t="s">
        <v>83</v>
      </c>
      <c r="B36" s="97">
        <f>_xlfn.COMPOUNDVALUE(101)</f>
        <v>904</v>
      </c>
      <c r="C36" s="98">
        <v>626955</v>
      </c>
      <c r="D36" s="97">
        <f>_xlfn.COMPOUNDVALUE(102)</f>
        <v>1029</v>
      </c>
      <c r="E36" s="98">
        <v>361852</v>
      </c>
      <c r="F36" s="97">
        <f>_xlfn.COMPOUNDVALUE(103)</f>
        <v>1933</v>
      </c>
      <c r="G36" s="98">
        <v>988807</v>
      </c>
      <c r="H36" s="97">
        <f>_xlfn.COMPOUNDVALUE(104)</f>
        <v>59</v>
      </c>
      <c r="I36" s="99">
        <v>19133</v>
      </c>
      <c r="J36" s="97">
        <v>163</v>
      </c>
      <c r="K36" s="99">
        <v>23234</v>
      </c>
      <c r="L36" s="97">
        <v>2043</v>
      </c>
      <c r="M36" s="99">
        <v>992908</v>
      </c>
      <c r="N36" s="100" t="s">
        <v>84</v>
      </c>
    </row>
    <row r="37" spans="1:14" s="101" customFormat="1" ht="22.5" customHeight="1">
      <c r="A37" s="96" t="s">
        <v>85</v>
      </c>
      <c r="B37" s="97">
        <f>_xlfn.COMPOUNDVALUE(105)</f>
        <v>1893</v>
      </c>
      <c r="C37" s="98">
        <v>974099</v>
      </c>
      <c r="D37" s="97">
        <f>_xlfn.COMPOUNDVALUE(106)</f>
        <v>2962</v>
      </c>
      <c r="E37" s="98">
        <v>856765</v>
      </c>
      <c r="F37" s="97">
        <f>_xlfn.COMPOUNDVALUE(107)</f>
        <v>4855</v>
      </c>
      <c r="G37" s="98">
        <v>1830864</v>
      </c>
      <c r="H37" s="97">
        <f>_xlfn.COMPOUNDVALUE(108)</f>
        <v>142</v>
      </c>
      <c r="I37" s="99">
        <v>50564</v>
      </c>
      <c r="J37" s="97">
        <v>371</v>
      </c>
      <c r="K37" s="99">
        <v>38215</v>
      </c>
      <c r="L37" s="97">
        <v>5095</v>
      </c>
      <c r="M37" s="99">
        <v>1818515</v>
      </c>
      <c r="N37" s="100" t="s">
        <v>86</v>
      </c>
    </row>
    <row r="38" spans="1:14" s="101" customFormat="1" ht="22.5" customHeight="1">
      <c r="A38" s="96" t="s">
        <v>87</v>
      </c>
      <c r="B38" s="97">
        <f>_xlfn.COMPOUNDVALUE(109)</f>
        <v>1604</v>
      </c>
      <c r="C38" s="98">
        <v>625561</v>
      </c>
      <c r="D38" s="97">
        <f>_xlfn.COMPOUNDVALUE(110)</f>
        <v>2378</v>
      </c>
      <c r="E38" s="98">
        <v>667511</v>
      </c>
      <c r="F38" s="97">
        <f>_xlfn.COMPOUNDVALUE(111)</f>
        <v>3982</v>
      </c>
      <c r="G38" s="98">
        <v>1293072</v>
      </c>
      <c r="H38" s="97">
        <f>_xlfn.COMPOUNDVALUE(112)</f>
        <v>100</v>
      </c>
      <c r="I38" s="99">
        <v>65531</v>
      </c>
      <c r="J38" s="97">
        <v>311</v>
      </c>
      <c r="K38" s="99">
        <v>37785</v>
      </c>
      <c r="L38" s="97">
        <v>4189</v>
      </c>
      <c r="M38" s="99">
        <v>1265325</v>
      </c>
      <c r="N38" s="100" t="s">
        <v>88</v>
      </c>
    </row>
    <row r="39" spans="1:14" s="101" customFormat="1" ht="22.5" customHeight="1">
      <c r="A39" s="96" t="s">
        <v>89</v>
      </c>
      <c r="B39" s="97">
        <f>_xlfn.COMPOUNDVALUE(113)</f>
        <v>1275</v>
      </c>
      <c r="C39" s="98">
        <v>421935</v>
      </c>
      <c r="D39" s="97">
        <f>_xlfn.COMPOUNDVALUE(114)</f>
        <v>1928</v>
      </c>
      <c r="E39" s="98">
        <v>497985</v>
      </c>
      <c r="F39" s="97">
        <f>_xlfn.COMPOUNDVALUE(115)</f>
        <v>3203</v>
      </c>
      <c r="G39" s="98">
        <v>919920</v>
      </c>
      <c r="H39" s="97">
        <f>_xlfn.COMPOUNDVALUE(116)</f>
        <v>129</v>
      </c>
      <c r="I39" s="99">
        <v>73231</v>
      </c>
      <c r="J39" s="97">
        <v>223</v>
      </c>
      <c r="K39" s="99">
        <v>43232</v>
      </c>
      <c r="L39" s="97">
        <v>3437</v>
      </c>
      <c r="M39" s="99">
        <v>889921</v>
      </c>
      <c r="N39" s="100" t="s">
        <v>90</v>
      </c>
    </row>
    <row r="40" spans="1:14" s="101" customFormat="1" ht="22.5" customHeight="1">
      <c r="A40" s="96" t="s">
        <v>91</v>
      </c>
      <c r="B40" s="97">
        <f>_xlfn.COMPOUNDVALUE(117)</f>
        <v>3039</v>
      </c>
      <c r="C40" s="98">
        <v>1349020</v>
      </c>
      <c r="D40" s="97">
        <f>_xlfn.COMPOUNDVALUE(118)</f>
        <v>7487</v>
      </c>
      <c r="E40" s="98">
        <v>1926740</v>
      </c>
      <c r="F40" s="97">
        <f>_xlfn.COMPOUNDVALUE(119)</f>
        <v>10526</v>
      </c>
      <c r="G40" s="98">
        <v>3275760</v>
      </c>
      <c r="H40" s="97">
        <f>_xlfn.COMPOUNDVALUE(120)</f>
        <v>226</v>
      </c>
      <c r="I40" s="99">
        <v>103501</v>
      </c>
      <c r="J40" s="97">
        <v>444</v>
      </c>
      <c r="K40" s="99">
        <v>48221</v>
      </c>
      <c r="L40" s="97">
        <v>10886</v>
      </c>
      <c r="M40" s="99">
        <v>3220480</v>
      </c>
      <c r="N40" s="100" t="s">
        <v>92</v>
      </c>
    </row>
    <row r="41" spans="1:14" s="101" customFormat="1" ht="22.5" customHeight="1">
      <c r="A41" s="96" t="s">
        <v>93</v>
      </c>
      <c r="B41" s="97">
        <f>_xlfn.COMPOUNDVALUE(121)</f>
        <v>1418</v>
      </c>
      <c r="C41" s="98">
        <v>630618</v>
      </c>
      <c r="D41" s="97">
        <f>_xlfn.COMPOUNDVALUE(122)</f>
        <v>2242</v>
      </c>
      <c r="E41" s="98">
        <v>598063</v>
      </c>
      <c r="F41" s="97">
        <f>_xlfn.COMPOUNDVALUE(123)</f>
        <v>3660</v>
      </c>
      <c r="G41" s="98">
        <v>1228681</v>
      </c>
      <c r="H41" s="97">
        <f>_xlfn.COMPOUNDVALUE(124)</f>
        <v>82</v>
      </c>
      <c r="I41" s="99">
        <v>19384</v>
      </c>
      <c r="J41" s="97">
        <v>266</v>
      </c>
      <c r="K41" s="99">
        <v>23472</v>
      </c>
      <c r="L41" s="97">
        <v>3800</v>
      </c>
      <c r="M41" s="99">
        <v>1232769</v>
      </c>
      <c r="N41" s="100" t="s">
        <v>94</v>
      </c>
    </row>
    <row r="42" spans="1:14" s="101" customFormat="1" ht="22.5" customHeight="1">
      <c r="A42" s="96" t="s">
        <v>95</v>
      </c>
      <c r="B42" s="97">
        <f>_xlfn.COMPOUNDVALUE(125)</f>
        <v>1780</v>
      </c>
      <c r="C42" s="98">
        <v>633592</v>
      </c>
      <c r="D42" s="97">
        <f>_xlfn.COMPOUNDVALUE(126)</f>
        <v>2714</v>
      </c>
      <c r="E42" s="98">
        <v>706609</v>
      </c>
      <c r="F42" s="97">
        <f>_xlfn.COMPOUNDVALUE(127)</f>
        <v>4494</v>
      </c>
      <c r="G42" s="98">
        <v>1340201</v>
      </c>
      <c r="H42" s="97">
        <f>_xlfn.COMPOUNDVALUE(128)</f>
        <v>129</v>
      </c>
      <c r="I42" s="99">
        <v>31195</v>
      </c>
      <c r="J42" s="97">
        <v>322</v>
      </c>
      <c r="K42" s="99">
        <v>40466</v>
      </c>
      <c r="L42" s="97">
        <v>4726</v>
      </c>
      <c r="M42" s="99">
        <v>1349472</v>
      </c>
      <c r="N42" s="100" t="s">
        <v>96</v>
      </c>
    </row>
    <row r="43" spans="1:14" s="101" customFormat="1" ht="22.5" customHeight="1">
      <c r="A43" s="96" t="s">
        <v>97</v>
      </c>
      <c r="B43" s="97">
        <f>_xlfn.COMPOUNDVALUE(129)</f>
        <v>696</v>
      </c>
      <c r="C43" s="98">
        <v>265840</v>
      </c>
      <c r="D43" s="97">
        <f>_xlfn.COMPOUNDVALUE(130)</f>
        <v>1075</v>
      </c>
      <c r="E43" s="98">
        <v>271089</v>
      </c>
      <c r="F43" s="97">
        <f>_xlfn.COMPOUNDVALUE(131)</f>
        <v>1771</v>
      </c>
      <c r="G43" s="98">
        <v>536929</v>
      </c>
      <c r="H43" s="97">
        <f>_xlfn.COMPOUNDVALUE(132)</f>
        <v>36</v>
      </c>
      <c r="I43" s="99">
        <v>17943</v>
      </c>
      <c r="J43" s="97">
        <v>161</v>
      </c>
      <c r="K43" s="99">
        <v>19605</v>
      </c>
      <c r="L43" s="97">
        <v>1866</v>
      </c>
      <c r="M43" s="99">
        <v>538590</v>
      </c>
      <c r="N43" s="100" t="s">
        <v>98</v>
      </c>
    </row>
    <row r="44" spans="1:14" s="101" customFormat="1" ht="22.5" customHeight="1">
      <c r="A44" s="102" t="s">
        <v>99</v>
      </c>
      <c r="B44" s="103">
        <f>_xlfn.COMPOUNDVALUE(133)</f>
        <v>2316</v>
      </c>
      <c r="C44" s="104">
        <v>1009612</v>
      </c>
      <c r="D44" s="103">
        <f>_xlfn.COMPOUNDVALUE(134)</f>
        <v>3711</v>
      </c>
      <c r="E44" s="104">
        <v>977353</v>
      </c>
      <c r="F44" s="103">
        <f>_xlfn.COMPOUNDVALUE(135)</f>
        <v>6027</v>
      </c>
      <c r="G44" s="104">
        <v>1986966</v>
      </c>
      <c r="H44" s="103">
        <f>_xlfn.COMPOUNDVALUE(136)</f>
        <v>119</v>
      </c>
      <c r="I44" s="105">
        <v>34073</v>
      </c>
      <c r="J44" s="103">
        <v>419</v>
      </c>
      <c r="K44" s="105">
        <v>44947</v>
      </c>
      <c r="L44" s="103">
        <v>6275</v>
      </c>
      <c r="M44" s="105">
        <v>1997839</v>
      </c>
      <c r="N44" s="106" t="s">
        <v>100</v>
      </c>
    </row>
    <row r="45" spans="1:14" s="101" customFormat="1" ht="22.5" customHeight="1">
      <c r="A45" s="102" t="s">
        <v>101</v>
      </c>
      <c r="B45" s="103">
        <f>_xlfn.COMPOUNDVALUE(137)</f>
        <v>1281</v>
      </c>
      <c r="C45" s="104">
        <v>490220</v>
      </c>
      <c r="D45" s="103">
        <f>_xlfn.COMPOUNDVALUE(138)</f>
        <v>2229</v>
      </c>
      <c r="E45" s="104">
        <v>558457</v>
      </c>
      <c r="F45" s="103">
        <f>_xlfn.COMPOUNDVALUE(139)</f>
        <v>3510</v>
      </c>
      <c r="G45" s="104">
        <v>1048677</v>
      </c>
      <c r="H45" s="103">
        <f>_xlfn.COMPOUNDVALUE(140)</f>
        <v>74</v>
      </c>
      <c r="I45" s="105">
        <v>19100</v>
      </c>
      <c r="J45" s="103">
        <v>313</v>
      </c>
      <c r="K45" s="105">
        <v>32275</v>
      </c>
      <c r="L45" s="103">
        <v>3675</v>
      </c>
      <c r="M45" s="105">
        <v>1061852</v>
      </c>
      <c r="N45" s="106" t="s">
        <v>102</v>
      </c>
    </row>
    <row r="46" spans="1:14" s="101" customFormat="1" ht="22.5" customHeight="1">
      <c r="A46" s="102" t="s">
        <v>103</v>
      </c>
      <c r="B46" s="103">
        <f>_xlfn.COMPOUNDVALUE(141)</f>
        <v>1676</v>
      </c>
      <c r="C46" s="104">
        <v>785732</v>
      </c>
      <c r="D46" s="103">
        <f>_xlfn.COMPOUNDVALUE(142)</f>
        <v>2862</v>
      </c>
      <c r="E46" s="104">
        <v>774834</v>
      </c>
      <c r="F46" s="103">
        <f>_xlfn.COMPOUNDVALUE(143)</f>
        <v>4538</v>
      </c>
      <c r="G46" s="104">
        <v>1560566</v>
      </c>
      <c r="H46" s="103">
        <f>_xlfn.COMPOUNDVALUE(144)</f>
        <v>114</v>
      </c>
      <c r="I46" s="105">
        <v>45010</v>
      </c>
      <c r="J46" s="103">
        <v>327</v>
      </c>
      <c r="K46" s="105">
        <v>39123</v>
      </c>
      <c r="L46" s="103">
        <v>4738</v>
      </c>
      <c r="M46" s="105">
        <v>1554679</v>
      </c>
      <c r="N46" s="106" t="s">
        <v>104</v>
      </c>
    </row>
    <row r="47" spans="1:14" s="101" customFormat="1" ht="22.5" customHeight="1">
      <c r="A47" s="102" t="s">
        <v>105</v>
      </c>
      <c r="B47" s="103">
        <f>_xlfn.COMPOUNDVALUE(145)</f>
        <v>1246</v>
      </c>
      <c r="C47" s="104">
        <v>489700</v>
      </c>
      <c r="D47" s="103">
        <f>_xlfn.COMPOUNDVALUE(146)</f>
        <v>1958</v>
      </c>
      <c r="E47" s="104">
        <v>523964</v>
      </c>
      <c r="F47" s="103">
        <f>_xlfn.COMPOUNDVALUE(147)</f>
        <v>3204</v>
      </c>
      <c r="G47" s="104">
        <v>1013663</v>
      </c>
      <c r="H47" s="103">
        <f>_xlfn.COMPOUNDVALUE(148)</f>
        <v>73</v>
      </c>
      <c r="I47" s="105">
        <v>28971</v>
      </c>
      <c r="J47" s="103">
        <v>246</v>
      </c>
      <c r="K47" s="105">
        <v>23229</v>
      </c>
      <c r="L47" s="103">
        <v>3348</v>
      </c>
      <c r="M47" s="105">
        <v>1007920</v>
      </c>
      <c r="N47" s="106" t="s">
        <v>106</v>
      </c>
    </row>
    <row r="48" spans="1:14" s="101" customFormat="1" ht="22.5" customHeight="1">
      <c r="A48" s="102" t="s">
        <v>107</v>
      </c>
      <c r="B48" s="103">
        <f>_xlfn.COMPOUNDVALUE(149)</f>
        <v>924</v>
      </c>
      <c r="C48" s="104">
        <v>539910</v>
      </c>
      <c r="D48" s="103">
        <f>_xlfn.COMPOUNDVALUE(150)</f>
        <v>1760</v>
      </c>
      <c r="E48" s="104">
        <v>458131</v>
      </c>
      <c r="F48" s="103">
        <f>_xlfn.COMPOUNDVALUE(151)</f>
        <v>2684</v>
      </c>
      <c r="G48" s="104">
        <v>998041</v>
      </c>
      <c r="H48" s="103">
        <f>_xlfn.COMPOUNDVALUE(152)</f>
        <v>68</v>
      </c>
      <c r="I48" s="105">
        <v>28426</v>
      </c>
      <c r="J48" s="103">
        <v>181</v>
      </c>
      <c r="K48" s="105">
        <v>10024</v>
      </c>
      <c r="L48" s="103">
        <v>2775</v>
      </c>
      <c r="M48" s="105">
        <v>979639</v>
      </c>
      <c r="N48" s="106" t="s">
        <v>108</v>
      </c>
    </row>
    <row r="49" spans="1:14" s="101" customFormat="1" ht="22.5" customHeight="1">
      <c r="A49" s="102" t="s">
        <v>109</v>
      </c>
      <c r="B49" s="103">
        <f>_xlfn.COMPOUNDVALUE(153)</f>
        <v>2016</v>
      </c>
      <c r="C49" s="104">
        <v>721065</v>
      </c>
      <c r="D49" s="103">
        <f>_xlfn.COMPOUNDVALUE(154)</f>
        <v>3200</v>
      </c>
      <c r="E49" s="104">
        <v>837633</v>
      </c>
      <c r="F49" s="103">
        <f>_xlfn.COMPOUNDVALUE(155)</f>
        <v>5216</v>
      </c>
      <c r="G49" s="104">
        <v>1558698</v>
      </c>
      <c r="H49" s="103">
        <f>_xlfn.COMPOUNDVALUE(156)</f>
        <v>120</v>
      </c>
      <c r="I49" s="105">
        <v>62666</v>
      </c>
      <c r="J49" s="103">
        <v>486</v>
      </c>
      <c r="K49" s="105">
        <v>57699</v>
      </c>
      <c r="L49" s="103">
        <v>5492</v>
      </c>
      <c r="M49" s="105">
        <v>1553731</v>
      </c>
      <c r="N49" s="106" t="s">
        <v>110</v>
      </c>
    </row>
    <row r="50" spans="1:14" s="101" customFormat="1" ht="22.5" customHeight="1">
      <c r="A50" s="102" t="s">
        <v>111</v>
      </c>
      <c r="B50" s="103">
        <f>_xlfn.COMPOUNDVALUE(157)</f>
        <v>269</v>
      </c>
      <c r="C50" s="104">
        <v>99526</v>
      </c>
      <c r="D50" s="103">
        <f>_xlfn.COMPOUNDVALUE(158)</f>
        <v>436</v>
      </c>
      <c r="E50" s="104">
        <v>98455</v>
      </c>
      <c r="F50" s="103">
        <f>_xlfn.COMPOUNDVALUE(159)</f>
        <v>705</v>
      </c>
      <c r="G50" s="104">
        <v>197980</v>
      </c>
      <c r="H50" s="103">
        <f>_xlfn.COMPOUNDVALUE(160)</f>
        <v>10</v>
      </c>
      <c r="I50" s="105">
        <v>975</v>
      </c>
      <c r="J50" s="103">
        <v>48</v>
      </c>
      <c r="K50" s="105">
        <v>4618</v>
      </c>
      <c r="L50" s="103">
        <v>730</v>
      </c>
      <c r="M50" s="105">
        <v>201623</v>
      </c>
      <c r="N50" s="106" t="s">
        <v>112</v>
      </c>
    </row>
    <row r="51" spans="1:14" s="101" customFormat="1" ht="22.5" customHeight="1">
      <c r="A51" s="107" t="s">
        <v>113</v>
      </c>
      <c r="B51" s="108">
        <v>26830</v>
      </c>
      <c r="C51" s="109">
        <v>11689391</v>
      </c>
      <c r="D51" s="108">
        <v>44596</v>
      </c>
      <c r="E51" s="109">
        <v>11976362</v>
      </c>
      <c r="F51" s="108">
        <v>71426</v>
      </c>
      <c r="G51" s="109">
        <v>23665753</v>
      </c>
      <c r="H51" s="108">
        <v>1750</v>
      </c>
      <c r="I51" s="110">
        <v>715218</v>
      </c>
      <c r="J51" s="108">
        <v>5164</v>
      </c>
      <c r="K51" s="110">
        <v>610860</v>
      </c>
      <c r="L51" s="108">
        <v>74819</v>
      </c>
      <c r="M51" s="110">
        <v>23561395</v>
      </c>
      <c r="N51" s="111" t="s">
        <v>114</v>
      </c>
    </row>
    <row r="52" spans="1:14" s="101" customFormat="1" ht="22.5" customHeight="1">
      <c r="A52" s="112"/>
      <c r="B52" s="113"/>
      <c r="C52" s="114"/>
      <c r="D52" s="113"/>
      <c r="E52" s="114"/>
      <c r="F52" s="115"/>
      <c r="G52" s="114"/>
      <c r="H52" s="115"/>
      <c r="I52" s="114"/>
      <c r="J52" s="115"/>
      <c r="K52" s="114"/>
      <c r="L52" s="115"/>
      <c r="M52" s="114"/>
      <c r="N52" s="116"/>
    </row>
    <row r="53" spans="1:14" s="101" customFormat="1" ht="22.5" customHeight="1">
      <c r="A53" s="96" t="s">
        <v>115</v>
      </c>
      <c r="B53" s="97">
        <f>_xlfn.COMPOUNDVALUE(161)</f>
        <v>995</v>
      </c>
      <c r="C53" s="98">
        <v>466760</v>
      </c>
      <c r="D53" s="97">
        <f>_xlfn.COMPOUNDVALUE(162)</f>
        <v>1541</v>
      </c>
      <c r="E53" s="98">
        <v>398151</v>
      </c>
      <c r="F53" s="97">
        <f>_xlfn.COMPOUNDVALUE(163)</f>
        <v>2536</v>
      </c>
      <c r="G53" s="98">
        <v>864911</v>
      </c>
      <c r="H53" s="97">
        <f>_xlfn.COMPOUNDVALUE(164)</f>
        <v>61</v>
      </c>
      <c r="I53" s="99">
        <v>14292</v>
      </c>
      <c r="J53" s="97">
        <v>126</v>
      </c>
      <c r="K53" s="99">
        <v>25020</v>
      </c>
      <c r="L53" s="97">
        <v>2647</v>
      </c>
      <c r="M53" s="99">
        <v>875639</v>
      </c>
      <c r="N53" s="117" t="s">
        <v>116</v>
      </c>
    </row>
    <row r="54" spans="1:14" s="101" customFormat="1" ht="22.5" customHeight="1">
      <c r="A54" s="102" t="s">
        <v>117</v>
      </c>
      <c r="B54" s="103">
        <f>_xlfn.COMPOUNDVALUE(165)</f>
        <v>1394</v>
      </c>
      <c r="C54" s="104">
        <v>601308</v>
      </c>
      <c r="D54" s="103">
        <f>_xlfn.COMPOUNDVALUE(166)</f>
        <v>2154</v>
      </c>
      <c r="E54" s="104">
        <v>588000</v>
      </c>
      <c r="F54" s="103">
        <f>_xlfn.COMPOUNDVALUE(167)</f>
        <v>3548</v>
      </c>
      <c r="G54" s="104">
        <v>1189307</v>
      </c>
      <c r="H54" s="103">
        <f>_xlfn.COMPOUNDVALUE(168)</f>
        <v>89</v>
      </c>
      <c r="I54" s="105">
        <v>40682</v>
      </c>
      <c r="J54" s="103">
        <v>313</v>
      </c>
      <c r="K54" s="105">
        <v>47898</v>
      </c>
      <c r="L54" s="103">
        <v>3784</v>
      </c>
      <c r="M54" s="105">
        <v>1196523</v>
      </c>
      <c r="N54" s="106" t="s">
        <v>118</v>
      </c>
    </row>
    <row r="55" spans="1:14" s="101" customFormat="1" ht="22.5" customHeight="1">
      <c r="A55" s="102" t="s">
        <v>119</v>
      </c>
      <c r="B55" s="103">
        <f>_xlfn.COMPOUNDVALUE(169)</f>
        <v>1313</v>
      </c>
      <c r="C55" s="104">
        <v>561484</v>
      </c>
      <c r="D55" s="103">
        <f>_xlfn.COMPOUNDVALUE(170)</f>
        <v>1831</v>
      </c>
      <c r="E55" s="104">
        <v>446684</v>
      </c>
      <c r="F55" s="103">
        <f>_xlfn.COMPOUNDVALUE(171)</f>
        <v>3144</v>
      </c>
      <c r="G55" s="104">
        <v>1008168</v>
      </c>
      <c r="H55" s="103">
        <f>_xlfn.COMPOUNDVALUE(172)</f>
        <v>77</v>
      </c>
      <c r="I55" s="105">
        <v>17881</v>
      </c>
      <c r="J55" s="103">
        <v>202</v>
      </c>
      <c r="K55" s="105">
        <v>28074</v>
      </c>
      <c r="L55" s="103">
        <v>3296</v>
      </c>
      <c r="M55" s="105">
        <v>1018362</v>
      </c>
      <c r="N55" s="106" t="s">
        <v>120</v>
      </c>
    </row>
    <row r="56" spans="1:14" s="101" customFormat="1" ht="22.5" customHeight="1">
      <c r="A56" s="102" t="s">
        <v>121</v>
      </c>
      <c r="B56" s="103">
        <f>_xlfn.COMPOUNDVALUE(173)</f>
        <v>896</v>
      </c>
      <c r="C56" s="104">
        <v>403395</v>
      </c>
      <c r="D56" s="103">
        <f>_xlfn.COMPOUNDVALUE(174)</f>
        <v>1240</v>
      </c>
      <c r="E56" s="104">
        <v>304895</v>
      </c>
      <c r="F56" s="103">
        <f>_xlfn.COMPOUNDVALUE(175)</f>
        <v>2136</v>
      </c>
      <c r="G56" s="104">
        <v>708290</v>
      </c>
      <c r="H56" s="103">
        <f>_xlfn.COMPOUNDVALUE(176)</f>
        <v>39</v>
      </c>
      <c r="I56" s="105">
        <v>14261</v>
      </c>
      <c r="J56" s="103">
        <v>179</v>
      </c>
      <c r="K56" s="105">
        <v>24593</v>
      </c>
      <c r="L56" s="103">
        <v>2247</v>
      </c>
      <c r="M56" s="105">
        <v>718622</v>
      </c>
      <c r="N56" s="106" t="s">
        <v>122</v>
      </c>
    </row>
    <row r="57" spans="1:14" s="101" customFormat="1" ht="22.5" customHeight="1">
      <c r="A57" s="102" t="s">
        <v>123</v>
      </c>
      <c r="B57" s="103">
        <f>_xlfn.COMPOUNDVALUE(177)</f>
        <v>776</v>
      </c>
      <c r="C57" s="104">
        <v>324625</v>
      </c>
      <c r="D57" s="103">
        <f>_xlfn.COMPOUNDVALUE(178)</f>
        <v>1127</v>
      </c>
      <c r="E57" s="104">
        <v>290198</v>
      </c>
      <c r="F57" s="103">
        <f>_xlfn.COMPOUNDVALUE(179)</f>
        <v>1903</v>
      </c>
      <c r="G57" s="104">
        <v>614823</v>
      </c>
      <c r="H57" s="103">
        <f>_xlfn.COMPOUNDVALUE(180)</f>
        <v>64</v>
      </c>
      <c r="I57" s="105">
        <v>19568</v>
      </c>
      <c r="J57" s="103">
        <v>98</v>
      </c>
      <c r="K57" s="105">
        <v>11554</v>
      </c>
      <c r="L57" s="103">
        <v>2001</v>
      </c>
      <c r="M57" s="105">
        <v>606810</v>
      </c>
      <c r="N57" s="106" t="s">
        <v>124</v>
      </c>
    </row>
    <row r="58" spans="1:14" s="101" customFormat="1" ht="22.5" customHeight="1">
      <c r="A58" s="102" t="s">
        <v>125</v>
      </c>
      <c r="B58" s="103">
        <f>_xlfn.COMPOUNDVALUE(181)</f>
        <v>623</v>
      </c>
      <c r="C58" s="104">
        <v>211389</v>
      </c>
      <c r="D58" s="103">
        <f>_xlfn.COMPOUNDVALUE(182)</f>
        <v>844</v>
      </c>
      <c r="E58" s="104">
        <v>209542</v>
      </c>
      <c r="F58" s="103">
        <f>_xlfn.COMPOUNDVALUE(183)</f>
        <v>1467</v>
      </c>
      <c r="G58" s="104">
        <v>420931</v>
      </c>
      <c r="H58" s="103">
        <f>_xlfn.COMPOUNDVALUE(184)</f>
        <v>46</v>
      </c>
      <c r="I58" s="105">
        <v>14009</v>
      </c>
      <c r="J58" s="103">
        <v>120</v>
      </c>
      <c r="K58" s="105">
        <v>18544</v>
      </c>
      <c r="L58" s="103">
        <v>1576</v>
      </c>
      <c r="M58" s="105">
        <v>425467</v>
      </c>
      <c r="N58" s="106" t="s">
        <v>126</v>
      </c>
    </row>
    <row r="59" spans="1:14" s="101" customFormat="1" ht="22.5" customHeight="1">
      <c r="A59" s="102" t="s">
        <v>127</v>
      </c>
      <c r="B59" s="103">
        <f>_xlfn.COMPOUNDVALUE(185)</f>
        <v>891</v>
      </c>
      <c r="C59" s="104">
        <v>392262</v>
      </c>
      <c r="D59" s="103">
        <f>_xlfn.COMPOUNDVALUE(186)</f>
        <v>1421</v>
      </c>
      <c r="E59" s="104">
        <v>387915</v>
      </c>
      <c r="F59" s="103">
        <f>_xlfn.COMPOUNDVALUE(187)</f>
        <v>2312</v>
      </c>
      <c r="G59" s="104">
        <v>780177</v>
      </c>
      <c r="H59" s="103">
        <f>_xlfn.COMPOUNDVALUE(188)</f>
        <v>73</v>
      </c>
      <c r="I59" s="105">
        <v>31160</v>
      </c>
      <c r="J59" s="103">
        <v>219</v>
      </c>
      <c r="K59" s="105">
        <v>28012</v>
      </c>
      <c r="L59" s="103">
        <v>2460</v>
      </c>
      <c r="M59" s="105">
        <v>777029</v>
      </c>
      <c r="N59" s="106" t="s">
        <v>128</v>
      </c>
    </row>
    <row r="60" spans="1:14" s="101" customFormat="1" ht="22.5" customHeight="1">
      <c r="A60" s="102" t="s">
        <v>129</v>
      </c>
      <c r="B60" s="103">
        <f>_xlfn.COMPOUNDVALUE(189)</f>
        <v>499</v>
      </c>
      <c r="C60" s="104">
        <v>266198</v>
      </c>
      <c r="D60" s="103">
        <f>_xlfn.COMPOUNDVALUE(190)</f>
        <v>780</v>
      </c>
      <c r="E60" s="104">
        <v>194080</v>
      </c>
      <c r="F60" s="103">
        <f>_xlfn.COMPOUNDVALUE(191)</f>
        <v>1279</v>
      </c>
      <c r="G60" s="104">
        <v>460278</v>
      </c>
      <c r="H60" s="103">
        <f>_xlfn.COMPOUNDVALUE(192)</f>
        <v>15</v>
      </c>
      <c r="I60" s="105">
        <v>11577</v>
      </c>
      <c r="J60" s="103">
        <v>49</v>
      </c>
      <c r="K60" s="105">
        <v>2300</v>
      </c>
      <c r="L60" s="103">
        <v>1316</v>
      </c>
      <c r="M60" s="105">
        <v>451000</v>
      </c>
      <c r="N60" s="106" t="s">
        <v>130</v>
      </c>
    </row>
    <row r="61" spans="1:14" s="101" customFormat="1" ht="22.5" customHeight="1">
      <c r="A61" s="107" t="s">
        <v>131</v>
      </c>
      <c r="B61" s="108">
        <v>7387</v>
      </c>
      <c r="C61" s="109">
        <v>3227422</v>
      </c>
      <c r="D61" s="108">
        <v>10938</v>
      </c>
      <c r="E61" s="109">
        <v>2819463</v>
      </c>
      <c r="F61" s="108">
        <v>18325</v>
      </c>
      <c r="G61" s="109">
        <v>6046885</v>
      </c>
      <c r="H61" s="108">
        <v>464</v>
      </c>
      <c r="I61" s="110">
        <v>163430</v>
      </c>
      <c r="J61" s="108">
        <v>1306</v>
      </c>
      <c r="K61" s="110">
        <v>185996</v>
      </c>
      <c r="L61" s="108">
        <v>19327</v>
      </c>
      <c r="M61" s="110">
        <v>6069451</v>
      </c>
      <c r="N61" s="111" t="s">
        <v>132</v>
      </c>
    </row>
    <row r="62" spans="1:14" s="101" customFormat="1" ht="22.5" customHeight="1" thickBot="1">
      <c r="A62" s="118"/>
      <c r="B62" s="119"/>
      <c r="C62" s="120"/>
      <c r="D62" s="119"/>
      <c r="E62" s="120"/>
      <c r="F62" s="121"/>
      <c r="G62" s="120"/>
      <c r="H62" s="121"/>
      <c r="I62" s="120"/>
      <c r="J62" s="121"/>
      <c r="K62" s="120"/>
      <c r="L62" s="121"/>
      <c r="M62" s="120"/>
      <c r="N62" s="122"/>
    </row>
    <row r="63" spans="1:14" s="101" customFormat="1" ht="22.5" customHeight="1" thickBot="1" thickTop="1">
      <c r="A63" s="123" t="s">
        <v>26</v>
      </c>
      <c r="B63" s="124">
        <v>56627</v>
      </c>
      <c r="C63" s="125">
        <v>23847073</v>
      </c>
      <c r="D63" s="124">
        <v>97085</v>
      </c>
      <c r="E63" s="125">
        <v>25305194</v>
      </c>
      <c r="F63" s="124">
        <v>153712</v>
      </c>
      <c r="G63" s="125">
        <v>49152267</v>
      </c>
      <c r="H63" s="124">
        <v>3499</v>
      </c>
      <c r="I63" s="126">
        <v>1383975</v>
      </c>
      <c r="J63" s="124">
        <v>10348</v>
      </c>
      <c r="K63" s="126">
        <v>1198067</v>
      </c>
      <c r="L63" s="124">
        <v>160565</v>
      </c>
      <c r="M63" s="126">
        <v>48966359</v>
      </c>
      <c r="N63" s="127" t="s">
        <v>27</v>
      </c>
    </row>
    <row r="64" spans="1:14" s="196" customFormat="1" ht="3" customHeight="1">
      <c r="A64" s="194"/>
      <c r="B64" s="195"/>
      <c r="C64" s="195"/>
      <c r="D64" s="195"/>
      <c r="E64" s="195"/>
      <c r="F64" s="195"/>
      <c r="G64" s="195"/>
      <c r="H64" s="195"/>
      <c r="I64" s="195"/>
      <c r="J64" s="195"/>
      <c r="K64" s="195"/>
      <c r="L64" s="195"/>
      <c r="M64" s="195"/>
      <c r="N64" s="194"/>
    </row>
    <row r="65" spans="1:14" ht="22.5" customHeight="1">
      <c r="A65" s="241" t="s">
        <v>133</v>
      </c>
      <c r="B65" s="241"/>
      <c r="C65" s="241"/>
      <c r="D65" s="241"/>
      <c r="E65" s="241"/>
      <c r="F65" s="241"/>
      <c r="G65" s="241"/>
      <c r="H65" s="241"/>
      <c r="I65" s="241"/>
      <c r="J65" s="87"/>
      <c r="K65" s="87"/>
      <c r="L65" s="88"/>
      <c r="M65" s="88"/>
      <c r="N65" s="88"/>
    </row>
  </sheetData>
  <sheetProtection/>
  <mergeCells count="11">
    <mergeCell ref="L3:M4"/>
    <mergeCell ref="N3:N5"/>
    <mergeCell ref="B4:C4"/>
    <mergeCell ref="D4:E4"/>
    <mergeCell ref="F4:G4"/>
    <mergeCell ref="A65:I65"/>
    <mergeCell ref="A2:G2"/>
    <mergeCell ref="A3:A5"/>
    <mergeCell ref="B3:G3"/>
    <mergeCell ref="H3:I4"/>
    <mergeCell ref="J3:K4"/>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&amp;R名古屋国税局　消費税（H24）</oddFooter>
  </headerFooter>
</worksheet>
</file>

<file path=xl/worksheets/sheet5.xml><?xml version="1.0" encoding="utf-8"?>
<worksheet xmlns="http://schemas.openxmlformats.org/spreadsheetml/2006/main" xmlns:r="http://schemas.openxmlformats.org/officeDocument/2006/relationships">
  <dimension ref="A1:N65"/>
  <sheetViews>
    <sheetView zoomScaleSheetLayoutView="85" zoomScalePageLayoutView="0" workbookViewId="0" topLeftCell="A1">
      <selection activeCell="A1" sqref="A1"/>
    </sheetView>
  </sheetViews>
  <sheetFormatPr defaultColWidth="9.00390625" defaultRowHeight="13.5"/>
  <cols>
    <col min="1" max="1" width="11.375" style="86" customWidth="1"/>
    <col min="2" max="2" width="11.25390625" style="86" customWidth="1"/>
    <col min="3" max="3" width="13.125" style="86" customWidth="1"/>
    <col min="4" max="4" width="11.25390625" style="86" customWidth="1"/>
    <col min="5" max="5" width="13.125" style="86" customWidth="1"/>
    <col min="6" max="6" width="11.25390625" style="86" customWidth="1"/>
    <col min="7" max="7" width="13.125" style="86" customWidth="1"/>
    <col min="8" max="8" width="11.25390625" style="86" customWidth="1"/>
    <col min="9" max="9" width="13.125" style="86" customWidth="1"/>
    <col min="10" max="10" width="11.25390625" style="86" customWidth="1"/>
    <col min="11" max="11" width="13.125" style="86" customWidth="1"/>
    <col min="12" max="12" width="11.25390625" style="86" customWidth="1"/>
    <col min="13" max="13" width="13.125" style="86" customWidth="1"/>
    <col min="14" max="14" width="11.375" style="86" customWidth="1"/>
    <col min="15" max="16384" width="9.00390625" style="86" customWidth="1"/>
  </cols>
  <sheetData>
    <row r="1" spans="1:14" ht="13.5">
      <c r="A1" s="87" t="s">
        <v>173</v>
      </c>
      <c r="B1" s="87"/>
      <c r="C1" s="87"/>
      <c r="D1" s="87"/>
      <c r="E1" s="87"/>
      <c r="F1" s="87"/>
      <c r="G1" s="87"/>
      <c r="H1" s="87"/>
      <c r="I1" s="87"/>
      <c r="J1" s="87"/>
      <c r="K1" s="87"/>
      <c r="L1" s="88"/>
      <c r="M1" s="88"/>
      <c r="N1" s="128"/>
    </row>
    <row r="2" spans="1:14" ht="14.25" thickBot="1">
      <c r="A2" s="250" t="s">
        <v>134</v>
      </c>
      <c r="B2" s="250"/>
      <c r="C2" s="250"/>
      <c r="D2" s="250"/>
      <c r="E2" s="250"/>
      <c r="F2" s="250"/>
      <c r="G2" s="250"/>
      <c r="H2" s="250"/>
      <c r="I2" s="250"/>
      <c r="J2" s="87"/>
      <c r="K2" s="87"/>
      <c r="L2" s="88"/>
      <c r="M2" s="88"/>
      <c r="N2" s="128"/>
    </row>
    <row r="3" spans="1:14" ht="22.5" customHeight="1">
      <c r="A3" s="242" t="s">
        <v>174</v>
      </c>
      <c r="B3" s="245" t="s">
        <v>175</v>
      </c>
      <c r="C3" s="245"/>
      <c r="D3" s="245"/>
      <c r="E3" s="245"/>
      <c r="F3" s="245"/>
      <c r="G3" s="245"/>
      <c r="H3" s="246" t="s">
        <v>13</v>
      </c>
      <c r="I3" s="247"/>
      <c r="J3" s="249" t="s">
        <v>21</v>
      </c>
      <c r="K3" s="247"/>
      <c r="L3" s="246" t="s">
        <v>22</v>
      </c>
      <c r="M3" s="247"/>
      <c r="N3" s="235" t="s">
        <v>135</v>
      </c>
    </row>
    <row r="4" spans="1:14" ht="18.75" customHeight="1">
      <c r="A4" s="243"/>
      <c r="B4" s="239" t="s">
        <v>176</v>
      </c>
      <c r="C4" s="240"/>
      <c r="D4" s="239" t="s">
        <v>24</v>
      </c>
      <c r="E4" s="240"/>
      <c r="F4" s="239" t="s">
        <v>25</v>
      </c>
      <c r="G4" s="240"/>
      <c r="H4" s="239"/>
      <c r="I4" s="248"/>
      <c r="J4" s="239"/>
      <c r="K4" s="248"/>
      <c r="L4" s="239"/>
      <c r="M4" s="248"/>
      <c r="N4" s="236"/>
    </row>
    <row r="5" spans="1:14" ht="33.75" customHeight="1">
      <c r="A5" s="244"/>
      <c r="B5" s="199" t="s">
        <v>177</v>
      </c>
      <c r="C5" s="198" t="s">
        <v>172</v>
      </c>
      <c r="D5" s="199" t="s">
        <v>171</v>
      </c>
      <c r="E5" s="198" t="s">
        <v>172</v>
      </c>
      <c r="F5" s="199" t="s">
        <v>171</v>
      </c>
      <c r="G5" s="198" t="s">
        <v>235</v>
      </c>
      <c r="H5" s="199" t="s">
        <v>171</v>
      </c>
      <c r="I5" s="200" t="s">
        <v>236</v>
      </c>
      <c r="J5" s="199" t="s">
        <v>171</v>
      </c>
      <c r="K5" s="200" t="s">
        <v>237</v>
      </c>
      <c r="L5" s="199" t="s">
        <v>171</v>
      </c>
      <c r="M5" s="200" t="s">
        <v>238</v>
      </c>
      <c r="N5" s="237"/>
    </row>
    <row r="6" spans="1:14" s="129" customFormat="1" ht="10.5">
      <c r="A6" s="90"/>
      <c r="B6" s="91" t="s">
        <v>4</v>
      </c>
      <c r="C6" s="92" t="s">
        <v>5</v>
      </c>
      <c r="D6" s="91" t="s">
        <v>4</v>
      </c>
      <c r="E6" s="92" t="s">
        <v>5</v>
      </c>
      <c r="F6" s="91" t="s">
        <v>4</v>
      </c>
      <c r="G6" s="92" t="s">
        <v>5</v>
      </c>
      <c r="H6" s="91" t="s">
        <v>4</v>
      </c>
      <c r="I6" s="93" t="s">
        <v>5</v>
      </c>
      <c r="J6" s="91" t="s">
        <v>4</v>
      </c>
      <c r="K6" s="93" t="s">
        <v>5</v>
      </c>
      <c r="L6" s="91" t="s">
        <v>4</v>
      </c>
      <c r="M6" s="93" t="s">
        <v>5</v>
      </c>
      <c r="N6" s="94"/>
    </row>
    <row r="7" spans="1:14" ht="22.5" customHeight="1">
      <c r="A7" s="96" t="s">
        <v>178</v>
      </c>
      <c r="B7" s="97">
        <f>_xlfn.COMPOUNDVALUE(193)</f>
        <v>4557</v>
      </c>
      <c r="C7" s="98">
        <v>18519246</v>
      </c>
      <c r="D7" s="97">
        <f>_xlfn.COMPOUNDVALUE(194)</f>
        <v>1854</v>
      </c>
      <c r="E7" s="98">
        <v>679381</v>
      </c>
      <c r="F7" s="97">
        <f>_xlfn.COMPOUNDVALUE(195)</f>
        <v>6411</v>
      </c>
      <c r="G7" s="98">
        <v>19198627</v>
      </c>
      <c r="H7" s="97">
        <f>_xlfn.COMPOUNDVALUE(196)</f>
        <v>251</v>
      </c>
      <c r="I7" s="99">
        <v>517368</v>
      </c>
      <c r="J7" s="97">
        <v>377</v>
      </c>
      <c r="K7" s="99">
        <v>58738</v>
      </c>
      <c r="L7" s="97">
        <v>6697</v>
      </c>
      <c r="M7" s="99">
        <v>18739997</v>
      </c>
      <c r="N7" s="100" t="s">
        <v>30</v>
      </c>
    </row>
    <row r="8" spans="1:14" ht="22.5" customHeight="1">
      <c r="A8" s="102" t="s">
        <v>179</v>
      </c>
      <c r="B8" s="103">
        <f>_xlfn.COMPOUNDVALUE(197)</f>
        <v>4194</v>
      </c>
      <c r="C8" s="104">
        <v>20410117</v>
      </c>
      <c r="D8" s="103">
        <f>_xlfn.COMPOUNDVALUE(198)</f>
        <v>1700</v>
      </c>
      <c r="E8" s="104">
        <v>673748</v>
      </c>
      <c r="F8" s="103">
        <f>_xlfn.COMPOUNDVALUE(199)</f>
        <v>5894</v>
      </c>
      <c r="G8" s="104">
        <v>21083865</v>
      </c>
      <c r="H8" s="103">
        <f>_xlfn.COMPOUNDVALUE(200)</f>
        <v>247</v>
      </c>
      <c r="I8" s="105">
        <v>335706</v>
      </c>
      <c r="J8" s="103">
        <v>464</v>
      </c>
      <c r="K8" s="105">
        <v>65594</v>
      </c>
      <c r="L8" s="103">
        <v>6179</v>
      </c>
      <c r="M8" s="105">
        <v>20813752</v>
      </c>
      <c r="N8" s="106" t="s">
        <v>32</v>
      </c>
    </row>
    <row r="9" spans="1:14" ht="22.5" customHeight="1">
      <c r="A9" s="102" t="s">
        <v>180</v>
      </c>
      <c r="B9" s="103">
        <f>_xlfn.COMPOUNDVALUE(201)</f>
        <v>3414</v>
      </c>
      <c r="C9" s="104">
        <v>21396331</v>
      </c>
      <c r="D9" s="103">
        <f>_xlfn.COMPOUNDVALUE(202)</f>
        <v>1242</v>
      </c>
      <c r="E9" s="104">
        <v>466973</v>
      </c>
      <c r="F9" s="103">
        <f>_xlfn.COMPOUNDVALUE(203)</f>
        <v>4656</v>
      </c>
      <c r="G9" s="104">
        <v>21863303</v>
      </c>
      <c r="H9" s="103">
        <f>_xlfn.COMPOUNDVALUE(204)</f>
        <v>189</v>
      </c>
      <c r="I9" s="105">
        <v>3899191</v>
      </c>
      <c r="J9" s="103">
        <v>293</v>
      </c>
      <c r="K9" s="105">
        <v>-228482</v>
      </c>
      <c r="L9" s="103">
        <v>4863</v>
      </c>
      <c r="M9" s="105">
        <v>17735631</v>
      </c>
      <c r="N9" s="106" t="s">
        <v>34</v>
      </c>
    </row>
    <row r="10" spans="1:14" ht="22.5" customHeight="1">
      <c r="A10" s="102" t="s">
        <v>181</v>
      </c>
      <c r="B10" s="103">
        <f>_xlfn.COMPOUNDVALUE(205)</f>
        <v>1963</v>
      </c>
      <c r="C10" s="104">
        <v>6116537</v>
      </c>
      <c r="D10" s="103">
        <f>_xlfn.COMPOUNDVALUE(206)</f>
        <v>888</v>
      </c>
      <c r="E10" s="104">
        <v>303331</v>
      </c>
      <c r="F10" s="103">
        <f>_xlfn.COMPOUNDVALUE(207)</f>
        <v>2851</v>
      </c>
      <c r="G10" s="104">
        <v>6419868</v>
      </c>
      <c r="H10" s="103">
        <f>_xlfn.COMPOUNDVALUE(208)</f>
        <v>82</v>
      </c>
      <c r="I10" s="105">
        <v>65929</v>
      </c>
      <c r="J10" s="103">
        <v>189</v>
      </c>
      <c r="K10" s="105">
        <v>12813</v>
      </c>
      <c r="L10" s="103">
        <v>2947</v>
      </c>
      <c r="M10" s="105">
        <v>6366752</v>
      </c>
      <c r="N10" s="106" t="s">
        <v>36</v>
      </c>
    </row>
    <row r="11" spans="1:14" ht="22.5" customHeight="1">
      <c r="A11" s="102" t="s">
        <v>182</v>
      </c>
      <c r="B11" s="103">
        <f>_xlfn.COMPOUNDVALUE(209)</f>
        <v>2818</v>
      </c>
      <c r="C11" s="104">
        <v>10386610</v>
      </c>
      <c r="D11" s="103">
        <f>_xlfn.COMPOUNDVALUE(210)</f>
        <v>1464</v>
      </c>
      <c r="E11" s="104">
        <v>517003</v>
      </c>
      <c r="F11" s="103">
        <f>_xlfn.COMPOUNDVALUE(211)</f>
        <v>4282</v>
      </c>
      <c r="G11" s="104">
        <v>10903612</v>
      </c>
      <c r="H11" s="103">
        <f>_xlfn.COMPOUNDVALUE(212)</f>
        <v>197</v>
      </c>
      <c r="I11" s="105">
        <v>227328</v>
      </c>
      <c r="J11" s="103">
        <v>219</v>
      </c>
      <c r="K11" s="105">
        <v>-5110</v>
      </c>
      <c r="L11" s="103">
        <v>4497</v>
      </c>
      <c r="M11" s="105">
        <v>10671175</v>
      </c>
      <c r="N11" s="106" t="s">
        <v>38</v>
      </c>
    </row>
    <row r="12" spans="1:14" ht="22.5" customHeight="1">
      <c r="A12" s="102" t="s">
        <v>183</v>
      </c>
      <c r="B12" s="103">
        <f>_xlfn.COMPOUNDVALUE(213)</f>
        <v>2756</v>
      </c>
      <c r="C12" s="104">
        <v>10241275</v>
      </c>
      <c r="D12" s="103">
        <f>_xlfn.COMPOUNDVALUE(214)</f>
        <v>1148</v>
      </c>
      <c r="E12" s="104">
        <v>416093</v>
      </c>
      <c r="F12" s="103">
        <f>_xlfn.COMPOUNDVALUE(215)</f>
        <v>3904</v>
      </c>
      <c r="G12" s="104">
        <v>10657368</v>
      </c>
      <c r="H12" s="103">
        <f>_xlfn.COMPOUNDVALUE(216)</f>
        <v>153</v>
      </c>
      <c r="I12" s="105">
        <v>474184</v>
      </c>
      <c r="J12" s="103">
        <v>217</v>
      </c>
      <c r="K12" s="105">
        <v>18974</v>
      </c>
      <c r="L12" s="103">
        <v>4068</v>
      </c>
      <c r="M12" s="105">
        <v>10202158</v>
      </c>
      <c r="N12" s="106" t="s">
        <v>40</v>
      </c>
    </row>
    <row r="13" spans="1:14" ht="22.5" customHeight="1">
      <c r="A13" s="102" t="s">
        <v>184</v>
      </c>
      <c r="B13" s="103">
        <f>_xlfn.COMPOUNDVALUE(217)</f>
        <v>1241</v>
      </c>
      <c r="C13" s="104">
        <v>6980742</v>
      </c>
      <c r="D13" s="103">
        <f>_xlfn.COMPOUNDVALUE(218)</f>
        <v>529</v>
      </c>
      <c r="E13" s="104">
        <v>181194</v>
      </c>
      <c r="F13" s="103">
        <f>_xlfn.COMPOUNDVALUE(219)</f>
        <v>1770</v>
      </c>
      <c r="G13" s="104">
        <v>7161937</v>
      </c>
      <c r="H13" s="103">
        <f>_xlfn.COMPOUNDVALUE(220)</f>
        <v>39</v>
      </c>
      <c r="I13" s="105">
        <v>333788</v>
      </c>
      <c r="J13" s="103">
        <v>142</v>
      </c>
      <c r="K13" s="105">
        <v>11857</v>
      </c>
      <c r="L13" s="103">
        <v>1820</v>
      </c>
      <c r="M13" s="105">
        <v>6840006</v>
      </c>
      <c r="N13" s="106" t="s">
        <v>42</v>
      </c>
    </row>
    <row r="14" spans="1:14" ht="22.5" customHeight="1">
      <c r="A14" s="107" t="s">
        <v>185</v>
      </c>
      <c r="B14" s="108">
        <v>20943</v>
      </c>
      <c r="C14" s="109">
        <v>94050857</v>
      </c>
      <c r="D14" s="108">
        <v>8825</v>
      </c>
      <c r="E14" s="109">
        <v>3237722</v>
      </c>
      <c r="F14" s="108">
        <v>29768</v>
      </c>
      <c r="G14" s="109">
        <v>97288580</v>
      </c>
      <c r="H14" s="108">
        <v>1158</v>
      </c>
      <c r="I14" s="110">
        <v>5853493</v>
      </c>
      <c r="J14" s="108">
        <v>1901</v>
      </c>
      <c r="K14" s="110">
        <v>-65615</v>
      </c>
      <c r="L14" s="108">
        <v>31071</v>
      </c>
      <c r="M14" s="110">
        <v>91369471</v>
      </c>
      <c r="N14" s="111" t="s">
        <v>44</v>
      </c>
    </row>
    <row r="15" spans="1:14" ht="22.5" customHeight="1">
      <c r="A15" s="112"/>
      <c r="B15" s="113"/>
      <c r="C15" s="114"/>
      <c r="D15" s="113"/>
      <c r="E15" s="114"/>
      <c r="F15" s="115"/>
      <c r="G15" s="114"/>
      <c r="H15" s="115"/>
      <c r="I15" s="114"/>
      <c r="J15" s="115"/>
      <c r="K15" s="114"/>
      <c r="L15" s="115"/>
      <c r="M15" s="114"/>
      <c r="N15" s="116"/>
    </row>
    <row r="16" spans="1:14" ht="22.5" customHeight="1">
      <c r="A16" s="96" t="s">
        <v>186</v>
      </c>
      <c r="B16" s="97">
        <f>_xlfn.COMPOUNDVALUE(221)</f>
        <v>5469</v>
      </c>
      <c r="C16" s="98">
        <v>31608914</v>
      </c>
      <c r="D16" s="97">
        <f>_xlfn.COMPOUNDVALUE(222)</f>
        <v>2374</v>
      </c>
      <c r="E16" s="98">
        <v>896103</v>
      </c>
      <c r="F16" s="97">
        <f>_xlfn.COMPOUNDVALUE(223)</f>
        <v>7843</v>
      </c>
      <c r="G16" s="98">
        <v>32505017</v>
      </c>
      <c r="H16" s="97">
        <f>_xlfn.COMPOUNDVALUE(224)</f>
        <v>302</v>
      </c>
      <c r="I16" s="99">
        <v>1062471</v>
      </c>
      <c r="J16" s="97">
        <v>481</v>
      </c>
      <c r="K16" s="99">
        <v>54992</v>
      </c>
      <c r="L16" s="97">
        <v>8211</v>
      </c>
      <c r="M16" s="99">
        <v>31497537</v>
      </c>
      <c r="N16" s="117" t="s">
        <v>46</v>
      </c>
    </row>
    <row r="17" spans="1:14" ht="22.5" customHeight="1">
      <c r="A17" s="96" t="s">
        <v>187</v>
      </c>
      <c r="B17" s="97">
        <f>_xlfn.COMPOUNDVALUE(225)</f>
        <v>2472</v>
      </c>
      <c r="C17" s="98">
        <v>12438105</v>
      </c>
      <c r="D17" s="97">
        <f>_xlfn.COMPOUNDVALUE(226)</f>
        <v>1055</v>
      </c>
      <c r="E17" s="98">
        <v>378117</v>
      </c>
      <c r="F17" s="97">
        <f>_xlfn.COMPOUNDVALUE(227)</f>
        <v>3527</v>
      </c>
      <c r="G17" s="98">
        <v>12816221</v>
      </c>
      <c r="H17" s="97">
        <f>_xlfn.COMPOUNDVALUE(228)</f>
        <v>169</v>
      </c>
      <c r="I17" s="99">
        <v>985633</v>
      </c>
      <c r="J17" s="97">
        <v>171</v>
      </c>
      <c r="K17" s="99">
        <v>5604</v>
      </c>
      <c r="L17" s="97">
        <v>3711</v>
      </c>
      <c r="M17" s="99">
        <v>11836192</v>
      </c>
      <c r="N17" s="100" t="s">
        <v>48</v>
      </c>
    </row>
    <row r="18" spans="1:14" ht="22.5" customHeight="1">
      <c r="A18" s="96" t="s">
        <v>188</v>
      </c>
      <c r="B18" s="97">
        <f>_xlfn.COMPOUNDVALUE(229)</f>
        <v>5096</v>
      </c>
      <c r="C18" s="98">
        <v>25372223</v>
      </c>
      <c r="D18" s="97">
        <f>_xlfn.COMPOUNDVALUE(230)</f>
        <v>2588</v>
      </c>
      <c r="E18" s="98">
        <v>933505</v>
      </c>
      <c r="F18" s="97">
        <f>_xlfn.COMPOUNDVALUE(231)</f>
        <v>7684</v>
      </c>
      <c r="G18" s="98">
        <v>26305728</v>
      </c>
      <c r="H18" s="97">
        <f>_xlfn.COMPOUNDVALUE(232)</f>
        <v>373</v>
      </c>
      <c r="I18" s="99">
        <v>2783356</v>
      </c>
      <c r="J18" s="97">
        <v>328</v>
      </c>
      <c r="K18" s="99">
        <v>29615</v>
      </c>
      <c r="L18" s="97">
        <v>8087</v>
      </c>
      <c r="M18" s="99">
        <v>23551987</v>
      </c>
      <c r="N18" s="100" t="s">
        <v>50</v>
      </c>
    </row>
    <row r="19" spans="1:14" ht="22.5" customHeight="1">
      <c r="A19" s="96" t="s">
        <v>189</v>
      </c>
      <c r="B19" s="97">
        <f>_xlfn.COMPOUNDVALUE(233)</f>
        <v>3817</v>
      </c>
      <c r="C19" s="98">
        <v>15595709</v>
      </c>
      <c r="D19" s="97">
        <f>_xlfn.COMPOUNDVALUE(234)</f>
        <v>1724</v>
      </c>
      <c r="E19" s="98">
        <v>676375</v>
      </c>
      <c r="F19" s="97">
        <f>_xlfn.COMPOUNDVALUE(235)</f>
        <v>5541</v>
      </c>
      <c r="G19" s="98">
        <v>16272084</v>
      </c>
      <c r="H19" s="97">
        <f>_xlfn.COMPOUNDVALUE(236)</f>
        <v>216</v>
      </c>
      <c r="I19" s="99">
        <v>9740686</v>
      </c>
      <c r="J19" s="97">
        <v>326</v>
      </c>
      <c r="K19" s="99">
        <v>9142</v>
      </c>
      <c r="L19" s="97">
        <v>5780</v>
      </c>
      <c r="M19" s="99">
        <v>6540540</v>
      </c>
      <c r="N19" s="100" t="s">
        <v>52</v>
      </c>
    </row>
    <row r="20" spans="1:14" ht="22.5" customHeight="1">
      <c r="A20" s="96" t="s">
        <v>190</v>
      </c>
      <c r="B20" s="97">
        <f>_xlfn.COMPOUNDVALUE(237)</f>
        <v>4351</v>
      </c>
      <c r="C20" s="98">
        <v>20863066</v>
      </c>
      <c r="D20" s="97">
        <f>_xlfn.COMPOUNDVALUE(238)</f>
        <v>2254</v>
      </c>
      <c r="E20" s="98">
        <v>822501</v>
      </c>
      <c r="F20" s="97">
        <f>_xlfn.COMPOUNDVALUE(239)</f>
        <v>6605</v>
      </c>
      <c r="G20" s="98">
        <v>21685567</v>
      </c>
      <c r="H20" s="97">
        <f>_xlfn.COMPOUNDVALUE(240)</f>
        <v>186</v>
      </c>
      <c r="I20" s="99">
        <v>793506</v>
      </c>
      <c r="J20" s="97">
        <v>425</v>
      </c>
      <c r="K20" s="99">
        <v>28684</v>
      </c>
      <c r="L20" s="97">
        <v>6848</v>
      </c>
      <c r="M20" s="99">
        <v>20920745</v>
      </c>
      <c r="N20" s="100" t="s">
        <v>54</v>
      </c>
    </row>
    <row r="21" spans="1:14" ht="22.5" customHeight="1">
      <c r="A21" s="96" t="s">
        <v>191</v>
      </c>
      <c r="B21" s="97">
        <f>_xlfn.COMPOUNDVALUE(241)</f>
        <v>1258</v>
      </c>
      <c r="C21" s="98">
        <v>3107112</v>
      </c>
      <c r="D21" s="97">
        <f>_xlfn.COMPOUNDVALUE(242)</f>
        <v>791</v>
      </c>
      <c r="E21" s="98">
        <v>260115</v>
      </c>
      <c r="F21" s="97">
        <f>_xlfn.COMPOUNDVALUE(243)</f>
        <v>2049</v>
      </c>
      <c r="G21" s="98">
        <v>3367227</v>
      </c>
      <c r="H21" s="97">
        <f>_xlfn.COMPOUNDVALUE(244)</f>
        <v>71</v>
      </c>
      <c r="I21" s="99">
        <v>163843</v>
      </c>
      <c r="J21" s="97">
        <v>100</v>
      </c>
      <c r="K21" s="99">
        <v>13538</v>
      </c>
      <c r="L21" s="97">
        <v>2145</v>
      </c>
      <c r="M21" s="99">
        <v>3216922</v>
      </c>
      <c r="N21" s="100" t="s">
        <v>56</v>
      </c>
    </row>
    <row r="22" spans="1:14" ht="22.5" customHeight="1">
      <c r="A22" s="102" t="s">
        <v>192</v>
      </c>
      <c r="B22" s="103">
        <f>_xlfn.COMPOUNDVALUE(245)</f>
        <v>2045</v>
      </c>
      <c r="C22" s="104">
        <v>6800686</v>
      </c>
      <c r="D22" s="103">
        <f>_xlfn.COMPOUNDVALUE(246)</f>
        <v>1139</v>
      </c>
      <c r="E22" s="104">
        <v>426243</v>
      </c>
      <c r="F22" s="103">
        <f>_xlfn.COMPOUNDVALUE(247)</f>
        <v>3184</v>
      </c>
      <c r="G22" s="104">
        <v>7226929</v>
      </c>
      <c r="H22" s="103">
        <f>_xlfn.COMPOUNDVALUE(248)</f>
        <v>85</v>
      </c>
      <c r="I22" s="105">
        <v>105579</v>
      </c>
      <c r="J22" s="103">
        <v>129</v>
      </c>
      <c r="K22" s="105">
        <v>17243</v>
      </c>
      <c r="L22" s="103">
        <v>3286</v>
      </c>
      <c r="M22" s="105">
        <v>7138593</v>
      </c>
      <c r="N22" s="106" t="s">
        <v>58</v>
      </c>
    </row>
    <row r="23" spans="1:14" ht="22.5" customHeight="1">
      <c r="A23" s="102" t="s">
        <v>193</v>
      </c>
      <c r="B23" s="103">
        <f>_xlfn.COMPOUNDVALUE(249)</f>
        <v>1776</v>
      </c>
      <c r="C23" s="104">
        <v>7477653</v>
      </c>
      <c r="D23" s="103">
        <f>_xlfn.COMPOUNDVALUE(250)</f>
        <v>692</v>
      </c>
      <c r="E23" s="104">
        <v>257549</v>
      </c>
      <c r="F23" s="103">
        <f>_xlfn.COMPOUNDVALUE(251)</f>
        <v>2468</v>
      </c>
      <c r="G23" s="104">
        <v>7735201</v>
      </c>
      <c r="H23" s="103">
        <f>_xlfn.COMPOUNDVALUE(252)</f>
        <v>75</v>
      </c>
      <c r="I23" s="105">
        <v>379001</v>
      </c>
      <c r="J23" s="103">
        <v>89</v>
      </c>
      <c r="K23" s="105">
        <v>14620</v>
      </c>
      <c r="L23" s="103">
        <v>2556</v>
      </c>
      <c r="M23" s="105">
        <v>7370820</v>
      </c>
      <c r="N23" s="106" t="s">
        <v>60</v>
      </c>
    </row>
    <row r="24" spans="1:14" ht="22.5" customHeight="1">
      <c r="A24" s="102" t="s">
        <v>194</v>
      </c>
      <c r="B24" s="103">
        <f>_xlfn.COMPOUNDVALUE(253)</f>
        <v>3658</v>
      </c>
      <c r="C24" s="104">
        <v>15922630</v>
      </c>
      <c r="D24" s="103">
        <f>_xlfn.COMPOUNDVALUE(254)</f>
        <v>1631</v>
      </c>
      <c r="E24" s="104">
        <v>650092</v>
      </c>
      <c r="F24" s="103">
        <f>_xlfn.COMPOUNDVALUE(255)</f>
        <v>5289</v>
      </c>
      <c r="G24" s="104">
        <v>16572722</v>
      </c>
      <c r="H24" s="103">
        <f>_xlfn.COMPOUNDVALUE(256)</f>
        <v>171</v>
      </c>
      <c r="I24" s="105">
        <v>1914066</v>
      </c>
      <c r="J24" s="103">
        <v>301</v>
      </c>
      <c r="K24" s="105">
        <v>60755</v>
      </c>
      <c r="L24" s="103">
        <v>5491</v>
      </c>
      <c r="M24" s="105">
        <v>14719411</v>
      </c>
      <c r="N24" s="106" t="s">
        <v>62</v>
      </c>
    </row>
    <row r="25" spans="1:14" ht="22.5" customHeight="1">
      <c r="A25" s="102" t="s">
        <v>195</v>
      </c>
      <c r="B25" s="103">
        <f>_xlfn.COMPOUNDVALUE(257)</f>
        <v>2153</v>
      </c>
      <c r="C25" s="104">
        <v>9554036</v>
      </c>
      <c r="D25" s="103">
        <f>_xlfn.COMPOUNDVALUE(258)</f>
        <v>971</v>
      </c>
      <c r="E25" s="104">
        <v>396333</v>
      </c>
      <c r="F25" s="103">
        <f>_xlfn.COMPOUNDVALUE(259)</f>
        <v>3124</v>
      </c>
      <c r="G25" s="104">
        <v>9950369</v>
      </c>
      <c r="H25" s="103">
        <f>_xlfn.COMPOUNDVALUE(260)</f>
        <v>125</v>
      </c>
      <c r="I25" s="105">
        <v>9174789</v>
      </c>
      <c r="J25" s="103">
        <v>185</v>
      </c>
      <c r="K25" s="105">
        <v>10868</v>
      </c>
      <c r="L25" s="103">
        <v>3259</v>
      </c>
      <c r="M25" s="105">
        <v>786448</v>
      </c>
      <c r="N25" s="106" t="s">
        <v>64</v>
      </c>
    </row>
    <row r="26" spans="1:14" ht="22.5" customHeight="1">
      <c r="A26" s="102" t="s">
        <v>196</v>
      </c>
      <c r="B26" s="103">
        <f>_xlfn.COMPOUNDVALUE(261)</f>
        <v>1651</v>
      </c>
      <c r="C26" s="104">
        <v>6511503</v>
      </c>
      <c r="D26" s="103">
        <f>_xlfn.COMPOUNDVALUE(262)</f>
        <v>685</v>
      </c>
      <c r="E26" s="104">
        <v>264824</v>
      </c>
      <c r="F26" s="103">
        <f>_xlfn.COMPOUNDVALUE(263)</f>
        <v>2336</v>
      </c>
      <c r="G26" s="104">
        <v>6776327</v>
      </c>
      <c r="H26" s="103">
        <f>_xlfn.COMPOUNDVALUE(264)</f>
        <v>76</v>
      </c>
      <c r="I26" s="105">
        <v>326333</v>
      </c>
      <c r="J26" s="103">
        <v>126</v>
      </c>
      <c r="K26" s="105">
        <v>10964</v>
      </c>
      <c r="L26" s="103">
        <v>2426</v>
      </c>
      <c r="M26" s="105">
        <v>6460959</v>
      </c>
      <c r="N26" s="106" t="s">
        <v>66</v>
      </c>
    </row>
    <row r="27" spans="1:14" ht="22.5" customHeight="1">
      <c r="A27" s="102" t="s">
        <v>197</v>
      </c>
      <c r="B27" s="103">
        <f>_xlfn.COMPOUNDVALUE(265)</f>
        <v>2529</v>
      </c>
      <c r="C27" s="104">
        <v>10323827</v>
      </c>
      <c r="D27" s="103">
        <f>_xlfn.COMPOUNDVALUE(266)</f>
        <v>1013</v>
      </c>
      <c r="E27" s="104">
        <v>388501</v>
      </c>
      <c r="F27" s="103">
        <f>_xlfn.COMPOUNDVALUE(267)</f>
        <v>3542</v>
      </c>
      <c r="G27" s="104">
        <v>10712328</v>
      </c>
      <c r="H27" s="103">
        <f>_xlfn.COMPOUNDVALUE(268)</f>
        <v>130</v>
      </c>
      <c r="I27" s="105">
        <v>236543</v>
      </c>
      <c r="J27" s="103">
        <v>201</v>
      </c>
      <c r="K27" s="105">
        <v>15880</v>
      </c>
      <c r="L27" s="103">
        <v>3688</v>
      </c>
      <c r="M27" s="105">
        <v>10491664</v>
      </c>
      <c r="N27" s="106" t="s">
        <v>68</v>
      </c>
    </row>
    <row r="28" spans="1:14" ht="22.5" customHeight="1">
      <c r="A28" s="102" t="s">
        <v>198</v>
      </c>
      <c r="B28" s="103">
        <f>_xlfn.COMPOUNDVALUE(269)</f>
        <v>746</v>
      </c>
      <c r="C28" s="104">
        <v>1597124</v>
      </c>
      <c r="D28" s="103">
        <f>_xlfn.COMPOUNDVALUE(270)</f>
        <v>342</v>
      </c>
      <c r="E28" s="104">
        <v>119074</v>
      </c>
      <c r="F28" s="103">
        <f>_xlfn.COMPOUNDVALUE(271)</f>
        <v>1088</v>
      </c>
      <c r="G28" s="104">
        <v>1716198</v>
      </c>
      <c r="H28" s="103">
        <f>_xlfn.COMPOUNDVALUE(272)</f>
        <v>33</v>
      </c>
      <c r="I28" s="105">
        <v>29718</v>
      </c>
      <c r="J28" s="103">
        <v>50</v>
      </c>
      <c r="K28" s="105">
        <v>-267343</v>
      </c>
      <c r="L28" s="103">
        <v>1129</v>
      </c>
      <c r="M28" s="105">
        <v>1419137</v>
      </c>
      <c r="N28" s="106" t="s">
        <v>70</v>
      </c>
    </row>
    <row r="29" spans="1:14" ht="22.5" customHeight="1">
      <c r="A29" s="107" t="s">
        <v>199</v>
      </c>
      <c r="B29" s="108">
        <v>37021</v>
      </c>
      <c r="C29" s="109">
        <v>167172587</v>
      </c>
      <c r="D29" s="108">
        <v>17259</v>
      </c>
      <c r="E29" s="109">
        <v>6469330</v>
      </c>
      <c r="F29" s="108">
        <v>54280</v>
      </c>
      <c r="G29" s="109">
        <v>173641917</v>
      </c>
      <c r="H29" s="108">
        <v>2012</v>
      </c>
      <c r="I29" s="110">
        <v>27695523</v>
      </c>
      <c r="J29" s="108">
        <v>2912</v>
      </c>
      <c r="K29" s="110">
        <v>4561</v>
      </c>
      <c r="L29" s="108">
        <v>56617</v>
      </c>
      <c r="M29" s="110">
        <v>145950955</v>
      </c>
      <c r="N29" s="111" t="s">
        <v>72</v>
      </c>
    </row>
    <row r="30" spans="1:14" ht="22.5" customHeight="1">
      <c r="A30" s="112"/>
      <c r="B30" s="113"/>
      <c r="C30" s="114"/>
      <c r="D30" s="113"/>
      <c r="E30" s="114"/>
      <c r="F30" s="115"/>
      <c r="G30" s="114"/>
      <c r="H30" s="115"/>
      <c r="I30" s="114"/>
      <c r="J30" s="115"/>
      <c r="K30" s="114"/>
      <c r="L30" s="115"/>
      <c r="M30" s="114"/>
      <c r="N30" s="116"/>
    </row>
    <row r="31" spans="1:14" ht="22.5" customHeight="1">
      <c r="A31" s="96" t="s">
        <v>200</v>
      </c>
      <c r="B31" s="97">
        <f>_xlfn.COMPOUNDVALUE(273)</f>
        <v>3295</v>
      </c>
      <c r="C31" s="98">
        <v>18072688</v>
      </c>
      <c r="D31" s="97">
        <f>_xlfn.COMPOUNDVALUE(274)</f>
        <v>1547</v>
      </c>
      <c r="E31" s="98">
        <v>594202</v>
      </c>
      <c r="F31" s="97">
        <f>_xlfn.COMPOUNDVALUE(275)</f>
        <v>4842</v>
      </c>
      <c r="G31" s="98">
        <v>18666891</v>
      </c>
      <c r="H31" s="97">
        <f>_xlfn.COMPOUNDVALUE(276)</f>
        <v>291</v>
      </c>
      <c r="I31" s="99">
        <v>619328</v>
      </c>
      <c r="J31" s="97">
        <v>341</v>
      </c>
      <c r="K31" s="99">
        <v>42305</v>
      </c>
      <c r="L31" s="97">
        <v>5185</v>
      </c>
      <c r="M31" s="99">
        <v>18089867</v>
      </c>
      <c r="N31" s="117" t="s">
        <v>74</v>
      </c>
    </row>
    <row r="32" spans="1:14" ht="22.5" customHeight="1">
      <c r="A32" s="96" t="s">
        <v>201</v>
      </c>
      <c r="B32" s="97">
        <f>_xlfn.COMPOUNDVALUE(277)</f>
        <v>1980</v>
      </c>
      <c r="C32" s="98">
        <v>29949391</v>
      </c>
      <c r="D32" s="97">
        <f>_xlfn.COMPOUNDVALUE(278)</f>
        <v>736</v>
      </c>
      <c r="E32" s="98">
        <v>267708</v>
      </c>
      <c r="F32" s="97">
        <f>_xlfn.COMPOUNDVALUE(279)</f>
        <v>2716</v>
      </c>
      <c r="G32" s="98">
        <v>30217099</v>
      </c>
      <c r="H32" s="97">
        <f>_xlfn.COMPOUNDVALUE(280)</f>
        <v>206</v>
      </c>
      <c r="I32" s="99">
        <v>1645272</v>
      </c>
      <c r="J32" s="97">
        <v>202</v>
      </c>
      <c r="K32" s="99">
        <v>-39179</v>
      </c>
      <c r="L32" s="97">
        <v>2954</v>
      </c>
      <c r="M32" s="99">
        <v>28532648</v>
      </c>
      <c r="N32" s="100" t="s">
        <v>76</v>
      </c>
    </row>
    <row r="33" spans="1:14" ht="22.5" customHeight="1">
      <c r="A33" s="96" t="s">
        <v>202</v>
      </c>
      <c r="B33" s="97">
        <f>_xlfn.COMPOUNDVALUE(281)</f>
        <v>3731</v>
      </c>
      <c r="C33" s="98">
        <v>15829248</v>
      </c>
      <c r="D33" s="97">
        <f>_xlfn.COMPOUNDVALUE(282)</f>
        <v>1594</v>
      </c>
      <c r="E33" s="98">
        <v>575217</v>
      </c>
      <c r="F33" s="97">
        <f>_xlfn.COMPOUNDVALUE(283)</f>
        <v>5325</v>
      </c>
      <c r="G33" s="98">
        <v>16404465</v>
      </c>
      <c r="H33" s="97">
        <f>_xlfn.COMPOUNDVALUE(284)</f>
        <v>260</v>
      </c>
      <c r="I33" s="99">
        <v>622269</v>
      </c>
      <c r="J33" s="97">
        <v>280</v>
      </c>
      <c r="K33" s="99">
        <v>44596</v>
      </c>
      <c r="L33" s="97">
        <v>5608</v>
      </c>
      <c r="M33" s="99">
        <v>15826791</v>
      </c>
      <c r="N33" s="100" t="s">
        <v>78</v>
      </c>
    </row>
    <row r="34" spans="1:14" ht="22.5" customHeight="1">
      <c r="A34" s="96" t="s">
        <v>203</v>
      </c>
      <c r="B34" s="97">
        <f>_xlfn.COMPOUNDVALUE(285)</f>
        <v>4407</v>
      </c>
      <c r="C34" s="98">
        <v>25510215</v>
      </c>
      <c r="D34" s="97">
        <f>_xlfn.COMPOUNDVALUE(286)</f>
        <v>1572</v>
      </c>
      <c r="E34" s="98">
        <v>583543</v>
      </c>
      <c r="F34" s="97">
        <f>_xlfn.COMPOUNDVALUE(287)</f>
        <v>5979</v>
      </c>
      <c r="G34" s="98">
        <v>26093758</v>
      </c>
      <c r="H34" s="97">
        <f>_xlfn.COMPOUNDVALUE(288)</f>
        <v>246</v>
      </c>
      <c r="I34" s="99">
        <v>573497</v>
      </c>
      <c r="J34" s="97">
        <v>411</v>
      </c>
      <c r="K34" s="99">
        <v>-26393</v>
      </c>
      <c r="L34" s="97">
        <v>6254</v>
      </c>
      <c r="M34" s="99">
        <v>25493868</v>
      </c>
      <c r="N34" s="100" t="s">
        <v>80</v>
      </c>
    </row>
    <row r="35" spans="1:14" ht="22.5" customHeight="1">
      <c r="A35" s="96" t="s">
        <v>204</v>
      </c>
      <c r="B35" s="97">
        <f>_xlfn.COMPOUNDVALUE(289)</f>
        <v>2970</v>
      </c>
      <c r="C35" s="98">
        <v>57238996</v>
      </c>
      <c r="D35" s="97">
        <f>_xlfn.COMPOUNDVALUE(290)</f>
        <v>959</v>
      </c>
      <c r="E35" s="98">
        <v>381668</v>
      </c>
      <c r="F35" s="97">
        <f>_xlfn.COMPOUNDVALUE(291)</f>
        <v>3929</v>
      </c>
      <c r="G35" s="98">
        <v>57620664</v>
      </c>
      <c r="H35" s="97">
        <f>_xlfn.COMPOUNDVALUE(292)</f>
        <v>218</v>
      </c>
      <c r="I35" s="99">
        <v>41933980</v>
      </c>
      <c r="J35" s="97">
        <v>255</v>
      </c>
      <c r="K35" s="99">
        <v>-15423</v>
      </c>
      <c r="L35" s="97">
        <v>4183</v>
      </c>
      <c r="M35" s="99">
        <v>15671261</v>
      </c>
      <c r="N35" s="100" t="s">
        <v>82</v>
      </c>
    </row>
    <row r="36" spans="1:14" ht="22.5" customHeight="1">
      <c r="A36" s="96" t="s">
        <v>205</v>
      </c>
      <c r="B36" s="97">
        <f>_xlfn.COMPOUNDVALUE(293)</f>
        <v>5781</v>
      </c>
      <c r="C36" s="98">
        <v>103571362</v>
      </c>
      <c r="D36" s="97">
        <f>_xlfn.COMPOUNDVALUE(294)</f>
        <v>1840</v>
      </c>
      <c r="E36" s="98">
        <v>769768</v>
      </c>
      <c r="F36" s="97">
        <f>_xlfn.COMPOUNDVALUE(295)</f>
        <v>7621</v>
      </c>
      <c r="G36" s="98">
        <v>104341130</v>
      </c>
      <c r="H36" s="97">
        <f>_xlfn.COMPOUNDVALUE(296)</f>
        <v>543</v>
      </c>
      <c r="I36" s="99">
        <v>4584385</v>
      </c>
      <c r="J36" s="97">
        <v>520</v>
      </c>
      <c r="K36" s="99">
        <v>154125</v>
      </c>
      <c r="L36" s="97">
        <v>8240</v>
      </c>
      <c r="M36" s="99">
        <v>99910870</v>
      </c>
      <c r="N36" s="100" t="s">
        <v>84</v>
      </c>
    </row>
    <row r="37" spans="1:14" ht="22.5" customHeight="1">
      <c r="A37" s="96" t="s">
        <v>206</v>
      </c>
      <c r="B37" s="97">
        <f>_xlfn.COMPOUNDVALUE(297)</f>
        <v>5522</v>
      </c>
      <c r="C37" s="98">
        <v>33306352</v>
      </c>
      <c r="D37" s="97">
        <f>_xlfn.COMPOUNDVALUE(298)</f>
        <v>2396</v>
      </c>
      <c r="E37" s="98">
        <v>888577</v>
      </c>
      <c r="F37" s="97">
        <f>_xlfn.COMPOUNDVALUE(299)</f>
        <v>7918</v>
      </c>
      <c r="G37" s="98">
        <v>34194928</v>
      </c>
      <c r="H37" s="97">
        <f>_xlfn.COMPOUNDVALUE(300)</f>
        <v>447</v>
      </c>
      <c r="I37" s="99">
        <v>7628516</v>
      </c>
      <c r="J37" s="97">
        <v>556</v>
      </c>
      <c r="K37" s="99">
        <v>34507</v>
      </c>
      <c r="L37" s="97">
        <v>8447</v>
      </c>
      <c r="M37" s="99">
        <v>26600919</v>
      </c>
      <c r="N37" s="100" t="s">
        <v>86</v>
      </c>
    </row>
    <row r="38" spans="1:14" ht="22.5" customHeight="1">
      <c r="A38" s="96" t="s">
        <v>207</v>
      </c>
      <c r="B38" s="97">
        <f>_xlfn.COMPOUNDVALUE(301)</f>
        <v>5567</v>
      </c>
      <c r="C38" s="98">
        <v>34770053</v>
      </c>
      <c r="D38" s="97">
        <f>_xlfn.COMPOUNDVALUE(302)</f>
        <v>2246</v>
      </c>
      <c r="E38" s="98">
        <v>867642</v>
      </c>
      <c r="F38" s="97">
        <f>_xlfn.COMPOUNDVALUE(303)</f>
        <v>7813</v>
      </c>
      <c r="G38" s="98">
        <v>35637695</v>
      </c>
      <c r="H38" s="97">
        <f>_xlfn.COMPOUNDVALUE(304)</f>
        <v>289</v>
      </c>
      <c r="I38" s="99">
        <v>707297</v>
      </c>
      <c r="J38" s="97">
        <v>478</v>
      </c>
      <c r="K38" s="99">
        <v>59770</v>
      </c>
      <c r="L38" s="97">
        <v>8134</v>
      </c>
      <c r="M38" s="99">
        <v>34990167</v>
      </c>
      <c r="N38" s="100" t="s">
        <v>88</v>
      </c>
    </row>
    <row r="39" spans="1:14" ht="22.5" customHeight="1">
      <c r="A39" s="96" t="s">
        <v>208</v>
      </c>
      <c r="B39" s="97">
        <f>_xlfn.COMPOUNDVALUE(305)</f>
        <v>4827</v>
      </c>
      <c r="C39" s="98">
        <v>24418343</v>
      </c>
      <c r="D39" s="97">
        <f>_xlfn.COMPOUNDVALUE(306)</f>
        <v>1708</v>
      </c>
      <c r="E39" s="98">
        <v>666410</v>
      </c>
      <c r="F39" s="97">
        <f>_xlfn.COMPOUNDVALUE(307)</f>
        <v>6535</v>
      </c>
      <c r="G39" s="98">
        <v>25084753</v>
      </c>
      <c r="H39" s="97">
        <f>_xlfn.COMPOUNDVALUE(308)</f>
        <v>449</v>
      </c>
      <c r="I39" s="99">
        <v>2453196</v>
      </c>
      <c r="J39" s="97">
        <v>449</v>
      </c>
      <c r="K39" s="99">
        <v>18022</v>
      </c>
      <c r="L39" s="97">
        <v>7059</v>
      </c>
      <c r="M39" s="99">
        <v>22649579</v>
      </c>
      <c r="N39" s="100" t="s">
        <v>90</v>
      </c>
    </row>
    <row r="40" spans="1:14" ht="22.5" customHeight="1">
      <c r="A40" s="96" t="s">
        <v>209</v>
      </c>
      <c r="B40" s="97">
        <f>_xlfn.COMPOUNDVALUE(309)</f>
        <v>6842</v>
      </c>
      <c r="C40" s="98">
        <v>28975584</v>
      </c>
      <c r="D40" s="97">
        <f>_xlfn.COMPOUNDVALUE(310)</f>
        <v>3126</v>
      </c>
      <c r="E40" s="98">
        <v>1170398</v>
      </c>
      <c r="F40" s="97">
        <f>_xlfn.COMPOUNDVALUE(311)</f>
        <v>9968</v>
      </c>
      <c r="G40" s="98">
        <v>30145983</v>
      </c>
      <c r="H40" s="97">
        <f>_xlfn.COMPOUNDVALUE(312)</f>
        <v>323</v>
      </c>
      <c r="I40" s="99">
        <v>1612741</v>
      </c>
      <c r="J40" s="97">
        <v>574</v>
      </c>
      <c r="K40" s="99">
        <v>19677</v>
      </c>
      <c r="L40" s="97">
        <v>10349</v>
      </c>
      <c r="M40" s="99">
        <v>28552918</v>
      </c>
      <c r="N40" s="100" t="s">
        <v>92</v>
      </c>
    </row>
    <row r="41" spans="1:14" ht="22.5" customHeight="1">
      <c r="A41" s="96" t="s">
        <v>210</v>
      </c>
      <c r="B41" s="97">
        <f>_xlfn.COMPOUNDVALUE(313)</f>
        <v>3540</v>
      </c>
      <c r="C41" s="98">
        <v>15552767</v>
      </c>
      <c r="D41" s="97">
        <f>_xlfn.COMPOUNDVALUE(314)</f>
        <v>1485</v>
      </c>
      <c r="E41" s="98">
        <v>579015</v>
      </c>
      <c r="F41" s="97">
        <f>_xlfn.COMPOUNDVALUE(315)</f>
        <v>5025</v>
      </c>
      <c r="G41" s="98">
        <v>16131782</v>
      </c>
      <c r="H41" s="97">
        <f>_xlfn.COMPOUNDVALUE(316)</f>
        <v>170</v>
      </c>
      <c r="I41" s="99">
        <v>173842</v>
      </c>
      <c r="J41" s="97">
        <v>293</v>
      </c>
      <c r="K41" s="99">
        <v>16227</v>
      </c>
      <c r="L41" s="97">
        <v>5225</v>
      </c>
      <c r="M41" s="99">
        <v>15974167</v>
      </c>
      <c r="N41" s="100" t="s">
        <v>94</v>
      </c>
    </row>
    <row r="42" spans="1:14" ht="22.5" customHeight="1">
      <c r="A42" s="96" t="s">
        <v>211</v>
      </c>
      <c r="B42" s="97">
        <f>_xlfn.COMPOUNDVALUE(317)</f>
        <v>4125</v>
      </c>
      <c r="C42" s="98">
        <v>24609299</v>
      </c>
      <c r="D42" s="97">
        <f>_xlfn.COMPOUNDVALUE(318)</f>
        <v>1867</v>
      </c>
      <c r="E42" s="98">
        <v>703741</v>
      </c>
      <c r="F42" s="97">
        <f>_xlfn.COMPOUNDVALUE(319)</f>
        <v>5992</v>
      </c>
      <c r="G42" s="98">
        <v>25313039</v>
      </c>
      <c r="H42" s="97">
        <f>_xlfn.COMPOUNDVALUE(320)</f>
        <v>217</v>
      </c>
      <c r="I42" s="99">
        <v>669042</v>
      </c>
      <c r="J42" s="97">
        <v>337</v>
      </c>
      <c r="K42" s="99">
        <v>55335</v>
      </c>
      <c r="L42" s="97">
        <v>6237</v>
      </c>
      <c r="M42" s="99">
        <v>24699333</v>
      </c>
      <c r="N42" s="100" t="s">
        <v>96</v>
      </c>
    </row>
    <row r="43" spans="1:14" ht="22.5" customHeight="1">
      <c r="A43" s="96" t="s">
        <v>212</v>
      </c>
      <c r="B43" s="97">
        <f>_xlfn.COMPOUNDVALUE(321)</f>
        <v>1773</v>
      </c>
      <c r="C43" s="98">
        <v>7130167</v>
      </c>
      <c r="D43" s="97">
        <f>_xlfn.COMPOUNDVALUE(322)</f>
        <v>946</v>
      </c>
      <c r="E43" s="98">
        <v>345539</v>
      </c>
      <c r="F43" s="97">
        <f>_xlfn.COMPOUNDVALUE(323)</f>
        <v>2719</v>
      </c>
      <c r="G43" s="98">
        <v>7475705</v>
      </c>
      <c r="H43" s="97">
        <f>_xlfn.COMPOUNDVALUE(324)</f>
        <v>115</v>
      </c>
      <c r="I43" s="99">
        <v>346223</v>
      </c>
      <c r="J43" s="97">
        <v>128</v>
      </c>
      <c r="K43" s="99">
        <v>8715</v>
      </c>
      <c r="L43" s="97">
        <v>2859</v>
      </c>
      <c r="M43" s="99">
        <v>7138198</v>
      </c>
      <c r="N43" s="100" t="s">
        <v>98</v>
      </c>
    </row>
    <row r="44" spans="1:14" ht="22.5" customHeight="1">
      <c r="A44" s="102" t="s">
        <v>213</v>
      </c>
      <c r="B44" s="103">
        <f>_xlfn.COMPOUNDVALUE(325)</f>
        <v>4772</v>
      </c>
      <c r="C44" s="104">
        <v>25998821</v>
      </c>
      <c r="D44" s="103">
        <f>_xlfn.COMPOUNDVALUE(326)</f>
        <v>1807</v>
      </c>
      <c r="E44" s="104">
        <v>735566</v>
      </c>
      <c r="F44" s="103">
        <f>_xlfn.COMPOUNDVALUE(327)</f>
        <v>6579</v>
      </c>
      <c r="G44" s="104">
        <v>26734387</v>
      </c>
      <c r="H44" s="103">
        <f>_xlfn.COMPOUNDVALUE(328)</f>
        <v>235</v>
      </c>
      <c r="I44" s="105">
        <v>2231948</v>
      </c>
      <c r="J44" s="103">
        <v>533</v>
      </c>
      <c r="K44" s="105">
        <v>35479</v>
      </c>
      <c r="L44" s="103">
        <v>6880</v>
      </c>
      <c r="M44" s="105">
        <v>24537918</v>
      </c>
      <c r="N44" s="106" t="s">
        <v>100</v>
      </c>
    </row>
    <row r="45" spans="1:14" ht="22.5" customHeight="1">
      <c r="A45" s="102" t="s">
        <v>214</v>
      </c>
      <c r="B45" s="103">
        <f>_xlfn.COMPOUNDVALUE(329)</f>
        <v>3071</v>
      </c>
      <c r="C45" s="104">
        <v>12834595</v>
      </c>
      <c r="D45" s="103">
        <f>_xlfn.COMPOUNDVALUE(330)</f>
        <v>1176</v>
      </c>
      <c r="E45" s="104">
        <v>466039</v>
      </c>
      <c r="F45" s="103">
        <f>_xlfn.COMPOUNDVALUE(331)</f>
        <v>4247</v>
      </c>
      <c r="G45" s="104">
        <v>13300634</v>
      </c>
      <c r="H45" s="103">
        <f>_xlfn.COMPOUNDVALUE(332)</f>
        <v>269</v>
      </c>
      <c r="I45" s="105">
        <v>1986863</v>
      </c>
      <c r="J45" s="103">
        <v>220</v>
      </c>
      <c r="K45" s="105">
        <v>33518</v>
      </c>
      <c r="L45" s="103">
        <v>4562</v>
      </c>
      <c r="M45" s="105">
        <v>11347289</v>
      </c>
      <c r="N45" s="106" t="s">
        <v>102</v>
      </c>
    </row>
    <row r="46" spans="1:14" ht="22.5" customHeight="1">
      <c r="A46" s="102" t="s">
        <v>215</v>
      </c>
      <c r="B46" s="103">
        <f>_xlfn.COMPOUNDVALUE(333)</f>
        <v>4458</v>
      </c>
      <c r="C46" s="104">
        <v>39535148</v>
      </c>
      <c r="D46" s="103">
        <f>_xlfn.COMPOUNDVALUE(334)</f>
        <v>1651</v>
      </c>
      <c r="E46" s="104">
        <v>697245</v>
      </c>
      <c r="F46" s="103">
        <f>_xlfn.COMPOUNDVALUE(335)</f>
        <v>6109</v>
      </c>
      <c r="G46" s="104">
        <v>40232393</v>
      </c>
      <c r="H46" s="103">
        <f>_xlfn.COMPOUNDVALUE(336)</f>
        <v>244</v>
      </c>
      <c r="I46" s="105">
        <v>19447430</v>
      </c>
      <c r="J46" s="103">
        <v>360</v>
      </c>
      <c r="K46" s="105">
        <v>57111</v>
      </c>
      <c r="L46" s="103">
        <v>6378</v>
      </c>
      <c r="M46" s="105">
        <v>20842074</v>
      </c>
      <c r="N46" s="106" t="s">
        <v>104</v>
      </c>
    </row>
    <row r="47" spans="1:14" ht="22.5" customHeight="1">
      <c r="A47" s="102" t="s">
        <v>216</v>
      </c>
      <c r="B47" s="103">
        <f>_xlfn.COMPOUNDVALUE(337)</f>
        <v>3572</v>
      </c>
      <c r="C47" s="104">
        <v>25942460</v>
      </c>
      <c r="D47" s="103">
        <f>_xlfn.COMPOUNDVALUE(338)</f>
        <v>1469</v>
      </c>
      <c r="E47" s="104">
        <v>583680</v>
      </c>
      <c r="F47" s="103">
        <f>_xlfn.COMPOUNDVALUE(339)</f>
        <v>5041</v>
      </c>
      <c r="G47" s="104">
        <v>26526140</v>
      </c>
      <c r="H47" s="103">
        <f>_xlfn.COMPOUNDVALUE(340)</f>
        <v>213</v>
      </c>
      <c r="I47" s="105">
        <v>141524580</v>
      </c>
      <c r="J47" s="103">
        <v>381</v>
      </c>
      <c r="K47" s="105">
        <v>36595</v>
      </c>
      <c r="L47" s="103">
        <v>5289</v>
      </c>
      <c r="M47" s="130">
        <v>-114961845</v>
      </c>
      <c r="N47" s="106" t="s">
        <v>106</v>
      </c>
    </row>
    <row r="48" spans="1:14" ht="22.5" customHeight="1">
      <c r="A48" s="102" t="s">
        <v>217</v>
      </c>
      <c r="B48" s="103">
        <f>_xlfn.COMPOUNDVALUE(341)</f>
        <v>1566</v>
      </c>
      <c r="C48" s="104">
        <v>7823919</v>
      </c>
      <c r="D48" s="103">
        <f>_xlfn.COMPOUNDVALUE(342)</f>
        <v>537</v>
      </c>
      <c r="E48" s="104">
        <v>219364</v>
      </c>
      <c r="F48" s="103">
        <f>_xlfn.COMPOUNDVALUE(343)</f>
        <v>2103</v>
      </c>
      <c r="G48" s="104">
        <v>8043283</v>
      </c>
      <c r="H48" s="103">
        <f>_xlfn.COMPOUNDVALUE(344)</f>
        <v>53</v>
      </c>
      <c r="I48" s="105">
        <v>124838</v>
      </c>
      <c r="J48" s="103">
        <v>163</v>
      </c>
      <c r="K48" s="105">
        <v>17711</v>
      </c>
      <c r="L48" s="103">
        <v>2166</v>
      </c>
      <c r="M48" s="105">
        <v>7936155</v>
      </c>
      <c r="N48" s="106" t="s">
        <v>108</v>
      </c>
    </row>
    <row r="49" spans="1:14" ht="22.5" customHeight="1">
      <c r="A49" s="102" t="s">
        <v>218</v>
      </c>
      <c r="B49" s="103">
        <f>_xlfn.COMPOUNDVALUE(345)</f>
        <v>6284</v>
      </c>
      <c r="C49" s="104">
        <v>32925765</v>
      </c>
      <c r="D49" s="103">
        <f>_xlfn.COMPOUNDVALUE(346)</f>
        <v>2861</v>
      </c>
      <c r="E49" s="104">
        <v>1104193</v>
      </c>
      <c r="F49" s="103">
        <f>_xlfn.COMPOUNDVALUE(347)</f>
        <v>9145</v>
      </c>
      <c r="G49" s="104">
        <v>34029957</v>
      </c>
      <c r="H49" s="103">
        <f>_xlfn.COMPOUNDVALUE(348)</f>
        <v>388</v>
      </c>
      <c r="I49" s="105">
        <v>5957758</v>
      </c>
      <c r="J49" s="103">
        <v>485</v>
      </c>
      <c r="K49" s="105">
        <v>78834</v>
      </c>
      <c r="L49" s="103">
        <v>9598</v>
      </c>
      <c r="M49" s="105">
        <v>28151034</v>
      </c>
      <c r="N49" s="106" t="s">
        <v>110</v>
      </c>
    </row>
    <row r="50" spans="1:14" ht="22.5" customHeight="1">
      <c r="A50" s="102" t="s">
        <v>219</v>
      </c>
      <c r="B50" s="103">
        <f>_xlfn.COMPOUNDVALUE(349)</f>
        <v>507</v>
      </c>
      <c r="C50" s="104">
        <v>1492948</v>
      </c>
      <c r="D50" s="103">
        <f>_xlfn.COMPOUNDVALUE(350)</f>
        <v>225</v>
      </c>
      <c r="E50" s="104">
        <v>80886</v>
      </c>
      <c r="F50" s="103">
        <f>_xlfn.COMPOUNDVALUE(351)</f>
        <v>732</v>
      </c>
      <c r="G50" s="104">
        <v>1573834</v>
      </c>
      <c r="H50" s="103">
        <f>_xlfn.COMPOUNDVALUE(352)</f>
        <v>20</v>
      </c>
      <c r="I50" s="105">
        <v>27355</v>
      </c>
      <c r="J50" s="103">
        <v>44</v>
      </c>
      <c r="K50" s="105">
        <v>1002</v>
      </c>
      <c r="L50" s="103">
        <v>754</v>
      </c>
      <c r="M50" s="105">
        <v>1547481</v>
      </c>
      <c r="N50" s="106" t="s">
        <v>112</v>
      </c>
    </row>
    <row r="51" spans="1:14" ht="22.5" customHeight="1">
      <c r="A51" s="107" t="s">
        <v>220</v>
      </c>
      <c r="B51" s="108">
        <v>78590</v>
      </c>
      <c r="C51" s="109">
        <v>565488121</v>
      </c>
      <c r="D51" s="108">
        <v>31748</v>
      </c>
      <c r="E51" s="109">
        <v>12280400</v>
      </c>
      <c r="F51" s="108">
        <v>110338</v>
      </c>
      <c r="G51" s="109">
        <v>577768521</v>
      </c>
      <c r="H51" s="108">
        <v>5196</v>
      </c>
      <c r="I51" s="110">
        <v>234870360</v>
      </c>
      <c r="J51" s="108">
        <v>7010</v>
      </c>
      <c r="K51" s="110">
        <v>632533</v>
      </c>
      <c r="L51" s="108">
        <v>116361</v>
      </c>
      <c r="M51" s="110">
        <v>343530694</v>
      </c>
      <c r="N51" s="111" t="s">
        <v>114</v>
      </c>
    </row>
    <row r="52" spans="1:14" ht="22.5" customHeight="1">
      <c r="A52" s="112"/>
      <c r="B52" s="113"/>
      <c r="C52" s="114"/>
      <c r="D52" s="113"/>
      <c r="E52" s="114"/>
      <c r="F52" s="115"/>
      <c r="G52" s="114"/>
      <c r="H52" s="115"/>
      <c r="I52" s="114"/>
      <c r="J52" s="115"/>
      <c r="K52" s="114"/>
      <c r="L52" s="115"/>
      <c r="M52" s="114"/>
      <c r="N52" s="116"/>
    </row>
    <row r="53" spans="1:14" ht="22.5" customHeight="1">
      <c r="A53" s="96" t="s">
        <v>221</v>
      </c>
      <c r="B53" s="97">
        <f>_xlfn.COMPOUNDVALUE(353)</f>
        <v>2170</v>
      </c>
      <c r="C53" s="98">
        <v>10934374</v>
      </c>
      <c r="D53" s="97">
        <f>_xlfn.COMPOUNDVALUE(354)</f>
        <v>869</v>
      </c>
      <c r="E53" s="98">
        <v>330278</v>
      </c>
      <c r="F53" s="97">
        <f>_xlfn.COMPOUNDVALUE(355)</f>
        <v>3039</v>
      </c>
      <c r="G53" s="98">
        <v>11264652</v>
      </c>
      <c r="H53" s="97">
        <f>_xlfn.COMPOUNDVALUE(356)</f>
        <v>92</v>
      </c>
      <c r="I53" s="99">
        <v>180460</v>
      </c>
      <c r="J53" s="97">
        <v>234</v>
      </c>
      <c r="K53" s="99">
        <v>22809</v>
      </c>
      <c r="L53" s="97">
        <v>3179</v>
      </c>
      <c r="M53" s="99">
        <v>11107001</v>
      </c>
      <c r="N53" s="117" t="s">
        <v>116</v>
      </c>
    </row>
    <row r="54" spans="1:14" ht="22.5" customHeight="1">
      <c r="A54" s="102" t="s">
        <v>222</v>
      </c>
      <c r="B54" s="103">
        <f>_xlfn.COMPOUNDVALUE(357)</f>
        <v>3815</v>
      </c>
      <c r="C54" s="104">
        <v>22520340</v>
      </c>
      <c r="D54" s="103">
        <f>_xlfn.COMPOUNDVALUE(358)</f>
        <v>1486</v>
      </c>
      <c r="E54" s="104">
        <v>562775</v>
      </c>
      <c r="F54" s="103">
        <f>_xlfn.COMPOUNDVALUE(359)</f>
        <v>5301</v>
      </c>
      <c r="G54" s="104">
        <v>23083115</v>
      </c>
      <c r="H54" s="103">
        <f>_xlfn.COMPOUNDVALUE(360)</f>
        <v>193</v>
      </c>
      <c r="I54" s="105">
        <v>3617765</v>
      </c>
      <c r="J54" s="103">
        <v>379</v>
      </c>
      <c r="K54" s="105">
        <v>-33084</v>
      </c>
      <c r="L54" s="103">
        <v>5522</v>
      </c>
      <c r="M54" s="105">
        <v>19432265</v>
      </c>
      <c r="N54" s="106" t="s">
        <v>118</v>
      </c>
    </row>
    <row r="55" spans="1:14" ht="22.5" customHeight="1">
      <c r="A55" s="102" t="s">
        <v>223</v>
      </c>
      <c r="B55" s="103">
        <f>_xlfn.COMPOUNDVALUE(361)</f>
        <v>2286</v>
      </c>
      <c r="C55" s="104">
        <v>7196636</v>
      </c>
      <c r="D55" s="103">
        <f>_xlfn.COMPOUNDVALUE(362)</f>
        <v>879</v>
      </c>
      <c r="E55" s="104">
        <v>303572</v>
      </c>
      <c r="F55" s="103">
        <f>_xlfn.COMPOUNDVALUE(363)</f>
        <v>3165</v>
      </c>
      <c r="G55" s="104">
        <v>7500208</v>
      </c>
      <c r="H55" s="103">
        <f>_xlfn.COMPOUNDVALUE(364)</f>
        <v>156</v>
      </c>
      <c r="I55" s="105">
        <v>626781</v>
      </c>
      <c r="J55" s="103">
        <v>204</v>
      </c>
      <c r="K55" s="105">
        <v>-58651</v>
      </c>
      <c r="L55" s="103">
        <v>3353</v>
      </c>
      <c r="M55" s="105">
        <v>6814776</v>
      </c>
      <c r="N55" s="106" t="s">
        <v>120</v>
      </c>
    </row>
    <row r="56" spans="1:14" ht="22.5" customHeight="1">
      <c r="A56" s="102" t="s">
        <v>224</v>
      </c>
      <c r="B56" s="103">
        <f>_xlfn.COMPOUNDVALUE(365)</f>
        <v>1779</v>
      </c>
      <c r="C56" s="104">
        <v>7561268</v>
      </c>
      <c r="D56" s="103">
        <f>_xlfn.COMPOUNDVALUE(366)</f>
        <v>632</v>
      </c>
      <c r="E56" s="104">
        <v>238515</v>
      </c>
      <c r="F56" s="103">
        <f>_xlfn.COMPOUNDVALUE(367)</f>
        <v>2411</v>
      </c>
      <c r="G56" s="104">
        <v>7799783</v>
      </c>
      <c r="H56" s="103">
        <f>_xlfn.COMPOUNDVALUE(368)</f>
        <v>108</v>
      </c>
      <c r="I56" s="105">
        <v>424536</v>
      </c>
      <c r="J56" s="103">
        <v>113</v>
      </c>
      <c r="K56" s="105">
        <v>319</v>
      </c>
      <c r="L56" s="103">
        <v>2550</v>
      </c>
      <c r="M56" s="105">
        <v>7375566</v>
      </c>
      <c r="N56" s="106" t="s">
        <v>122</v>
      </c>
    </row>
    <row r="57" spans="1:14" ht="22.5" customHeight="1">
      <c r="A57" s="102" t="s">
        <v>225</v>
      </c>
      <c r="B57" s="103">
        <f>_xlfn.COMPOUNDVALUE(369)</f>
        <v>1863</v>
      </c>
      <c r="C57" s="104">
        <v>8484908</v>
      </c>
      <c r="D57" s="103">
        <f>_xlfn.COMPOUNDVALUE(370)</f>
        <v>803</v>
      </c>
      <c r="E57" s="104">
        <v>300943</v>
      </c>
      <c r="F57" s="103">
        <f>_xlfn.COMPOUNDVALUE(371)</f>
        <v>2666</v>
      </c>
      <c r="G57" s="104">
        <v>8785851</v>
      </c>
      <c r="H57" s="103">
        <f>_xlfn.COMPOUNDVALUE(372)</f>
        <v>114</v>
      </c>
      <c r="I57" s="105">
        <v>233967</v>
      </c>
      <c r="J57" s="103">
        <v>170</v>
      </c>
      <c r="K57" s="105">
        <v>32928</v>
      </c>
      <c r="L57" s="103">
        <v>2810</v>
      </c>
      <c r="M57" s="105">
        <v>8584811</v>
      </c>
      <c r="N57" s="106" t="s">
        <v>124</v>
      </c>
    </row>
    <row r="58" spans="1:14" ht="22.5" customHeight="1">
      <c r="A58" s="102" t="s">
        <v>226</v>
      </c>
      <c r="B58" s="103">
        <f>_xlfn.COMPOUNDVALUE(373)</f>
        <v>1231</v>
      </c>
      <c r="C58" s="104">
        <v>4477140</v>
      </c>
      <c r="D58" s="103">
        <f>_xlfn.COMPOUNDVALUE(374)</f>
        <v>421</v>
      </c>
      <c r="E58" s="104">
        <v>158637</v>
      </c>
      <c r="F58" s="103">
        <f>_xlfn.COMPOUNDVALUE(375)</f>
        <v>1652</v>
      </c>
      <c r="G58" s="104">
        <v>4635777</v>
      </c>
      <c r="H58" s="103">
        <f>_xlfn.COMPOUNDVALUE(376)</f>
        <v>62</v>
      </c>
      <c r="I58" s="105">
        <v>266739</v>
      </c>
      <c r="J58" s="103">
        <v>103</v>
      </c>
      <c r="K58" s="105">
        <v>-331198</v>
      </c>
      <c r="L58" s="103">
        <v>1735</v>
      </c>
      <c r="M58" s="105">
        <v>4037839</v>
      </c>
      <c r="N58" s="106" t="s">
        <v>126</v>
      </c>
    </row>
    <row r="59" spans="1:14" ht="22.5" customHeight="1">
      <c r="A59" s="102" t="s">
        <v>227</v>
      </c>
      <c r="B59" s="103">
        <f>_xlfn.COMPOUNDVALUE(377)</f>
        <v>1846</v>
      </c>
      <c r="C59" s="104">
        <v>7413037</v>
      </c>
      <c r="D59" s="103">
        <f>_xlfn.COMPOUNDVALUE(378)</f>
        <v>670</v>
      </c>
      <c r="E59" s="104">
        <v>264460</v>
      </c>
      <c r="F59" s="103">
        <f>_xlfn.COMPOUNDVALUE(379)</f>
        <v>2516</v>
      </c>
      <c r="G59" s="104">
        <v>7677497</v>
      </c>
      <c r="H59" s="103">
        <f>_xlfn.COMPOUNDVALUE(380)</f>
        <v>90</v>
      </c>
      <c r="I59" s="105">
        <v>189170</v>
      </c>
      <c r="J59" s="103">
        <v>150</v>
      </c>
      <c r="K59" s="105">
        <v>24118</v>
      </c>
      <c r="L59" s="103">
        <v>2619</v>
      </c>
      <c r="M59" s="105">
        <v>7512444</v>
      </c>
      <c r="N59" s="106" t="s">
        <v>128</v>
      </c>
    </row>
    <row r="60" spans="1:14" ht="22.5" customHeight="1">
      <c r="A60" s="102" t="s">
        <v>228</v>
      </c>
      <c r="B60" s="103">
        <f>_xlfn.COMPOUNDVALUE(381)</f>
        <v>614</v>
      </c>
      <c r="C60" s="104">
        <v>1828057</v>
      </c>
      <c r="D60" s="103">
        <f>_xlfn.COMPOUNDVALUE(382)</f>
        <v>193</v>
      </c>
      <c r="E60" s="104">
        <v>69066</v>
      </c>
      <c r="F60" s="103">
        <f>_xlfn.COMPOUNDVALUE(383)</f>
        <v>807</v>
      </c>
      <c r="G60" s="104">
        <v>1897123</v>
      </c>
      <c r="H60" s="103">
        <f>_xlfn.COMPOUNDVALUE(384)</f>
        <v>34</v>
      </c>
      <c r="I60" s="105">
        <v>52809</v>
      </c>
      <c r="J60" s="103">
        <v>30</v>
      </c>
      <c r="K60" s="105">
        <v>7732</v>
      </c>
      <c r="L60" s="103">
        <v>846</v>
      </c>
      <c r="M60" s="105">
        <v>1852047</v>
      </c>
      <c r="N60" s="106" t="s">
        <v>130</v>
      </c>
    </row>
    <row r="61" spans="1:14" ht="22.5" customHeight="1">
      <c r="A61" s="107" t="s">
        <v>229</v>
      </c>
      <c r="B61" s="108">
        <v>15604</v>
      </c>
      <c r="C61" s="109">
        <v>70415761</v>
      </c>
      <c r="D61" s="108">
        <v>5953</v>
      </c>
      <c r="E61" s="109">
        <v>2228244</v>
      </c>
      <c r="F61" s="108">
        <v>21557</v>
      </c>
      <c r="G61" s="109">
        <v>72644005</v>
      </c>
      <c r="H61" s="108">
        <v>849</v>
      </c>
      <c r="I61" s="110">
        <v>5592228</v>
      </c>
      <c r="J61" s="108">
        <v>1383</v>
      </c>
      <c r="K61" s="110">
        <v>-335027</v>
      </c>
      <c r="L61" s="108">
        <v>22614</v>
      </c>
      <c r="M61" s="110">
        <v>66716750</v>
      </c>
      <c r="N61" s="111" t="s">
        <v>132</v>
      </c>
    </row>
    <row r="62" spans="1:14" ht="22.5" customHeight="1" thickBot="1">
      <c r="A62" s="118"/>
      <c r="B62" s="119"/>
      <c r="C62" s="120"/>
      <c r="D62" s="119"/>
      <c r="E62" s="120"/>
      <c r="F62" s="121"/>
      <c r="G62" s="120"/>
      <c r="H62" s="121"/>
      <c r="I62" s="120"/>
      <c r="J62" s="121"/>
      <c r="K62" s="120"/>
      <c r="L62" s="121"/>
      <c r="M62" s="120"/>
      <c r="N62" s="122"/>
    </row>
    <row r="63" spans="1:14" ht="22.5" customHeight="1" thickBot="1" thickTop="1">
      <c r="A63" s="123" t="s">
        <v>230</v>
      </c>
      <c r="B63" s="124">
        <v>152158</v>
      </c>
      <c r="C63" s="125">
        <v>897127326</v>
      </c>
      <c r="D63" s="124">
        <v>63785</v>
      </c>
      <c r="E63" s="125">
        <v>24215696</v>
      </c>
      <c r="F63" s="124">
        <v>215943</v>
      </c>
      <c r="G63" s="125">
        <v>921343022</v>
      </c>
      <c r="H63" s="124">
        <v>9215</v>
      </c>
      <c r="I63" s="126">
        <v>274011605</v>
      </c>
      <c r="J63" s="124">
        <v>13206</v>
      </c>
      <c r="K63" s="126">
        <v>236452</v>
      </c>
      <c r="L63" s="124">
        <v>226663</v>
      </c>
      <c r="M63" s="126">
        <v>647567869</v>
      </c>
      <c r="N63" s="127" t="s">
        <v>27</v>
      </c>
    </row>
    <row r="64" spans="1:14" s="197" customFormat="1" ht="3" customHeight="1">
      <c r="A64" s="194"/>
      <c r="B64" s="195"/>
      <c r="C64" s="195"/>
      <c r="D64" s="195"/>
      <c r="E64" s="195"/>
      <c r="F64" s="195"/>
      <c r="G64" s="195"/>
      <c r="H64" s="195"/>
      <c r="I64" s="195"/>
      <c r="J64" s="195"/>
      <c r="K64" s="195"/>
      <c r="L64" s="195"/>
      <c r="M64" s="195"/>
      <c r="N64" s="194"/>
    </row>
    <row r="65" spans="1:14" ht="22.5" customHeight="1">
      <c r="A65" s="241" t="s">
        <v>133</v>
      </c>
      <c r="B65" s="241"/>
      <c r="C65" s="241"/>
      <c r="D65" s="241"/>
      <c r="E65" s="241"/>
      <c r="F65" s="241"/>
      <c r="G65" s="241"/>
      <c r="H65" s="241"/>
      <c r="I65" s="241"/>
      <c r="J65" s="87"/>
      <c r="K65" s="87"/>
      <c r="L65" s="88"/>
      <c r="M65" s="88"/>
      <c r="N65" s="88"/>
    </row>
  </sheetData>
  <sheetProtection/>
  <mergeCells count="11">
    <mergeCell ref="L3:M4"/>
    <mergeCell ref="N3:N5"/>
    <mergeCell ref="B4:C4"/>
    <mergeCell ref="D4:E4"/>
    <mergeCell ref="F4:G4"/>
    <mergeCell ref="A65:I65"/>
    <mergeCell ref="A2:I2"/>
    <mergeCell ref="A3:A5"/>
    <mergeCell ref="B3:G3"/>
    <mergeCell ref="H3:I4"/>
    <mergeCell ref="J3:K4"/>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&amp;R名古屋国税局　消費税（H24）</oddFooter>
  </headerFooter>
</worksheet>
</file>

<file path=xl/worksheets/sheet6.xml><?xml version="1.0" encoding="utf-8"?>
<worksheet xmlns="http://schemas.openxmlformats.org/spreadsheetml/2006/main" xmlns:r="http://schemas.openxmlformats.org/officeDocument/2006/relationships">
  <dimension ref="A1:R64"/>
  <sheetViews>
    <sheetView zoomScaleSheetLayoutView="85" workbookViewId="0" topLeftCell="A1">
      <selection activeCell="A1" sqref="A1"/>
    </sheetView>
  </sheetViews>
  <sheetFormatPr defaultColWidth="9.00390625" defaultRowHeight="13.5"/>
  <cols>
    <col min="1" max="1" width="10.00390625" style="128" customWidth="1"/>
    <col min="2" max="2" width="10.625" style="128" customWidth="1"/>
    <col min="3" max="3" width="12.625" style="128" customWidth="1"/>
    <col min="4" max="4" width="10.625" style="128" customWidth="1"/>
    <col min="5" max="5" width="12.625" style="128" customWidth="1"/>
    <col min="6" max="6" width="10.625" style="128" customWidth="1"/>
    <col min="7" max="7" width="12.625" style="128" customWidth="1"/>
    <col min="8" max="8" width="10.625" style="128" customWidth="1"/>
    <col min="9" max="9" width="12.625" style="128" customWidth="1"/>
    <col min="10" max="10" width="10.625" style="128" customWidth="1"/>
    <col min="11" max="11" width="12.625" style="128" customWidth="1"/>
    <col min="12" max="12" width="10.625" style="128" customWidth="1"/>
    <col min="13" max="13" width="12.625" style="128" customWidth="1"/>
    <col min="14" max="17" width="10.625" style="128" customWidth="1"/>
    <col min="18" max="18" width="10.00390625" style="128" customWidth="1"/>
    <col min="19" max="16384" width="9.00390625" style="128" customWidth="1"/>
  </cols>
  <sheetData>
    <row r="1" spans="1:16" ht="12">
      <c r="A1" s="87" t="s">
        <v>239</v>
      </c>
      <c r="B1" s="87"/>
      <c r="C1" s="87"/>
      <c r="D1" s="87"/>
      <c r="E1" s="87"/>
      <c r="F1" s="87"/>
      <c r="G1" s="87"/>
      <c r="H1" s="87"/>
      <c r="I1" s="87"/>
      <c r="J1" s="87"/>
      <c r="K1" s="87"/>
      <c r="L1" s="88"/>
      <c r="M1" s="88"/>
      <c r="N1" s="88"/>
      <c r="O1" s="88"/>
      <c r="P1" s="88"/>
    </row>
    <row r="2" spans="1:16" ht="12.75" thickBot="1">
      <c r="A2" s="250" t="s">
        <v>136</v>
      </c>
      <c r="B2" s="250"/>
      <c r="C2" s="250"/>
      <c r="D2" s="250"/>
      <c r="E2" s="250"/>
      <c r="F2" s="250"/>
      <c r="G2" s="250"/>
      <c r="H2" s="250"/>
      <c r="I2" s="250"/>
      <c r="J2" s="87"/>
      <c r="K2" s="87"/>
      <c r="L2" s="88"/>
      <c r="M2" s="88"/>
      <c r="N2" s="88"/>
      <c r="O2" s="88"/>
      <c r="P2" s="88"/>
    </row>
    <row r="3" spans="1:18" ht="23.25" customHeight="1">
      <c r="A3" s="242" t="s">
        <v>240</v>
      </c>
      <c r="B3" s="245" t="s">
        <v>241</v>
      </c>
      <c r="C3" s="245"/>
      <c r="D3" s="245"/>
      <c r="E3" s="245"/>
      <c r="F3" s="245"/>
      <c r="G3" s="245"/>
      <c r="H3" s="245" t="s">
        <v>13</v>
      </c>
      <c r="I3" s="245"/>
      <c r="J3" s="251" t="s">
        <v>21</v>
      </c>
      <c r="K3" s="245"/>
      <c r="L3" s="245" t="s">
        <v>22</v>
      </c>
      <c r="M3" s="245"/>
      <c r="N3" s="252" t="s">
        <v>242</v>
      </c>
      <c r="O3" s="253"/>
      <c r="P3" s="253"/>
      <c r="Q3" s="253"/>
      <c r="R3" s="235" t="s">
        <v>135</v>
      </c>
    </row>
    <row r="4" spans="1:18" ht="23.25" customHeight="1">
      <c r="A4" s="243"/>
      <c r="B4" s="238" t="s">
        <v>243</v>
      </c>
      <c r="C4" s="238"/>
      <c r="D4" s="238" t="s">
        <v>24</v>
      </c>
      <c r="E4" s="238"/>
      <c r="F4" s="238" t="s">
        <v>25</v>
      </c>
      <c r="G4" s="238"/>
      <c r="H4" s="238"/>
      <c r="I4" s="238"/>
      <c r="J4" s="238"/>
      <c r="K4" s="238"/>
      <c r="L4" s="238"/>
      <c r="M4" s="238"/>
      <c r="N4" s="254" t="s">
        <v>137</v>
      </c>
      <c r="O4" s="256" t="s">
        <v>244</v>
      </c>
      <c r="P4" s="258" t="s">
        <v>245</v>
      </c>
      <c r="Q4" s="248" t="s">
        <v>138</v>
      </c>
      <c r="R4" s="236"/>
    </row>
    <row r="5" spans="1:18" ht="30" customHeight="1">
      <c r="A5" s="244"/>
      <c r="B5" s="199" t="s">
        <v>171</v>
      </c>
      <c r="C5" s="198" t="s">
        <v>172</v>
      </c>
      <c r="D5" s="199" t="s">
        <v>171</v>
      </c>
      <c r="E5" s="198" t="s">
        <v>172</v>
      </c>
      <c r="F5" s="199" t="s">
        <v>171</v>
      </c>
      <c r="G5" s="198" t="s">
        <v>231</v>
      </c>
      <c r="H5" s="199" t="s">
        <v>171</v>
      </c>
      <c r="I5" s="200" t="s">
        <v>232</v>
      </c>
      <c r="J5" s="199" t="s">
        <v>171</v>
      </c>
      <c r="K5" s="200" t="s">
        <v>233</v>
      </c>
      <c r="L5" s="199" t="s">
        <v>171</v>
      </c>
      <c r="M5" s="200" t="s">
        <v>234</v>
      </c>
      <c r="N5" s="255"/>
      <c r="O5" s="257"/>
      <c r="P5" s="259"/>
      <c r="Q5" s="260"/>
      <c r="R5" s="237"/>
    </row>
    <row r="6" spans="1:18" s="137" customFormat="1" ht="12">
      <c r="A6" s="131"/>
      <c r="B6" s="132" t="s">
        <v>4</v>
      </c>
      <c r="C6" s="133" t="s">
        <v>5</v>
      </c>
      <c r="D6" s="132" t="s">
        <v>4</v>
      </c>
      <c r="E6" s="133" t="s">
        <v>5</v>
      </c>
      <c r="F6" s="132" t="s">
        <v>4</v>
      </c>
      <c r="G6" s="133" t="s">
        <v>5</v>
      </c>
      <c r="H6" s="132" t="s">
        <v>4</v>
      </c>
      <c r="I6" s="133" t="s">
        <v>5</v>
      </c>
      <c r="J6" s="132" t="s">
        <v>4</v>
      </c>
      <c r="K6" s="133" t="s">
        <v>5</v>
      </c>
      <c r="L6" s="132" t="s">
        <v>4</v>
      </c>
      <c r="M6" s="133" t="s">
        <v>5</v>
      </c>
      <c r="N6" s="132" t="s">
        <v>4</v>
      </c>
      <c r="O6" s="134" t="s">
        <v>4</v>
      </c>
      <c r="P6" s="134" t="s">
        <v>4</v>
      </c>
      <c r="Q6" s="135" t="s">
        <v>4</v>
      </c>
      <c r="R6" s="136"/>
    </row>
    <row r="7" spans="1:18" ht="25.5" customHeight="1">
      <c r="A7" s="138" t="s">
        <v>29</v>
      </c>
      <c r="B7" s="139">
        <f>_xlfn.COMPOUNDVALUE(385)</f>
        <v>6552</v>
      </c>
      <c r="C7" s="140">
        <v>19292686</v>
      </c>
      <c r="D7" s="139">
        <f>_xlfn.COMPOUNDVALUE(386)</f>
        <v>4495</v>
      </c>
      <c r="E7" s="140">
        <v>1373973</v>
      </c>
      <c r="F7" s="139">
        <f>_xlfn.COMPOUNDVALUE(387)</f>
        <v>11047</v>
      </c>
      <c r="G7" s="140">
        <v>20666658</v>
      </c>
      <c r="H7" s="139">
        <f>_xlfn.COMPOUNDVALUE(388)</f>
        <v>360</v>
      </c>
      <c r="I7" s="141">
        <v>542291</v>
      </c>
      <c r="J7" s="139">
        <v>654</v>
      </c>
      <c r="K7" s="141">
        <v>89000</v>
      </c>
      <c r="L7" s="139">
        <v>11514</v>
      </c>
      <c r="M7" s="141">
        <v>20213367</v>
      </c>
      <c r="N7" s="139">
        <v>11365</v>
      </c>
      <c r="O7" s="142">
        <v>177</v>
      </c>
      <c r="P7" s="142">
        <v>31</v>
      </c>
      <c r="Q7" s="143">
        <v>11573</v>
      </c>
      <c r="R7" s="144" t="s">
        <v>30</v>
      </c>
    </row>
    <row r="8" spans="1:18" ht="25.5" customHeight="1">
      <c r="A8" s="145" t="s">
        <v>31</v>
      </c>
      <c r="B8" s="146">
        <f>_xlfn.COMPOUNDVALUE(389)</f>
        <v>5710</v>
      </c>
      <c r="C8" s="147">
        <v>21012373</v>
      </c>
      <c r="D8" s="146">
        <f>_xlfn.COMPOUNDVALUE(390)</f>
        <v>3780</v>
      </c>
      <c r="E8" s="147">
        <v>1227703</v>
      </c>
      <c r="F8" s="146">
        <f>_xlfn.COMPOUNDVALUE(391)</f>
        <v>9490</v>
      </c>
      <c r="G8" s="147">
        <v>22240076</v>
      </c>
      <c r="H8" s="146">
        <f>_xlfn.COMPOUNDVALUE(392)</f>
        <v>330</v>
      </c>
      <c r="I8" s="148">
        <v>381854</v>
      </c>
      <c r="J8" s="146">
        <v>679</v>
      </c>
      <c r="K8" s="148">
        <v>97147</v>
      </c>
      <c r="L8" s="146">
        <v>9905</v>
      </c>
      <c r="M8" s="148">
        <v>21955369</v>
      </c>
      <c r="N8" s="139">
        <v>9817</v>
      </c>
      <c r="O8" s="142">
        <v>169</v>
      </c>
      <c r="P8" s="142">
        <v>24</v>
      </c>
      <c r="Q8" s="143">
        <v>10010</v>
      </c>
      <c r="R8" s="149" t="s">
        <v>32</v>
      </c>
    </row>
    <row r="9" spans="1:18" ht="25.5" customHeight="1">
      <c r="A9" s="145" t="s">
        <v>33</v>
      </c>
      <c r="B9" s="146">
        <f>_xlfn.COMPOUNDVALUE(393)</f>
        <v>5045</v>
      </c>
      <c r="C9" s="147">
        <v>22050095</v>
      </c>
      <c r="D9" s="146">
        <f>_xlfn.COMPOUNDVALUE(394)</f>
        <v>3669</v>
      </c>
      <c r="E9" s="147">
        <v>1078130</v>
      </c>
      <c r="F9" s="146">
        <f>_xlfn.COMPOUNDVALUE(395)</f>
        <v>8714</v>
      </c>
      <c r="G9" s="147">
        <v>23128225</v>
      </c>
      <c r="H9" s="146">
        <f>_xlfn.COMPOUNDVALUE(396)</f>
        <v>274</v>
      </c>
      <c r="I9" s="148">
        <v>3929015</v>
      </c>
      <c r="J9" s="146">
        <v>571</v>
      </c>
      <c r="K9" s="148">
        <v>-196744</v>
      </c>
      <c r="L9" s="146">
        <v>9097</v>
      </c>
      <c r="M9" s="148">
        <v>19002466</v>
      </c>
      <c r="N9" s="139">
        <v>8953</v>
      </c>
      <c r="O9" s="142">
        <v>150</v>
      </c>
      <c r="P9" s="142">
        <v>24</v>
      </c>
      <c r="Q9" s="143">
        <v>9127</v>
      </c>
      <c r="R9" s="149" t="s">
        <v>34</v>
      </c>
    </row>
    <row r="10" spans="1:18" ht="25.5" customHeight="1">
      <c r="A10" s="145" t="s">
        <v>35</v>
      </c>
      <c r="B10" s="146">
        <f>_xlfn.COMPOUNDVALUE(397)</f>
        <v>2663</v>
      </c>
      <c r="C10" s="147">
        <v>6383128</v>
      </c>
      <c r="D10" s="146">
        <f>_xlfn.COMPOUNDVALUE(398)</f>
        <v>2424</v>
      </c>
      <c r="E10" s="147">
        <v>660855</v>
      </c>
      <c r="F10" s="146">
        <f>_xlfn.COMPOUNDVALUE(399)</f>
        <v>5087</v>
      </c>
      <c r="G10" s="147">
        <v>7043983</v>
      </c>
      <c r="H10" s="146">
        <f>_xlfn.COMPOUNDVALUE(400)</f>
        <v>115</v>
      </c>
      <c r="I10" s="148">
        <v>71122</v>
      </c>
      <c r="J10" s="146">
        <v>361</v>
      </c>
      <c r="K10" s="148">
        <v>21299</v>
      </c>
      <c r="L10" s="146">
        <v>5229</v>
      </c>
      <c r="M10" s="148">
        <v>6994160</v>
      </c>
      <c r="N10" s="139">
        <v>5061</v>
      </c>
      <c r="O10" s="142">
        <v>90</v>
      </c>
      <c r="P10" s="142">
        <v>7</v>
      </c>
      <c r="Q10" s="143">
        <v>5158</v>
      </c>
      <c r="R10" s="149" t="s">
        <v>36</v>
      </c>
    </row>
    <row r="11" spans="1:18" ht="25.5" customHeight="1">
      <c r="A11" s="145" t="s">
        <v>37</v>
      </c>
      <c r="B11" s="146">
        <f>_xlfn.COMPOUNDVALUE(401)</f>
        <v>3884</v>
      </c>
      <c r="C11" s="147">
        <v>10779788</v>
      </c>
      <c r="D11" s="146">
        <f>_xlfn.COMPOUNDVALUE(402)</f>
        <v>3437</v>
      </c>
      <c r="E11" s="147">
        <v>996791</v>
      </c>
      <c r="F11" s="146">
        <f>_xlfn.COMPOUNDVALUE(403)</f>
        <v>7321</v>
      </c>
      <c r="G11" s="147">
        <v>11776579</v>
      </c>
      <c r="H11" s="146">
        <f>_xlfn.COMPOUNDVALUE(404)</f>
        <v>265</v>
      </c>
      <c r="I11" s="148">
        <v>244894</v>
      </c>
      <c r="J11" s="146">
        <v>396</v>
      </c>
      <c r="K11" s="148">
        <v>15353</v>
      </c>
      <c r="L11" s="146">
        <v>7659</v>
      </c>
      <c r="M11" s="148">
        <v>11547038</v>
      </c>
      <c r="N11" s="139">
        <v>7523</v>
      </c>
      <c r="O11" s="142">
        <v>145</v>
      </c>
      <c r="P11" s="142">
        <v>16</v>
      </c>
      <c r="Q11" s="143">
        <v>7684</v>
      </c>
      <c r="R11" s="149" t="s">
        <v>38</v>
      </c>
    </row>
    <row r="12" spans="1:18" ht="25.5" customHeight="1">
      <c r="A12" s="145" t="s">
        <v>39</v>
      </c>
      <c r="B12" s="146">
        <f>_xlfn.COMPOUNDVALUE(405)</f>
        <v>4109</v>
      </c>
      <c r="C12" s="147">
        <v>10706273</v>
      </c>
      <c r="D12" s="146">
        <f>_xlfn.COMPOUNDVALUE(406)</f>
        <v>3108</v>
      </c>
      <c r="E12" s="147">
        <v>897086</v>
      </c>
      <c r="F12" s="146">
        <f>_xlfn.COMPOUNDVALUE(407)</f>
        <v>7217</v>
      </c>
      <c r="G12" s="147">
        <v>11603359</v>
      </c>
      <c r="H12" s="146">
        <f>_xlfn.COMPOUNDVALUE(408)</f>
        <v>230</v>
      </c>
      <c r="I12" s="148">
        <v>492016</v>
      </c>
      <c r="J12" s="146">
        <v>500</v>
      </c>
      <c r="K12" s="148">
        <v>39645</v>
      </c>
      <c r="L12" s="146">
        <v>7533</v>
      </c>
      <c r="M12" s="148">
        <v>11150988</v>
      </c>
      <c r="N12" s="139">
        <v>7264</v>
      </c>
      <c r="O12" s="142">
        <v>132</v>
      </c>
      <c r="P12" s="142">
        <v>9</v>
      </c>
      <c r="Q12" s="143">
        <v>7405</v>
      </c>
      <c r="R12" s="149" t="s">
        <v>40</v>
      </c>
    </row>
    <row r="13" spans="1:18" ht="25.5" customHeight="1">
      <c r="A13" s="145" t="s">
        <v>41</v>
      </c>
      <c r="B13" s="146">
        <f>_xlfn.COMPOUNDVALUE(409)</f>
        <v>1779</v>
      </c>
      <c r="C13" s="147">
        <v>7177449</v>
      </c>
      <c r="D13" s="146">
        <f>_xlfn.COMPOUNDVALUE(410)</f>
        <v>1428</v>
      </c>
      <c r="E13" s="147">
        <v>401743</v>
      </c>
      <c r="F13" s="146">
        <f>_xlfn.COMPOUNDVALUE(411)</f>
        <v>3207</v>
      </c>
      <c r="G13" s="147">
        <v>7579191</v>
      </c>
      <c r="H13" s="146">
        <f>_xlfn.COMPOUNDVALUE(412)</f>
        <v>81</v>
      </c>
      <c r="I13" s="148">
        <v>341607</v>
      </c>
      <c r="J13" s="146">
        <v>247</v>
      </c>
      <c r="K13" s="148">
        <v>23309</v>
      </c>
      <c r="L13" s="146">
        <v>3324</v>
      </c>
      <c r="M13" s="148">
        <v>7260893</v>
      </c>
      <c r="N13" s="139">
        <v>3226</v>
      </c>
      <c r="O13" s="142">
        <v>54</v>
      </c>
      <c r="P13" s="142">
        <v>2</v>
      </c>
      <c r="Q13" s="143">
        <v>3282</v>
      </c>
      <c r="R13" s="149" t="s">
        <v>42</v>
      </c>
    </row>
    <row r="14" spans="1:18" ht="25.5" customHeight="1">
      <c r="A14" s="150" t="s">
        <v>43</v>
      </c>
      <c r="B14" s="151">
        <v>29742</v>
      </c>
      <c r="C14" s="152">
        <v>97401792</v>
      </c>
      <c r="D14" s="151">
        <v>22341</v>
      </c>
      <c r="E14" s="152">
        <v>6636280</v>
      </c>
      <c r="F14" s="151">
        <v>52083</v>
      </c>
      <c r="G14" s="152">
        <v>104038071</v>
      </c>
      <c r="H14" s="151">
        <v>1655</v>
      </c>
      <c r="I14" s="153">
        <v>6002800</v>
      </c>
      <c r="J14" s="151">
        <v>3408</v>
      </c>
      <c r="K14" s="153">
        <v>89009</v>
      </c>
      <c r="L14" s="151">
        <v>54261</v>
      </c>
      <c r="M14" s="153">
        <v>98124280</v>
      </c>
      <c r="N14" s="151">
        <v>53209</v>
      </c>
      <c r="O14" s="154">
        <v>917</v>
      </c>
      <c r="P14" s="154">
        <v>113</v>
      </c>
      <c r="Q14" s="155">
        <v>54239</v>
      </c>
      <c r="R14" s="156" t="s">
        <v>44</v>
      </c>
    </row>
    <row r="15" spans="1:18" ht="25.5" customHeight="1">
      <c r="A15" s="157"/>
      <c r="B15" s="158"/>
      <c r="C15" s="159"/>
      <c r="D15" s="158"/>
      <c r="E15" s="159"/>
      <c r="F15" s="160"/>
      <c r="G15" s="159"/>
      <c r="H15" s="160"/>
      <c r="I15" s="159"/>
      <c r="J15" s="160"/>
      <c r="K15" s="159"/>
      <c r="L15" s="160"/>
      <c r="M15" s="159"/>
      <c r="N15" s="161"/>
      <c r="O15" s="162"/>
      <c r="P15" s="162"/>
      <c r="Q15" s="163"/>
      <c r="R15" s="164" t="s">
        <v>28</v>
      </c>
    </row>
    <row r="16" spans="1:18" ht="25.5" customHeight="1">
      <c r="A16" s="138" t="s">
        <v>45</v>
      </c>
      <c r="B16" s="139">
        <f>_xlfn.COMPOUNDVALUE(413)</f>
        <v>7343</v>
      </c>
      <c r="C16" s="140">
        <v>32367839</v>
      </c>
      <c r="D16" s="139">
        <f>_xlfn.COMPOUNDVALUE(414)</f>
        <v>6233</v>
      </c>
      <c r="E16" s="140">
        <v>1910159</v>
      </c>
      <c r="F16" s="139">
        <f>_xlfn.COMPOUNDVALUE(415)</f>
        <v>13576</v>
      </c>
      <c r="G16" s="140">
        <v>34277998</v>
      </c>
      <c r="H16" s="139">
        <f>_xlfn.COMPOUNDVALUE(416)</f>
        <v>407</v>
      </c>
      <c r="I16" s="141">
        <v>1116896</v>
      </c>
      <c r="J16" s="139">
        <v>798</v>
      </c>
      <c r="K16" s="141">
        <v>89220</v>
      </c>
      <c r="L16" s="139">
        <v>14170</v>
      </c>
      <c r="M16" s="141">
        <v>33250322</v>
      </c>
      <c r="N16" s="139">
        <v>13762</v>
      </c>
      <c r="O16" s="142">
        <v>237</v>
      </c>
      <c r="P16" s="142">
        <v>42</v>
      </c>
      <c r="Q16" s="143">
        <v>14041</v>
      </c>
      <c r="R16" s="149" t="s">
        <v>46</v>
      </c>
    </row>
    <row r="17" spans="1:18" ht="25.5" customHeight="1">
      <c r="A17" s="138" t="s">
        <v>47</v>
      </c>
      <c r="B17" s="139">
        <f>_xlfn.COMPOUNDVALUE(417)</f>
        <v>3421</v>
      </c>
      <c r="C17" s="140">
        <v>12838992</v>
      </c>
      <c r="D17" s="139">
        <f>_xlfn.COMPOUNDVALUE(418)</f>
        <v>3067</v>
      </c>
      <c r="E17" s="140">
        <v>889272</v>
      </c>
      <c r="F17" s="139">
        <f>_xlfn.COMPOUNDVALUE(419)</f>
        <v>6488</v>
      </c>
      <c r="G17" s="140">
        <v>13728264</v>
      </c>
      <c r="H17" s="139">
        <f>_xlfn.COMPOUNDVALUE(420)</f>
        <v>216</v>
      </c>
      <c r="I17" s="141">
        <v>1007604</v>
      </c>
      <c r="J17" s="139">
        <v>333</v>
      </c>
      <c r="K17" s="141">
        <v>26760</v>
      </c>
      <c r="L17" s="139">
        <v>6778</v>
      </c>
      <c r="M17" s="141">
        <v>12747420</v>
      </c>
      <c r="N17" s="139">
        <v>6530</v>
      </c>
      <c r="O17" s="142">
        <v>111</v>
      </c>
      <c r="P17" s="142">
        <v>19</v>
      </c>
      <c r="Q17" s="143">
        <v>6660</v>
      </c>
      <c r="R17" s="149" t="s">
        <v>48</v>
      </c>
    </row>
    <row r="18" spans="1:18" ht="25.5" customHeight="1">
      <c r="A18" s="138" t="s">
        <v>49</v>
      </c>
      <c r="B18" s="139">
        <f>_xlfn.COMPOUNDVALUE(421)</f>
        <v>6873</v>
      </c>
      <c r="C18" s="140">
        <v>26118837</v>
      </c>
      <c r="D18" s="139">
        <f>_xlfn.COMPOUNDVALUE(422)</f>
        <v>6198</v>
      </c>
      <c r="E18" s="140">
        <v>1872114</v>
      </c>
      <c r="F18" s="139">
        <f>_xlfn.COMPOUNDVALUE(423)</f>
        <v>13071</v>
      </c>
      <c r="G18" s="140">
        <v>27990950</v>
      </c>
      <c r="H18" s="139">
        <f>_xlfn.COMPOUNDVALUE(424)</f>
        <v>489</v>
      </c>
      <c r="I18" s="141">
        <v>2843364</v>
      </c>
      <c r="J18" s="139">
        <v>601</v>
      </c>
      <c r="K18" s="141">
        <v>64988</v>
      </c>
      <c r="L18" s="139">
        <v>13700</v>
      </c>
      <c r="M18" s="141">
        <v>25212574</v>
      </c>
      <c r="N18" s="139">
        <v>13594</v>
      </c>
      <c r="O18" s="142">
        <v>282</v>
      </c>
      <c r="P18" s="142">
        <v>36</v>
      </c>
      <c r="Q18" s="143">
        <v>13912</v>
      </c>
      <c r="R18" s="149" t="s">
        <v>50</v>
      </c>
    </row>
    <row r="19" spans="1:18" ht="25.5" customHeight="1">
      <c r="A19" s="138" t="s">
        <v>51</v>
      </c>
      <c r="B19" s="139">
        <f>_xlfn.COMPOUNDVALUE(425)</f>
        <v>5000</v>
      </c>
      <c r="C19" s="140">
        <v>16026310</v>
      </c>
      <c r="D19" s="139">
        <f>_xlfn.COMPOUNDVALUE(426)</f>
        <v>3603</v>
      </c>
      <c r="E19" s="140">
        <v>1141243</v>
      </c>
      <c r="F19" s="139">
        <f>_xlfn.COMPOUNDVALUE(427)</f>
        <v>8603</v>
      </c>
      <c r="G19" s="140">
        <v>17167552</v>
      </c>
      <c r="H19" s="139">
        <f>_xlfn.COMPOUNDVALUE(428)</f>
        <v>295</v>
      </c>
      <c r="I19" s="141">
        <v>9769350</v>
      </c>
      <c r="J19" s="139">
        <v>516</v>
      </c>
      <c r="K19" s="141">
        <v>39371</v>
      </c>
      <c r="L19" s="139">
        <v>9019</v>
      </c>
      <c r="M19" s="141">
        <v>7437574</v>
      </c>
      <c r="N19" s="139">
        <v>9025</v>
      </c>
      <c r="O19" s="142">
        <v>137</v>
      </c>
      <c r="P19" s="142">
        <v>12</v>
      </c>
      <c r="Q19" s="143">
        <v>9174</v>
      </c>
      <c r="R19" s="149" t="s">
        <v>52</v>
      </c>
    </row>
    <row r="20" spans="1:18" ht="25.5" customHeight="1">
      <c r="A20" s="138" t="s">
        <v>53</v>
      </c>
      <c r="B20" s="139">
        <f>_xlfn.COMPOUNDVALUE(429)</f>
        <v>5650</v>
      </c>
      <c r="C20" s="140">
        <v>21453752</v>
      </c>
      <c r="D20" s="139">
        <f>_xlfn.COMPOUNDVALUE(430)</f>
        <v>4926</v>
      </c>
      <c r="E20" s="140">
        <v>1515791</v>
      </c>
      <c r="F20" s="139">
        <f>_xlfn.COMPOUNDVALUE(431)</f>
        <v>10576</v>
      </c>
      <c r="G20" s="140">
        <v>22969543</v>
      </c>
      <c r="H20" s="139">
        <f>_xlfn.COMPOUNDVALUE(432)</f>
        <v>258</v>
      </c>
      <c r="I20" s="141">
        <v>844434</v>
      </c>
      <c r="J20" s="139">
        <v>668</v>
      </c>
      <c r="K20" s="141">
        <v>48023</v>
      </c>
      <c r="L20" s="139">
        <v>10996</v>
      </c>
      <c r="M20" s="141">
        <v>22173132</v>
      </c>
      <c r="N20" s="139">
        <v>10867</v>
      </c>
      <c r="O20" s="142">
        <v>205</v>
      </c>
      <c r="P20" s="142">
        <v>31</v>
      </c>
      <c r="Q20" s="143">
        <v>11103</v>
      </c>
      <c r="R20" s="149" t="s">
        <v>54</v>
      </c>
    </row>
    <row r="21" spans="1:18" ht="25.5" customHeight="1">
      <c r="A21" s="138" t="s">
        <v>55</v>
      </c>
      <c r="B21" s="139">
        <f>_xlfn.COMPOUNDVALUE(433)</f>
        <v>1709</v>
      </c>
      <c r="C21" s="140">
        <v>3270085</v>
      </c>
      <c r="D21" s="139">
        <f>_xlfn.COMPOUNDVALUE(434)</f>
        <v>1758</v>
      </c>
      <c r="E21" s="140">
        <v>497604</v>
      </c>
      <c r="F21" s="139">
        <f>_xlfn.COMPOUNDVALUE(435)</f>
        <v>3467</v>
      </c>
      <c r="G21" s="140">
        <v>3767688</v>
      </c>
      <c r="H21" s="139">
        <f>_xlfn.COMPOUNDVALUE(436)</f>
        <v>92</v>
      </c>
      <c r="I21" s="141">
        <v>168605</v>
      </c>
      <c r="J21" s="139">
        <v>210</v>
      </c>
      <c r="K21" s="141">
        <v>24028</v>
      </c>
      <c r="L21" s="139">
        <v>3614</v>
      </c>
      <c r="M21" s="141">
        <v>3623112</v>
      </c>
      <c r="N21" s="139">
        <v>3559</v>
      </c>
      <c r="O21" s="142">
        <v>80</v>
      </c>
      <c r="P21" s="142">
        <v>12</v>
      </c>
      <c r="Q21" s="143">
        <v>3651</v>
      </c>
      <c r="R21" s="149" t="s">
        <v>56</v>
      </c>
    </row>
    <row r="22" spans="1:18" ht="25.5" customHeight="1">
      <c r="A22" s="145" t="s">
        <v>57</v>
      </c>
      <c r="B22" s="146">
        <f>_xlfn.COMPOUNDVALUE(437)</f>
        <v>2757</v>
      </c>
      <c r="C22" s="147">
        <v>7080769</v>
      </c>
      <c r="D22" s="146">
        <f>_xlfn.COMPOUNDVALUE(438)</f>
        <v>2906</v>
      </c>
      <c r="E22" s="147">
        <v>869049</v>
      </c>
      <c r="F22" s="146">
        <f>_xlfn.COMPOUNDVALUE(439)</f>
        <v>5663</v>
      </c>
      <c r="G22" s="147">
        <v>7949818</v>
      </c>
      <c r="H22" s="146">
        <f>_xlfn.COMPOUNDVALUE(440)</f>
        <v>118</v>
      </c>
      <c r="I22" s="148">
        <v>119959</v>
      </c>
      <c r="J22" s="146">
        <v>274</v>
      </c>
      <c r="K22" s="148">
        <v>30177</v>
      </c>
      <c r="L22" s="146">
        <v>5831</v>
      </c>
      <c r="M22" s="148">
        <v>7860036</v>
      </c>
      <c r="N22" s="139">
        <v>5842</v>
      </c>
      <c r="O22" s="142">
        <v>100</v>
      </c>
      <c r="P22" s="142">
        <v>17</v>
      </c>
      <c r="Q22" s="143">
        <v>5959</v>
      </c>
      <c r="R22" s="149" t="s">
        <v>58</v>
      </c>
    </row>
    <row r="23" spans="1:18" ht="25.5" customHeight="1">
      <c r="A23" s="145" t="s">
        <v>59</v>
      </c>
      <c r="B23" s="146">
        <f>_xlfn.COMPOUNDVALUE(441)</f>
        <v>2572</v>
      </c>
      <c r="C23" s="147">
        <v>7792838</v>
      </c>
      <c r="D23" s="146">
        <f>_xlfn.COMPOUNDVALUE(442)</f>
        <v>2456</v>
      </c>
      <c r="E23" s="147">
        <v>678193</v>
      </c>
      <c r="F23" s="146">
        <f>_xlfn.COMPOUNDVALUE(443)</f>
        <v>5028</v>
      </c>
      <c r="G23" s="147">
        <v>8471031</v>
      </c>
      <c r="H23" s="146">
        <f>_xlfn.COMPOUNDVALUE(444)</f>
        <v>112</v>
      </c>
      <c r="I23" s="148">
        <v>403780</v>
      </c>
      <c r="J23" s="146">
        <v>209</v>
      </c>
      <c r="K23" s="148">
        <v>24469</v>
      </c>
      <c r="L23" s="146">
        <v>5189</v>
      </c>
      <c r="M23" s="148">
        <v>8091720</v>
      </c>
      <c r="N23" s="139">
        <v>5081</v>
      </c>
      <c r="O23" s="142">
        <v>96</v>
      </c>
      <c r="P23" s="142">
        <v>4</v>
      </c>
      <c r="Q23" s="143">
        <v>5181</v>
      </c>
      <c r="R23" s="149" t="s">
        <v>60</v>
      </c>
    </row>
    <row r="24" spans="1:18" ht="25.5" customHeight="1">
      <c r="A24" s="145" t="s">
        <v>61</v>
      </c>
      <c r="B24" s="146">
        <f>_xlfn.COMPOUNDVALUE(445)</f>
        <v>5137</v>
      </c>
      <c r="C24" s="147">
        <v>16608509</v>
      </c>
      <c r="D24" s="146">
        <f>_xlfn.COMPOUNDVALUE(446)</f>
        <v>4654</v>
      </c>
      <c r="E24" s="147">
        <v>1451610</v>
      </c>
      <c r="F24" s="146">
        <f>_xlfn.COMPOUNDVALUE(447)</f>
        <v>9791</v>
      </c>
      <c r="G24" s="147">
        <v>18060120</v>
      </c>
      <c r="H24" s="146">
        <f>_xlfn.COMPOUNDVALUE(448)</f>
        <v>243</v>
      </c>
      <c r="I24" s="148">
        <v>1933881</v>
      </c>
      <c r="J24" s="146">
        <v>541</v>
      </c>
      <c r="K24" s="148">
        <v>79282</v>
      </c>
      <c r="L24" s="146">
        <v>10117</v>
      </c>
      <c r="M24" s="148">
        <v>16205520</v>
      </c>
      <c r="N24" s="139">
        <v>10152</v>
      </c>
      <c r="O24" s="142">
        <v>168</v>
      </c>
      <c r="P24" s="142">
        <v>20</v>
      </c>
      <c r="Q24" s="143">
        <v>10340</v>
      </c>
      <c r="R24" s="149" t="s">
        <v>62</v>
      </c>
    </row>
    <row r="25" spans="1:18" ht="25.5" customHeight="1">
      <c r="A25" s="145" t="s">
        <v>63</v>
      </c>
      <c r="B25" s="146">
        <f>_xlfn.COMPOUNDVALUE(449)</f>
        <v>3097</v>
      </c>
      <c r="C25" s="147">
        <v>9909597</v>
      </c>
      <c r="D25" s="146">
        <f>_xlfn.COMPOUNDVALUE(450)</f>
        <v>2872</v>
      </c>
      <c r="E25" s="147">
        <v>867332</v>
      </c>
      <c r="F25" s="146">
        <f>_xlfn.COMPOUNDVALUE(451)</f>
        <v>5969</v>
      </c>
      <c r="G25" s="147">
        <v>10776929</v>
      </c>
      <c r="H25" s="146">
        <f>_xlfn.COMPOUNDVALUE(452)</f>
        <v>189</v>
      </c>
      <c r="I25" s="148">
        <v>9190706</v>
      </c>
      <c r="J25" s="146">
        <v>371</v>
      </c>
      <c r="K25" s="148">
        <v>22944</v>
      </c>
      <c r="L25" s="146">
        <v>6212</v>
      </c>
      <c r="M25" s="148">
        <v>1609166</v>
      </c>
      <c r="N25" s="139">
        <v>6149</v>
      </c>
      <c r="O25" s="142">
        <v>114</v>
      </c>
      <c r="P25" s="142">
        <v>5</v>
      </c>
      <c r="Q25" s="143">
        <v>6268</v>
      </c>
      <c r="R25" s="149" t="s">
        <v>64</v>
      </c>
    </row>
    <row r="26" spans="1:18" ht="25.5" customHeight="1">
      <c r="A26" s="145" t="s">
        <v>65</v>
      </c>
      <c r="B26" s="146">
        <f>_xlfn.COMPOUNDVALUE(453)</f>
        <v>2364</v>
      </c>
      <c r="C26" s="147">
        <v>6824195</v>
      </c>
      <c r="D26" s="146">
        <f>_xlfn.COMPOUNDVALUE(454)</f>
        <v>2422</v>
      </c>
      <c r="E26" s="147">
        <v>695483</v>
      </c>
      <c r="F26" s="146">
        <f>_xlfn.COMPOUNDVALUE(455)</f>
        <v>4786</v>
      </c>
      <c r="G26" s="147">
        <v>7519679</v>
      </c>
      <c r="H26" s="146">
        <f>_xlfn.COMPOUNDVALUE(456)</f>
        <v>146</v>
      </c>
      <c r="I26" s="148">
        <v>343530</v>
      </c>
      <c r="J26" s="146">
        <v>261</v>
      </c>
      <c r="K26" s="148">
        <v>26423</v>
      </c>
      <c r="L26" s="146">
        <v>4974</v>
      </c>
      <c r="M26" s="148">
        <v>7202571</v>
      </c>
      <c r="N26" s="139">
        <v>4905</v>
      </c>
      <c r="O26" s="142">
        <v>90</v>
      </c>
      <c r="P26" s="142">
        <v>9</v>
      </c>
      <c r="Q26" s="143">
        <v>5004</v>
      </c>
      <c r="R26" s="149" t="s">
        <v>66</v>
      </c>
    </row>
    <row r="27" spans="1:18" ht="25.5" customHeight="1">
      <c r="A27" s="145" t="s">
        <v>67</v>
      </c>
      <c r="B27" s="146">
        <f>_xlfn.COMPOUNDVALUE(457)</f>
        <v>3608</v>
      </c>
      <c r="C27" s="147">
        <v>10729466</v>
      </c>
      <c r="D27" s="146">
        <f>_xlfn.COMPOUNDVALUE(458)</f>
        <v>3073</v>
      </c>
      <c r="E27" s="147">
        <v>906042</v>
      </c>
      <c r="F27" s="146">
        <f>_xlfn.COMPOUNDVALUE(459)</f>
        <v>6681</v>
      </c>
      <c r="G27" s="147">
        <v>11635508</v>
      </c>
      <c r="H27" s="146">
        <f>_xlfn.COMPOUNDVALUE(460)</f>
        <v>184</v>
      </c>
      <c r="I27" s="148">
        <v>273060</v>
      </c>
      <c r="J27" s="146">
        <v>398</v>
      </c>
      <c r="K27" s="148">
        <v>38827</v>
      </c>
      <c r="L27" s="146">
        <v>6954</v>
      </c>
      <c r="M27" s="148">
        <v>11401275</v>
      </c>
      <c r="N27" s="139">
        <v>6661</v>
      </c>
      <c r="O27" s="142">
        <v>98</v>
      </c>
      <c r="P27" s="142">
        <v>11</v>
      </c>
      <c r="Q27" s="143">
        <v>6770</v>
      </c>
      <c r="R27" s="149" t="s">
        <v>68</v>
      </c>
    </row>
    <row r="28" spans="1:18" ht="25.5" customHeight="1">
      <c r="A28" s="145" t="s">
        <v>69</v>
      </c>
      <c r="B28" s="146">
        <f>_xlfn.COMPOUNDVALUE(461)</f>
        <v>1101</v>
      </c>
      <c r="C28" s="147">
        <v>1730725</v>
      </c>
      <c r="D28" s="146">
        <f>_xlfn.COMPOUNDVALUE(462)</f>
        <v>1126</v>
      </c>
      <c r="E28" s="147">
        <v>286250</v>
      </c>
      <c r="F28" s="146">
        <f>_xlfn.COMPOUNDVALUE(463)</f>
        <v>2227</v>
      </c>
      <c r="G28" s="147">
        <v>2016974</v>
      </c>
      <c r="H28" s="146">
        <f>_xlfn.COMPOUNDVALUE(464)</f>
        <v>51</v>
      </c>
      <c r="I28" s="148">
        <v>36375</v>
      </c>
      <c r="J28" s="146">
        <v>103</v>
      </c>
      <c r="K28" s="148">
        <v>-263363</v>
      </c>
      <c r="L28" s="146">
        <v>2292</v>
      </c>
      <c r="M28" s="148">
        <v>1717236</v>
      </c>
      <c r="N28" s="146">
        <v>2194</v>
      </c>
      <c r="O28" s="165">
        <v>37</v>
      </c>
      <c r="P28" s="165">
        <v>4</v>
      </c>
      <c r="Q28" s="166">
        <v>2235</v>
      </c>
      <c r="R28" s="149" t="s">
        <v>70</v>
      </c>
    </row>
    <row r="29" spans="1:18" ht="25.5" customHeight="1">
      <c r="A29" s="150" t="s">
        <v>71</v>
      </c>
      <c r="B29" s="151">
        <v>50632</v>
      </c>
      <c r="C29" s="152">
        <v>172751912</v>
      </c>
      <c r="D29" s="151">
        <v>45294</v>
      </c>
      <c r="E29" s="152">
        <v>13580142</v>
      </c>
      <c r="F29" s="151">
        <v>95926</v>
      </c>
      <c r="G29" s="152">
        <v>186332054</v>
      </c>
      <c r="H29" s="151">
        <v>2800</v>
      </c>
      <c r="I29" s="153">
        <v>28051544</v>
      </c>
      <c r="J29" s="151">
        <v>5283</v>
      </c>
      <c r="K29" s="153">
        <v>251148</v>
      </c>
      <c r="L29" s="151">
        <v>99846</v>
      </c>
      <c r="M29" s="153">
        <v>158531658</v>
      </c>
      <c r="N29" s="151">
        <v>98321</v>
      </c>
      <c r="O29" s="154">
        <v>1755</v>
      </c>
      <c r="P29" s="154">
        <v>222</v>
      </c>
      <c r="Q29" s="155">
        <v>100298</v>
      </c>
      <c r="R29" s="156" t="s">
        <v>72</v>
      </c>
    </row>
    <row r="30" spans="1:18" ht="25.5" customHeight="1">
      <c r="A30" s="157"/>
      <c r="B30" s="158"/>
      <c r="C30" s="159"/>
      <c r="D30" s="158"/>
      <c r="E30" s="159"/>
      <c r="F30" s="160"/>
      <c r="G30" s="159"/>
      <c r="H30" s="160"/>
      <c r="I30" s="159"/>
      <c r="J30" s="160"/>
      <c r="K30" s="159"/>
      <c r="L30" s="160"/>
      <c r="M30" s="159"/>
      <c r="N30" s="161"/>
      <c r="O30" s="162"/>
      <c r="P30" s="162"/>
      <c r="Q30" s="163"/>
      <c r="R30" s="164" t="s">
        <v>28</v>
      </c>
    </row>
    <row r="31" spans="1:18" ht="25.5" customHeight="1">
      <c r="A31" s="138" t="s">
        <v>73</v>
      </c>
      <c r="B31" s="139">
        <f>_xlfn.COMPOUNDVALUE(465)</f>
        <v>4442</v>
      </c>
      <c r="C31" s="140">
        <v>18731501</v>
      </c>
      <c r="D31" s="139">
        <f>_xlfn.COMPOUNDVALUE(466)</f>
        <v>3328</v>
      </c>
      <c r="E31" s="140">
        <v>1153259</v>
      </c>
      <c r="F31" s="139">
        <f>_xlfn.COMPOUNDVALUE(467)</f>
        <v>7770</v>
      </c>
      <c r="G31" s="140">
        <v>19884760</v>
      </c>
      <c r="H31" s="139">
        <f>_xlfn.COMPOUNDVALUE(468)</f>
        <v>372</v>
      </c>
      <c r="I31" s="141">
        <v>662677</v>
      </c>
      <c r="J31" s="139">
        <v>544</v>
      </c>
      <c r="K31" s="141">
        <v>65372</v>
      </c>
      <c r="L31" s="139">
        <v>8279</v>
      </c>
      <c r="M31" s="141">
        <v>19287454</v>
      </c>
      <c r="N31" s="139">
        <v>8130</v>
      </c>
      <c r="O31" s="142">
        <v>206</v>
      </c>
      <c r="P31" s="142">
        <v>44</v>
      </c>
      <c r="Q31" s="143">
        <v>8380</v>
      </c>
      <c r="R31" s="149" t="s">
        <v>74</v>
      </c>
    </row>
    <row r="32" spans="1:18" ht="25.5" customHeight="1">
      <c r="A32" s="138" t="s">
        <v>75</v>
      </c>
      <c r="B32" s="139">
        <f>_xlfn.COMPOUNDVALUE(469)</f>
        <v>2383</v>
      </c>
      <c r="C32" s="140">
        <v>30229305</v>
      </c>
      <c r="D32" s="139">
        <f>_xlfn.COMPOUNDVALUE(470)</f>
        <v>1301</v>
      </c>
      <c r="E32" s="140">
        <v>449995</v>
      </c>
      <c r="F32" s="139">
        <f>_xlfn.COMPOUNDVALUE(471)</f>
        <v>3684</v>
      </c>
      <c r="G32" s="140">
        <v>30679300</v>
      </c>
      <c r="H32" s="139">
        <f>_xlfn.COMPOUNDVALUE(472)</f>
        <v>254</v>
      </c>
      <c r="I32" s="141">
        <v>1666569</v>
      </c>
      <c r="J32" s="139">
        <v>300</v>
      </c>
      <c r="K32" s="141">
        <v>-27329</v>
      </c>
      <c r="L32" s="139">
        <v>4013</v>
      </c>
      <c r="M32" s="141">
        <v>28985402</v>
      </c>
      <c r="N32" s="146">
        <v>3895</v>
      </c>
      <c r="O32" s="165">
        <v>108</v>
      </c>
      <c r="P32" s="165">
        <v>35</v>
      </c>
      <c r="Q32" s="166">
        <v>4038</v>
      </c>
      <c r="R32" s="149" t="s">
        <v>76</v>
      </c>
    </row>
    <row r="33" spans="1:18" ht="25.5" customHeight="1">
      <c r="A33" s="138" t="s">
        <v>77</v>
      </c>
      <c r="B33" s="139">
        <f>_xlfn.COMPOUNDVALUE(473)</f>
        <v>4808</v>
      </c>
      <c r="C33" s="140">
        <v>16249497</v>
      </c>
      <c r="D33" s="139">
        <f>_xlfn.COMPOUNDVALUE(474)</f>
        <v>3240</v>
      </c>
      <c r="E33" s="140">
        <v>1009286</v>
      </c>
      <c r="F33" s="139">
        <f>_xlfn.COMPOUNDVALUE(475)</f>
        <v>8048</v>
      </c>
      <c r="G33" s="140">
        <v>17258783</v>
      </c>
      <c r="H33" s="139">
        <f>_xlfn.COMPOUNDVALUE(476)</f>
        <v>323</v>
      </c>
      <c r="I33" s="141">
        <v>646605</v>
      </c>
      <c r="J33" s="139">
        <v>477</v>
      </c>
      <c r="K33" s="141">
        <v>71610</v>
      </c>
      <c r="L33" s="139">
        <v>8468</v>
      </c>
      <c r="M33" s="141">
        <v>16683788</v>
      </c>
      <c r="N33" s="146">
        <v>8359</v>
      </c>
      <c r="O33" s="165">
        <v>181</v>
      </c>
      <c r="P33" s="165">
        <v>22</v>
      </c>
      <c r="Q33" s="166">
        <v>8562</v>
      </c>
      <c r="R33" s="149" t="s">
        <v>78</v>
      </c>
    </row>
    <row r="34" spans="1:18" ht="25.5" customHeight="1">
      <c r="A34" s="138" t="s">
        <v>79</v>
      </c>
      <c r="B34" s="139">
        <f>_xlfn.COMPOUNDVALUE(477)</f>
        <v>5659</v>
      </c>
      <c r="C34" s="140">
        <v>25929087</v>
      </c>
      <c r="D34" s="139">
        <f>_xlfn.COMPOUNDVALUE(478)</f>
        <v>3343</v>
      </c>
      <c r="E34" s="140">
        <v>1037536</v>
      </c>
      <c r="F34" s="139">
        <f>_xlfn.COMPOUNDVALUE(479)</f>
        <v>9002</v>
      </c>
      <c r="G34" s="140">
        <v>26966623</v>
      </c>
      <c r="H34" s="139">
        <f>_xlfn.COMPOUNDVALUE(480)</f>
        <v>296</v>
      </c>
      <c r="I34" s="141">
        <v>588227</v>
      </c>
      <c r="J34" s="139">
        <v>686</v>
      </c>
      <c r="K34" s="141">
        <v>22806</v>
      </c>
      <c r="L34" s="139">
        <v>9436</v>
      </c>
      <c r="M34" s="141">
        <v>26401202</v>
      </c>
      <c r="N34" s="146">
        <v>9412</v>
      </c>
      <c r="O34" s="165">
        <v>133</v>
      </c>
      <c r="P34" s="165">
        <v>37</v>
      </c>
      <c r="Q34" s="166">
        <v>9582</v>
      </c>
      <c r="R34" s="149" t="s">
        <v>80</v>
      </c>
    </row>
    <row r="35" spans="1:18" ht="25.5" customHeight="1">
      <c r="A35" s="167" t="s">
        <v>81</v>
      </c>
      <c r="B35" s="139">
        <f>_xlfn.COMPOUNDVALUE(481)</f>
        <v>3584</v>
      </c>
      <c r="C35" s="140">
        <v>57487155</v>
      </c>
      <c r="D35" s="139">
        <f>_xlfn.COMPOUNDVALUE(482)</f>
        <v>1821</v>
      </c>
      <c r="E35" s="140">
        <v>613185</v>
      </c>
      <c r="F35" s="139">
        <f>_xlfn.COMPOUNDVALUE(483)</f>
        <v>5405</v>
      </c>
      <c r="G35" s="140">
        <v>58100340</v>
      </c>
      <c r="H35" s="139">
        <f>_xlfn.COMPOUNDVALUE(484)</f>
        <v>245</v>
      </c>
      <c r="I35" s="141">
        <v>41945781</v>
      </c>
      <c r="J35" s="139">
        <v>365</v>
      </c>
      <c r="K35" s="141">
        <v>-1837</v>
      </c>
      <c r="L35" s="139">
        <v>5732</v>
      </c>
      <c r="M35" s="141">
        <v>16152721</v>
      </c>
      <c r="N35" s="146">
        <v>5663</v>
      </c>
      <c r="O35" s="165">
        <v>128</v>
      </c>
      <c r="P35" s="165">
        <v>44</v>
      </c>
      <c r="Q35" s="166">
        <v>5835</v>
      </c>
      <c r="R35" s="168" t="s">
        <v>82</v>
      </c>
    </row>
    <row r="36" spans="1:18" ht="25.5" customHeight="1">
      <c r="A36" s="138" t="s">
        <v>83</v>
      </c>
      <c r="B36" s="139">
        <f>_xlfn.COMPOUNDVALUE(485)</f>
        <v>6685</v>
      </c>
      <c r="C36" s="140">
        <v>104198317</v>
      </c>
      <c r="D36" s="139">
        <f>_xlfn.COMPOUNDVALUE(486)</f>
        <v>2869</v>
      </c>
      <c r="E36" s="140">
        <v>1131620</v>
      </c>
      <c r="F36" s="139">
        <f>_xlfn.COMPOUNDVALUE(487)</f>
        <v>9554</v>
      </c>
      <c r="G36" s="140">
        <v>105329937</v>
      </c>
      <c r="H36" s="139">
        <f>_xlfn.COMPOUNDVALUE(488)</f>
        <v>602</v>
      </c>
      <c r="I36" s="141">
        <v>4603517</v>
      </c>
      <c r="J36" s="139">
        <v>683</v>
      </c>
      <c r="K36" s="141">
        <v>177358</v>
      </c>
      <c r="L36" s="139">
        <v>10283</v>
      </c>
      <c r="M36" s="141">
        <v>100903778</v>
      </c>
      <c r="N36" s="146">
        <v>10374</v>
      </c>
      <c r="O36" s="165">
        <v>325</v>
      </c>
      <c r="P36" s="165">
        <v>102</v>
      </c>
      <c r="Q36" s="166">
        <v>10801</v>
      </c>
      <c r="R36" s="149" t="s">
        <v>84</v>
      </c>
    </row>
    <row r="37" spans="1:18" ht="25.5" customHeight="1">
      <c r="A37" s="138" t="s">
        <v>85</v>
      </c>
      <c r="B37" s="139">
        <f>_xlfn.COMPOUNDVALUE(489)</f>
        <v>7415</v>
      </c>
      <c r="C37" s="140">
        <v>34280451</v>
      </c>
      <c r="D37" s="139">
        <f>_xlfn.COMPOUNDVALUE(490)</f>
        <v>5358</v>
      </c>
      <c r="E37" s="140">
        <v>1745342</v>
      </c>
      <c r="F37" s="139">
        <f>_xlfn.COMPOUNDVALUE(491)</f>
        <v>12773</v>
      </c>
      <c r="G37" s="140">
        <v>36025792</v>
      </c>
      <c r="H37" s="139">
        <f>_xlfn.COMPOUNDVALUE(492)</f>
        <v>589</v>
      </c>
      <c r="I37" s="141">
        <v>7679080</v>
      </c>
      <c r="J37" s="139">
        <v>927</v>
      </c>
      <c r="K37" s="141">
        <v>72722</v>
      </c>
      <c r="L37" s="139">
        <v>13542</v>
      </c>
      <c r="M37" s="141">
        <v>28419434</v>
      </c>
      <c r="N37" s="146">
        <v>13244</v>
      </c>
      <c r="O37" s="165">
        <v>314</v>
      </c>
      <c r="P37" s="165">
        <v>33</v>
      </c>
      <c r="Q37" s="166">
        <v>13591</v>
      </c>
      <c r="R37" s="149" t="s">
        <v>86</v>
      </c>
    </row>
    <row r="38" spans="1:18" ht="25.5" customHeight="1">
      <c r="A38" s="138" t="s">
        <v>87</v>
      </c>
      <c r="B38" s="139">
        <f>_xlfn.COMPOUNDVALUE(493)</f>
        <v>7171</v>
      </c>
      <c r="C38" s="140">
        <v>35395614</v>
      </c>
      <c r="D38" s="139">
        <f>_xlfn.COMPOUNDVALUE(494)</f>
        <v>4624</v>
      </c>
      <c r="E38" s="140">
        <v>1535153</v>
      </c>
      <c r="F38" s="139">
        <f>_xlfn.COMPOUNDVALUE(495)</f>
        <v>11795</v>
      </c>
      <c r="G38" s="140">
        <v>36930767</v>
      </c>
      <c r="H38" s="139">
        <f>_xlfn.COMPOUNDVALUE(496)</f>
        <v>389</v>
      </c>
      <c r="I38" s="141">
        <v>772828</v>
      </c>
      <c r="J38" s="139">
        <v>789</v>
      </c>
      <c r="K38" s="141">
        <v>97554</v>
      </c>
      <c r="L38" s="139">
        <v>12323</v>
      </c>
      <c r="M38" s="141">
        <v>36255492</v>
      </c>
      <c r="N38" s="146">
        <v>12285</v>
      </c>
      <c r="O38" s="165">
        <v>183</v>
      </c>
      <c r="P38" s="165">
        <v>33</v>
      </c>
      <c r="Q38" s="166">
        <v>12501</v>
      </c>
      <c r="R38" s="149" t="s">
        <v>88</v>
      </c>
    </row>
    <row r="39" spans="1:18" ht="25.5" customHeight="1">
      <c r="A39" s="138" t="s">
        <v>89</v>
      </c>
      <c r="B39" s="139">
        <f>_xlfn.COMPOUNDVALUE(497)</f>
        <v>6102</v>
      </c>
      <c r="C39" s="140">
        <v>24840278</v>
      </c>
      <c r="D39" s="139">
        <f>_xlfn.COMPOUNDVALUE(498)</f>
        <v>3636</v>
      </c>
      <c r="E39" s="140">
        <v>1164395</v>
      </c>
      <c r="F39" s="139">
        <f>_xlfn.COMPOUNDVALUE(499)</f>
        <v>9738</v>
      </c>
      <c r="G39" s="140">
        <v>26004673</v>
      </c>
      <c r="H39" s="139">
        <f>_xlfn.COMPOUNDVALUE(500)</f>
        <v>578</v>
      </c>
      <c r="I39" s="141">
        <v>2526427</v>
      </c>
      <c r="J39" s="139">
        <v>672</v>
      </c>
      <c r="K39" s="141">
        <v>61254</v>
      </c>
      <c r="L39" s="139">
        <v>10496</v>
      </c>
      <c r="M39" s="141">
        <v>23539500</v>
      </c>
      <c r="N39" s="146">
        <v>10124</v>
      </c>
      <c r="O39" s="165">
        <v>245</v>
      </c>
      <c r="P39" s="165">
        <v>29</v>
      </c>
      <c r="Q39" s="166">
        <v>10398</v>
      </c>
      <c r="R39" s="149" t="s">
        <v>90</v>
      </c>
    </row>
    <row r="40" spans="1:18" ht="25.5" customHeight="1">
      <c r="A40" s="138" t="s">
        <v>91</v>
      </c>
      <c r="B40" s="139">
        <f>_xlfn.COMPOUNDVALUE(501)</f>
        <v>9881</v>
      </c>
      <c r="C40" s="140">
        <v>30324605</v>
      </c>
      <c r="D40" s="139">
        <f>_xlfn.COMPOUNDVALUE(502)</f>
        <v>10613</v>
      </c>
      <c r="E40" s="140">
        <v>3097138</v>
      </c>
      <c r="F40" s="139">
        <f>_xlfn.COMPOUNDVALUE(503)</f>
        <v>20494</v>
      </c>
      <c r="G40" s="140">
        <v>33421742</v>
      </c>
      <c r="H40" s="139">
        <f>_xlfn.COMPOUNDVALUE(504)</f>
        <v>549</v>
      </c>
      <c r="I40" s="141">
        <v>1716242</v>
      </c>
      <c r="J40" s="139">
        <v>1018</v>
      </c>
      <c r="K40" s="141">
        <v>67899</v>
      </c>
      <c r="L40" s="139">
        <v>21235</v>
      </c>
      <c r="M40" s="141">
        <v>31773399</v>
      </c>
      <c r="N40" s="146">
        <v>20762</v>
      </c>
      <c r="O40" s="165">
        <v>319</v>
      </c>
      <c r="P40" s="165">
        <v>30</v>
      </c>
      <c r="Q40" s="166">
        <v>21111</v>
      </c>
      <c r="R40" s="149" t="s">
        <v>92</v>
      </c>
    </row>
    <row r="41" spans="1:18" ht="25.5" customHeight="1">
      <c r="A41" s="138" t="s">
        <v>93</v>
      </c>
      <c r="B41" s="139">
        <f>_xlfn.COMPOUNDVALUE(505)</f>
        <v>4958</v>
      </c>
      <c r="C41" s="140">
        <v>16183385</v>
      </c>
      <c r="D41" s="139">
        <f>_xlfn.COMPOUNDVALUE(506)</f>
        <v>3727</v>
      </c>
      <c r="E41" s="140">
        <v>1177078</v>
      </c>
      <c r="F41" s="139">
        <f>_xlfn.COMPOUNDVALUE(507)</f>
        <v>8685</v>
      </c>
      <c r="G41" s="140">
        <v>17360464</v>
      </c>
      <c r="H41" s="139">
        <f>_xlfn.COMPOUNDVALUE(508)</f>
        <v>252</v>
      </c>
      <c r="I41" s="141">
        <v>193225</v>
      </c>
      <c r="J41" s="139">
        <v>559</v>
      </c>
      <c r="K41" s="141">
        <v>39699</v>
      </c>
      <c r="L41" s="139">
        <v>9025</v>
      </c>
      <c r="M41" s="141">
        <v>17206937</v>
      </c>
      <c r="N41" s="146">
        <v>8890</v>
      </c>
      <c r="O41" s="165">
        <v>132</v>
      </c>
      <c r="P41" s="165">
        <v>17</v>
      </c>
      <c r="Q41" s="166">
        <v>9039</v>
      </c>
      <c r="R41" s="149" t="s">
        <v>94</v>
      </c>
    </row>
    <row r="42" spans="1:18" ht="25.5" customHeight="1">
      <c r="A42" s="138" t="s">
        <v>95</v>
      </c>
      <c r="B42" s="139">
        <f>_xlfn.COMPOUNDVALUE(509)</f>
        <v>5905</v>
      </c>
      <c r="C42" s="140">
        <v>25242890</v>
      </c>
      <c r="D42" s="139">
        <f>_xlfn.COMPOUNDVALUE(510)</f>
        <v>4581</v>
      </c>
      <c r="E42" s="140">
        <v>1410350</v>
      </c>
      <c r="F42" s="139">
        <f>_xlfn.COMPOUNDVALUE(511)</f>
        <v>10486</v>
      </c>
      <c r="G42" s="140">
        <v>26653240</v>
      </c>
      <c r="H42" s="139">
        <f>_xlfn.COMPOUNDVALUE(512)</f>
        <v>346</v>
      </c>
      <c r="I42" s="141">
        <v>700237</v>
      </c>
      <c r="J42" s="139">
        <v>659</v>
      </c>
      <c r="K42" s="141">
        <v>95802</v>
      </c>
      <c r="L42" s="139">
        <v>10963</v>
      </c>
      <c r="M42" s="141">
        <v>26048805</v>
      </c>
      <c r="N42" s="146">
        <v>10917</v>
      </c>
      <c r="O42" s="165">
        <v>173</v>
      </c>
      <c r="P42" s="165">
        <v>18</v>
      </c>
      <c r="Q42" s="166">
        <v>11108</v>
      </c>
      <c r="R42" s="149" t="s">
        <v>96</v>
      </c>
    </row>
    <row r="43" spans="1:18" ht="25.5" customHeight="1">
      <c r="A43" s="138" t="s">
        <v>97</v>
      </c>
      <c r="B43" s="139">
        <f>_xlfn.COMPOUNDVALUE(513)</f>
        <v>2469</v>
      </c>
      <c r="C43" s="140">
        <v>7396007</v>
      </c>
      <c r="D43" s="139">
        <f>_xlfn.COMPOUNDVALUE(514)</f>
        <v>2021</v>
      </c>
      <c r="E43" s="140">
        <v>616627</v>
      </c>
      <c r="F43" s="139">
        <f>_xlfn.COMPOUNDVALUE(515)</f>
        <v>4490</v>
      </c>
      <c r="G43" s="140">
        <v>8012634</v>
      </c>
      <c r="H43" s="139">
        <f>_xlfn.COMPOUNDVALUE(516)</f>
        <v>151</v>
      </c>
      <c r="I43" s="141">
        <v>364167</v>
      </c>
      <c r="J43" s="139">
        <v>289</v>
      </c>
      <c r="K43" s="141">
        <v>28320</v>
      </c>
      <c r="L43" s="139">
        <v>4725</v>
      </c>
      <c r="M43" s="141">
        <v>7676787</v>
      </c>
      <c r="N43" s="146">
        <v>4677</v>
      </c>
      <c r="O43" s="165">
        <v>66</v>
      </c>
      <c r="P43" s="165">
        <v>8</v>
      </c>
      <c r="Q43" s="166">
        <v>4751</v>
      </c>
      <c r="R43" s="149" t="s">
        <v>98</v>
      </c>
    </row>
    <row r="44" spans="1:18" ht="25.5" customHeight="1">
      <c r="A44" s="145" t="s">
        <v>99</v>
      </c>
      <c r="B44" s="146">
        <f>_xlfn.COMPOUNDVALUE(517)</f>
        <v>7088</v>
      </c>
      <c r="C44" s="147">
        <v>27008433</v>
      </c>
      <c r="D44" s="146">
        <f>_xlfn.COMPOUNDVALUE(518)</f>
        <v>5518</v>
      </c>
      <c r="E44" s="147">
        <v>1712920</v>
      </c>
      <c r="F44" s="146">
        <f>_xlfn.COMPOUNDVALUE(519)</f>
        <v>12606</v>
      </c>
      <c r="G44" s="147">
        <v>28721353</v>
      </c>
      <c r="H44" s="146">
        <f>_xlfn.COMPOUNDVALUE(520)</f>
        <v>354</v>
      </c>
      <c r="I44" s="148">
        <v>2266021</v>
      </c>
      <c r="J44" s="146">
        <v>952</v>
      </c>
      <c r="K44" s="148">
        <v>80426</v>
      </c>
      <c r="L44" s="146">
        <v>13155</v>
      </c>
      <c r="M44" s="148">
        <v>26535758</v>
      </c>
      <c r="N44" s="146">
        <v>12922</v>
      </c>
      <c r="O44" s="165">
        <v>248</v>
      </c>
      <c r="P44" s="165">
        <v>28</v>
      </c>
      <c r="Q44" s="166">
        <v>13198</v>
      </c>
      <c r="R44" s="149" t="s">
        <v>100</v>
      </c>
    </row>
    <row r="45" spans="1:18" ht="25.5" customHeight="1">
      <c r="A45" s="145" t="s">
        <v>101</v>
      </c>
      <c r="B45" s="146">
        <f>_xlfn.COMPOUNDVALUE(521)</f>
        <v>4352</v>
      </c>
      <c r="C45" s="147">
        <v>13324815</v>
      </c>
      <c r="D45" s="146">
        <f>_xlfn.COMPOUNDVALUE(522)</f>
        <v>3405</v>
      </c>
      <c r="E45" s="147">
        <v>1024496</v>
      </c>
      <c r="F45" s="146">
        <f>_xlfn.COMPOUNDVALUE(523)</f>
        <v>7757</v>
      </c>
      <c r="G45" s="147">
        <v>14349311</v>
      </c>
      <c r="H45" s="146">
        <f>_xlfn.COMPOUNDVALUE(524)</f>
        <v>343</v>
      </c>
      <c r="I45" s="148">
        <v>2005963</v>
      </c>
      <c r="J45" s="146">
        <v>533</v>
      </c>
      <c r="K45" s="148">
        <v>65793</v>
      </c>
      <c r="L45" s="146">
        <v>8237</v>
      </c>
      <c r="M45" s="148">
        <v>12409141</v>
      </c>
      <c r="N45" s="146">
        <v>8167</v>
      </c>
      <c r="O45" s="165">
        <v>152</v>
      </c>
      <c r="P45" s="165">
        <v>23</v>
      </c>
      <c r="Q45" s="166">
        <v>8342</v>
      </c>
      <c r="R45" s="149" t="s">
        <v>102</v>
      </c>
    </row>
    <row r="46" spans="1:18" ht="25.5" customHeight="1">
      <c r="A46" s="145" t="s">
        <v>103</v>
      </c>
      <c r="B46" s="146">
        <f>_xlfn.COMPOUNDVALUE(525)</f>
        <v>6134</v>
      </c>
      <c r="C46" s="147">
        <v>40320880</v>
      </c>
      <c r="D46" s="146">
        <f>_xlfn.COMPOUNDVALUE(526)</f>
        <v>4513</v>
      </c>
      <c r="E46" s="147">
        <v>1472079</v>
      </c>
      <c r="F46" s="146">
        <f>_xlfn.COMPOUNDVALUE(527)</f>
        <v>10647</v>
      </c>
      <c r="G46" s="147">
        <v>41792959</v>
      </c>
      <c r="H46" s="146">
        <f>_xlfn.COMPOUNDVALUE(528)</f>
        <v>358</v>
      </c>
      <c r="I46" s="148">
        <v>19492440</v>
      </c>
      <c r="J46" s="146">
        <v>687</v>
      </c>
      <c r="K46" s="148">
        <v>96234</v>
      </c>
      <c r="L46" s="146">
        <v>11116</v>
      </c>
      <c r="M46" s="148">
        <v>22396753</v>
      </c>
      <c r="N46" s="146">
        <v>11007</v>
      </c>
      <c r="O46" s="165">
        <v>171</v>
      </c>
      <c r="P46" s="165">
        <v>26</v>
      </c>
      <c r="Q46" s="166">
        <v>11204</v>
      </c>
      <c r="R46" s="149" t="s">
        <v>104</v>
      </c>
    </row>
    <row r="47" spans="1:18" ht="25.5" customHeight="1">
      <c r="A47" s="145" t="s">
        <v>105</v>
      </c>
      <c r="B47" s="146">
        <f>_xlfn.COMPOUNDVALUE(529)</f>
        <v>4818</v>
      </c>
      <c r="C47" s="147">
        <v>26432159</v>
      </c>
      <c r="D47" s="146">
        <f>_xlfn.COMPOUNDVALUE(530)</f>
        <v>3427</v>
      </c>
      <c r="E47" s="147">
        <v>1107644</v>
      </c>
      <c r="F47" s="146">
        <f>_xlfn.COMPOUNDVALUE(531)</f>
        <v>8245</v>
      </c>
      <c r="G47" s="147">
        <v>27539803</v>
      </c>
      <c r="H47" s="146">
        <f>_xlfn.COMPOUNDVALUE(532)</f>
        <v>286</v>
      </c>
      <c r="I47" s="148">
        <v>141553552</v>
      </c>
      <c r="J47" s="146">
        <v>627</v>
      </c>
      <c r="K47" s="148">
        <v>59824</v>
      </c>
      <c r="L47" s="146">
        <v>8637</v>
      </c>
      <c r="M47" s="148">
        <v>-113953924</v>
      </c>
      <c r="N47" s="146">
        <v>8365</v>
      </c>
      <c r="O47" s="165">
        <v>180</v>
      </c>
      <c r="P47" s="165">
        <v>17</v>
      </c>
      <c r="Q47" s="166">
        <v>8562</v>
      </c>
      <c r="R47" s="149" t="s">
        <v>106</v>
      </c>
    </row>
    <row r="48" spans="1:18" ht="25.5" customHeight="1">
      <c r="A48" s="145" t="s">
        <v>107</v>
      </c>
      <c r="B48" s="146">
        <f>_xlfn.COMPOUNDVALUE(533)</f>
        <v>2490</v>
      </c>
      <c r="C48" s="147">
        <v>8363829</v>
      </c>
      <c r="D48" s="146">
        <f>_xlfn.COMPOUNDVALUE(534)</f>
        <v>2297</v>
      </c>
      <c r="E48" s="147">
        <v>677495</v>
      </c>
      <c r="F48" s="146">
        <f>_xlfn.COMPOUNDVALUE(535)</f>
        <v>4787</v>
      </c>
      <c r="G48" s="147">
        <v>9041324</v>
      </c>
      <c r="H48" s="146">
        <f>_xlfn.COMPOUNDVALUE(536)</f>
        <v>121</v>
      </c>
      <c r="I48" s="148">
        <v>153265</v>
      </c>
      <c r="J48" s="146">
        <v>344</v>
      </c>
      <c r="K48" s="148">
        <v>27735</v>
      </c>
      <c r="L48" s="146">
        <v>4941</v>
      </c>
      <c r="M48" s="148">
        <v>8915794</v>
      </c>
      <c r="N48" s="146">
        <v>4855</v>
      </c>
      <c r="O48" s="165">
        <v>69</v>
      </c>
      <c r="P48" s="165">
        <v>6</v>
      </c>
      <c r="Q48" s="166">
        <v>4930</v>
      </c>
      <c r="R48" s="149" t="s">
        <v>108</v>
      </c>
    </row>
    <row r="49" spans="1:18" ht="25.5" customHeight="1">
      <c r="A49" s="145" t="s">
        <v>109</v>
      </c>
      <c r="B49" s="146">
        <f>_xlfn.COMPOUNDVALUE(537)</f>
        <v>8300</v>
      </c>
      <c r="C49" s="147">
        <v>33646830</v>
      </c>
      <c r="D49" s="146">
        <f>_xlfn.COMPOUNDVALUE(538)</f>
        <v>6061</v>
      </c>
      <c r="E49" s="147">
        <v>1941826</v>
      </c>
      <c r="F49" s="146">
        <f>_xlfn.COMPOUNDVALUE(539)</f>
        <v>14361</v>
      </c>
      <c r="G49" s="147">
        <v>35588655</v>
      </c>
      <c r="H49" s="146">
        <f>_xlfn.COMPOUNDVALUE(540)</f>
        <v>508</v>
      </c>
      <c r="I49" s="148">
        <v>6020423</v>
      </c>
      <c r="J49" s="146">
        <v>971</v>
      </c>
      <c r="K49" s="148">
        <v>136533</v>
      </c>
      <c r="L49" s="146">
        <v>15090</v>
      </c>
      <c r="M49" s="148">
        <v>29704765</v>
      </c>
      <c r="N49" s="146">
        <v>14996</v>
      </c>
      <c r="O49" s="165">
        <v>290</v>
      </c>
      <c r="P49" s="165">
        <v>34</v>
      </c>
      <c r="Q49" s="166">
        <v>15320</v>
      </c>
      <c r="R49" s="149" t="s">
        <v>110</v>
      </c>
    </row>
    <row r="50" spans="1:18" ht="25.5" customHeight="1">
      <c r="A50" s="145" t="s">
        <v>111</v>
      </c>
      <c r="B50" s="146">
        <f>_xlfn.COMPOUNDVALUE(541)</f>
        <v>776</v>
      </c>
      <c r="C50" s="147">
        <v>1592474</v>
      </c>
      <c r="D50" s="146">
        <f>_xlfn.COMPOUNDVALUE(542)</f>
        <v>661</v>
      </c>
      <c r="E50" s="147">
        <v>179341</v>
      </c>
      <c r="F50" s="146">
        <f>_xlfn.COMPOUNDVALUE(543)</f>
        <v>1437</v>
      </c>
      <c r="G50" s="147">
        <v>1771814</v>
      </c>
      <c r="H50" s="146">
        <f>_xlfn.COMPOUNDVALUE(544)</f>
        <v>30</v>
      </c>
      <c r="I50" s="148">
        <v>28330</v>
      </c>
      <c r="J50" s="146">
        <v>92</v>
      </c>
      <c r="K50" s="148">
        <v>5620</v>
      </c>
      <c r="L50" s="146">
        <v>1484</v>
      </c>
      <c r="M50" s="148">
        <v>1749104</v>
      </c>
      <c r="N50" s="146">
        <v>1418</v>
      </c>
      <c r="O50" s="165">
        <v>14</v>
      </c>
      <c r="P50" s="165">
        <v>0</v>
      </c>
      <c r="Q50" s="166">
        <v>1432</v>
      </c>
      <c r="R50" s="149" t="s">
        <v>112</v>
      </c>
    </row>
    <row r="51" spans="1:18" ht="25.5" customHeight="1">
      <c r="A51" s="150" t="s">
        <v>113</v>
      </c>
      <c r="B51" s="151">
        <v>105420</v>
      </c>
      <c r="C51" s="152">
        <v>577177512</v>
      </c>
      <c r="D51" s="151">
        <v>76344</v>
      </c>
      <c r="E51" s="152">
        <v>24256762</v>
      </c>
      <c r="F51" s="151">
        <v>181764</v>
      </c>
      <c r="G51" s="152">
        <v>601434274</v>
      </c>
      <c r="H51" s="151">
        <v>6946</v>
      </c>
      <c r="I51" s="153">
        <v>235585578</v>
      </c>
      <c r="J51" s="151">
        <v>12174</v>
      </c>
      <c r="K51" s="153">
        <v>1243393</v>
      </c>
      <c r="L51" s="151">
        <v>191180</v>
      </c>
      <c r="M51" s="153">
        <v>367092089</v>
      </c>
      <c r="N51" s="151">
        <v>188462</v>
      </c>
      <c r="O51" s="154">
        <v>3637</v>
      </c>
      <c r="P51" s="154">
        <v>586</v>
      </c>
      <c r="Q51" s="155">
        <v>192685</v>
      </c>
      <c r="R51" s="156" t="s">
        <v>114</v>
      </c>
    </row>
    <row r="52" spans="1:18" ht="25.5" customHeight="1">
      <c r="A52" s="157"/>
      <c r="B52" s="158"/>
      <c r="C52" s="159"/>
      <c r="D52" s="158"/>
      <c r="E52" s="159"/>
      <c r="F52" s="160"/>
      <c r="G52" s="159"/>
      <c r="H52" s="160"/>
      <c r="I52" s="159"/>
      <c r="J52" s="160"/>
      <c r="K52" s="159"/>
      <c r="L52" s="160"/>
      <c r="M52" s="159"/>
      <c r="N52" s="161"/>
      <c r="O52" s="162"/>
      <c r="P52" s="162"/>
      <c r="Q52" s="163"/>
      <c r="R52" s="164" t="s">
        <v>28</v>
      </c>
    </row>
    <row r="53" spans="1:18" ht="25.5" customHeight="1">
      <c r="A53" s="138" t="s">
        <v>115</v>
      </c>
      <c r="B53" s="139">
        <f>_xlfn.COMPOUNDVALUE(545)</f>
        <v>3165</v>
      </c>
      <c r="C53" s="140">
        <v>11401134</v>
      </c>
      <c r="D53" s="139">
        <f>_xlfn.COMPOUNDVALUE(546)</f>
        <v>2410</v>
      </c>
      <c r="E53" s="140">
        <v>728429</v>
      </c>
      <c r="F53" s="139">
        <f>_xlfn.COMPOUNDVALUE(547)</f>
        <v>5575</v>
      </c>
      <c r="G53" s="140">
        <v>12129563</v>
      </c>
      <c r="H53" s="139">
        <f>_xlfn.COMPOUNDVALUE(548)</f>
        <v>153</v>
      </c>
      <c r="I53" s="141">
        <v>194752</v>
      </c>
      <c r="J53" s="139">
        <v>360</v>
      </c>
      <c r="K53" s="141">
        <v>47829</v>
      </c>
      <c r="L53" s="139">
        <v>5826</v>
      </c>
      <c r="M53" s="141">
        <v>11982640</v>
      </c>
      <c r="N53" s="139">
        <v>5737</v>
      </c>
      <c r="O53" s="142">
        <v>101</v>
      </c>
      <c r="P53" s="142">
        <v>16</v>
      </c>
      <c r="Q53" s="143">
        <v>5854</v>
      </c>
      <c r="R53" s="149" t="s">
        <v>116</v>
      </c>
    </row>
    <row r="54" spans="1:18" ht="25.5" customHeight="1">
      <c r="A54" s="145" t="s">
        <v>117</v>
      </c>
      <c r="B54" s="146">
        <f>_xlfn.COMPOUNDVALUE(549)</f>
        <v>5209</v>
      </c>
      <c r="C54" s="147">
        <v>23121648</v>
      </c>
      <c r="D54" s="146">
        <f>_xlfn.COMPOUNDVALUE(550)</f>
        <v>3640</v>
      </c>
      <c r="E54" s="147">
        <v>1150774</v>
      </c>
      <c r="F54" s="146">
        <f>_xlfn.COMPOUNDVALUE(551)</f>
        <v>8849</v>
      </c>
      <c r="G54" s="147">
        <v>24272422</v>
      </c>
      <c r="H54" s="146">
        <f>_xlfn.COMPOUNDVALUE(552)</f>
        <v>282</v>
      </c>
      <c r="I54" s="148">
        <v>3658448</v>
      </c>
      <c r="J54" s="146">
        <v>692</v>
      </c>
      <c r="K54" s="148">
        <v>14814</v>
      </c>
      <c r="L54" s="146">
        <v>9306</v>
      </c>
      <c r="M54" s="148">
        <v>20628788</v>
      </c>
      <c r="N54" s="146">
        <v>9148</v>
      </c>
      <c r="O54" s="165">
        <v>162</v>
      </c>
      <c r="P54" s="165">
        <v>24</v>
      </c>
      <c r="Q54" s="166">
        <v>9334</v>
      </c>
      <c r="R54" s="149" t="s">
        <v>118</v>
      </c>
    </row>
    <row r="55" spans="1:18" ht="25.5" customHeight="1">
      <c r="A55" s="145" t="s">
        <v>119</v>
      </c>
      <c r="B55" s="146">
        <f>_xlfn.COMPOUNDVALUE(553)</f>
        <v>3599</v>
      </c>
      <c r="C55" s="147">
        <v>7758120</v>
      </c>
      <c r="D55" s="146">
        <f>_xlfn.COMPOUNDVALUE(554)</f>
        <v>2710</v>
      </c>
      <c r="E55" s="147">
        <v>750255</v>
      </c>
      <c r="F55" s="146">
        <f>_xlfn.COMPOUNDVALUE(555)</f>
        <v>6309</v>
      </c>
      <c r="G55" s="147">
        <v>8508376</v>
      </c>
      <c r="H55" s="146">
        <f>_xlfn.COMPOUNDVALUE(556)</f>
        <v>233</v>
      </c>
      <c r="I55" s="148">
        <v>644662</v>
      </c>
      <c r="J55" s="146">
        <v>406</v>
      </c>
      <c r="K55" s="148">
        <v>-30576</v>
      </c>
      <c r="L55" s="146">
        <v>6649</v>
      </c>
      <c r="M55" s="148">
        <v>7833138</v>
      </c>
      <c r="N55" s="146">
        <v>6459</v>
      </c>
      <c r="O55" s="165">
        <v>125</v>
      </c>
      <c r="P55" s="165">
        <v>21</v>
      </c>
      <c r="Q55" s="166">
        <v>6605</v>
      </c>
      <c r="R55" s="149" t="s">
        <v>120</v>
      </c>
    </row>
    <row r="56" spans="1:18" ht="25.5" customHeight="1">
      <c r="A56" s="145" t="s">
        <v>121</v>
      </c>
      <c r="B56" s="146">
        <f>_xlfn.COMPOUNDVALUE(557)</f>
        <v>2675</v>
      </c>
      <c r="C56" s="147">
        <v>7964663</v>
      </c>
      <c r="D56" s="146">
        <f>_xlfn.COMPOUNDVALUE(558)</f>
        <v>1872</v>
      </c>
      <c r="E56" s="147">
        <v>543409</v>
      </c>
      <c r="F56" s="146">
        <f>_xlfn.COMPOUNDVALUE(559)</f>
        <v>4547</v>
      </c>
      <c r="G56" s="147">
        <v>8508073</v>
      </c>
      <c r="H56" s="146">
        <f>_xlfn.COMPOUNDVALUE(560)</f>
        <v>147</v>
      </c>
      <c r="I56" s="148">
        <v>438797</v>
      </c>
      <c r="J56" s="146">
        <v>292</v>
      </c>
      <c r="K56" s="148">
        <v>24912</v>
      </c>
      <c r="L56" s="146">
        <v>4797</v>
      </c>
      <c r="M56" s="148">
        <v>8094188</v>
      </c>
      <c r="N56" s="146">
        <v>4661</v>
      </c>
      <c r="O56" s="165">
        <v>83</v>
      </c>
      <c r="P56" s="165">
        <v>12</v>
      </c>
      <c r="Q56" s="166">
        <v>4756</v>
      </c>
      <c r="R56" s="149" t="s">
        <v>122</v>
      </c>
    </row>
    <row r="57" spans="1:18" ht="25.5" customHeight="1">
      <c r="A57" s="145" t="s">
        <v>123</v>
      </c>
      <c r="B57" s="146">
        <f>_xlfn.COMPOUNDVALUE(561)</f>
        <v>2639</v>
      </c>
      <c r="C57" s="147">
        <v>8809534</v>
      </c>
      <c r="D57" s="146">
        <f>_xlfn.COMPOUNDVALUE(562)</f>
        <v>1930</v>
      </c>
      <c r="E57" s="147">
        <v>591140</v>
      </c>
      <c r="F57" s="146">
        <f>_xlfn.COMPOUNDVALUE(563)</f>
        <v>4569</v>
      </c>
      <c r="G57" s="147">
        <v>9400674</v>
      </c>
      <c r="H57" s="146">
        <f>_xlfn.COMPOUNDVALUE(564)</f>
        <v>178</v>
      </c>
      <c r="I57" s="148">
        <v>253535</v>
      </c>
      <c r="J57" s="146">
        <v>268</v>
      </c>
      <c r="K57" s="148">
        <v>44482</v>
      </c>
      <c r="L57" s="146">
        <v>4811</v>
      </c>
      <c r="M57" s="148">
        <v>9191621</v>
      </c>
      <c r="N57" s="146">
        <v>4781</v>
      </c>
      <c r="O57" s="165">
        <v>90</v>
      </c>
      <c r="P57" s="165">
        <v>9</v>
      </c>
      <c r="Q57" s="166">
        <v>4880</v>
      </c>
      <c r="R57" s="149" t="s">
        <v>124</v>
      </c>
    </row>
    <row r="58" spans="1:18" ht="25.5" customHeight="1">
      <c r="A58" s="145" t="s">
        <v>125</v>
      </c>
      <c r="B58" s="146">
        <f>_xlfn.COMPOUNDVALUE(565)</f>
        <v>1854</v>
      </c>
      <c r="C58" s="147">
        <v>4688529</v>
      </c>
      <c r="D58" s="146">
        <f>_xlfn.COMPOUNDVALUE(566)</f>
        <v>1265</v>
      </c>
      <c r="E58" s="147">
        <v>368179</v>
      </c>
      <c r="F58" s="146">
        <f>_xlfn.COMPOUNDVALUE(567)</f>
        <v>3119</v>
      </c>
      <c r="G58" s="147">
        <v>5056708</v>
      </c>
      <c r="H58" s="146">
        <f>_xlfn.COMPOUNDVALUE(568)</f>
        <v>108</v>
      </c>
      <c r="I58" s="148">
        <v>280748</v>
      </c>
      <c r="J58" s="146">
        <v>223</v>
      </c>
      <c r="K58" s="148">
        <v>-312654</v>
      </c>
      <c r="L58" s="146">
        <v>3311</v>
      </c>
      <c r="M58" s="148">
        <v>4463306</v>
      </c>
      <c r="N58" s="146">
        <v>3192</v>
      </c>
      <c r="O58" s="165">
        <v>87</v>
      </c>
      <c r="P58" s="165">
        <v>8</v>
      </c>
      <c r="Q58" s="166">
        <v>3287</v>
      </c>
      <c r="R58" s="149" t="s">
        <v>126</v>
      </c>
    </row>
    <row r="59" spans="1:18" ht="25.5" customHeight="1">
      <c r="A59" s="145" t="s">
        <v>127</v>
      </c>
      <c r="B59" s="146">
        <f>_xlfn.COMPOUNDVALUE(569)</f>
        <v>2737</v>
      </c>
      <c r="C59" s="147">
        <v>7805300</v>
      </c>
      <c r="D59" s="146">
        <f>_xlfn.COMPOUNDVALUE(570)</f>
        <v>2091</v>
      </c>
      <c r="E59" s="147">
        <v>652374</v>
      </c>
      <c r="F59" s="146">
        <f>_xlfn.COMPOUNDVALUE(571)</f>
        <v>4828</v>
      </c>
      <c r="G59" s="147">
        <v>8457674</v>
      </c>
      <c r="H59" s="146">
        <f>_xlfn.COMPOUNDVALUE(572)</f>
        <v>163</v>
      </c>
      <c r="I59" s="148">
        <v>220331</v>
      </c>
      <c r="J59" s="146">
        <v>369</v>
      </c>
      <c r="K59" s="148">
        <v>52130</v>
      </c>
      <c r="L59" s="146">
        <v>5079</v>
      </c>
      <c r="M59" s="148">
        <v>8289473</v>
      </c>
      <c r="N59" s="146">
        <v>4993</v>
      </c>
      <c r="O59" s="165">
        <v>105</v>
      </c>
      <c r="P59" s="165">
        <v>10</v>
      </c>
      <c r="Q59" s="166">
        <v>5108</v>
      </c>
      <c r="R59" s="149" t="s">
        <v>128</v>
      </c>
    </row>
    <row r="60" spans="1:18" ht="25.5" customHeight="1">
      <c r="A60" s="145" t="s">
        <v>129</v>
      </c>
      <c r="B60" s="146">
        <f>_xlfn.COMPOUNDVALUE(573)</f>
        <v>1113</v>
      </c>
      <c r="C60" s="147">
        <v>2094255</v>
      </c>
      <c r="D60" s="146">
        <f>_xlfn.COMPOUNDVALUE(574)</f>
        <v>973</v>
      </c>
      <c r="E60" s="147">
        <v>263146</v>
      </c>
      <c r="F60" s="146">
        <f>_xlfn.COMPOUNDVALUE(575)</f>
        <v>2086</v>
      </c>
      <c r="G60" s="147">
        <v>2357401</v>
      </c>
      <c r="H60" s="146">
        <f>_xlfn.COMPOUNDVALUE(576)</f>
        <v>49</v>
      </c>
      <c r="I60" s="148">
        <v>64386</v>
      </c>
      <c r="J60" s="146">
        <v>79</v>
      </c>
      <c r="K60" s="148">
        <v>10032</v>
      </c>
      <c r="L60" s="146">
        <v>2162</v>
      </c>
      <c r="M60" s="148">
        <v>2303047</v>
      </c>
      <c r="N60" s="146">
        <v>2119</v>
      </c>
      <c r="O60" s="165">
        <v>29</v>
      </c>
      <c r="P60" s="165">
        <v>3</v>
      </c>
      <c r="Q60" s="166">
        <v>2151</v>
      </c>
      <c r="R60" s="149" t="s">
        <v>130</v>
      </c>
    </row>
    <row r="61" spans="1:18" ht="25.5" customHeight="1">
      <c r="A61" s="150" t="s">
        <v>131</v>
      </c>
      <c r="B61" s="151">
        <v>22991</v>
      </c>
      <c r="C61" s="152">
        <v>73643183</v>
      </c>
      <c r="D61" s="151">
        <v>16891</v>
      </c>
      <c r="E61" s="152">
        <v>5047706</v>
      </c>
      <c r="F61" s="151">
        <v>39882</v>
      </c>
      <c r="G61" s="152">
        <v>78690890</v>
      </c>
      <c r="H61" s="151">
        <v>1313</v>
      </c>
      <c r="I61" s="153">
        <v>5755658</v>
      </c>
      <c r="J61" s="151">
        <v>2689</v>
      </c>
      <c r="K61" s="153">
        <v>-149031</v>
      </c>
      <c r="L61" s="151">
        <v>41941</v>
      </c>
      <c r="M61" s="153">
        <v>72786201</v>
      </c>
      <c r="N61" s="151">
        <v>41090</v>
      </c>
      <c r="O61" s="154">
        <v>782</v>
      </c>
      <c r="P61" s="154">
        <v>103</v>
      </c>
      <c r="Q61" s="155">
        <v>41975</v>
      </c>
      <c r="R61" s="156" t="s">
        <v>132</v>
      </c>
    </row>
    <row r="62" spans="1:18" ht="25.5" customHeight="1" thickBot="1">
      <c r="A62" s="169"/>
      <c r="B62" s="170"/>
      <c r="C62" s="171"/>
      <c r="D62" s="170"/>
      <c r="E62" s="171"/>
      <c r="F62" s="172"/>
      <c r="G62" s="171"/>
      <c r="H62" s="172"/>
      <c r="I62" s="171"/>
      <c r="J62" s="172"/>
      <c r="K62" s="171"/>
      <c r="L62" s="172"/>
      <c r="M62" s="171"/>
      <c r="N62" s="173"/>
      <c r="O62" s="174"/>
      <c r="P62" s="174"/>
      <c r="Q62" s="175"/>
      <c r="R62" s="176" t="s">
        <v>28</v>
      </c>
    </row>
    <row r="63" spans="1:18" ht="25.5" customHeight="1" thickBot="1" thickTop="1">
      <c r="A63" s="177" t="s">
        <v>27</v>
      </c>
      <c r="B63" s="178">
        <v>208785</v>
      </c>
      <c r="C63" s="179">
        <v>920974399</v>
      </c>
      <c r="D63" s="178">
        <v>160870</v>
      </c>
      <c r="E63" s="179">
        <v>49520890</v>
      </c>
      <c r="F63" s="178">
        <v>369655</v>
      </c>
      <c r="G63" s="179">
        <v>970495289</v>
      </c>
      <c r="H63" s="178">
        <v>12714</v>
      </c>
      <c r="I63" s="180">
        <v>275395580</v>
      </c>
      <c r="J63" s="178">
        <v>23554</v>
      </c>
      <c r="K63" s="180">
        <v>1434520</v>
      </c>
      <c r="L63" s="178">
        <v>387228</v>
      </c>
      <c r="M63" s="180">
        <v>696534229</v>
      </c>
      <c r="N63" s="181">
        <v>381082</v>
      </c>
      <c r="O63" s="182">
        <v>7091</v>
      </c>
      <c r="P63" s="182">
        <v>1024</v>
      </c>
      <c r="Q63" s="183">
        <v>389197</v>
      </c>
      <c r="R63" s="184" t="s">
        <v>27</v>
      </c>
    </row>
    <row r="64" spans="1:9" ht="25.5" customHeight="1">
      <c r="A64" s="185" t="s">
        <v>139</v>
      </c>
      <c r="B64" s="185"/>
      <c r="C64" s="185"/>
      <c r="D64" s="185"/>
      <c r="E64" s="185"/>
      <c r="F64" s="185"/>
      <c r="G64" s="185"/>
      <c r="H64" s="185"/>
      <c r="I64" s="185"/>
    </row>
  </sheetData>
  <sheetProtection/>
  <mergeCells count="15">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&amp;R名古屋国税局　消費税（H24）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2014-06-11T03:24:20Z</cp:lastPrinted>
  <dcterms:created xsi:type="dcterms:W3CDTF">2003-07-09T01:05:10Z</dcterms:created>
  <dcterms:modified xsi:type="dcterms:W3CDTF">2014-06-11T03:25:09Z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